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fraestrutura-my.sharepoint.com/personal/fabio_arruda_mpor_gov_br/Documents/Documentos/Processo Competitivo Simplificado - PCS - 2024/"/>
    </mc:Choice>
  </mc:AlternateContent>
  <xr:revisionPtr revIDLastSave="264" documentId="8_{E2F92489-A35D-4D1A-8151-DFE502677F9B}" xr6:coauthVersionLast="47" xr6:coauthVersionMax="47" xr10:uidLastSave="{E506D4C2-BAB9-4FC4-8D9E-EC335180FCA1}"/>
  <bookViews>
    <workbookView xWindow="28680" yWindow="-120" windowWidth="29040" windowHeight="15720" firstSheet="1" activeTab="1" xr2:uid="{5A8FE4DD-DDB1-401A-B0A6-CC64AB52FF68}"/>
  </bookViews>
  <sheets>
    <sheet name="Introdução" sheetId="41" r:id="rId1"/>
    <sheet name="BLOCOS - AMPLIAR" sheetId="46" r:id="rId2"/>
    <sheet name="BLOCO ACRE + AMAZONAS" sheetId="39" r:id="rId3"/>
    <sheet name="BLOCO AMAZONAS - 2" sheetId="38" r:id="rId4"/>
    <sheet name="BLOCO AMAZONAS - 3" sheetId="37" r:id="rId5"/>
    <sheet name="BLOCO MARANHÃO + TOCANTINS" sheetId="35" r:id="rId6"/>
    <sheet name="BLOCO MATO GROSSO - 1" sheetId="34" r:id="rId7"/>
    <sheet name="BLOCO MATO GROSSO - 2" sheetId="33" r:id="rId8"/>
    <sheet name="BLOCO PARÁ - 1" sheetId="32" r:id="rId9"/>
    <sheet name="BLOCO PARÁ - 2" sheetId="31" r:id="rId10"/>
    <sheet name="BLOCO PARÁ - 3" sheetId="36" r:id="rId11"/>
    <sheet name="BLOCO RONDÔNIA" sheetId="30" r:id="rId12"/>
    <sheet name="BLOCO NORDESTE" sheetId="24" r:id="rId13"/>
    <sheet name="FLUXO DE CAIXA DESC.-BLOCOS PAN" sheetId="15" r:id="rId14"/>
    <sheet name="FLUXO DE CAIXA DESC.-SEM MULT." sheetId="45" r:id="rId15"/>
    <sheet name="FLUXO DE CAIXA NOM.- BLOCOS PAN" sheetId="14" r:id="rId16"/>
    <sheet name="CAPEX - BLOCOS PAN" sheetId="9" r:id="rId17"/>
    <sheet name="CAPEX - BLOCOS PAN S- MULT." sheetId="43" r:id="rId18"/>
    <sheet name="CAPEX - BLOCOS PAN (ANO A ANO)" sheetId="42" r:id="rId19"/>
    <sheet name="CAPEX - BLOCOS PAN_ANO S- MULT" sheetId="44" r:id="rId20"/>
    <sheet name="OPEX - BLOCOS PAN" sheetId="11" r:id="rId21"/>
    <sheet name="RECEITAS - BLOCOS PAN" sheetId="12" r:id="rId22"/>
    <sheet name="BASE PAN - CAPEX" sheetId="1" r:id="rId23"/>
    <sheet name="BASE PAN - OPEX" sheetId="2" r:id="rId24"/>
    <sheet name="BASE PAN - RECEITAS" sheetId="3" r:id="rId25"/>
    <sheet name="BASE PAN - CAPEX - 1º ANO" sheetId="4" r:id="rId26"/>
    <sheet name="CAPEX Manut. Estr_PPD e Taxiway" sheetId="5" r:id="rId27"/>
    <sheet name="CAPEX Manut. Estratégicos_Pátio" sheetId="6" r:id="rId28"/>
    <sheet name="CAPEX Manut. Estr_Naveg. Aérea" sheetId="7" r:id="rId29"/>
    <sheet name="CAPEX Manut. Estr_Cerca Operac." sheetId="8" r:id="rId30"/>
    <sheet name="Receitas - Aerop. Estratégicos" sheetId="40" r:id="rId31"/>
    <sheet name="Projeção - Demanda PAX" sheetId="17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cf2" localSheetId="31" hidden="1">{#N/A,#N/A,FALSE,"Variables";#N/A,#N/A,FALSE,"NPV Cashflows NZ$";#N/A,#N/A,FALSE,"Cashflows NZ$"}</definedName>
    <definedName name="___cf2" hidden="1">{#N/A,#N/A,FALSE,"Variables";#N/A,#N/A,FALSE,"NPV Cashflows NZ$";#N/A,#N/A,FALSE,"Cashflows NZ$"}</definedName>
    <definedName name="___ddd2" localSheetId="31" hidden="1">{#N/A,#N/A,FALSE,"Cashflow"}</definedName>
    <definedName name="___ddd2" hidden="1">{#N/A,#N/A,FALSE,"Cashflow"}</definedName>
    <definedName name="___eee2" localSheetId="31" hidden="1">{#N/A,#N/A,FALSE,"Cashflow"}</definedName>
    <definedName name="___eee2" hidden="1">{#N/A,#N/A,FALSE,"Cashflow"}</definedName>
    <definedName name="__a1" localSheetId="31" hidden="1">{"mgmt forecast",#N/A,FALSE,"Mgmt Forecast";"dcf table",#N/A,FALSE,"Mgmt Forecast";"sensitivity",#N/A,FALSE,"Mgmt Forecast";"table inputs",#N/A,FALSE,"Mgmt Forecast";"calculations",#N/A,FALSE,"Mgmt Forecast"}</definedName>
    <definedName name="__a1" hidden="1">{"mgmt forecast",#N/A,FALSE,"Mgmt Forecast";"dcf table",#N/A,FALSE,"Mgmt Forecast";"sensitivity",#N/A,FALSE,"Mgmt Forecast";"table inputs",#N/A,FALSE,"Mgmt Forecast";"calculations",#N/A,FALSE,"Mgmt Forecast"}</definedName>
    <definedName name="__a2" localSheetId="31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cf2" localSheetId="31" hidden="1">{#N/A,#N/A,FALSE,"Variables";#N/A,#N/A,FALSE,"NPV Cashflows NZ$";#N/A,#N/A,FALSE,"Cashflows NZ$"}</definedName>
    <definedName name="__cf2" hidden="1">{#N/A,#N/A,FALSE,"Variables";#N/A,#N/A,FALSE,"NPV Cashflows NZ$";#N/A,#N/A,FALSE,"Cashflows NZ$"}</definedName>
    <definedName name="__ddd2" localSheetId="31" hidden="1">{#N/A,#N/A,FALSE,"Cashflow"}</definedName>
    <definedName name="__ddd2" hidden="1">{#N/A,#N/A,FALSE,"Cashflow"}</definedName>
    <definedName name="__eee2" localSheetId="31" hidden="1">{#N/A,#N/A,FALSE,"Cashflow"}</definedName>
    <definedName name="__eee2" hidden="1">{#N/A,#N/A,FALSE,"Cashflow"}</definedName>
    <definedName name="__IntlFixup" hidden="1">TRUE</definedName>
    <definedName name="_a1" localSheetId="31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3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cf2" localSheetId="31" hidden="1">{#N/A,#N/A,FALSE,"Variables";#N/A,#N/A,FALSE,"NPV Cashflows NZ$";#N/A,#N/A,FALSE,"Cashflows NZ$"}</definedName>
    <definedName name="_cf2" hidden="1">{#N/A,#N/A,FALSE,"Variables";#N/A,#N/A,FALSE,"NPV Cashflows NZ$";#N/A,#N/A,FALSE,"Cashflows NZ$"}</definedName>
    <definedName name="_ddd2" localSheetId="31" hidden="1">{#N/A,#N/A,FALSE,"Cashflow"}</definedName>
    <definedName name="_ddd2" hidden="1">{#N/A,#N/A,FALSE,"Cashflow"}</definedName>
    <definedName name="_eee2" localSheetId="31" hidden="1">{#N/A,#N/A,FALSE,"Cashflow"}</definedName>
    <definedName name="_eee2" hidden="1">{#N/A,#N/A,FALSE,"Cashflow"}</definedName>
    <definedName name="_xlnm._FilterDatabase" localSheetId="22" hidden="1">'BASE PAN - CAPEX'!$A$2:$BK$37</definedName>
    <definedName name="_xlnm._FilterDatabase" localSheetId="25" hidden="1">'BASE PAN - CAPEX - 1º ANO'!$A$2:$BG$35</definedName>
    <definedName name="_xlnm._FilterDatabase" localSheetId="23" hidden="1">'BASE PAN - OPEX'!$A$2:$CV$37</definedName>
    <definedName name="_xlnm._FilterDatabase" localSheetId="24" hidden="1">'BASE PAN - RECEITAS'!$A$2:$CV$37</definedName>
    <definedName name="_xlnm._FilterDatabase" localSheetId="2" hidden="1">'BLOCO ACRE + AMAZONAS'!$A$2:$AR$11</definedName>
    <definedName name="_xlnm._FilterDatabase" localSheetId="3" hidden="1">'BLOCO AMAZONAS - 2'!$A$2:$AR$9</definedName>
    <definedName name="_xlnm._FilterDatabase" localSheetId="4" hidden="1">'BLOCO AMAZONAS - 3'!$A$2:$AR$9</definedName>
    <definedName name="_xlnm._FilterDatabase" localSheetId="5" hidden="1">'BLOCO MARANHÃO + TOCANTINS'!$A$2:$AR$7</definedName>
    <definedName name="_xlnm._FilterDatabase" localSheetId="6" hidden="1">'BLOCO MATO GROSSO - 1'!$A$2:$AR$8</definedName>
    <definedName name="_xlnm._FilterDatabase" localSheetId="7" hidden="1">'BLOCO MATO GROSSO - 2'!$A$2:$AR$7</definedName>
    <definedName name="_xlnm._FilterDatabase" localSheetId="12" hidden="1">'BLOCO NORDESTE'!$A$2:$AS$2</definedName>
    <definedName name="_xlnm._FilterDatabase" localSheetId="8" hidden="1">'BLOCO PARÁ - 1'!$A$2:$AS$2</definedName>
    <definedName name="_xlnm._FilterDatabase" localSheetId="9" hidden="1">'BLOCO PARÁ - 2'!$A$2:$AS$2</definedName>
    <definedName name="_xlnm._FilterDatabase" localSheetId="10" hidden="1">'BLOCO PARÁ - 3'!$A$2:$AR$7</definedName>
    <definedName name="_xlnm._FilterDatabase" localSheetId="11" hidden="1">'BLOCO RONDÔNIA'!$A$2:$AS$2</definedName>
    <definedName name="_xlnm._FilterDatabase" localSheetId="1" hidden="1">'BLOCOS - AMPLIAR'!$A$2:$AU$2</definedName>
    <definedName name="_xlnm._FilterDatabase" localSheetId="16" hidden="1">'CAPEX - BLOCOS PAN'!$A$2:$AW$57</definedName>
    <definedName name="_xlnm._FilterDatabase" localSheetId="18" hidden="1">'CAPEX - BLOCOS PAN (ANO A ANO)'!$A$2:$AW$56</definedName>
    <definedName name="_xlnm._FilterDatabase" localSheetId="17" hidden="1">'CAPEX - BLOCOS PAN S- MULT.'!$A$2:$AV$54</definedName>
    <definedName name="_xlnm._FilterDatabase" localSheetId="19" hidden="1">'CAPEX - BLOCOS PAN_ANO S- MULT'!$A$2:$AV$2</definedName>
    <definedName name="_xlnm._FilterDatabase" localSheetId="29" hidden="1">'CAPEX Manut. Estr_Cerca Operac.'!$A$1:$F$16</definedName>
    <definedName name="_xlnm._FilterDatabase" localSheetId="28" hidden="1">'CAPEX Manut. Estr_Naveg. Aérea'!$A$1:$BD$16</definedName>
    <definedName name="_xlnm._FilterDatabase" localSheetId="26" hidden="1">'CAPEX Manut. Estr_PPD e Taxiway'!$A$3:$O$18</definedName>
    <definedName name="_xlnm._FilterDatabase" localSheetId="27" hidden="1">'CAPEX Manut. Estratégicos_Pátio'!$A$5:$O$20</definedName>
    <definedName name="_xlnm._FilterDatabase" localSheetId="13" hidden="1">'FLUXO DE CAIXA DESC.-BLOCOS PAN'!$A$2:$AU$2</definedName>
    <definedName name="_xlnm._FilterDatabase" localSheetId="14" hidden="1">'FLUXO DE CAIXA DESC.-SEM MULT.'!$A$2:$AT$54</definedName>
    <definedName name="_xlnm._FilterDatabase" localSheetId="15" hidden="1">'FLUXO DE CAIXA NOM.- BLOCOS PAN'!$A$2:$AM$2</definedName>
    <definedName name="_xlnm._FilterDatabase" localSheetId="20" hidden="1">'OPEX - BLOCOS PAN'!$A$2:$AM$54</definedName>
    <definedName name="_xlnm._FilterDatabase" localSheetId="31" hidden="1">'Projeção - Demanda PAX'!$A$2:$BQ$37</definedName>
    <definedName name="_xlnm._FilterDatabase" localSheetId="30" hidden="1">'Receitas - Aerop. Estratégicos'!$A$2:$CY$17</definedName>
    <definedName name="_xlnm._FilterDatabase" localSheetId="21" hidden="1">'RECEITAS - BLOCOS PAN'!$A$2:$AN$2</definedName>
    <definedName name="_GSRATES_1" hidden="1">"CT30000120000728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Order1" hidden="1">255</definedName>
    <definedName name="a1a1a" localSheetId="31" hidden="1">{#N/A,#N/A,FALSE,"Cashflow"}</definedName>
    <definedName name="a1a1a" hidden="1">{#N/A,#N/A,FALSE,"Cashflow"}</definedName>
    <definedName name="a1a1a1a1" localSheetId="31" hidden="1">{#N/A,#N/A,FALSE,"Capacity"}</definedName>
    <definedName name="a1a1a1a1" hidden="1">{#N/A,#N/A,FALSE,"Capacity"}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a" localSheetId="31" hidden="1">{#N/A,#N/A,FALSE,"Variables";#N/A,#N/A,FALSE,"NPV Cashflows NZ$";#N/A,#N/A,FALSE,"Cashflows NZ$"}</definedName>
    <definedName name="aaaaa" hidden="1">{#N/A,#N/A,FALSE,"Variables";#N/A,#N/A,FALSE,"NPV Cashflows NZ$";#N/A,#N/A,FALSE,"Cashflows NZ$"}</definedName>
    <definedName name="aaaaaaa" localSheetId="31" hidden="1">{#N/A,#N/A,FALSE,"Cashflow"}</definedName>
    <definedName name="aaaaaaa" hidden="1">{#N/A,#N/A,FALSE,"Cashflow"}</definedName>
    <definedName name="aaaaaaaaaa" localSheetId="31" hidden="1">{#N/A,#N/A,FALSE,"Cashflow"}</definedName>
    <definedName name="aaaaaaaaaa" hidden="1">{#N/A,#N/A,FALSE,"Cashflow"}</definedName>
    <definedName name="AAB_Addin5" hidden="1">"AAB_Description for addin 5,Description for addin 5,Description for addin 5,Description for addin 5,Description for addin 5,Description for addin 5"</definedName>
    <definedName name="AccessDatabase" hidden="1">"S:\Project Management\Corolla Matrix Vibe  RMBSS Tracking\150L~151L~152L RMBSS Tracking Feb.mdb"</definedName>
    <definedName name="adf" localSheetId="31" hidden="1">{"standalone1",#N/A,FALSE,"DCFBase";"standalone2",#N/A,FALSE,"DCFBase"}</definedName>
    <definedName name="adf" hidden="1">{"standalone1",#N/A,FALSE,"DCFBase";"standalone2",#N/A,FALSE,"DCFBase"}</definedName>
    <definedName name="ADopsterling" localSheetId="31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nscount" hidden="1">1</definedName>
    <definedName name="Area_generica">[1]BD!$DF$5</definedName>
    <definedName name="ATM">#REF!</definedName>
    <definedName name="CF">'Projeção - Demanda PAX'!#REF!</definedName>
    <definedName name="ChangeRange" hidden="1">#N/A</definedName>
    <definedName name="CO_AC_At">'[1]2. Simulador - Investimento'!$C$100</definedName>
    <definedName name="CO_AC_Dj">'[1]2. Simulador - Investimento'!$L$100</definedName>
    <definedName name="CO_AC_Man">'[1]2. Simulador - Manutenção'!$C$54</definedName>
    <definedName name="CO_AC_Sm">[1]BD_Cálculos!$AP$68</definedName>
    <definedName name="CO_CNAV_Dj">'[1]2. Simulador - Investimento'!$L$112</definedName>
    <definedName name="CO_CPPD_At">[1]BD_Cálculos!$G$24</definedName>
    <definedName name="CO_CRA_At">'[1]2. Simulador - Investimento'!$C$108</definedName>
    <definedName name="CO_CRA_Sm">[1]BD_Cálculos!$AD$20</definedName>
    <definedName name="CO_DHP_Sm">[1]BD_Cálculos!$H$24</definedName>
    <definedName name="CO_MAV_Dj">'[1]2. Simulador - Investimento'!$L$101</definedName>
    <definedName name="CO_MAV_Man">'[1]2. Simulador - Manutenção'!$C$55</definedName>
    <definedName name="CO_MVP_At">'[1]2. Simulador - Investimento'!$C$99</definedName>
    <definedName name="CO_MVP_Dj">'[1]2. Simulador - Investimento'!$L$99</definedName>
    <definedName name="CO_OVN_At">'[1]2. Simulador - Investimento'!$C$106</definedName>
    <definedName name="CO_OVN_Dj">'[1]2. Simulador - Investimento'!$L$106</definedName>
    <definedName name="CO_PHP_At">[1]BD_Cálculos!$L$50</definedName>
    <definedName name="CO_PHP_Sm">[1]BD_Cálculos!$G$50</definedName>
    <definedName name="CO_PI_At">'[1]2. Simulador - Investimento'!$C$107</definedName>
    <definedName name="CO_RLV_At" comment="Classificação do relevo">'[1]2. Simulador - Investimento'!$C$109</definedName>
    <definedName name="CO_TPO_At_Rede">#REF!</definedName>
    <definedName name="CO_TPOC1X_At">'[1]2. Simulador - Investimento'!$C$102</definedName>
    <definedName name="CO_TPOC1X_Dj">'[1]2. Simulador - Investimento'!$L$102</definedName>
    <definedName name="CO_TPOC1X_Sm">[1]BD_Cálculos!$GW$6</definedName>
    <definedName name="CO_TPOC1Y_At">'[1]2. Simulador - Investimento'!$C$103</definedName>
    <definedName name="CO_TPOC1Y_Dj">'[1]2. Simulador - Investimento'!$L$103</definedName>
    <definedName name="CO_TPOC1Y_Sm">[1]BD_Cálculos!$GX$6</definedName>
    <definedName name="CO_TPOC2X_At">'[1]2. Simulador - Investimento'!$C$104</definedName>
    <definedName name="CO_TPOC2X_Dj">'[1]2. Simulador - Investimento'!$L$104</definedName>
    <definedName name="CO_TPOC2X_Sm">[1]BD_Cálculos!$GY$6</definedName>
    <definedName name="CO_TPOC2Y_At">'[1]2. Simulador - Investimento'!$C$105</definedName>
    <definedName name="CO_TPOC2Y_Dj">'[1]2. Simulador - Investimento'!$L$105</definedName>
    <definedName name="CO_TPOC2Y_Sm">[1]BD_Cálculos!$GZ$6</definedName>
    <definedName name="CO_UF_At">'[1]2. Simulador - Investimento'!$C$98</definedName>
    <definedName name="CO_UF_Man">'[1]2. Simulador - Manutenção'!$C$53</definedName>
    <definedName name="CO_VCI_Dj">'[1]2. Simulador - Investimento'!$L$111</definedName>
    <definedName name="CO_VO_Dj">'[1]2. Simulador - Investimento'!$L$110</definedName>
    <definedName name="ContentsHelp" hidden="1">#N/A</definedName>
    <definedName name="CreateTable" hidden="1">#N/A</definedName>
    <definedName name="CST_AD_IRJ">'[1]1.1 Atualização de Dados'!$G$12</definedName>
    <definedName name="CST_ALQ_COFINS">'[1]1.1 Atualização de Dados'!$F$10</definedName>
    <definedName name="CST_ALQ_ICMS">[1]BD_Cálculos!$N$124</definedName>
    <definedName name="CST_ALQ_ICMS_Man">[1]BD_Cálculos!$O$124</definedName>
    <definedName name="CST_ALQ_PIS">'[1]1.1 Atualização de Dados'!$F$9</definedName>
    <definedName name="CST_AQS_CAP5070">[1]BD_Cálculos!$K$120</definedName>
    <definedName name="CST_AQS_CAP5070_Man">[1]BD_Cálculos!$K$123</definedName>
    <definedName name="CST_AQS_CM30">[1]BD_Cálculos!$K$119</definedName>
    <definedName name="CST_AQS_CM30_Man">[1]BD_Cálculos!$K$122</definedName>
    <definedName name="CST_AQS_RR1C">[1]BD_Cálculos!$K$121</definedName>
    <definedName name="CST_AQS_RR1C_Man">[1]BD_Cálculos!$K$124</definedName>
    <definedName name="CST_BDI_DIF">[1]BD!$U$98</definedName>
    <definedName name="CST_BDI_ROD">[1]BD!$U$97</definedName>
    <definedName name="CST_NAV_EMS1">[1]BD_Cálculos!$T$124</definedName>
    <definedName name="CST_NAV_EMS2">[1]BD_Cálculos!$T$125</definedName>
    <definedName name="CST_NAV_EMS3">[1]BD_Cálculos!$T$126</definedName>
    <definedName name="CST_NAV_EMSA">[1]BD_Cálculos!$T$127</definedName>
    <definedName name="CST_NAV_LBPTR">[1]BD_Cálculos!$T$119</definedName>
    <definedName name="CST_TRP_CAP5070">[1]BD_Cálculos!$K$133</definedName>
    <definedName name="CST_TRP_CAP5070_Man">[1]BD_Cálculos!$K$136</definedName>
    <definedName name="CST_TRP_CM30">[1]BD_Cálculos!$K$132</definedName>
    <definedName name="CST_TRP_CM30_Man">[1]BD_Cálculos!$K$135</definedName>
    <definedName name="CST_TRP_RR1C">[1]BD_Cálculos!$K$134</definedName>
    <definedName name="CST_TRP_RR1C_Man">[1]BD_Cálculos!$K$137</definedName>
    <definedName name="Custo">'[2]2. Simulador'!$F$218</definedName>
    <definedName name="ddd" localSheetId="31" hidden="1">{#N/A,#N/A,FALSE,"Cashflow"}</definedName>
    <definedName name="ddd" hidden="1">{#N/A,#N/A,FALSE,"Cashflow"}</definedName>
    <definedName name="DeleteRange" hidden="1">#N/A</definedName>
    <definedName name="DeleteTable" hidden="1">#N/A</definedName>
    <definedName name="Densidade_concreto">[1]BD!$AH$90</definedName>
    <definedName name="dg" localSheetId="31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31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31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e" localSheetId="31" hidden="1">{#N/A,#N/A,FALSE,"Variables";#N/A,#N/A,FALSE,"NPV Cashflows NZ$";#N/A,#N/A,FALSE,"Cashflows NZ$"}</definedName>
    <definedName name="e" hidden="1">{#N/A,#N/A,FALSE,"Variables";#N/A,#N/A,FALSE,"NPV Cashflows NZ$";#N/A,#N/A,FALSE,"Cashflows NZ$"}</definedName>
    <definedName name="eee" localSheetId="31" hidden="1">{#N/A,#N/A,FALSE,"Cashflow"}</definedName>
    <definedName name="eee" hidden="1">{#N/A,#N/A,FALSE,"Cashflow"}</definedName>
    <definedName name="EST_AR_At">'[1]2. Simulador - Investimento'!$C$59</definedName>
    <definedName name="EST_AR_Dj">'[1]2. Simulador - Investimento'!$L$59</definedName>
    <definedName name="EST_AR_Man">'[1]2. Simulador - Manutenção'!$C$40</definedName>
    <definedName name="EST_ARMAX_Sm">[1]BD_Cálculos!$AI$53</definedName>
    <definedName name="EST_ARMIN_Sm">[1]BD_Cálculos!$AH$53</definedName>
    <definedName name="EST_BGS_Sm">[1]BD!$CC$5/100</definedName>
    <definedName name="EST_BGTC_Sm">[1]BD!$CB$5/100</definedName>
    <definedName name="EST_CBUQ_Sm">[1]BD!$CA$5/100</definedName>
    <definedName name="EST_EXP_Dj">'[1]2. Simulador - Investimento'!$L$61</definedName>
    <definedName name="EST_IC_Man">'[1]2. Simulador - Manutenção'!$C$41</definedName>
    <definedName name="EST_MAN1" localSheetId="31">[1]BD_Cálculos!#REF!</definedName>
    <definedName name="EST_MAN1">[1]BD_Cálculos!#REF!</definedName>
    <definedName name="EST_MAN2" localSheetId="31">[1]BD_Cálculos!#REF!</definedName>
    <definedName name="EST_MAN2">[1]BD_Cálculos!#REF!</definedName>
    <definedName name="EST_MAN3" localSheetId="31">[1]BD_Cálculos!#REF!</definedName>
    <definedName name="EST_MAN3">[1]BD_Cálculos!#REF!</definedName>
    <definedName name="EST_MAN4" localSheetId="31">[1]BD_Cálculos!#REF!</definedName>
    <definedName name="EST_MAN4">[1]BD_Cálculos!#REF!</definedName>
    <definedName name="EST_MAN5" localSheetId="31">[1]BD_Cálculos!#REF!</definedName>
    <definedName name="EST_MAN5">[1]BD_Cálculos!#REF!</definedName>
    <definedName name="EST_TPO">#REF!</definedName>
    <definedName name="EST_TPO_At">'[1]2. Simulador - Investimento'!$C$60</definedName>
    <definedName name="EST_TPOM_Man">'[1]2. Simulador - Manutenção'!$C$42</definedName>
    <definedName name="EST_VGMAX_Sm">[1]BD_Cálculos!$AJ$44</definedName>
    <definedName name="EST_VGMIN_Sm">[1]BD_Cálculos!$AI$44</definedName>
    <definedName name="Fator_Empolamento">[1]BD!$AB$95</definedName>
    <definedName name="fl" localSheetId="31" hidden="1">{#N/A,#N/A,FALSE,"Variables";#N/A,#N/A,FALSE,"NPV Cashflows NZ$";#N/A,#N/A,FALSE,"Cashflows NZ$"}</definedName>
    <definedName name="fl" hidden="1">{#N/A,#N/A,FALSE,"Variables";#N/A,#N/A,FALSE,"NPV Cashflows NZ$";#N/A,#N/A,FALSE,"Cashflows NZ$"}</definedName>
    <definedName name="FXP_APTR_Sm">[1]BD_Cálculos!$BE$24</definedName>
    <definedName name="FXP_AT_Sm">[1]BD_Cálculos!$BL$12</definedName>
    <definedName name="FXP_PTRC_Sm">[1]BD_Cálculos!$BE$13</definedName>
    <definedName name="FXP_PTRL_Sm">[1]BD_Cálculos!$BJ$13</definedName>
    <definedName name="FXP1_AR_At">[1]BD_Cálculos!$AB$15</definedName>
    <definedName name="FXP1_AR_Sm">[1]BD_Cálculos!$AB$37</definedName>
    <definedName name="FXP1_CM_At">'[1]2. Simulador - Investimento'!$C$24</definedName>
    <definedName name="FXP1_CM_Dj">'[1]2. Simulador - Investimento'!$L$24</definedName>
    <definedName name="FXP1_CM_Sm">[1]BD_Cálculos!$AB$29</definedName>
    <definedName name="FXP1_LA_At">'[1]2. Simulador - Investimento'!$C$25</definedName>
    <definedName name="FXP1_LA_Dj">'[1]2. Simulador - Investimento'!$L$25</definedName>
    <definedName name="FXP1_LA_Sm">[1]BD_Cálculos!$AC$29</definedName>
    <definedName name="FXP2_AR_At">[1]BD_Cálculos!$AC$15</definedName>
    <definedName name="FXP2_AR_Sm">[1]BD_Cálculos!$AC$37</definedName>
    <definedName name="FXP2_CM_At">'[1]2. Simulador - Investimento'!$C$26</definedName>
    <definedName name="FXP2_CM_Dj">'[1]2. Simulador - Investimento'!$L$26</definedName>
    <definedName name="FXP2_CM_Sm">[1]BD_Cálculos!$AI$29</definedName>
    <definedName name="FXP2_LA_At">'[1]2. Simulador - Investimento'!$C$27</definedName>
    <definedName name="FXP2_LA_Dj">'[1]2. Simulador - Investimento'!$L$27</definedName>
    <definedName name="FXP2_LA_Sm">[1]BD_Cálculos!$AJ$29</definedName>
    <definedName name="FXPP1_AR_At">[1]BD_Cálculos!$AS$18</definedName>
    <definedName name="FXPP1_AR_Sm">[1]BD_Cálculos!$AT$18</definedName>
    <definedName name="FXPP1_CM_At">[1]BD_Cálculos!$AS$10</definedName>
    <definedName name="FXPP1_CM_Sm">[1]BD_Cálculos!$AW$10</definedName>
    <definedName name="FXPP1_LA_At">[1]BD_Cálculos!$AT$10</definedName>
    <definedName name="FXPP1_LA_Sm">[1]BD_Cálculos!$AX$10</definedName>
    <definedName name="FXPP2_AR_At">[1]BD_Cálculos!$AS$38</definedName>
    <definedName name="FXPP2_AR_Sm">[1]BD_Cálculos!$AT$38</definedName>
    <definedName name="FXPP2_CM_At">[1]BD_Cálculos!$AS$30</definedName>
    <definedName name="FXPP2_CM_Sm">[1]BD_Cálculos!$AW$30</definedName>
    <definedName name="FXPP2_LA_At">[1]BD_Cálculos!$AT$30</definedName>
    <definedName name="FXPP2_LA_Sm">[1]BD_Cálculos!$AX$30</definedName>
    <definedName name="Girokreditering" localSheetId="31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TML_CodePage" hidden="1">1252</definedName>
    <definedName name="HTML_Control" localSheetId="31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D_Simulação">'[1]2. Simulador - Investimento'!$C$7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39476.0172685185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azz" localSheetId="31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31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31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kjhkjh" localSheetId="31" hidden="1">{#N/A,#N/A,FALSE,"ORIX CSC"}</definedName>
    <definedName name="kjhkjh" hidden="1">{#N/A,#N/A,FALSE,"ORIX CSC"}</definedName>
    <definedName name="limcount" hidden="1">1</definedName>
    <definedName name="lkjlj" localSheetId="3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C" localSheetId="31" hidden="1">{"Purchase 100 Cash",#N/A,FALSE,"Deal 1";#N/A,#N/A,FALSE,"Deal 1b"}</definedName>
    <definedName name="MC" hidden="1">{"Purchase 100 Cash",#N/A,FALSE,"Deal 1";#N/A,#N/A,FALSE,"Deal 1b"}</definedName>
    <definedName name="MerrillPrintIt" hidden="1">#N/A</definedName>
    <definedName name="MOut" localSheetId="31" hidden="1">{"CSC_1",#N/A,FALSE,"CSC Outputs";"CSC_2",#N/A,FALSE,"CSC Outputs"}</definedName>
    <definedName name="MOut" hidden="1">{"CSC_1",#N/A,FALSE,"CSC Outputs";"CSC_2",#N/A,FALSE,"CSC Outputs"}</definedName>
    <definedName name="NAV_AF_At">'[1]2. Simulador - Investimento'!$C$65</definedName>
    <definedName name="NAV_AF_At_Rede">#REF!</definedName>
    <definedName name="NAV_AF_Dj">'[1]2. Simulador - Investimento'!$L$65</definedName>
    <definedName name="NAV_AF_Sm">[1]BD_Cálculos!$GP$22</definedName>
    <definedName name="NAV_ALSC1X_At">[1]BD_Cálculos!$HF$10</definedName>
    <definedName name="NAV_ALSC1X_Sm">[1]BD_Cálculos!$HF$22</definedName>
    <definedName name="NAV_ALSC1Y_At">[1]BD_Cálculos!$HI$10</definedName>
    <definedName name="NAV_ALSC1Y_Sm">[1]BD_Cálculos!$HI$22</definedName>
    <definedName name="NAV_ALSC2X_At">[1]BD_Cálculos!$HN$10</definedName>
    <definedName name="NAV_ALSC2X_Sm">[1]BD_Cálculos!$HN$22</definedName>
    <definedName name="NAV_ALSC2Y_At">[1]BD_Cálculos!$HQ$10</definedName>
    <definedName name="NAV_ALSC2Y_Sm">[1]BD_Cálculos!$HQ$22</definedName>
    <definedName name="NAV_BI_At">[1]BD_Cálculos!$GZ$10</definedName>
    <definedName name="NAV_BI_Sm">[1]BD_Cálculos!$GZ$22</definedName>
    <definedName name="NAV_EMS_At">'[1]2. Simulador - Investimento'!$C$67</definedName>
    <definedName name="NAV_EMS_At_Rede">#REF!</definedName>
    <definedName name="NAV_EMS_Dj">'[1]2. Simulador - Investimento'!$L$67</definedName>
    <definedName name="NAV_EMS_Sm">[1]BD_Cálculos!$GS$22</definedName>
    <definedName name="NAV_ERAA_At">[1]BD_Cálculos!$GT$10</definedName>
    <definedName name="NAV_ERAA_Sm">[1]BD_Cálculos!$GT$22</definedName>
    <definedName name="NAV_FA_At">[1]BD_Cálculos!$HA$10</definedName>
    <definedName name="NAV_FA_Sm">[1]BD_Cálculos!$HA$22</definedName>
    <definedName name="NAV_ILS_At_Rede">#REF!</definedName>
    <definedName name="NAV_ILSC1X_At">'[1]2. Simulador - Investimento'!$C$70</definedName>
    <definedName name="NAV_ILSC1X_Dj">'[1]2. Simulador - Investimento'!$L$70</definedName>
    <definedName name="NAV_ILSC1X_Sm">[1]BD_Cálculos!$GV$22</definedName>
    <definedName name="NAV_ILSC1Y_At">'[1]2. Simulador - Investimento'!$C$71</definedName>
    <definedName name="NAV_ILSC1Y_Dj">'[1]2. Simulador - Investimento'!$L$71</definedName>
    <definedName name="NAV_ILSC1Y_Sm">[1]BD_Cálculos!$GW$22</definedName>
    <definedName name="NAV_ILSC2X_At">'[1]2. Simulador - Investimento'!$C$72</definedName>
    <definedName name="NAV_ILSC2X_Dj">'[1]2. Simulador - Investimento'!$L$72</definedName>
    <definedName name="NAV_ILSC2X_Sm">[1]BD_Cálculos!$GX$22</definedName>
    <definedName name="NAV_ILSC2Y_At">'[1]2. Simulador - Investimento'!$C$73</definedName>
    <definedName name="NAV_ILSC2Y_Dj">'[1]2. Simulador - Investimento'!$L$73</definedName>
    <definedName name="NAV_ILSC2Y_Sm">[1]BD_Cálculos!$GY$22</definedName>
    <definedName name="NAV_LAD_At">'[1]2. Simulador - Investimento'!$C$75</definedName>
    <definedName name="NAV_LAD_Dj">'[1]2. Simulador - Investimento'!$L$75</definedName>
    <definedName name="NAV_LBPPD1_At">[1]BD_Cálculos!$HC$10</definedName>
    <definedName name="NAV_LBPPD1_Sm">[1]BD_Cálculos!$HC$22</definedName>
    <definedName name="NAV_LBPPD2_At">[1]BD_Cálculos!$HK$10</definedName>
    <definedName name="NAV_LBPPD2_Sm">[1]BD_Cálculos!$HK$22</definedName>
    <definedName name="NAV_LBPTR_At">[1]BD_Cálculos!$HB$10</definedName>
    <definedName name="NAV_LBPTR_Sm">[1]BD_Cálculos!$HB$22</definedName>
    <definedName name="NAV_LC1X_At">'[1]2. Simulador - Investimento'!$C$78</definedName>
    <definedName name="NAV_LC1X_Dj">'[1]2. Simulador - Investimento'!$L$78</definedName>
    <definedName name="NAV_LC1Y_At">'[1]2. Simulador - Investimento'!$C$79</definedName>
    <definedName name="NAV_LC1Y_Dj">'[1]2. Simulador - Investimento'!$L$79</definedName>
    <definedName name="NAV_LC2X_At">'[1]2. Simulador - Investimento'!$C$81</definedName>
    <definedName name="NAV_LC2X_Dj">'[1]2. Simulador - Investimento'!$L$81</definedName>
    <definedName name="NAV_LC2Y_At">'[1]2. Simulador - Investimento'!$C$82</definedName>
    <definedName name="NAV_LC2Y_Dj">'[1]2. Simulador - Investimento'!$L$82</definedName>
    <definedName name="NAV_LCFC1X_At">[1]BD_Cálculos!$HE$10</definedName>
    <definedName name="NAV_LCFC1X_Sm">[1]BD_Cálculos!$HE$22</definedName>
    <definedName name="NAV_LCFC1Y_At">[1]BD_Cálculos!$HH$10</definedName>
    <definedName name="NAV_LCFC1Y_Sm">[1]BD_Cálculos!$HH$22</definedName>
    <definedName name="NAV_LCFC2X_At">[1]BD_Cálculos!$HM$10</definedName>
    <definedName name="NAV_LCFC2X_Sm">[1]BD_Cálculos!$HM$22</definedName>
    <definedName name="NAV_LCFC2Y_At">[1]BD_Cálculos!$HP$10</definedName>
    <definedName name="NAV_LCFC2Y_Sm">[1]BD_Cálculos!$HP$22</definedName>
    <definedName name="NAV_LEPPD1_At">[1]BD_Cálculos!$HD$10</definedName>
    <definedName name="NAV_LEPPD1_Sm">[1]BD_Cálculos!$HD$22</definedName>
    <definedName name="NAV_LEPPD2_At">[1]BD_Cálculos!$HL$10</definedName>
    <definedName name="NAV_LEPPD2_Sm">[1]BD_Cálculos!$HL$22</definedName>
    <definedName name="NAV_LPPD1_At">'[1]2. Simulador - Investimento'!$C$77</definedName>
    <definedName name="NAV_LPPD1_Dj">'[1]2. Simulador - Investimento'!$L$77</definedName>
    <definedName name="NAV_LPPD2_At">'[1]2. Simulador - Investimento'!$C$80</definedName>
    <definedName name="NAV_LPPD2_Dj">'[1]2. Simulador - Investimento'!$L$80</definedName>
    <definedName name="NAV_LPTR_At">'[1]2. Simulador - Investimento'!$C$76</definedName>
    <definedName name="NAV_LPTR_Dj">'[1]2. Simulador - Investimento'!$L$76</definedName>
    <definedName name="NAV_PAPI_At_Rede" localSheetId="31">IF(IFERROR(SEARCH("L6;",'[1]3. Simulação em rede'!$AY1),0)+IFERROR(SEARCH("L7;",'[1]3. Simulação em rede'!$AY1),0)+IFERROR(SEARCH("L8;",'[1]3. Simulação em rede'!$AY1),0)+IFERROR(SEARCH("L9;",'[1]3. Simulação em rede'!$AY1),0)+IFERROR(SEARCH("L9A;",'[1]3. Simulação em rede'!$AY1),0)&gt;0,   CHAR(252),   CHAR(251))</definedName>
    <definedName name="NAV_PAPI_At_Rede">IF(IFERROR(SEARCH("L6;",#REF!),0)+IFERROR(SEARCH("L7;",#REF!),0)+IFERROR(SEARCH("L8;",#REF!),0)+IFERROR(SEARCH("L9;",#REF!),0)+IFERROR(SEARCH("L9A;",#REF!),0)&gt;0,   CHAR(252),   CHAR(251))</definedName>
    <definedName name="NAV_PAPIC1X_At">[1]BD_Cálculos!$HG$10</definedName>
    <definedName name="NAV_PAPIC1X_Sm">[1]BD_Cálculos!$HG$22</definedName>
    <definedName name="NAV_PAPIC1Y_At">[1]BD_Cálculos!$HJ$10</definedName>
    <definedName name="NAV_PAPIC1Y_Sm">[1]BD_Cálculos!$HJ$22</definedName>
    <definedName name="NAV_PAPIC2X_At">[1]BD_Cálculos!$HO$10</definedName>
    <definedName name="NAV_PAPIC2X_Sm">[1]BD_Cálculos!$HO$22</definedName>
    <definedName name="NAV_PAPIC2Y_At">[1]BD_Cálculos!$HR$10</definedName>
    <definedName name="NAV_PAPIC2Y_Sm">[1]BD_Cálculos!$HR$22</definedName>
    <definedName name="NAV_TWR_At">'[1]2. Simulador - Investimento'!$C$66</definedName>
    <definedName name="NAV_TWR_At_Rede">#REF!</definedName>
    <definedName name="NAV_TWR_Dj">'[1]2. Simulador - Investimento'!$L$66</definedName>
    <definedName name="NAV_TWR_Sm">[1]BD_Cálculos!$GQ$22</definedName>
    <definedName name="NAV_VOR_At">'[1]2. Simulador - Investimento'!$C$69</definedName>
    <definedName name="NAV_VOR_At_Rede">#REF!</definedName>
    <definedName name="NAV_VOR_Dj">'[1]2. Simulador - Investimento'!$L$69</definedName>
    <definedName name="NAV_VOR_Sm">[1]BD_Cálculos!$GU$22</definedName>
    <definedName name="NewRange" hidden="1">#N/A</definedName>
    <definedName name="Nível_de_Serviço">#REF!</definedName>
    <definedName name="Ocupação_Comercial">'[3]Método Atual'!$C$3</definedName>
    <definedName name="Ocupação_Geral">'[3]Método Atual'!$B$3</definedName>
    <definedName name="OPA_AC2_At">'[1]2. Simulador - Investimento'!$C$129</definedName>
    <definedName name="OPA_AC2_Dj">'[1]2. Simulador - Investimento'!$L$129</definedName>
    <definedName name="OPA_AC2_Sm">[1]BD_Cálculos!$AP$76</definedName>
    <definedName name="OPA_ACT_At">'[1]2. Simulador - Investimento'!$C$130</definedName>
    <definedName name="OPA_ACT_Dj">'[1]2. Simulador - Investimento'!$L$130</definedName>
    <definedName name="OPA_ACT_Sm">[1]BD_Cálculos!$AP$84</definedName>
    <definedName name="OPA_ALT_At">'[1]2. Simulador - Investimento'!$C$123</definedName>
    <definedName name="OPA_ANV_At">'[1]2. Simulador - Investimento'!$C$127</definedName>
    <definedName name="OPA_ANV_Dj">'[1]2. Simulador - Investimento'!$L$127</definedName>
    <definedName name="OPA_CAT_Dj">'[1]2. Simulador - Investimento'!$L$143</definedName>
    <definedName name="OPA_CO_At">'[1]2. Simulador - Investimento'!$C$134</definedName>
    <definedName name="OPA_CO_Dj">'[1]2. Simulador - Investimento'!$L$134</definedName>
    <definedName name="OPA_COI_At">'[1]2. Simulador - Investimento'!$C$121</definedName>
    <definedName name="OPA_CPPD_At">'[1]2. Simulador - Investimento'!$C$135</definedName>
    <definedName name="OPA_DEP_At">'[1]2. Simulador - Investimento'!$C$138</definedName>
    <definedName name="OPA_EPH_At">'[1]2. Simulador - Investimento'!$C$136</definedName>
    <definedName name="OPA_EST_Dj">'[1]2. Simulador - Investimento'!$L$147</definedName>
    <definedName name="OPA_INC_At">'[1]2. Simulador - Investimento'!$C$124</definedName>
    <definedName name="OPA_MIX_At">'[1]2. Simulador - Investimento'!$C$153</definedName>
    <definedName name="OPA_MIX_Dj">'[1]2. Simulador - Investimento'!$L$153</definedName>
    <definedName name="OPA_PAT_Dj">'[1]2. Simulador - Investimento'!$L$139</definedName>
    <definedName name="OPA_PCC_At">'[1]2. Simulador - Investimento'!$C$141</definedName>
    <definedName name="OPA_PCC_Dj">'[1]2. Simulador - Investimento'!$L$141</definedName>
    <definedName name="OPA_PI_Dj">'[1]2. Simulador - Investimento'!$L$146</definedName>
    <definedName name="OPA_PPMD_Dj">'[1]2. Simulador - Investimento'!$L$131</definedName>
    <definedName name="OPA_TEM_At">'[1]2. Simulador - Investimento'!$C$122</definedName>
    <definedName name="OPA_TPOPAT_Dj">'[1]2. Simulador - Investimento'!$L$140</definedName>
    <definedName name="OPA_VMC_At">'[1]2. Simulador - Investimento'!$C$137</definedName>
    <definedName name="OPA_VN2_At">'[1]2. Simulador - Investimento'!$C$142</definedName>
    <definedName name="OPA_VN2_Dj">'[1]2. Simulador - Investimento'!$L$142</definedName>
    <definedName name="PAT_AER_Sm">[1]BD_Cálculos!$EF$19</definedName>
    <definedName name="PAT_AEXP_Sm">[1]BD_Cálculos!$FU$13</definedName>
    <definedName name="PAT_ANV_Sm">[1]BD_Cálculos!$EE$19</definedName>
    <definedName name="PAT_AR_At">'[1]2. Simulador - Investimento'!$C$43</definedName>
    <definedName name="PAT_AR_Dj">'[1]2. Simulador - Investimento'!$L$43</definedName>
    <definedName name="PAT_AR_Man">'[1]2. Simulador - Manutenção'!$C$30</definedName>
    <definedName name="PAT_AR_Sm">[1]BD_Cálculos!$EH$19</definedName>
    <definedName name="PAT_AREF_Sm">[1]BD_Cálculos!$FT$13</definedName>
    <definedName name="PAT_ATP_Sm">[1]BD_Cálculos!$EJ$19</definedName>
    <definedName name="PAT_AVS_At">'[1]2. Simulador - Investimento'!$C$45</definedName>
    <definedName name="PAT_AVS_Dj">'[1]2. Simulador - Investimento'!$L$45</definedName>
    <definedName name="PAT_AVS_Sm">[1]BD_Cálculos!$EG$19</definedName>
    <definedName name="PAT_BGS_Sm">[1]BD_Cálculos!$FV$19</definedName>
    <definedName name="PAT_CCP_Man">[1]BD_Cálculos!$U$156</definedName>
    <definedName name="PAT_CCP_Sm">[1]BD_Cálculos!$FT$19</definedName>
    <definedName name="PAT_CCR_Sm">[1]BD_Cálculos!$FU$19</definedName>
    <definedName name="PAT_CM_Sm">[1]BD_Cálculos!$EF$13</definedName>
    <definedName name="PAT_CPS_At">'[1]2. Simulador - Investimento'!$C$44</definedName>
    <definedName name="PAT_CPS_Man">'[1]2. Simulador - Manutenção'!$C$31</definedName>
    <definedName name="PAT_CPS_Sm">[1]BD_Cálculos!$FT$22</definedName>
    <definedName name="PAT_IC_Man">'[1]2. Simulador - Manutenção'!$C$32</definedName>
    <definedName name="PAT_MAN1" localSheetId="31">[1]BD_Cálculos!#REF!</definedName>
    <definedName name="PAT_MAN1">[1]BD_Cálculos!#REF!</definedName>
    <definedName name="PAT_MAN2" localSheetId="31">[1]BD_Cálculos!#REF!</definedName>
    <definedName name="PAT_MAN2">[1]BD_Cálculos!#REF!</definedName>
    <definedName name="PAT_MAN3" localSheetId="31">[1]BD_Cálculos!#REF!</definedName>
    <definedName name="PAT_MAN3">[1]BD_Cálculos!#REF!</definedName>
    <definedName name="PAT_MAN4" localSheetId="31">[1]BD_Cálculos!#REF!</definedName>
    <definedName name="PAT_MAN4">[1]BD_Cálculos!#REF!</definedName>
    <definedName name="PAT_MAN5" localSheetId="31">[1]BD_Cálculos!#REF!</definedName>
    <definedName name="PAT_MAN5">[1]BD_Cálculos!#REF!</definedName>
    <definedName name="PAT_PF_Sm">[1]BD_Cálculos!$EG$13</definedName>
    <definedName name="PAT_TPOM_Man">'[1]2. Simulador - Manutenção'!$C$33</definedName>
    <definedName name="PAT_VSBGS_Sm">[1]BD_Cálculos!$FV$31</definedName>
    <definedName name="PAT_VSBGTC_Sm">[1]BD_Cálculos!$FU$31</definedName>
    <definedName name="PAT_VSCBUQ_Sm">[1]BD_Cálculos!$FT$31</definedName>
    <definedName name="Pax_Comecial_Doméstico_Conexão">'[3]Método Atual'!$J$3</definedName>
    <definedName name="Pax_Geral_Doméstico">'[3]Método Atual'!$J$5</definedName>
    <definedName name="Percentual_pintura_de_ligação">[1]BD!$U$102</definedName>
    <definedName name="Pista1">INDIRECT('[4]Resultados Finais'!$H$2)</definedName>
    <definedName name="Pista2">INDIRECT('[4]Resultados Finais'!$H$3)</definedName>
    <definedName name="Pista3">INDIRECT('[4]Resultados Finais'!$H$4)</definedName>
    <definedName name="PPD">"Grupo 268,Conector reto 4,Conector reto 3"</definedName>
    <definedName name="PPD_FIG_MUDAR">"Retângulo 61,PD_figura1"</definedName>
    <definedName name="PPD_Primária">"Retângulo 61,PD_figura1"</definedName>
    <definedName name="PPD_Principal">"Conector reto 14,Conector reto 13,Conector reto 12,Conector reto 11,Conector reto 10,Conector reto 6,Conector reto 9,Conector reto 8,Conector reto 3,Conector reto 7,Conector reto 4,Retângulo 5"</definedName>
    <definedName name="PPD1_AEXP_Sm">[1]BD_Cálculos!$EZ$13</definedName>
    <definedName name="PPD1_AR_Man">'[1]2. Simulador - Manutenção'!$C$14</definedName>
    <definedName name="PPD1_AREF_Sm">[1]BD_Cálculos!$EY$13</definedName>
    <definedName name="PPD1_AT_Sm">[1]BD_Cálculos!$G$35</definedName>
    <definedName name="PPD1_BGS_Man">[1]BD_Cálculos!$I$156</definedName>
    <definedName name="PPD1_BGS_Sm">[1]BD_Cálculos!$FA$19</definedName>
    <definedName name="PPD1_BGTC_Man">[1]BD_Cálculos!$H$156</definedName>
    <definedName name="PPD1_BGTC_Sm">[1]BD_Cálculos!$EZ$19</definedName>
    <definedName name="PPD1_CBUQ_Sm">[1]BD_Cálculos!$EY$19</definedName>
    <definedName name="PPD1_CM_At">'[1]2. Simulador - Investimento'!$C$15</definedName>
    <definedName name="PPD1_CM_Dj">'[1]2. Simulador - Investimento'!$L$15</definedName>
    <definedName name="PPD1_CM_Sm">[1]BD_Cálculos!$G$16</definedName>
    <definedName name="PPD1_CPS">#REF!</definedName>
    <definedName name="PPD1_CPS_At">'[1]2. Simulador - Investimento'!$C$17</definedName>
    <definedName name="PPD1_CPS_Man">'[1]2. Simulador - Manutenção'!$C$15</definedName>
    <definedName name="PPD1_CPS_Sm">[1]BD_Cálculos!$EY$22</definedName>
    <definedName name="PPD1_IC_Man">'[1]2. Simulador - Manutenção'!$C$16</definedName>
    <definedName name="PPD1_LA_At">'[1]2. Simulador - Investimento'!$C$16</definedName>
    <definedName name="PPD1_LA_Dj">'[1]2. Simulador - Investimento'!$L$16</definedName>
    <definedName name="PPD1_LA_Sm">[1]BD_Cálculos!$H$16</definedName>
    <definedName name="PPD1_MAN1" localSheetId="31">[1]BD_Cálculos!#REF!</definedName>
    <definedName name="PPD1_MAN1">[1]BD_Cálculos!#REF!</definedName>
    <definedName name="PPD1_MAN2" localSheetId="31">[1]BD_Cálculos!#REF!</definedName>
    <definedName name="PPD1_MAN2">[1]BD_Cálculos!#REF!</definedName>
    <definedName name="PPD1_MAN3" localSheetId="31">[1]BD_Cálculos!#REF!</definedName>
    <definedName name="PPD1_MAN3">[1]BD_Cálculos!#REF!</definedName>
    <definedName name="PPD1_MAN4" localSheetId="31">[1]BD_Cálculos!#REF!</definedName>
    <definedName name="PPD1_MAN4">[1]BD_Cálculos!#REF!</definedName>
    <definedName name="PPD1_MAN5" localSheetId="31">[1]BD_Cálculos!#REF!</definedName>
    <definedName name="PPD1_MAN5">[1]BD_Cálculos!#REF!</definedName>
    <definedName name="PPD1_TPOM_Man">'[1]2. Simulador - Manutenção'!$C$17</definedName>
    <definedName name="PPD2_AEXP_Sm">[1]BD_Cálculos!$FG$13</definedName>
    <definedName name="PPD2_AR_Man">'[1]2. Simulador - Manutenção'!$C$18</definedName>
    <definedName name="PPD2_AREF_Sm">[1]BD_Cálculos!$FF$13</definedName>
    <definedName name="PPD2_AT_Sm">[1]BD_Cálculos!$H$35</definedName>
    <definedName name="PPD2_BGS_Sm">[1]BD_Cálculos!$FH$19</definedName>
    <definedName name="PPD2_BGTC_Sm">[1]BD_Cálculos!$FG$19</definedName>
    <definedName name="PPD2_CBUQ_Sm">[1]BD_Cálculos!$FF$19</definedName>
    <definedName name="PPD2_CM_At">'[1]2. Simulador - Investimento'!$C$19</definedName>
    <definedName name="PPD2_CM_Dj">'[1]2. Simulador - Investimento'!$L$19</definedName>
    <definedName name="PPD2_CM_Sm">[1]BD_Cálculos!$Q$16</definedName>
    <definedName name="PPD2_CPS_At">'[1]2. Simulador - Investimento'!$C$21</definedName>
    <definedName name="PPD2_CPS_Man">'[1]2. Simulador - Manutenção'!$C$19</definedName>
    <definedName name="PPD2_CPS_Sm">[1]BD_Cálculos!$FF$22</definedName>
    <definedName name="PPD2_IC_Man">'[1]2. Simulador - Manutenção'!$C$20</definedName>
    <definedName name="PPD2_LA_At">'[1]2. Simulador - Investimento'!$C$20</definedName>
    <definedName name="PPD2_LA_Dj">'[1]2. Simulador - Investimento'!$L$20</definedName>
    <definedName name="PPD2_LA_Sm">[1]BD_Cálculos!$R$16</definedName>
    <definedName name="PPD2_MAN1" localSheetId="31">[1]BD_Cálculos!#REF!</definedName>
    <definedName name="PPD2_MAN1">[1]BD_Cálculos!#REF!</definedName>
    <definedName name="PPD2_MAN2" localSheetId="31">[1]BD_Cálculos!#REF!</definedName>
    <definedName name="PPD2_MAN2">[1]BD_Cálculos!#REF!</definedName>
    <definedName name="PPD2_MAN3" localSheetId="31">[1]BD_Cálculos!#REF!</definedName>
    <definedName name="PPD2_MAN3">[1]BD_Cálculos!#REF!</definedName>
    <definedName name="PPD2_MAN4" localSheetId="31">[1]BD_Cálculos!#REF!</definedName>
    <definedName name="PPD2_MAN4">[1]BD_Cálculos!#REF!</definedName>
    <definedName name="PPD2_MAN5" localSheetId="31">[1]BD_Cálculos!#REF!</definedName>
    <definedName name="PPD2_MAN5">[1]BD_Cálculos!#REF!</definedName>
    <definedName name="PPD2_QT_At">'[1]2. Simulador - Investimento'!$C$18</definedName>
    <definedName name="PPD2_QT_Dj">'[1]2. Simulador - Investimento'!$L$18</definedName>
    <definedName name="PPD2_QT_Sm">[1]BD_Cálculos!$I$30</definedName>
    <definedName name="PPD2_TPOM_Man">'[1]2. Simulador - Manutenção'!$C$21</definedName>
    <definedName name="ppp" localSheetId="31" hidden="1">{#N/A,#N/A,FALSE,"Capacity"}</definedName>
    <definedName name="ppp" hidden="1">{#N/A,#N/A,FALSE,"Capacity"}</definedName>
    <definedName name="Print_CSC_Report_2" localSheetId="31" hidden="1">{"CSC_1",#N/A,FALSE,"CSC Outputs";"CSC_2",#N/A,FALSE,"CSC Outputs"}</definedName>
    <definedName name="Print_CSC_Report_2" hidden="1">{"CSC_1",#N/A,FALSE,"CSC Outputs";"CSC_2",#N/A,FALSE,"CSC Outputs"}</definedName>
    <definedName name="PTR_AEXP_Sm">[1]BD_Cálculos!$FN$13</definedName>
    <definedName name="PTR_AEXPFXP_Sm">[1]BD_Cálculos!$BF$24</definedName>
    <definedName name="PTR_AR_At">'[1]2. Simulador - Investimento'!$C$38</definedName>
    <definedName name="PTR_AR_Dj">'[1]2. Simulador - Investimento'!$L$38</definedName>
    <definedName name="PTR_AR_Man">'[1]2. Simulador - Manutenção'!$C$24</definedName>
    <definedName name="PTR_AREF_Sm">[1]BD_Cálculos!$FM$13</definedName>
    <definedName name="PTR_ARMAX_Sm">[1]BD_Cálculos!$CD$19</definedName>
    <definedName name="PTR_ARMIN_Sm">[1]BD_Cálculos!$CC$19</definedName>
    <definedName name="PTR_BGS_Man">[1]BD_Cálculos!$P$156</definedName>
    <definedName name="PTR_BGS_Sm">[1]BD_Cálculos!$FO$19</definedName>
    <definedName name="PTR_BGTC_Man">[1]BD_Cálculos!$O$156</definedName>
    <definedName name="PTR_BGTC_Sm">[1]BD_Cálculos!$FN$19</definedName>
    <definedName name="PTR_CBUQ_Sm">[1]BD_Cálculos!$FM$19</definedName>
    <definedName name="PTR_CMOB_Sm">[1]BD_Cálculos!$CF$16</definedName>
    <definedName name="PTR_CPS_At">'[1]2. Simulador - Investimento'!$C$39</definedName>
    <definedName name="PTR_CPS_Man">'[1]2. Simulador - Manutenção'!$C$25</definedName>
    <definedName name="PTR_CPS_Sm">[1]BD_Cálculos!$FM$22</definedName>
    <definedName name="PTR_IC_Man">'[1]2. Simulador - Manutenção'!$C$26</definedName>
    <definedName name="PTR_LA_Sm">[1]BD_Cálculos!$CI$16</definedName>
    <definedName name="PTR_MAN1" localSheetId="31">[1]BD_Cálculos!#REF!</definedName>
    <definedName name="PTR_MAN1">[1]BD_Cálculos!#REF!</definedName>
    <definedName name="PTR_MAN2" localSheetId="31">[1]BD_Cálculos!#REF!</definedName>
    <definedName name="PTR_MAN2">[1]BD_Cálculos!#REF!</definedName>
    <definedName name="PTR_MAN3" localSheetId="31">[1]BD_Cálculos!#REF!</definedName>
    <definedName name="PTR_MAN3">[1]BD_Cálculos!#REF!</definedName>
    <definedName name="PTR_MAN4" localSheetId="31">[1]BD_Cálculos!#REF!</definedName>
    <definedName name="PTR_MAN4">[1]BD_Cálculos!#REF!</definedName>
    <definedName name="PTR_MAN5" localSheetId="31">[1]BD_Cálculos!#REF!</definedName>
    <definedName name="PTR_MAN5">[1]BD_Cálculos!#REF!</definedName>
    <definedName name="PTR_TP_At">'[1]2. Simulador - Investimento'!$C$37</definedName>
    <definedName name="PTR_TP_Dj">'[1]2. Simulador - Investimento'!$L$37</definedName>
    <definedName name="PTR_TP_Sm">[1]BD_Cálculos!$CH$13</definedName>
    <definedName name="PTR_TPOM_Man">'[1]2. Simulador - Manutenção'!$C$27</definedName>
    <definedName name="PTRO_CM_Sm">[1]BD_Cálculos!$CC$16</definedName>
    <definedName name="PTRP_CPL_Sm">[1]BD_Cálculos!$CH$16</definedName>
    <definedName name="qqq" localSheetId="31" hidden="1">{#N/A,#N/A,FALSE,"Capacity"}</definedName>
    <definedName name="qqq" hidden="1">{#N/A,#N/A,FALSE,"Capacity"}</definedName>
    <definedName name="Receita">'[2]2. Simulador'!$E$278</definedName>
    <definedName name="RedefinePrintTableRange" hidden="1">#N/A</definedName>
    <definedName name="RESA1_AT_At">[1]BD_Cálculos!$BP$29</definedName>
    <definedName name="RESA1_AT_Sm">[1]BD_Cálculos!$BQ$29</definedName>
    <definedName name="RESA1_CM_At">'[1]2. Simulador - Investimento'!$C$30</definedName>
    <definedName name="RESA1_CM_Dj">'[1]2. Simulador - Investimento'!$L$30</definedName>
    <definedName name="RESA1_CM_Sm">[1]BD_Cálculos!$BP$24</definedName>
    <definedName name="RESA1_LA_At">'[1]2. Simulador - Investimento'!$C$31</definedName>
    <definedName name="RESA1_LA_Dj">'[1]2. Simulador - Investimento'!$L$31</definedName>
    <definedName name="RESA1_LA_Sm">[1]BD_Cálculos!$BQ$24</definedName>
    <definedName name="RESA2_AT_At">[1]BD_Cálculos!$BS$29</definedName>
    <definedName name="RESA2_AT_Sm">[1]BD_Cálculos!$BT$29</definedName>
    <definedName name="RESA2_CM_At">'[1]2. Simulador - Investimento'!$C$32</definedName>
    <definedName name="RESA2_CM_Dj">'[1]2. Simulador - Investimento'!$L$32</definedName>
    <definedName name="RESA2_CM_Sm">[1]BD_Cálculos!$BW$24</definedName>
    <definedName name="RESA2_LA_At">'[1]2. Simulador - Investimento'!$C$33</definedName>
    <definedName name="RESA2_LA_Dj">'[1]2. Simulador - Investimento'!$L$33</definedName>
    <definedName name="RESA2_LA_Sm">[1]BD_Cálculos!$BX$24</definedName>
    <definedName name="rrr" localSheetId="31" hidden="1">{#N/A,#N/A,FALSE,"Revenue (Annual)";"Revenue _ First 5 years Quarterly",#N/A,FALSE,"Revenue (Qtr)"}</definedName>
    <definedName name="rrr" hidden="1">{#N/A,#N/A,FALSE,"Revenue (Annual)";"Revenue _ First 5 years Quarterly",#N/A,FALSE,"Revenue (Qtr)"}</definedName>
    <definedName name="sdf" localSheetId="31" hidden="1">{#N/A,#N/A,FALSE,"Contribution Analysis"}</definedName>
    <definedName name="sdf" hidden="1">{#N/A,#N/A,FALSE,"Contribution Analysis"}</definedName>
    <definedName name="sencount" hidden="1">1</definedName>
    <definedName name="SESC_AR_At">'[1]2. Simulador - Investimento'!$C$49</definedName>
    <definedName name="SESC_AR_Dj">'[1]2. Simulador - Investimento'!$L$49</definedName>
    <definedName name="SESC_AR_Man">'[1]2. Simulador - Manutenção'!$C$45</definedName>
    <definedName name="SESC_AR_Sm">[1]BD_Cálculos!$GH$18</definedName>
    <definedName name="SESC_CAT_Sm">[1]BD_Cálculos!$GH$13</definedName>
    <definedName name="SESC_CCI_At">'[1]2. Simulador - Investimento'!$C$50</definedName>
    <definedName name="SESC_CCI_Dj">'[1]2. Simulador - Investimento'!$L$50</definedName>
    <definedName name="SESC_CCI_Sm">[1]BD_Cálculos!$GI$18</definedName>
    <definedName name="SESC_IC_Man">'[1]2. Simulador - Manutenção'!$C$46</definedName>
    <definedName name="SESC_MAN1" localSheetId="31">[1]BD_Cálculos!#REF!</definedName>
    <definedName name="SESC_MAN1">[1]BD_Cálculos!#REF!</definedName>
    <definedName name="SESC_MAN2" localSheetId="31">[1]BD_Cálculos!#REF!</definedName>
    <definedName name="SESC_MAN2">[1]BD_Cálculos!#REF!</definedName>
    <definedName name="SESC_MAN3" localSheetId="31">[1]BD_Cálculos!#REF!</definedName>
    <definedName name="SESC_MAN3">[1]BD_Cálculos!#REF!</definedName>
    <definedName name="SESC_MAN4" localSheetId="31">[1]BD_Cálculos!#REF!</definedName>
    <definedName name="SESC_MAN4">[1]BD_Cálculos!#REF!</definedName>
    <definedName name="SESC_MAN5" localSheetId="31">[1]BD_Cálculos!#REF!</definedName>
    <definedName name="SESC_MAN5">[1]BD_Cálculos!#REF!</definedName>
    <definedName name="SESC_TPOM_Man">'[1]2. Simulador - Manutenção'!$C$47</definedName>
    <definedName name="sfdg" localSheetId="31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k" localSheetId="31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sss2" localSheetId="31" hidden="1">{#N/A,#N/A,FALSE,"Revenue (Annual)";"Revenue _ First 5 years Quarterly",#N/A,FALSE,"Revenue (Qtr)"}</definedName>
    <definedName name="ssss2" hidden="1">{#N/A,#N/A,FALSE,"Revenue (Annual)";"Revenue _ First 5 years Quarterly",#N/A,FALSE,"Revenue (Qtr)"}</definedName>
    <definedName name="TAB_AD_ICMS">'[1]1.1 Atualização de Dados'!$B$5:$C$31</definedName>
    <definedName name="TAB_BD_DAC">[1]BD!$AD$5:$AT$32</definedName>
    <definedName name="TAB_BD_PCI">[1]BD!$M$148:$S$154</definedName>
    <definedName name="TAB_BD_PPD">[1]BD!$M$6:$S$33</definedName>
    <definedName name="TAB_BD_PSESCINC">[1]BD!$Q$108:$R$112</definedName>
    <definedName name="TAB_BD_PTPS">[1]BD!$M$108:$N$112</definedName>
    <definedName name="TAB_BD_UF">[1]BD!$AM$91:$AO$117</definedName>
    <definedName name="TAB_CC_CAPESO">[1]BD!$IP$5:$IP$49</definedName>
    <definedName name="TAB_CC_IL">'[1]Classificação Cenários'!$Z$5:$AH$7</definedName>
    <definedName name="TAB_CC_NAV">'[1]Classificação Cenários'!$Q$6:$X$11</definedName>
    <definedName name="Tabela_Mix">'[2]2. Simulador'!#REF!</definedName>
    <definedName name="Tax" localSheetId="31" hidden="1">{#N/A,#N/A,FALSE,"Variables";#N/A,#N/A,FALSE,"NPV Cashflows NZ$";#N/A,#N/A,FALSE,"Cashflows NZ$"}</definedName>
    <definedName name="Tax" hidden="1">{#N/A,#N/A,FALSE,"Variables";#N/A,#N/A,FALSE,"NPV Cashflows NZ$";#N/A,#N/A,FALSE,"Cashflows NZ$"}</definedName>
    <definedName name="TECA_AAR_At">'[1]2. Simulador - Investimento'!$C$87</definedName>
    <definedName name="TECA_AAR_Dj">'[1]2. Simulador - Investimento'!$L$87</definedName>
    <definedName name="TECA_AARMAX_Sm">[1]BD_Cálculos!$AM$53</definedName>
    <definedName name="TECA_AARMIN_Sm">[1]BD_Cálculos!$AL$53</definedName>
    <definedName name="TECA_AER_At">'[1]2. Simulador - Investimento'!$C$89</definedName>
    <definedName name="TECA_AER_Dj">'[1]2. Simulador - Investimento'!$L$89</definedName>
    <definedName name="TECA_AERMAX_Sm">[1]BD_Cálculos!$AQ$53</definedName>
    <definedName name="TECA_AERMIN_Sm">[1]BD_Cálculos!$AP$53</definedName>
    <definedName name="TECA_APT_At">'[1]2. Simulador - Investimento'!$C$88</definedName>
    <definedName name="TECA_APT_Dj">'[1]2. Simulador - Investimento'!$L$88</definedName>
    <definedName name="TECA_APTEXP_Sm">[1]BD_Cálculos!$GB$13</definedName>
    <definedName name="TECA_APTMAX_Sm">[1]BD_Cálculos!$AO$53</definedName>
    <definedName name="TECA_APTMIN_Sm">[1]BD_Cálculos!$AN$53</definedName>
    <definedName name="TECA_APTREF_Sm">[1]BD_Cálculos!$GA$13</definedName>
    <definedName name="TECA_BGS_Sm">[1]BD_Cálculos!$GC$19</definedName>
    <definedName name="TECA_CCR_Sm">[1]BD_Cálculos!$GB$19</definedName>
    <definedName name="TECA_COND_At">'[1]2. Simulador - Investimento'!$C$86</definedName>
    <definedName name="TECA_COND_Dj">'[1]2. Simulador - Investimento'!$L$86</definedName>
    <definedName name="TECA_CPS_At">'[1]2. Simulador - Investimento'!$C$91</definedName>
    <definedName name="TECA_CPS_Sm">[1]BD_Cálculos!$GA$22</definedName>
    <definedName name="TECA_MEC_At">'[1]2. Simulador - Investimento'!$C$90</definedName>
    <definedName name="TPS_AR_At">'[1]2. Simulador - Investimento'!$C$54</definedName>
    <definedName name="TPS_AR_Dj">'[1]2. Simulador - Investimento'!$L$54</definedName>
    <definedName name="TPS_AR_Man">'[1]2. Simulador - Manutenção'!$C$36</definedName>
    <definedName name="TPS_ARMAX_Sm">[1]BD_Cálculos!$I$59</definedName>
    <definedName name="TPS_ARMIN_Sm">[1]BD_Cálculos!$H$59</definedName>
    <definedName name="TPS_EXP_Dj">'[1]2. Simulador - Investimento'!$L$55</definedName>
    <definedName name="TPS_MAN1" localSheetId="31">[1]BD_Cálculos!#REF!</definedName>
    <definedName name="TPS_MAN1">[1]BD_Cálculos!#REF!</definedName>
    <definedName name="TPS_REF_Man">'[1]2. Simulador - Manutenção'!$C$37</definedName>
    <definedName name="VOL_ATERRO_FXPP1">[1]BD_Cálculos!$AF$120</definedName>
    <definedName name="VOL_ATERRO_FXPP2">[1]BD_Cálculos!$AF$125</definedName>
    <definedName name="VOL_ATERRO_PAT">[1]BD_Cálculos!$AF$129</definedName>
    <definedName name="VOL_ATERRO_PPD1">[1]BD_Cálculos!$AF$119</definedName>
    <definedName name="VOL_ATERRO_PPD2">[1]BD_Cálculos!$AF$124</definedName>
    <definedName name="VOL_ATERRO_RESA1">[1]BD_Cálculos!$AF$123</definedName>
    <definedName name="VOL_ATERRO_RESA2">[1]BD_Cálculos!$AF$127</definedName>
    <definedName name="VOL_ATERRO_SESC">[1]BD_Cálculos!$AF$131</definedName>
    <definedName name="VOL_ATERRO_TECAPat">[1]BD_Cálculos!$AF$130</definedName>
    <definedName name="VOL_CORTE_FXPP1">[1]BD_Cálculos!$AE$120</definedName>
    <definedName name="VOL_CORTE_FXPP2">[1]BD_Cálculos!$AE$125</definedName>
    <definedName name="VOL_CORTE_PAT">[1]BD_Cálculos!$AE$129</definedName>
    <definedName name="VOL_CORTE_PPD1">[1]BD_Cálculos!$AE$119</definedName>
    <definedName name="VOL_CORTE_PPD2">[1]BD_Cálculos!$AE$124</definedName>
    <definedName name="VOL_CORTE_PTR">[1]BD_Cálculos!$AE$128</definedName>
    <definedName name="VOL_CORTE_RESA1">[1]BD_Cálculos!$AE$123</definedName>
    <definedName name="VOL_CORTE_RESA2">[1]BD_Cálculos!$AE$127</definedName>
    <definedName name="VOL_CORTE_SESC">[1]BD_Cálculos!$AE$131</definedName>
    <definedName name="VOL_CORTE_TECAPat">[1]BD_Cálculos!$AE$130</definedName>
    <definedName name="woodflow" localSheetId="31" hidden="1">{#N/A,#N/A,FALSE,"Variables";#N/A,#N/A,FALSE,"NPV Cashflows NZ$";#N/A,#N/A,FALSE,"Cashflows NZ$"}</definedName>
    <definedName name="woodflow" hidden="1">{#N/A,#N/A,FALSE,"Variables";#N/A,#N/A,FALSE,"NPV Cashflows NZ$";#N/A,#N/A,FALSE,"Cashflows NZ$"}</definedName>
    <definedName name="wrn.ALL." localSheetId="31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_.Pages." localSheetId="3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localSheetId="3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Cactus._.01." localSheetId="31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city." localSheetId="31" hidden="1">{#N/A,#N/A,FALSE,"Capacity"}</definedName>
    <definedName name="wrn.Capacity." hidden="1">{#N/A,#N/A,FALSE,"Capacity"}</definedName>
    <definedName name="wrn.CAPEX." localSheetId="31" hidden="1">{"capex_annual",#N/A,TRUE,"CAPEX";"capex_monthly",#N/A,TRUE,"CAPEX"}</definedName>
    <definedName name="wrn.CAPEX." hidden="1">{"capex_annual",#N/A,TRUE,"CAPEX";"capex_monthly",#N/A,TRUE,"CAPEX"}</definedName>
    <definedName name="wrn.Cashflow._.Summary." localSheetId="31" hidden="1">{#N/A,#N/A,FALSE,"Cashflow"}</definedName>
    <definedName name="wrn.Cashflow._.Summary." hidden="1">{#N/A,#N/A,FALSE,"Cashflow"}</definedName>
    <definedName name="wrn.Cider." localSheetId="31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31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SC2" localSheetId="31" hidden="1">{"page1",#N/A,TRUE,"CSC";"page2",#N/A,TRUE,"CSC"}</definedName>
    <definedName name="wrn.CSC2" hidden="1">{"page1",#N/A,TRUE,"CSC";"page2",#N/A,TRUE,"CSC"}</definedName>
    <definedName name="wrn.CUPID." localSheetId="31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1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tabase." localSheetId="31" hidden="1">{"subs",#N/A,FALSE,"database ";"proportional",#N/A,FALSE,"database "}</definedName>
    <definedName name="wrn.database." hidden="1">{"subs",#N/A,FALSE,"database ";"proportional",#N/A,FALSE,"database "}</definedName>
    <definedName name="wrn.Eagle." localSheetId="31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_.Base." localSheetId="31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31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xports." localSheetId="31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31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E._.Sensitivity." localSheetId="31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inancial._.Summary._.NZ._.DOLLARS." localSheetId="31" hidden="1">{#N/A,#N/A,FALSE,"Variables";#N/A,#N/A,FALSE,"NPV Cashflows NZ$";#N/A,#N/A,FALSE,"Cashflows NZ$"}</definedName>
    <definedName name="wrn.Financial._.Summary._.NZ._.DOLLARS." hidden="1">{#N/A,#N/A,FALSE,"Variables";#N/A,#N/A,FALSE,"NPV Cashflows NZ$";#N/A,#N/A,FALSE,"Cashflows NZ$"}</definedName>
    <definedName name="wrn.Financial._.Summary._.US._.Dollars." localSheetId="31" hidden="1">{#N/A,#N/A,FALSE,"Variables";#N/A,#N/A,FALSE,"Cashflows";#N/A,#N/A,FALSE,"NPV Cashflow"}</definedName>
    <definedName name="wrn.Financial._.Summary._.US._.Dollars." hidden="1">{#N/A,#N/A,FALSE,"Variables";#N/A,#N/A,FALSE,"Cashflows";#N/A,#N/A,FALSE,"NPV Cashflow"}</definedName>
    <definedName name="wrn.Financials._.DCF." localSheetId="3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ull." localSheetId="31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_.Out._.Put." localSheetId="31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international." localSheetId="3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31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31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31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3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3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3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gilla." localSheetId="3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erger." localSheetId="31" hidden="1">{"inputs",#N/A,FALSE,"Inputs";"stock",#N/A,FALSE,"Stock_pur";"pool",#N/A,FALSE,"Pooling";"debt",#N/A,FALSE,"Debt_pur";"blend",#N/A,FALSE,"50_50"}</definedName>
    <definedName name="wrn.merger." hidden="1">{"inputs",#N/A,FALSE,"Inputs";"stock",#N/A,FALSE,"Stock_pur";"pool",#N/A,FALSE,"Pooling";"debt",#N/A,FALSE,"Debt_pur";"blend",#N/A,FALSE,"50_50"}</definedName>
    <definedName name="wrn.MERGER._.PLANS." localSheetId="3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31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31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31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31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31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Post._.Tax." localSheetId="31" hidden="1">{#N/A,#N/A,FALSE,"timeval";#N/A,#N/A,FALSE,"Sens";#N/A,#N/A,FALSE,"Amortisation";#N/A,#N/A,FALSE,"Profit &amp; Loss";#N/A,#N/A,FALSE,"Fin Cashflow"}</definedName>
    <definedName name="wrn.Post._.Tax." hidden="1">{#N/A,#N/A,FALSE,"timeval";#N/A,#N/A,FALSE,"Sens";#N/A,#N/A,FALSE,"Amortisation";#N/A,#N/A,FALSE,"Profit &amp; Loss";#N/A,#N/A,FALSE,"Fin Cashflow"}</definedName>
    <definedName name="wrn.PrimeCo." localSheetId="31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31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31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31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standalone." localSheetId="31" hidden="1">{"standalone1",#N/A,FALSE,"DCFBase";"standalone2",#N/A,FALSE,"DCFBase"}</definedName>
    <definedName name="wrn.print._.standalone." hidden="1">{"standalone1",#N/A,FALSE,"DCFBase";"standalone2",#N/A,FALSE,"DCFBase"}</definedName>
    <definedName name="wrn.Print_all_sections." localSheetId="31" hidden="1">{#N/A,#N/A,TRUE,"Title";#N/A,#N/A,TRUE,"CC-Summary";#N/A,#N/A,TRUE,"CapitalCost";#N/A,#N/A,TRUE,"Revenue and cost analysis";#N/A,#N/A,TRUE,"DCF";#N/A,#N/A,TRUE,"DCF-APV";#N/A,#N/A,TRUE,"DCF-WACC"}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CSC." localSheetId="31" hidden="1">{"CSC_1",#N/A,FALSE,"CSC Outputs";"CSC_2",#N/A,FALSE,"CSC Outputs"}</definedName>
    <definedName name="wrn.Print_CSC." hidden="1">{"CSC_1",#N/A,FALSE,"CSC Outputs";"CSC_2",#N/A,FALSE,"CSC Outputs"}</definedName>
    <definedName name="wrn.printall." localSheetId="31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venue." localSheetId="31" hidden="1">{#N/A,#N/A,FALSE,"Revenue (Annual)";"Revenue _ First 5 years Quarterly",#N/A,FALSE,"Revenue (Qtr)"}</definedName>
    <definedName name="wrn.Revenue." hidden="1">{#N/A,#N/A,FALSE,"Revenue (Annual)";"Revenue _ First 5 years Quarterly",#N/A,FALSE,"Revenue (Qtr)"}</definedName>
    <definedName name="wrn.SKSCS1." localSheetId="3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31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ard." localSheetId="31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." localSheetId="31" hidden="1">{#N/A,#N/A,FALSE,"Summary";#N/A,#N/A,FALSE,"CF";#N/A,#N/A,FALSE,"P&amp;L";"summary",#N/A,FALSE,"Returns";#N/A,#N/A,FALSE,"BS";"summary",#N/A,FALSE,"Analysis";#N/A,#N/A,FALSE,"Assumptions"}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Pgs." localSheetId="31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ykes." localSheetId="31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weety." localSheetId="31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derrama." localSheetId="31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Package._.1." localSheetId="3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31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3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3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31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2.dcf" localSheetId="31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31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ww" localSheetId="31" hidden="1">{"capex_annual",#N/A,TRUE,"CAPEX";"capex_monthly",#N/A,TRUE,"CAPEX"}</definedName>
    <definedName name="www" hidden="1">{"capex_annual",#N/A,TRUE,"CAPEX";"capex_monthly",#N/A,TRUE,"CAPEX"}</definedName>
    <definedName name="xw" localSheetId="31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3" i="46" l="1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J6" i="30"/>
  <c r="AL6" i="30"/>
  <c r="AK6" i="30"/>
  <c r="AL34" i="46" s="1"/>
  <c r="AJ6" i="30"/>
  <c r="AI6" i="30"/>
  <c r="AH6" i="30"/>
  <c r="AG6" i="30"/>
  <c r="AH34" i="46" s="1"/>
  <c r="AF6" i="30"/>
  <c r="AE6" i="30"/>
  <c r="AD6" i="30"/>
  <c r="AE34" i="46" s="1"/>
  <c r="AC6" i="30"/>
  <c r="AB6" i="30"/>
  <c r="AA6" i="30"/>
  <c r="Z6" i="30"/>
  <c r="AA34" i="46" s="1"/>
  <c r="Y6" i="30"/>
  <c r="Z34" i="46" s="1"/>
  <c r="X6" i="30"/>
  <c r="W6" i="30"/>
  <c r="V6" i="30"/>
  <c r="U6" i="30"/>
  <c r="T6" i="30"/>
  <c r="U34" i="46" s="1"/>
  <c r="S6" i="30"/>
  <c r="T34" i="46" s="1"/>
  <c r="R6" i="30"/>
  <c r="Q6" i="30"/>
  <c r="R34" i="46" s="1"/>
  <c r="P6" i="30"/>
  <c r="Q34" i="46" s="1"/>
  <c r="O6" i="30"/>
  <c r="N6" i="30"/>
  <c r="M6" i="30"/>
  <c r="L6" i="30"/>
  <c r="K6" i="30"/>
  <c r="I6" i="30"/>
  <c r="O34" i="46"/>
  <c r="P34" i="46"/>
  <c r="W34" i="46"/>
  <c r="X34" i="46"/>
  <c r="Y34" i="46"/>
  <c r="AF34" i="46"/>
  <c r="AG34" i="46"/>
  <c r="AM34" i="46"/>
  <c r="AK34" i="46"/>
  <c r="AD34" i="46"/>
  <c r="AC34" i="46"/>
  <c r="V34" i="46"/>
  <c r="N34" i="46"/>
  <c r="M34" i="46"/>
  <c r="K9" i="46"/>
  <c r="K17" i="46"/>
  <c r="K25" i="46"/>
  <c r="K33" i="46"/>
  <c r="K41" i="46"/>
  <c r="K49" i="46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AI47" i="15"/>
  <c r="AJ47" i="15"/>
  <c r="AK47" i="15"/>
  <c r="AL47" i="15"/>
  <c r="J8" i="46"/>
  <c r="J9" i="46"/>
  <c r="J10" i="46"/>
  <c r="J16" i="46"/>
  <c r="J17" i="46"/>
  <c r="J18" i="46"/>
  <c r="J21" i="46"/>
  <c r="J22" i="46"/>
  <c r="J24" i="46"/>
  <c r="J25" i="46"/>
  <c r="J26" i="46"/>
  <c r="J29" i="46"/>
  <c r="J30" i="46"/>
  <c r="J32" i="46"/>
  <c r="J33" i="46"/>
  <c r="J34" i="46"/>
  <c r="J35" i="46"/>
  <c r="J37" i="46"/>
  <c r="J38" i="46"/>
  <c r="J40" i="46"/>
  <c r="J41" i="46"/>
  <c r="J42" i="46"/>
  <c r="J43" i="46"/>
  <c r="J45" i="46"/>
  <c r="J46" i="46"/>
  <c r="J48" i="46"/>
  <c r="J49" i="46"/>
  <c r="J50" i="46"/>
  <c r="J51" i="46"/>
  <c r="J3" i="46"/>
  <c r="I53" i="15"/>
  <c r="J57" i="46"/>
  <c r="J11" i="46" s="1"/>
  <c r="K57" i="46"/>
  <c r="K10" i="46" s="1"/>
  <c r="L57" i="46"/>
  <c r="L8" i="46" s="1"/>
  <c r="M57" i="46"/>
  <c r="M45" i="46" s="1"/>
  <c r="N57" i="46"/>
  <c r="N39" i="46" s="1"/>
  <c r="O57" i="46"/>
  <c r="O21" i="46" s="1"/>
  <c r="P57" i="46"/>
  <c r="P14" i="46" s="1"/>
  <c r="Q57" i="46"/>
  <c r="R57" i="46"/>
  <c r="R14" i="46" s="1"/>
  <c r="S57" i="46"/>
  <c r="T57" i="46"/>
  <c r="T52" i="46" s="1"/>
  <c r="U57" i="46"/>
  <c r="U48" i="46" s="1"/>
  <c r="V57" i="46"/>
  <c r="W57" i="46"/>
  <c r="W19" i="46" s="1"/>
  <c r="X57" i="46"/>
  <c r="X45" i="46" s="1"/>
  <c r="Y57" i="46"/>
  <c r="Z57" i="46"/>
  <c r="Z14" i="46" s="1"/>
  <c r="AA57" i="46"/>
  <c r="AA13" i="46" s="1"/>
  <c r="AB57" i="46"/>
  <c r="AB17" i="46" s="1"/>
  <c r="AC57" i="46"/>
  <c r="AC30" i="46" s="1"/>
  <c r="AD57" i="46"/>
  <c r="AE57" i="46"/>
  <c r="AE26" i="46" s="1"/>
  <c r="AF57" i="46"/>
  <c r="AF26" i="46" s="1"/>
  <c r="AG57" i="46"/>
  <c r="AG9" i="46" s="1"/>
  <c r="AH57" i="46"/>
  <c r="AI57" i="46"/>
  <c r="AI16" i="46" s="1"/>
  <c r="AJ57" i="46"/>
  <c r="AJ31" i="46" s="1"/>
  <c r="AK57" i="46"/>
  <c r="AK16" i="46" s="1"/>
  <c r="AL57" i="46"/>
  <c r="AM57" i="46"/>
  <c r="AM41" i="46" s="1"/>
  <c r="AH14" i="46"/>
  <c r="T51" i="46"/>
  <c r="S3" i="46"/>
  <c r="Q42" i="46"/>
  <c r="W14" i="46"/>
  <c r="Y19" i="46"/>
  <c r="AE44" i="46"/>
  <c r="AA12" i="46"/>
  <c r="AL13" i="46"/>
  <c r="AD13" i="46"/>
  <c r="V13" i="46"/>
  <c r="U45" i="46"/>
  <c r="N13" i="46"/>
  <c r="W52" i="46"/>
  <c r="O52" i="46"/>
  <c r="AE13" i="46"/>
  <c r="AJ34" i="46"/>
  <c r="AI34" i="46"/>
  <c r="AB34" i="46"/>
  <c r="S34" i="46"/>
  <c r="W42" i="46"/>
  <c r="AM44" i="46"/>
  <c r="AD44" i="46"/>
  <c r="V44" i="46"/>
  <c r="O41" i="46"/>
  <c r="AE8" i="46"/>
  <c r="W8" i="46"/>
  <c r="AM51" i="46"/>
  <c r="AL7" i="46"/>
  <c r="AD7" i="46"/>
  <c r="V7" i="46"/>
  <c r="AE25" i="46"/>
  <c r="O25" i="46"/>
  <c r="AR40" i="46"/>
  <c r="O40" i="46"/>
  <c r="AR22" i="46"/>
  <c r="AL22" i="46"/>
  <c r="AD22" i="46"/>
  <c r="V22" i="46"/>
  <c r="O22" i="46"/>
  <c r="N22" i="46"/>
  <c r="AR49" i="46"/>
  <c r="AR18" i="46"/>
  <c r="AM18" i="46"/>
  <c r="V18" i="46"/>
  <c r="AR17" i="46"/>
  <c r="AE17" i="46"/>
  <c r="N17" i="46"/>
  <c r="AR6" i="46"/>
  <c r="AM6" i="46"/>
  <c r="AR39" i="46"/>
  <c r="AM39" i="46"/>
  <c r="AK39" i="46"/>
  <c r="AD39" i="46"/>
  <c r="AR48" i="46"/>
  <c r="AD48" i="46"/>
  <c r="V48" i="46"/>
  <c r="AR47" i="46"/>
  <c r="AL47" i="46"/>
  <c r="AE47" i="46"/>
  <c r="AD47" i="46"/>
  <c r="AC47" i="46"/>
  <c r="A43" i="46"/>
  <c r="AR43" i="46"/>
  <c r="AM43" i="46"/>
  <c r="AL43" i="46"/>
  <c r="AI43" i="46"/>
  <c r="V43" i="46"/>
  <c r="O43" i="46"/>
  <c r="N43" i="46"/>
  <c r="A50" i="46"/>
  <c r="AR50" i="46"/>
  <c r="AD50" i="46"/>
  <c r="W50" i="46"/>
  <c r="O50" i="46"/>
  <c r="N50" i="46"/>
  <c r="AR5" i="46"/>
  <c r="O5" i="46"/>
  <c r="AR4" i="46"/>
  <c r="N4" i="46"/>
  <c r="AR16" i="46"/>
  <c r="AD16" i="46"/>
  <c r="O16" i="46"/>
  <c r="A46" i="46"/>
  <c r="AR46" i="46"/>
  <c r="V46" i="46"/>
  <c r="O46" i="46"/>
  <c r="N46" i="46"/>
  <c r="AR33" i="46"/>
  <c r="AL33" i="46"/>
  <c r="AD33" i="46"/>
  <c r="W33" i="46"/>
  <c r="O33" i="46"/>
  <c r="N33" i="46"/>
  <c r="AR21" i="46"/>
  <c r="AL21" i="46"/>
  <c r="AD21" i="46"/>
  <c r="W21" i="46"/>
  <c r="V21" i="46"/>
  <c r="T21" i="46"/>
  <c r="AR38" i="46"/>
  <c r="AD38" i="46"/>
  <c r="V38" i="46"/>
  <c r="AR37" i="46"/>
  <c r="AE37" i="46"/>
  <c r="AD37" i="46"/>
  <c r="AA37" i="46"/>
  <c r="W37" i="46"/>
  <c r="V37" i="46"/>
  <c r="N37" i="46"/>
  <c r="AR30" i="46"/>
  <c r="AL30" i="46"/>
  <c r="AK30" i="46"/>
  <c r="AD30" i="46"/>
  <c r="W30" i="46"/>
  <c r="AR29" i="46"/>
  <c r="AL29" i="46"/>
  <c r="AK29" i="46"/>
  <c r="AE29" i="46"/>
  <c r="W29" i="46"/>
  <c r="V29" i="46"/>
  <c r="O29" i="46"/>
  <c r="AR28" i="46"/>
  <c r="AD28" i="46"/>
  <c r="W28" i="46"/>
  <c r="V28" i="46"/>
  <c r="N28" i="46"/>
  <c r="M28" i="46"/>
  <c r="AR32" i="46"/>
  <c r="AL32" i="46"/>
  <c r="AE32" i="46"/>
  <c r="V32" i="46"/>
  <c r="U32" i="46"/>
  <c r="AR36" i="46"/>
  <c r="AM36" i="46"/>
  <c r="AL36" i="46"/>
  <c r="AE36" i="46"/>
  <c r="AD36" i="46"/>
  <c r="V36" i="46"/>
  <c r="O36" i="46"/>
  <c r="N36" i="46"/>
  <c r="AR12" i="46"/>
  <c r="AM12" i="46"/>
  <c r="AL12" i="46"/>
  <c r="AD12" i="46"/>
  <c r="W12" i="46"/>
  <c r="T12" i="46"/>
  <c r="M12" i="46"/>
  <c r="A27" i="46"/>
  <c r="AR27" i="46"/>
  <c r="AL27" i="46"/>
  <c r="AE27" i="46"/>
  <c r="AD27" i="46"/>
  <c r="W27" i="46"/>
  <c r="N27" i="46"/>
  <c r="A3" i="46"/>
  <c r="AR3" i="46"/>
  <c r="AM3" i="46"/>
  <c r="AD3" i="46"/>
  <c r="V3" i="46"/>
  <c r="U3" i="46"/>
  <c r="AR24" i="46"/>
  <c r="W24" i="46"/>
  <c r="V24" i="46"/>
  <c r="U24" i="46"/>
  <c r="T24" i="46"/>
  <c r="N24" i="46"/>
  <c r="AR11" i="46"/>
  <c r="AM11" i="46"/>
  <c r="AL11" i="46"/>
  <c r="AE11" i="46"/>
  <c r="AD11" i="46"/>
  <c r="AB11" i="46"/>
  <c r="V11" i="46"/>
  <c r="O11" i="46"/>
  <c r="A20" i="46"/>
  <c r="AR20" i="46"/>
  <c r="AJ20" i="46"/>
  <c r="AE20" i="46"/>
  <c r="AD20" i="46"/>
  <c r="W20" i="46"/>
  <c r="V20" i="46"/>
  <c r="A15" i="46"/>
  <c r="AR15" i="46"/>
  <c r="AL15" i="46"/>
  <c r="V15" i="46"/>
  <c r="O15" i="46"/>
  <c r="A31" i="46"/>
  <c r="AR31" i="46"/>
  <c r="AL31" i="46"/>
  <c r="AD31" i="46"/>
  <c r="W31" i="46"/>
  <c r="V31" i="46"/>
  <c r="N31" i="46"/>
  <c r="A10" i="46"/>
  <c r="AR10" i="46"/>
  <c r="AM10" i="46"/>
  <c r="AE10" i="46"/>
  <c r="W10" i="46"/>
  <c r="N10" i="46"/>
  <c r="M10" i="46"/>
  <c r="A35" i="46"/>
  <c r="AR35" i="46"/>
  <c r="AD35" i="46"/>
  <c r="O35" i="46"/>
  <c r="N35" i="46"/>
  <c r="A23" i="46"/>
  <c r="AR23" i="46"/>
  <c r="W23" i="46"/>
  <c r="V23" i="46"/>
  <c r="O23" i="46"/>
  <c r="N23" i="46"/>
  <c r="M23" i="46"/>
  <c r="L47" i="46" l="1"/>
  <c r="L23" i="46"/>
  <c r="T20" i="46"/>
  <c r="AK43" i="46"/>
  <c r="AB33" i="46"/>
  <c r="K48" i="46"/>
  <c r="K40" i="46"/>
  <c r="K32" i="46"/>
  <c r="K24" i="46"/>
  <c r="K16" i="46"/>
  <c r="K8" i="46"/>
  <c r="L46" i="46"/>
  <c r="L38" i="46"/>
  <c r="L30" i="46"/>
  <c r="L22" i="46"/>
  <c r="L14" i="46"/>
  <c r="L6" i="46"/>
  <c r="T23" i="46"/>
  <c r="T10" i="46"/>
  <c r="T31" i="46"/>
  <c r="U20" i="46"/>
  <c r="AK11" i="46"/>
  <c r="AK3" i="46"/>
  <c r="AB36" i="46"/>
  <c r="AK37" i="46"/>
  <c r="M5" i="46"/>
  <c r="AK50" i="46"/>
  <c r="AK47" i="46"/>
  <c r="AK48" i="46"/>
  <c r="M6" i="46"/>
  <c r="AK25" i="46"/>
  <c r="AI26" i="46"/>
  <c r="AK44" i="46"/>
  <c r="AK9" i="46"/>
  <c r="J47" i="46"/>
  <c r="J39" i="46"/>
  <c r="J31" i="46"/>
  <c r="J23" i="46"/>
  <c r="J15" i="46"/>
  <c r="J7" i="46"/>
  <c r="K47" i="46"/>
  <c r="K39" i="46"/>
  <c r="K31" i="46"/>
  <c r="K23" i="46"/>
  <c r="K15" i="46"/>
  <c r="K7" i="46"/>
  <c r="L3" i="46"/>
  <c r="L45" i="46"/>
  <c r="L37" i="46"/>
  <c r="L29" i="46"/>
  <c r="L21" i="46"/>
  <c r="L13" i="46"/>
  <c r="L5" i="46"/>
  <c r="L39" i="46"/>
  <c r="U18" i="46"/>
  <c r="U35" i="46"/>
  <c r="M11" i="46"/>
  <c r="AC24" i="46"/>
  <c r="AJ27" i="46"/>
  <c r="AJ12" i="46"/>
  <c r="U16" i="46"/>
  <c r="AC6" i="46"/>
  <c r="AB18" i="46"/>
  <c r="AK22" i="46"/>
  <c r="AC45" i="46"/>
  <c r="J14" i="46"/>
  <c r="J6" i="46"/>
  <c r="K46" i="46"/>
  <c r="K38" i="46"/>
  <c r="K30" i="46"/>
  <c r="K22" i="46"/>
  <c r="K14" i="46"/>
  <c r="K6" i="46"/>
  <c r="L52" i="46"/>
  <c r="L44" i="46"/>
  <c r="L36" i="46"/>
  <c r="L28" i="46"/>
  <c r="L20" i="46"/>
  <c r="L12" i="46"/>
  <c r="L4" i="46"/>
  <c r="L31" i="46"/>
  <c r="AJ44" i="46"/>
  <c r="AJ24" i="46"/>
  <c r="AK32" i="46"/>
  <c r="U37" i="46"/>
  <c r="AB16" i="46"/>
  <c r="AK5" i="46"/>
  <c r="M39" i="46"/>
  <c r="U41" i="46"/>
  <c r="T45" i="46"/>
  <c r="AJ45" i="46"/>
  <c r="J13" i="46"/>
  <c r="J5" i="46"/>
  <c r="K3" i="46"/>
  <c r="K45" i="46"/>
  <c r="K37" i="46"/>
  <c r="K29" i="46"/>
  <c r="K21" i="46"/>
  <c r="K13" i="46"/>
  <c r="K5" i="46"/>
  <c r="L51" i="46"/>
  <c r="L43" i="46"/>
  <c r="L35" i="46"/>
  <c r="L27" i="46"/>
  <c r="L19" i="46"/>
  <c r="L11" i="46"/>
  <c r="L15" i="46"/>
  <c r="AJ48" i="46"/>
  <c r="AB15" i="46"/>
  <c r="AC23" i="46"/>
  <c r="AJ35" i="46"/>
  <c r="AJ15" i="46"/>
  <c r="AC20" i="46"/>
  <c r="U11" i="46"/>
  <c r="AK36" i="46"/>
  <c r="AB30" i="46"/>
  <c r="AC38" i="46"/>
  <c r="N48" i="46"/>
  <c r="AK7" i="46"/>
  <c r="AC41" i="46"/>
  <c r="AK45" i="46"/>
  <c r="J52" i="46"/>
  <c r="J44" i="46"/>
  <c r="J36" i="46"/>
  <c r="J28" i="46"/>
  <c r="J20" i="46"/>
  <c r="J12" i="46"/>
  <c r="J4" i="46"/>
  <c r="J53" i="46" s="1"/>
  <c r="K52" i="46"/>
  <c r="K44" i="46"/>
  <c r="K36" i="46"/>
  <c r="K28" i="46"/>
  <c r="K20" i="46"/>
  <c r="K12" i="46"/>
  <c r="K4" i="46"/>
  <c r="L50" i="46"/>
  <c r="L42" i="46"/>
  <c r="L34" i="46"/>
  <c r="AP34" i="46" s="1"/>
  <c r="L26" i="46"/>
  <c r="L18" i="46"/>
  <c r="L10" i="46"/>
  <c r="L7" i="46"/>
  <c r="AC10" i="46"/>
  <c r="AJ23" i="46"/>
  <c r="M3" i="46"/>
  <c r="M27" i="46"/>
  <c r="M33" i="46"/>
  <c r="T47" i="46"/>
  <c r="T44" i="46"/>
  <c r="J27" i="46"/>
  <c r="J19" i="46"/>
  <c r="K51" i="46"/>
  <c r="K43" i="46"/>
  <c r="K35" i="46"/>
  <c r="K27" i="46"/>
  <c r="K19" i="46"/>
  <c r="K11" i="46"/>
  <c r="L49" i="46"/>
  <c r="L41" i="46"/>
  <c r="L33" i="46"/>
  <c r="L25" i="46"/>
  <c r="L17" i="46"/>
  <c r="L9" i="46"/>
  <c r="K50" i="46"/>
  <c r="K42" i="46"/>
  <c r="K34" i="46"/>
  <c r="K26" i="46"/>
  <c r="K18" i="46"/>
  <c r="L48" i="46"/>
  <c r="L40" i="46"/>
  <c r="L32" i="46"/>
  <c r="L24" i="46"/>
  <c r="L16" i="46"/>
  <c r="AM35" i="46"/>
  <c r="AM15" i="46"/>
  <c r="O3" i="46"/>
  <c r="O12" i="46"/>
  <c r="W32" i="46"/>
  <c r="O28" i="46"/>
  <c r="O30" i="46"/>
  <c r="AM30" i="46"/>
  <c r="W38" i="46"/>
  <c r="AM16" i="46"/>
  <c r="O48" i="46"/>
  <c r="AM48" i="46"/>
  <c r="AE39" i="46"/>
  <c r="AE6" i="46"/>
  <c r="AM17" i="46"/>
  <c r="AE18" i="46"/>
  <c r="AM22" i="46"/>
  <c r="W25" i="46"/>
  <c r="AE7" i="46"/>
  <c r="O8" i="46"/>
  <c r="AM26" i="46"/>
  <c r="O44" i="46"/>
  <c r="O45" i="46"/>
  <c r="AM13" i="46"/>
  <c r="AE31" i="46"/>
  <c r="W15" i="46"/>
  <c r="O20" i="46"/>
  <c r="AE24" i="46"/>
  <c r="W3" i="46"/>
  <c r="AE38" i="46"/>
  <c r="AE21" i="46"/>
  <c r="W46" i="46"/>
  <c r="W16" i="46"/>
  <c r="O4" i="46"/>
  <c r="W5" i="46"/>
  <c r="W48" i="46"/>
  <c r="O18" i="46"/>
  <c r="O49" i="46"/>
  <c r="W22" i="46"/>
  <c r="W40" i="46"/>
  <c r="AM25" i="46"/>
  <c r="AM7" i="46"/>
  <c r="AM8" i="46"/>
  <c r="W41" i="46"/>
  <c r="W44" i="46"/>
  <c r="AE42" i="46"/>
  <c r="O9" i="46"/>
  <c r="AE14" i="46"/>
  <c r="AE23" i="46"/>
  <c r="W35" i="46"/>
  <c r="AM20" i="46"/>
  <c r="W11" i="46"/>
  <c r="AM27" i="46"/>
  <c r="AE12" i="46"/>
  <c r="W36" i="46"/>
  <c r="AM32" i="46"/>
  <c r="AE28" i="46"/>
  <c r="O37" i="46"/>
  <c r="AM37" i="46"/>
  <c r="AM38" i="46"/>
  <c r="AE33" i="46"/>
  <c r="AE46" i="46"/>
  <c r="W4" i="46"/>
  <c r="AE5" i="46"/>
  <c r="AE50" i="46"/>
  <c r="W43" i="46"/>
  <c r="O47" i="46"/>
  <c r="AM47" i="46"/>
  <c r="W49" i="46"/>
  <c r="AE40" i="46"/>
  <c r="O7" i="46"/>
  <c r="O51" i="46"/>
  <c r="O26" i="46"/>
  <c r="AM42" i="46"/>
  <c r="W9" i="46"/>
  <c r="AM14" i="46"/>
  <c r="O42" i="46"/>
  <c r="O10" i="46"/>
  <c r="AE15" i="46"/>
  <c r="O24" i="46"/>
  <c r="AM24" i="46"/>
  <c r="AE3" i="46"/>
  <c r="O32" i="46"/>
  <c r="AM28" i="46"/>
  <c r="AM29" i="46"/>
  <c r="AE30" i="46"/>
  <c r="AM21" i="46"/>
  <c r="AM46" i="46"/>
  <c r="AE4" i="46"/>
  <c r="AE43" i="46"/>
  <c r="AE48" i="46"/>
  <c r="O39" i="46"/>
  <c r="O6" i="46"/>
  <c r="O17" i="46"/>
  <c r="AE49" i="46"/>
  <c r="AE22" i="46"/>
  <c r="AM40" i="46"/>
  <c r="W51" i="46"/>
  <c r="W26" i="46"/>
  <c r="AE41" i="46"/>
  <c r="AE9" i="46"/>
  <c r="O19" i="46"/>
  <c r="AM45" i="46"/>
  <c r="AM23" i="46"/>
  <c r="AE35" i="46"/>
  <c r="O31" i="46"/>
  <c r="AM31" i="46"/>
  <c r="O27" i="46"/>
  <c r="O38" i="46"/>
  <c r="AM33" i="46"/>
  <c r="AE16" i="46"/>
  <c r="AM4" i="46"/>
  <c r="AM53" i="46" s="1"/>
  <c r="AM5" i="46"/>
  <c r="AM50" i="46"/>
  <c r="W47" i="46"/>
  <c r="W39" i="46"/>
  <c r="W6" i="46"/>
  <c r="W17" i="46"/>
  <c r="W18" i="46"/>
  <c r="AM49" i="46"/>
  <c r="W7" i="46"/>
  <c r="AE51" i="46"/>
  <c r="AJ32" i="46"/>
  <c r="AB37" i="46"/>
  <c r="AJ50" i="46"/>
  <c r="AB52" i="46"/>
  <c r="T3" i="46"/>
  <c r="AB27" i="46"/>
  <c r="AB40" i="46"/>
  <c r="AJ33" i="46"/>
  <c r="AB46" i="46"/>
  <c r="AJ49" i="46"/>
  <c r="W45" i="46"/>
  <c r="AE52" i="46"/>
  <c r="AE19" i="46"/>
  <c r="AE45" i="46"/>
  <c r="AM9" i="46"/>
  <c r="AM52" i="46"/>
  <c r="AM19" i="46"/>
  <c r="O13" i="46"/>
  <c r="O14" i="46"/>
  <c r="W13" i="46"/>
  <c r="T35" i="46"/>
  <c r="AJ10" i="46"/>
  <c r="AJ3" i="46"/>
  <c r="AJ36" i="46"/>
  <c r="AB51" i="46"/>
  <c r="AB44" i="46"/>
  <c r="S25" i="46"/>
  <c r="S9" i="46"/>
  <c r="T15" i="46"/>
  <c r="AB12" i="46"/>
  <c r="AJ38" i="46"/>
  <c r="AB4" i="46"/>
  <c r="AB5" i="46"/>
  <c r="AB50" i="46"/>
  <c r="AB6" i="46"/>
  <c r="T22" i="46"/>
  <c r="AJ52" i="46"/>
  <c r="AJ21" i="46"/>
  <c r="AJ47" i="46"/>
  <c r="AJ51" i="46"/>
  <c r="AD23" i="46"/>
  <c r="AL35" i="46"/>
  <c r="V10" i="46"/>
  <c r="AD24" i="46"/>
  <c r="N3" i="46"/>
  <c r="N12" i="46"/>
  <c r="N29" i="46"/>
  <c r="N38" i="46"/>
  <c r="AL38" i="46"/>
  <c r="AL4" i="46"/>
  <c r="V5" i="46"/>
  <c r="AL39" i="46"/>
  <c r="AL17" i="46"/>
  <c r="N41" i="46"/>
  <c r="AL41" i="46"/>
  <c r="AL23" i="46"/>
  <c r="V35" i="46"/>
  <c r="AD10" i="46"/>
  <c r="N20" i="46"/>
  <c r="AL24" i="46"/>
  <c r="AL3" i="46"/>
  <c r="V12" i="46"/>
  <c r="AA36" i="46"/>
  <c r="AD32" i="46"/>
  <c r="AL28" i="46"/>
  <c r="AI21" i="46"/>
  <c r="N16" i="46"/>
  <c r="V4" i="46"/>
  <c r="V53" i="46" s="1"/>
  <c r="AD5" i="46"/>
  <c r="AL50" i="46"/>
  <c r="AD43" i="46"/>
  <c r="N47" i="46"/>
  <c r="AL48" i="46"/>
  <c r="V39" i="46"/>
  <c r="V17" i="46"/>
  <c r="N7" i="46"/>
  <c r="V41" i="46"/>
  <c r="AI52" i="46"/>
  <c r="AD15" i="46"/>
  <c r="AI20" i="46"/>
  <c r="N11" i="46"/>
  <c r="V27" i="46"/>
  <c r="AD29" i="46"/>
  <c r="N30" i="46"/>
  <c r="AL37" i="46"/>
  <c r="N21" i="46"/>
  <c r="V33" i="46"/>
  <c r="AD46" i="46"/>
  <c r="AL16" i="46"/>
  <c r="V50" i="46"/>
  <c r="AD18" i="46"/>
  <c r="N44" i="46"/>
  <c r="AL10" i="46"/>
  <c r="N15" i="46"/>
  <c r="AL20" i="46"/>
  <c r="N32" i="46"/>
  <c r="V30" i="46"/>
  <c r="AL46" i="46"/>
  <c r="V16" i="46"/>
  <c r="AD4" i="46"/>
  <c r="AD53" i="46" s="1"/>
  <c r="N5" i="46"/>
  <c r="AL5" i="46"/>
  <c r="V47" i="46"/>
  <c r="AD17" i="46"/>
  <c r="N18" i="46"/>
  <c r="AL18" i="46"/>
  <c r="AD41" i="46"/>
  <c r="AL44" i="46"/>
  <c r="M15" i="46"/>
  <c r="U12" i="46"/>
  <c r="AC28" i="46"/>
  <c r="AF21" i="46"/>
  <c r="U46" i="46"/>
  <c r="M47" i="46"/>
  <c r="U6" i="46"/>
  <c r="AC17" i="46"/>
  <c r="AC49" i="46"/>
  <c r="M41" i="46"/>
  <c r="M9" i="46"/>
  <c r="U22" i="46"/>
  <c r="M7" i="46"/>
  <c r="U44" i="46"/>
  <c r="U29" i="46"/>
  <c r="M38" i="46"/>
  <c r="U21" i="46"/>
  <c r="AC50" i="46"/>
  <c r="M17" i="46"/>
  <c r="AC13" i="46"/>
  <c r="AC46" i="46"/>
  <c r="U4" i="46"/>
  <c r="U53" i="46" s="1"/>
  <c r="M50" i="46"/>
  <c r="U47" i="46"/>
  <c r="AC39" i="46"/>
  <c r="AC25" i="46"/>
  <c r="M51" i="46"/>
  <c r="AC19" i="46"/>
  <c r="AC11" i="46"/>
  <c r="M24" i="46"/>
  <c r="M36" i="46"/>
  <c r="AC29" i="46"/>
  <c r="AC21" i="46"/>
  <c r="AC33" i="46"/>
  <c r="U43" i="46"/>
  <c r="M44" i="46"/>
  <c r="AC44" i="46"/>
  <c r="AB32" i="46"/>
  <c r="AB28" i="46"/>
  <c r="AB29" i="46"/>
  <c r="T38" i="46"/>
  <c r="AI38" i="46"/>
  <c r="T50" i="46"/>
  <c r="T43" i="46"/>
  <c r="AJ43" i="46"/>
  <c r="AB48" i="46"/>
  <c r="AB39" i="46"/>
  <c r="AJ22" i="46"/>
  <c r="T40" i="46"/>
  <c r="S13" i="46"/>
  <c r="T32" i="46"/>
  <c r="AJ29" i="46"/>
  <c r="AB38" i="46"/>
  <c r="T33" i="46"/>
  <c r="S46" i="46"/>
  <c r="AJ16" i="46"/>
  <c r="AI4" i="46"/>
  <c r="AI5" i="46"/>
  <c r="AB43" i="46"/>
  <c r="T48" i="46"/>
  <c r="AJ39" i="46"/>
  <c r="AI6" i="46"/>
  <c r="T49" i="46"/>
  <c r="AJ40" i="46"/>
  <c r="AA45" i="46"/>
  <c r="AA25" i="46"/>
  <c r="AI41" i="46"/>
  <c r="S42" i="46"/>
  <c r="AB23" i="46"/>
  <c r="AI11" i="46"/>
  <c r="AB24" i="46"/>
  <c r="T27" i="46"/>
  <c r="T36" i="46"/>
  <c r="T29" i="46"/>
  <c r="AB35" i="46"/>
  <c r="AB10" i="46"/>
  <c r="AA20" i="46"/>
  <c r="AJ11" i="46"/>
  <c r="T28" i="46"/>
  <c r="S30" i="46"/>
  <c r="AJ30" i="46"/>
  <c r="AB21" i="46"/>
  <c r="T46" i="46"/>
  <c r="AJ46" i="46"/>
  <c r="T16" i="46"/>
  <c r="T4" i="46"/>
  <c r="AJ4" i="46"/>
  <c r="AJ5" i="46"/>
  <c r="T39" i="46"/>
  <c r="AJ6" i="46"/>
  <c r="AJ17" i="46"/>
  <c r="AJ18" i="46"/>
  <c r="AB22" i="46"/>
  <c r="AB45" i="46"/>
  <c r="AA38" i="46"/>
  <c r="AB31" i="46"/>
  <c r="Z20" i="46"/>
  <c r="T11" i="46"/>
  <c r="AJ28" i="46"/>
  <c r="AI15" i="46"/>
  <c r="AB20" i="46"/>
  <c r="AB3" i="46"/>
  <c r="T30" i="46"/>
  <c r="T37" i="46"/>
  <c r="AJ37" i="46"/>
  <c r="T5" i="46"/>
  <c r="AB47" i="46"/>
  <c r="T6" i="46"/>
  <c r="T17" i="46"/>
  <c r="T18" i="46"/>
  <c r="AB49" i="46"/>
  <c r="S31" i="46"/>
  <c r="S15" i="46"/>
  <c r="AH15" i="46"/>
  <c r="S29" i="46"/>
  <c r="AI39" i="46"/>
  <c r="AA40" i="46"/>
  <c r="AI8" i="46"/>
  <c r="S41" i="46"/>
  <c r="AI44" i="46"/>
  <c r="AI23" i="46"/>
  <c r="S47" i="46"/>
  <c r="AA39" i="46"/>
  <c r="S6" i="46"/>
  <c r="AI17" i="46"/>
  <c r="AA44" i="46"/>
  <c r="S52" i="46"/>
  <c r="S14" i="46"/>
  <c r="AI35" i="46"/>
  <c r="AA15" i="46"/>
  <c r="S20" i="46"/>
  <c r="S27" i="46"/>
  <c r="S12" i="46"/>
  <c r="S37" i="46"/>
  <c r="AA21" i="46"/>
  <c r="AI33" i="46"/>
  <c r="AA46" i="46"/>
  <c r="AI18" i="46"/>
  <c r="AI49" i="46"/>
  <c r="AI22" i="46"/>
  <c r="S7" i="46"/>
  <c r="S8" i="46"/>
  <c r="P26" i="46"/>
  <c r="AA19" i="46"/>
  <c r="AA4" i="46"/>
  <c r="AI50" i="46"/>
  <c r="AI25" i="46"/>
  <c r="AH51" i="46"/>
  <c r="R26" i="46"/>
  <c r="AH42" i="46"/>
  <c r="AI9" i="46"/>
  <c r="AA23" i="46"/>
  <c r="AI10" i="46"/>
  <c r="AI24" i="46"/>
  <c r="S36" i="46"/>
  <c r="AA30" i="46"/>
  <c r="R46" i="46"/>
  <c r="AA5" i="46"/>
  <c r="S48" i="46"/>
  <c r="S49" i="46"/>
  <c r="AI51" i="46"/>
  <c r="AA8" i="46"/>
  <c r="S26" i="46"/>
  <c r="AI42" i="46"/>
  <c r="AI13" i="46"/>
  <c r="AH52" i="46"/>
  <c r="AI14" i="46"/>
  <c r="X36" i="46"/>
  <c r="X15" i="46"/>
  <c r="AK35" i="46"/>
  <c r="U31" i="46"/>
  <c r="AK31" i="46"/>
  <c r="Z15" i="46"/>
  <c r="AH20" i="46"/>
  <c r="AC27" i="46"/>
  <c r="AK12" i="46"/>
  <c r="M29" i="46"/>
  <c r="M37" i="46"/>
  <c r="X37" i="46"/>
  <c r="AK21" i="46"/>
  <c r="AC5" i="46"/>
  <c r="AK18" i="46"/>
  <c r="M49" i="46"/>
  <c r="X40" i="46"/>
  <c r="AH25" i="46"/>
  <c r="U51" i="46"/>
  <c r="AK51" i="46"/>
  <c r="AF42" i="46"/>
  <c r="P9" i="46"/>
  <c r="Q14" i="46"/>
  <c r="U23" i="46"/>
  <c r="AF23" i="46"/>
  <c r="R15" i="46"/>
  <c r="AK15" i="46"/>
  <c r="M20" i="46"/>
  <c r="P27" i="46"/>
  <c r="AC36" i="46"/>
  <c r="U28" i="46"/>
  <c r="AK28" i="46"/>
  <c r="U30" i="46"/>
  <c r="U38" i="46"/>
  <c r="M21" i="46"/>
  <c r="M16" i="46"/>
  <c r="AC16" i="46"/>
  <c r="AK4" i="46"/>
  <c r="U50" i="46"/>
  <c r="M43" i="46"/>
  <c r="AC43" i="46"/>
  <c r="M48" i="46"/>
  <c r="U39" i="46"/>
  <c r="AK6" i="46"/>
  <c r="M22" i="46"/>
  <c r="AC22" i="46"/>
  <c r="M25" i="46"/>
  <c r="U7" i="46"/>
  <c r="AK41" i="46"/>
  <c r="AG42" i="46"/>
  <c r="U9" i="46"/>
  <c r="M13" i="46"/>
  <c r="AK13" i="46"/>
  <c r="AF52" i="46"/>
  <c r="AF39" i="46"/>
  <c r="M35" i="46"/>
  <c r="AC35" i="46"/>
  <c r="U10" i="46"/>
  <c r="M31" i="46"/>
  <c r="AC15" i="46"/>
  <c r="AK20" i="46"/>
  <c r="AK24" i="46"/>
  <c r="AC3" i="46"/>
  <c r="U36" i="46"/>
  <c r="M32" i="46"/>
  <c r="AC32" i="46"/>
  <c r="P29" i="46"/>
  <c r="AC37" i="46"/>
  <c r="AK38" i="46"/>
  <c r="U33" i="46"/>
  <c r="AK46" i="46"/>
  <c r="M4" i="46"/>
  <c r="U5" i="46"/>
  <c r="AF5" i="46"/>
  <c r="AC48" i="46"/>
  <c r="AH39" i="46"/>
  <c r="U17" i="46"/>
  <c r="M18" i="46"/>
  <c r="AC18" i="46"/>
  <c r="AK49" i="46"/>
  <c r="U25" i="46"/>
  <c r="AC51" i="46"/>
  <c r="AC9" i="46"/>
  <c r="AF44" i="46"/>
  <c r="AK23" i="46"/>
  <c r="AK10" i="46"/>
  <c r="AC31" i="46"/>
  <c r="U15" i="46"/>
  <c r="R20" i="46"/>
  <c r="U27" i="46"/>
  <c r="AK27" i="46"/>
  <c r="AC12" i="46"/>
  <c r="M30" i="46"/>
  <c r="AK33" i="46"/>
  <c r="M46" i="46"/>
  <c r="AC4" i="46"/>
  <c r="P48" i="46"/>
  <c r="Z39" i="46"/>
  <c r="AK17" i="46"/>
  <c r="U49" i="46"/>
  <c r="AC7" i="46"/>
  <c r="U13" i="46"/>
  <c r="AK19" i="46"/>
  <c r="P28" i="46"/>
  <c r="X4" i="46"/>
  <c r="AF49" i="46"/>
  <c r="P7" i="46"/>
  <c r="AF51" i="46"/>
  <c r="AF10" i="46"/>
  <c r="Q28" i="46"/>
  <c r="X25" i="46"/>
  <c r="AF8" i="46"/>
  <c r="P45" i="46"/>
  <c r="P52" i="46"/>
  <c r="AF31" i="46"/>
  <c r="AF3" i="46"/>
  <c r="X32" i="46"/>
  <c r="Z28" i="46"/>
  <c r="P4" i="46"/>
  <c r="P23" i="46"/>
  <c r="AA35" i="46"/>
  <c r="X10" i="46"/>
  <c r="AI31" i="46"/>
  <c r="AA11" i="46"/>
  <c r="X24" i="46"/>
  <c r="AI3" i="46"/>
  <c r="AF27" i="46"/>
  <c r="P32" i="46"/>
  <c r="Z32" i="46"/>
  <c r="AI32" i="46"/>
  <c r="S28" i="46"/>
  <c r="AA28" i="46"/>
  <c r="AI28" i="46"/>
  <c r="AF29" i="46"/>
  <c r="S38" i="46"/>
  <c r="P21" i="46"/>
  <c r="AA33" i="46"/>
  <c r="P16" i="46"/>
  <c r="X16" i="46"/>
  <c r="AF16" i="46"/>
  <c r="S4" i="46"/>
  <c r="S53" i="46" s="1"/>
  <c r="P5" i="46"/>
  <c r="AA50" i="46"/>
  <c r="X43" i="46"/>
  <c r="AI47" i="46"/>
  <c r="AF48" i="46"/>
  <c r="S39" i="46"/>
  <c r="X6" i="46"/>
  <c r="AA17" i="46"/>
  <c r="X18" i="46"/>
  <c r="X49" i="46"/>
  <c r="AA22" i="46"/>
  <c r="P40" i="46"/>
  <c r="AF40" i="46"/>
  <c r="AI7" i="46"/>
  <c r="Z51" i="46"/>
  <c r="X26" i="46"/>
  <c r="X41" i="46"/>
  <c r="P44" i="46"/>
  <c r="S45" i="46"/>
  <c r="AI45" i="46"/>
  <c r="X9" i="46"/>
  <c r="AA14" i="46"/>
  <c r="AF11" i="46"/>
  <c r="X28" i="46"/>
  <c r="X38" i="46"/>
  <c r="AF33" i="46"/>
  <c r="AF17" i="46"/>
  <c r="X5" i="46"/>
  <c r="AF43" i="46"/>
  <c r="AF18" i="46"/>
  <c r="X44" i="46"/>
  <c r="P13" i="46"/>
  <c r="X11" i="46"/>
  <c r="X50" i="46"/>
  <c r="R39" i="46"/>
  <c r="X22" i="46"/>
  <c r="AF7" i="46"/>
  <c r="AF45" i="46"/>
  <c r="S23" i="46"/>
  <c r="P35" i="46"/>
  <c r="AA10" i="46"/>
  <c r="X31" i="46"/>
  <c r="P11" i="46"/>
  <c r="AA24" i="46"/>
  <c r="X3" i="46"/>
  <c r="AI27" i="46"/>
  <c r="AF12" i="46"/>
  <c r="R32" i="46"/>
  <c r="AA32" i="46"/>
  <c r="AI29" i="46"/>
  <c r="AF30" i="46"/>
  <c r="S21" i="46"/>
  <c r="P33" i="46"/>
  <c r="AF46" i="46"/>
  <c r="Q16" i="46"/>
  <c r="Y16" i="46"/>
  <c r="AG16" i="46"/>
  <c r="S5" i="46"/>
  <c r="P50" i="46"/>
  <c r="AA43" i="46"/>
  <c r="X47" i="46"/>
  <c r="AI48" i="46"/>
  <c r="AA6" i="46"/>
  <c r="P17" i="46"/>
  <c r="AA18" i="46"/>
  <c r="AA49" i="46"/>
  <c r="P22" i="46"/>
  <c r="S40" i="46"/>
  <c r="AH40" i="46"/>
  <c r="P51" i="46"/>
  <c r="AA51" i="46"/>
  <c r="X8" i="46"/>
  <c r="AA26" i="46"/>
  <c r="AA41" i="46"/>
  <c r="S44" i="46"/>
  <c r="X42" i="46"/>
  <c r="Y9" i="46"/>
  <c r="X52" i="46"/>
  <c r="P19" i="46"/>
  <c r="AF19" i="46"/>
  <c r="P15" i="46"/>
  <c r="P12" i="46"/>
  <c r="P30" i="46"/>
  <c r="AF50" i="46"/>
  <c r="X39" i="46"/>
  <c r="X23" i="46"/>
  <c r="AF24" i="46"/>
  <c r="P36" i="46"/>
  <c r="Y28" i="46"/>
  <c r="P37" i="46"/>
  <c r="X51" i="46"/>
  <c r="P42" i="46"/>
  <c r="AF13" i="46"/>
  <c r="AH32" i="46"/>
  <c r="AH28" i="46"/>
  <c r="P38" i="46"/>
  <c r="R45" i="46"/>
  <c r="S35" i="46"/>
  <c r="P10" i="46"/>
  <c r="AA31" i="46"/>
  <c r="P20" i="46"/>
  <c r="X20" i="46"/>
  <c r="AF20" i="46"/>
  <c r="S11" i="46"/>
  <c r="P24" i="46"/>
  <c r="AA3" i="46"/>
  <c r="X27" i="46"/>
  <c r="AI12" i="46"/>
  <c r="AF36" i="46"/>
  <c r="S32" i="46"/>
  <c r="X29" i="46"/>
  <c r="AI30" i="46"/>
  <c r="AF37" i="46"/>
  <c r="S33" i="46"/>
  <c r="X46" i="46"/>
  <c r="AH46" i="46"/>
  <c r="R16" i="46"/>
  <c r="Z16" i="46"/>
  <c r="AH16" i="46"/>
  <c r="S50" i="46"/>
  <c r="P43" i="46"/>
  <c r="AA47" i="46"/>
  <c r="X48" i="46"/>
  <c r="P6" i="46"/>
  <c r="S17" i="46"/>
  <c r="P18" i="46"/>
  <c r="S22" i="46"/>
  <c r="AI40" i="46"/>
  <c r="P25" i="46"/>
  <c r="AF25" i="46"/>
  <c r="X7" i="46"/>
  <c r="S51" i="46"/>
  <c r="Y8" i="46"/>
  <c r="AA42" i="46"/>
  <c r="Z9" i="46"/>
  <c r="X13" i="46"/>
  <c r="AA52" i="46"/>
  <c r="AF14" i="46"/>
  <c r="S19" i="46"/>
  <c r="AI19" i="46"/>
  <c r="AF35" i="46"/>
  <c r="AF28" i="46"/>
  <c r="AF6" i="46"/>
  <c r="AF22" i="46"/>
  <c r="AF41" i="46"/>
  <c r="X19" i="46"/>
  <c r="AF32" i="46"/>
  <c r="AG28" i="46"/>
  <c r="X21" i="46"/>
  <c r="P39" i="46"/>
  <c r="P8" i="46"/>
  <c r="AF9" i="46"/>
  <c r="X35" i="46"/>
  <c r="R28" i="46"/>
  <c r="X33" i="46"/>
  <c r="AF47" i="46"/>
  <c r="X17" i="46"/>
  <c r="Y51" i="46"/>
  <c r="X14" i="46"/>
  <c r="S10" i="46"/>
  <c r="P31" i="46"/>
  <c r="AF15" i="46"/>
  <c r="Q20" i="46"/>
  <c r="Y20" i="46"/>
  <c r="AG20" i="46"/>
  <c r="S24" i="46"/>
  <c r="P3" i="46"/>
  <c r="AA27" i="46"/>
  <c r="X12" i="46"/>
  <c r="AI36" i="46"/>
  <c r="AA29" i="46"/>
  <c r="X30" i="46"/>
  <c r="AI37" i="46"/>
  <c r="AF38" i="46"/>
  <c r="P46" i="46"/>
  <c r="Z46" i="46"/>
  <c r="AI46" i="46"/>
  <c r="S16" i="46"/>
  <c r="AA16" i="46"/>
  <c r="AF4" i="46"/>
  <c r="S43" i="46"/>
  <c r="P47" i="46"/>
  <c r="AA48" i="46"/>
  <c r="R6" i="46"/>
  <c r="S18" i="46"/>
  <c r="P49" i="46"/>
  <c r="AG25" i="46"/>
  <c r="AA7" i="46"/>
  <c r="Z8" i="46"/>
  <c r="P41" i="46"/>
  <c r="AA9" i="46"/>
  <c r="AG14" i="46"/>
  <c r="U19" i="46"/>
  <c r="Q11" i="46"/>
  <c r="Y4" i="46"/>
  <c r="R31" i="46"/>
  <c r="Z31" i="46"/>
  <c r="AH31" i="46"/>
  <c r="Q15" i="46"/>
  <c r="Y15" i="46"/>
  <c r="AG15" i="46"/>
  <c r="R36" i="46"/>
  <c r="Z36" i="46"/>
  <c r="AH36" i="46"/>
  <c r="Q32" i="46"/>
  <c r="Y32" i="46"/>
  <c r="AG32" i="46"/>
  <c r="R33" i="46"/>
  <c r="Z33" i="46"/>
  <c r="AH33" i="46"/>
  <c r="Q46" i="46"/>
  <c r="Y46" i="46"/>
  <c r="AG46" i="46"/>
  <c r="R48" i="46"/>
  <c r="Z48" i="46"/>
  <c r="AH48" i="46"/>
  <c r="Q39" i="46"/>
  <c r="Y39" i="46"/>
  <c r="AG39" i="46"/>
  <c r="Q6" i="46"/>
  <c r="Z6" i="46"/>
  <c r="R18" i="46"/>
  <c r="Z18" i="46"/>
  <c r="AH18" i="46"/>
  <c r="R49" i="46"/>
  <c r="AG40" i="46"/>
  <c r="AG51" i="46"/>
  <c r="Q26" i="46"/>
  <c r="Q45" i="46"/>
  <c r="R42" i="46"/>
  <c r="AH9" i="46"/>
  <c r="AG52" i="46"/>
  <c r="Y11" i="46"/>
  <c r="Q4" i="46"/>
  <c r="Y40" i="46"/>
  <c r="R11" i="46"/>
  <c r="Z11" i="46"/>
  <c r="AH11" i="46"/>
  <c r="Q24" i="46"/>
  <c r="Y24" i="46"/>
  <c r="AG24" i="46"/>
  <c r="R29" i="46"/>
  <c r="Z29" i="46"/>
  <c r="AH29" i="46"/>
  <c r="Q30" i="46"/>
  <c r="Y30" i="46"/>
  <c r="AG30" i="46"/>
  <c r="R4" i="46"/>
  <c r="Z4" i="46"/>
  <c r="AH4" i="46"/>
  <c r="Q5" i="46"/>
  <c r="Y5" i="46"/>
  <c r="AG5" i="46"/>
  <c r="Z40" i="46"/>
  <c r="Y25" i="46"/>
  <c r="R51" i="46"/>
  <c r="AH26" i="46"/>
  <c r="R44" i="46"/>
  <c r="Z44" i="46"/>
  <c r="AH44" i="46"/>
  <c r="Q9" i="46"/>
  <c r="Y52" i="46"/>
  <c r="AG11" i="46"/>
  <c r="Q29" i="46"/>
  <c r="AG44" i="46"/>
  <c r="Q23" i="46"/>
  <c r="Y23" i="46"/>
  <c r="AG23" i="46"/>
  <c r="R24" i="46"/>
  <c r="Z24" i="46"/>
  <c r="AH24" i="46"/>
  <c r="Q3" i="46"/>
  <c r="Y3" i="46"/>
  <c r="AG3" i="46"/>
  <c r="R30" i="46"/>
  <c r="Z30" i="46"/>
  <c r="AH30" i="46"/>
  <c r="Q37" i="46"/>
  <c r="Y37" i="46"/>
  <c r="AG37" i="46"/>
  <c r="R5" i="46"/>
  <c r="Z5" i="46"/>
  <c r="AH5" i="46"/>
  <c r="Q50" i="46"/>
  <c r="Y50" i="46"/>
  <c r="AG50" i="46"/>
  <c r="Q40" i="46"/>
  <c r="Z25" i="46"/>
  <c r="AG7" i="46"/>
  <c r="Q8" i="46"/>
  <c r="AG41" i="46"/>
  <c r="AG45" i="46"/>
  <c r="Y42" i="46"/>
  <c r="R9" i="46"/>
  <c r="AG13" i="46"/>
  <c r="Z52" i="46"/>
  <c r="AG19" i="46"/>
  <c r="AG29" i="46"/>
  <c r="R23" i="46"/>
  <c r="Z23" i="46"/>
  <c r="AH23" i="46"/>
  <c r="Q35" i="46"/>
  <c r="Y35" i="46"/>
  <c r="AG35" i="46"/>
  <c r="R3" i="46"/>
  <c r="Z3" i="46"/>
  <c r="AH3" i="46"/>
  <c r="Q27" i="46"/>
  <c r="Y27" i="46"/>
  <c r="AG27" i="46"/>
  <c r="R37" i="46"/>
  <c r="Z37" i="46"/>
  <c r="AH37" i="46"/>
  <c r="Q38" i="46"/>
  <c r="Y38" i="46"/>
  <c r="AG38" i="46"/>
  <c r="R50" i="46"/>
  <c r="Z50" i="46"/>
  <c r="AH50" i="46"/>
  <c r="Q43" i="46"/>
  <c r="Y43" i="46"/>
  <c r="AG43" i="46"/>
  <c r="AG49" i="46"/>
  <c r="Q22" i="46"/>
  <c r="Y22" i="46"/>
  <c r="AG22" i="46"/>
  <c r="R40" i="46"/>
  <c r="Q25" i="46"/>
  <c r="Y7" i="46"/>
  <c r="AH7" i="46"/>
  <c r="R8" i="46"/>
  <c r="Y26" i="46"/>
  <c r="Y41" i="46"/>
  <c r="AH41" i="46"/>
  <c r="AH45" i="46"/>
  <c r="Z42" i="46"/>
  <c r="Y14" i="46"/>
  <c r="Y29" i="46"/>
  <c r="AG26" i="46"/>
  <c r="Y44" i="46"/>
  <c r="Q19" i="46"/>
  <c r="R35" i="46"/>
  <c r="Z35" i="46"/>
  <c r="AH35" i="46"/>
  <c r="Q10" i="46"/>
  <c r="Y10" i="46"/>
  <c r="AG10" i="46"/>
  <c r="R27" i="46"/>
  <c r="Z27" i="46"/>
  <c r="AH27" i="46"/>
  <c r="Q12" i="46"/>
  <c r="Y12" i="46"/>
  <c r="AG12" i="46"/>
  <c r="R38" i="46"/>
  <c r="Z38" i="46"/>
  <c r="AH38" i="46"/>
  <c r="Q21" i="46"/>
  <c r="Y21" i="46"/>
  <c r="AG21" i="46"/>
  <c r="R43" i="46"/>
  <c r="Z43" i="46"/>
  <c r="AH43" i="46"/>
  <c r="Q47" i="46"/>
  <c r="Y47" i="46"/>
  <c r="AG47" i="46"/>
  <c r="AG6" i="46"/>
  <c r="Q17" i="46"/>
  <c r="Y17" i="46"/>
  <c r="AG17" i="46"/>
  <c r="Y49" i="46"/>
  <c r="AH49" i="46"/>
  <c r="R22" i="46"/>
  <c r="Z22" i="46"/>
  <c r="AH22" i="46"/>
  <c r="R25" i="46"/>
  <c r="Q7" i="46"/>
  <c r="Z7" i="46"/>
  <c r="AG8" i="46"/>
  <c r="Z26" i="46"/>
  <c r="Q41" i="46"/>
  <c r="Z41" i="46"/>
  <c r="Y45" i="46"/>
  <c r="Q52" i="46"/>
  <c r="AG4" i="46"/>
  <c r="Q51" i="46"/>
  <c r="Q44" i="46"/>
  <c r="Q13" i="46"/>
  <c r="R10" i="46"/>
  <c r="Z10" i="46"/>
  <c r="AH10" i="46"/>
  <c r="Q31" i="46"/>
  <c r="Y31" i="46"/>
  <c r="AG31" i="46"/>
  <c r="R12" i="46"/>
  <c r="Z12" i="46"/>
  <c r="AH12" i="46"/>
  <c r="Q36" i="46"/>
  <c r="Y36" i="46"/>
  <c r="AG36" i="46"/>
  <c r="R21" i="46"/>
  <c r="Z21" i="46"/>
  <c r="AH21" i="46"/>
  <c r="Q33" i="46"/>
  <c r="Y33" i="46"/>
  <c r="AG33" i="46"/>
  <c r="R47" i="46"/>
  <c r="Z47" i="46"/>
  <c r="AH47" i="46"/>
  <c r="Q48" i="46"/>
  <c r="Y48" i="46"/>
  <c r="AG48" i="46"/>
  <c r="Y6" i="46"/>
  <c r="AH6" i="46"/>
  <c r="R17" i="46"/>
  <c r="Z17" i="46"/>
  <c r="AH17" i="46"/>
  <c r="Q18" i="46"/>
  <c r="Y18" i="46"/>
  <c r="AG18" i="46"/>
  <c r="Q49" i="46"/>
  <c r="Z49" i="46"/>
  <c r="R7" i="46"/>
  <c r="AH8" i="46"/>
  <c r="R41" i="46"/>
  <c r="Z45" i="46"/>
  <c r="Y13" i="46"/>
  <c r="R52" i="46"/>
  <c r="M19" i="46"/>
  <c r="N40" i="46"/>
  <c r="V40" i="46"/>
  <c r="AD40" i="46"/>
  <c r="AL40" i="46"/>
  <c r="M8" i="46"/>
  <c r="U8" i="46"/>
  <c r="AC8" i="46"/>
  <c r="AK8" i="46"/>
  <c r="N45" i="46"/>
  <c r="V45" i="46"/>
  <c r="AD45" i="46"/>
  <c r="AL45" i="46"/>
  <c r="T42" i="46"/>
  <c r="AB42" i="46"/>
  <c r="AJ42" i="46"/>
  <c r="M52" i="46"/>
  <c r="U52" i="46"/>
  <c r="AC52" i="46"/>
  <c r="AK52" i="46"/>
  <c r="N6" i="46"/>
  <c r="V6" i="46"/>
  <c r="AD6" i="46"/>
  <c r="AL6" i="46"/>
  <c r="T25" i="46"/>
  <c r="AB25" i="46"/>
  <c r="AJ25" i="46"/>
  <c r="N8" i="46"/>
  <c r="V8" i="46"/>
  <c r="AD8" i="46"/>
  <c r="AL8" i="46"/>
  <c r="T26" i="46"/>
  <c r="AB26" i="46"/>
  <c r="AJ26" i="46"/>
  <c r="M42" i="46"/>
  <c r="U42" i="46"/>
  <c r="AC42" i="46"/>
  <c r="AK42" i="46"/>
  <c r="N52" i="46"/>
  <c r="V52" i="46"/>
  <c r="AD52" i="46"/>
  <c r="AL52" i="46"/>
  <c r="T14" i="46"/>
  <c r="AB14" i="46"/>
  <c r="AJ14" i="46"/>
  <c r="R19" i="46"/>
  <c r="Z19" i="46"/>
  <c r="AH19" i="46"/>
  <c r="N49" i="46"/>
  <c r="V49" i="46"/>
  <c r="AD49" i="46"/>
  <c r="AL49" i="46"/>
  <c r="M26" i="46"/>
  <c r="U26" i="46"/>
  <c r="AC26" i="46"/>
  <c r="AK26" i="46"/>
  <c r="N42" i="46"/>
  <c r="V42" i="46"/>
  <c r="AD42" i="46"/>
  <c r="AL42" i="46"/>
  <c r="M14" i="46"/>
  <c r="U14" i="46"/>
  <c r="AC14" i="46"/>
  <c r="AK14" i="46"/>
  <c r="N25" i="46"/>
  <c r="V25" i="46"/>
  <c r="AD25" i="46"/>
  <c r="AL25" i="46"/>
  <c r="T7" i="46"/>
  <c r="AB7" i="46"/>
  <c r="AJ7" i="46"/>
  <c r="N26" i="46"/>
  <c r="V26" i="46"/>
  <c r="AD26" i="46"/>
  <c r="AL26" i="46"/>
  <c r="T41" i="46"/>
  <c r="AB41" i="46"/>
  <c r="AJ41" i="46"/>
  <c r="T9" i="46"/>
  <c r="AB9" i="46"/>
  <c r="AJ9" i="46"/>
  <c r="R13" i="46"/>
  <c r="Z13" i="46"/>
  <c r="AH13" i="46"/>
  <c r="N14" i="46"/>
  <c r="V14" i="46"/>
  <c r="AD14" i="46"/>
  <c r="AL14" i="46"/>
  <c r="T19" i="46"/>
  <c r="AB19" i="46"/>
  <c r="AJ19" i="46"/>
  <c r="N9" i="46"/>
  <c r="V9" i="46"/>
  <c r="AD9" i="46"/>
  <c r="AL9" i="46"/>
  <c r="T13" i="46"/>
  <c r="AB13" i="46"/>
  <c r="AJ13" i="46"/>
  <c r="N19" i="46"/>
  <c r="V19" i="46"/>
  <c r="AD19" i="46"/>
  <c r="AL19" i="46"/>
  <c r="M40" i="46"/>
  <c r="U40" i="46"/>
  <c r="AC40" i="46"/>
  <c r="AK40" i="46"/>
  <c r="N51" i="46"/>
  <c r="V51" i="46"/>
  <c r="AD51" i="46"/>
  <c r="AL51" i="46"/>
  <c r="T8" i="46"/>
  <c r="AB8" i="46"/>
  <c r="AJ8" i="46"/>
  <c r="AG53" i="46" l="1"/>
  <c r="AP52" i="46"/>
  <c r="AN34" i="46"/>
  <c r="R53" i="46"/>
  <c r="Y53" i="46"/>
  <c r="AA53" i="46"/>
  <c r="AC53" i="46"/>
  <c r="AB53" i="46"/>
  <c r="M53" i="46"/>
  <c r="AE53" i="46"/>
  <c r="L53" i="46"/>
  <c r="AK53" i="46"/>
  <c r="Q53" i="46"/>
  <c r="P53" i="46"/>
  <c r="AF53" i="46"/>
  <c r="AJ53" i="46"/>
  <c r="K53" i="46"/>
  <c r="K54" i="46" s="1"/>
  <c r="O53" i="46"/>
  <c r="Z53" i="46"/>
  <c r="AI53" i="46"/>
  <c r="X53" i="46"/>
  <c r="AL53" i="46"/>
  <c r="N53" i="46"/>
  <c r="T53" i="46"/>
  <c r="W53" i="46"/>
  <c r="AH53" i="46"/>
  <c r="J54" i="46"/>
  <c r="AN3" i="46"/>
  <c r="AP16" i="46"/>
  <c r="AP33" i="46"/>
  <c r="AP36" i="46"/>
  <c r="AN17" i="46"/>
  <c r="AN4" i="46"/>
  <c r="AN16" i="46"/>
  <c r="AN28" i="46"/>
  <c r="AP18" i="46"/>
  <c r="AP10" i="46"/>
  <c r="AN31" i="46"/>
  <c r="AP46" i="46"/>
  <c r="AP28" i="46"/>
  <c r="AN43" i="46"/>
  <c r="AN27" i="46"/>
  <c r="AP45" i="46"/>
  <c r="AP44" i="46"/>
  <c r="AP5" i="46"/>
  <c r="AP39" i="46"/>
  <c r="AN41" i="46"/>
  <c r="AP37" i="46"/>
  <c r="AN50" i="46"/>
  <c r="AN15" i="46"/>
  <c r="AN20" i="46"/>
  <c r="AN39" i="46"/>
  <c r="AP50" i="46"/>
  <c r="AP48" i="46"/>
  <c r="AN32" i="46"/>
  <c r="AN45" i="46"/>
  <c r="AP20" i="46"/>
  <c r="AN29" i="46"/>
  <c r="AP11" i="46"/>
  <c r="AP15" i="46"/>
  <c r="AN49" i="46"/>
  <c r="AN14" i="46"/>
  <c r="AP23" i="46"/>
  <c r="AP35" i="46"/>
  <c r="AP47" i="46"/>
  <c r="AP22" i="46"/>
  <c r="AP51" i="46"/>
  <c r="AN11" i="46"/>
  <c r="AP6" i="46"/>
  <c r="AN51" i="46"/>
  <c r="AN37" i="46"/>
  <c r="AP29" i="46"/>
  <c r="AN42" i="46"/>
  <c r="AP4" i="46"/>
  <c r="AP9" i="46"/>
  <c r="AP17" i="46"/>
  <c r="AN10" i="46"/>
  <c r="AN12" i="46"/>
  <c r="AN46" i="46"/>
  <c r="AN18" i="46"/>
  <c r="AN33" i="46"/>
  <c r="AN36" i="46"/>
  <c r="AP31" i="46"/>
  <c r="AN22" i="46"/>
  <c r="AN47" i="46"/>
  <c r="AN21" i="46"/>
  <c r="AP43" i="46"/>
  <c r="AN38" i="46"/>
  <c r="AN5" i="46"/>
  <c r="AN30" i="46"/>
  <c r="AN24" i="46"/>
  <c r="AN48" i="46"/>
  <c r="AP30" i="46"/>
  <c r="AP24" i="46"/>
  <c r="AN52" i="46"/>
  <c r="AP38" i="46"/>
  <c r="AP27" i="46"/>
  <c r="AP41" i="46"/>
  <c r="AN7" i="46"/>
  <c r="AP32" i="46"/>
  <c r="AP3" i="46"/>
  <c r="AN35" i="46"/>
  <c r="AP21" i="46"/>
  <c r="AN23" i="46"/>
  <c r="AN44" i="46"/>
  <c r="AP12" i="46"/>
  <c r="AN40" i="46"/>
  <c r="AN6" i="46"/>
  <c r="AP40" i="46"/>
  <c r="AP19" i="46"/>
  <c r="AN19" i="46"/>
  <c r="AN26" i="46"/>
  <c r="AP26" i="46"/>
  <c r="AN25" i="46"/>
  <c r="AP25" i="46"/>
  <c r="AP14" i="46"/>
  <c r="AN8" i="46"/>
  <c r="AP42" i="46"/>
  <c r="AN13" i="46"/>
  <c r="AP13" i="46"/>
  <c r="AP7" i="46"/>
  <c r="AP8" i="46"/>
  <c r="AP49" i="46"/>
  <c r="AN9" i="46"/>
  <c r="AN53" i="46" l="1"/>
  <c r="AP53" i="46"/>
  <c r="L54" i="46"/>
  <c r="M54" i="46" s="1"/>
  <c r="N54" i="46" s="1"/>
  <c r="O54" i="46" s="1"/>
  <c r="P54" i="46" s="1"/>
  <c r="Q54" i="46" s="1"/>
  <c r="R54" i="46" s="1"/>
  <c r="S54" i="46" s="1"/>
  <c r="T54" i="46" s="1"/>
  <c r="U54" i="46" s="1"/>
  <c r="V54" i="46" s="1"/>
  <c r="W54" i="46" s="1"/>
  <c r="X54" i="46" s="1"/>
  <c r="Y54" i="46" s="1"/>
  <c r="Z54" i="46" s="1"/>
  <c r="AA54" i="46" s="1"/>
  <c r="AB54" i="46" s="1"/>
  <c r="AC54" i="46" s="1"/>
  <c r="AD54" i="46" s="1"/>
  <c r="AE54" i="46" s="1"/>
  <c r="AF54" i="46" s="1"/>
  <c r="AG54" i="46" s="1"/>
  <c r="AH54" i="46" s="1"/>
  <c r="AI54" i="46" s="1"/>
  <c r="AJ54" i="46" s="1"/>
  <c r="AK54" i="46" s="1"/>
  <c r="AL54" i="46" s="1"/>
  <c r="AM54" i="46" s="1"/>
  <c r="AO50" i="46"/>
  <c r="AQ20" i="46"/>
  <c r="AO43" i="46"/>
  <c r="AO23" i="46"/>
  <c r="AQ43" i="46"/>
  <c r="AO46" i="46"/>
  <c r="AQ31" i="46"/>
  <c r="AQ15" i="46"/>
  <c r="AQ23" i="46"/>
  <c r="AQ46" i="46"/>
  <c r="AO35" i="46"/>
  <c r="AQ3" i="46"/>
  <c r="AO10" i="46"/>
  <c r="AO31" i="46"/>
  <c r="AQ35" i="46"/>
  <c r="AQ50" i="46"/>
  <c r="AQ10" i="46"/>
  <c r="AO3" i="46"/>
  <c r="AO20" i="46"/>
  <c r="AQ27" i="46"/>
  <c r="AO15" i="46"/>
  <c r="AO27" i="46"/>
  <c r="AU4" i="15" l="1"/>
  <c r="AS3" i="24" s="1"/>
  <c r="AU5" i="15"/>
  <c r="AS3" i="38" s="1"/>
  <c r="AU6" i="15"/>
  <c r="AS3" i="30" s="1"/>
  <c r="AU7" i="15"/>
  <c r="AS3" i="37" s="1"/>
  <c r="AU8" i="15"/>
  <c r="AS3" i="36" s="1"/>
  <c r="AU9" i="15"/>
  <c r="AS4" i="38" s="1"/>
  <c r="AU10" i="15"/>
  <c r="AS4" i="32" s="1"/>
  <c r="AU11" i="15"/>
  <c r="AS3" i="39" s="1"/>
  <c r="AU12" i="15"/>
  <c r="AS3" i="31" s="1"/>
  <c r="AU13" i="15"/>
  <c r="AS5" i="38" s="1"/>
  <c r="AU14" i="15"/>
  <c r="AS4" i="24" s="1"/>
  <c r="AU15" i="15"/>
  <c r="AS4" i="30" s="1"/>
  <c r="AU16" i="15"/>
  <c r="AS4" i="31" s="1"/>
  <c r="AU17" i="15"/>
  <c r="AS5" i="31" s="1"/>
  <c r="AU18" i="15"/>
  <c r="AS6" i="31" s="1"/>
  <c r="AU19" i="15"/>
  <c r="AS5" i="24" s="1"/>
  <c r="AU20" i="15"/>
  <c r="AS6" i="24" s="1"/>
  <c r="AU21" i="15"/>
  <c r="AS4" i="36" s="1"/>
  <c r="AU22" i="15"/>
  <c r="AS5" i="30" s="1"/>
  <c r="AU23" i="15"/>
  <c r="AS3" i="34" s="1"/>
  <c r="AU24" i="15"/>
  <c r="AS4" i="37" s="1"/>
  <c r="AU25" i="15"/>
  <c r="AS4" i="39" s="1"/>
  <c r="AU26" i="15"/>
  <c r="AS5" i="39" s="1"/>
  <c r="AU27" i="15"/>
  <c r="AS3" i="33" s="1"/>
  <c r="AU28" i="15"/>
  <c r="AS3" i="35" s="1"/>
  <c r="AU29" i="15"/>
  <c r="AS4" i="34" s="1"/>
  <c r="AU30" i="15"/>
  <c r="AS5" i="34" s="1"/>
  <c r="AU31" i="15"/>
  <c r="AS9" i="24" s="1"/>
  <c r="AU32" i="15"/>
  <c r="AS6" i="39" s="1"/>
  <c r="AU33" i="15"/>
  <c r="AS5" i="37" s="1"/>
  <c r="AU34" i="15"/>
  <c r="AS6" i="37" s="1"/>
  <c r="AU35" i="15"/>
  <c r="AS6" i="34" s="1"/>
  <c r="AU36" i="15"/>
  <c r="AS5" i="36" s="1"/>
  <c r="AU37" i="15"/>
  <c r="AS10" i="24" s="1"/>
  <c r="AU38" i="15"/>
  <c r="AS5" i="32" s="1"/>
  <c r="AU39" i="15"/>
  <c r="AS7" i="39" s="1"/>
  <c r="AU40" i="15"/>
  <c r="AS4" i="33" s="1"/>
  <c r="AU41" i="15"/>
  <c r="AS8" i="39" s="1"/>
  <c r="AU42" i="15"/>
  <c r="AS6" i="32" s="1"/>
  <c r="AU43" i="15"/>
  <c r="AS7" i="24" s="1"/>
  <c r="AU44" i="15"/>
  <c r="AS4" i="35" s="1"/>
  <c r="AU45" i="15"/>
  <c r="AS5" i="35" s="1"/>
  <c r="AU46" i="15"/>
  <c r="AS8" i="24" s="1"/>
  <c r="AU47" i="15"/>
  <c r="AS6" i="30" s="1"/>
  <c r="AU48" i="15"/>
  <c r="AS9" i="39" s="1"/>
  <c r="AU49" i="15"/>
  <c r="AS6" i="38" s="1"/>
  <c r="AU50" i="15"/>
  <c r="AS5" i="33" s="1"/>
  <c r="AU51" i="15"/>
  <c r="AS7" i="38" s="1"/>
  <c r="AU52" i="15"/>
  <c r="AS7" i="37" s="1"/>
  <c r="AU3" i="15"/>
  <c r="AS3" i="32" s="1"/>
  <c r="AI46" i="42"/>
  <c r="AF46" i="42"/>
  <c r="AA46" i="42"/>
  <c r="Y46" i="42"/>
  <c r="V46" i="42"/>
  <c r="Q46" i="42"/>
  <c r="O46" i="42"/>
  <c r="L46" i="42"/>
  <c r="I46" i="42"/>
  <c r="H46" i="42"/>
  <c r="AI43" i="42"/>
  <c r="AF43" i="42"/>
  <c r="AA43" i="42"/>
  <c r="Y43" i="42"/>
  <c r="V43" i="42"/>
  <c r="Q43" i="42"/>
  <c r="O43" i="42"/>
  <c r="L43" i="42"/>
  <c r="I43" i="42"/>
  <c r="H43" i="42"/>
  <c r="AM46" i="42" l="1"/>
  <c r="AM46" i="14" l="1"/>
  <c r="AM43" i="14"/>
  <c r="AV46" i="9"/>
  <c r="H46" i="9"/>
  <c r="AV43" i="9"/>
  <c r="H46" i="43"/>
  <c r="AM46" i="43" s="1"/>
  <c r="I46" i="43"/>
  <c r="I46" i="9" s="1"/>
  <c r="J46" i="43"/>
  <c r="J46" i="9" s="1"/>
  <c r="AV46" i="43"/>
  <c r="H43" i="43"/>
  <c r="I43" i="43"/>
  <c r="I43" i="9" s="1"/>
  <c r="J43" i="43"/>
  <c r="J43" i="9" s="1"/>
  <c r="AV43" i="43"/>
  <c r="AW46" i="42"/>
  <c r="AW43" i="42"/>
  <c r="AM43" i="42"/>
  <c r="H46" i="44"/>
  <c r="AM46" i="44" s="1"/>
  <c r="I46" i="44"/>
  <c r="L46" i="44"/>
  <c r="O46" i="44"/>
  <c r="Q46" i="44"/>
  <c r="V46" i="44"/>
  <c r="Y46" i="44"/>
  <c r="AA46" i="44"/>
  <c r="AF46" i="44"/>
  <c r="AI46" i="44"/>
  <c r="AV46" i="44"/>
  <c r="H43" i="44"/>
  <c r="AM43" i="44" s="1"/>
  <c r="I43" i="44"/>
  <c r="L43" i="44"/>
  <c r="O43" i="44"/>
  <c r="Q43" i="44"/>
  <c r="V43" i="44"/>
  <c r="Y43" i="44"/>
  <c r="AA43" i="44"/>
  <c r="AF43" i="44"/>
  <c r="AI43" i="44"/>
  <c r="AV43" i="44"/>
  <c r="AM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M43" i="11"/>
  <c r="H43" i="11"/>
  <c r="AN46" i="12"/>
  <c r="AK46" i="12"/>
  <c r="AJ46" i="12"/>
  <c r="AI46" i="12"/>
  <c r="AH46" i="12"/>
  <c r="AG46" i="12"/>
  <c r="AF46" i="12"/>
  <c r="AE46" i="12"/>
  <c r="AD46" i="12"/>
  <c r="AD46" i="14" s="1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H43" i="12"/>
  <c r="I43" i="12"/>
  <c r="J43" i="12"/>
  <c r="K43" i="12"/>
  <c r="AL43" i="12" s="1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N43" i="12"/>
  <c r="O12" i="5"/>
  <c r="O9" i="5"/>
  <c r="O12" i="6"/>
  <c r="O9" i="6"/>
  <c r="D10" i="8"/>
  <c r="F10" i="8" s="1"/>
  <c r="D7" i="8"/>
  <c r="F7" i="8" s="1"/>
  <c r="L34" i="42"/>
  <c r="L33" i="42"/>
  <c r="L32" i="42"/>
  <c r="L26" i="42"/>
  <c r="L25" i="42"/>
  <c r="L24" i="42"/>
  <c r="L22" i="42"/>
  <c r="L21" i="42"/>
  <c r="L18" i="42"/>
  <c r="L17" i="42"/>
  <c r="L16" i="42"/>
  <c r="L15" i="42"/>
  <c r="L13" i="42"/>
  <c r="L12" i="42"/>
  <c r="L11" i="42"/>
  <c r="L10" i="42"/>
  <c r="L9" i="42"/>
  <c r="L8" i="42"/>
  <c r="L7" i="42"/>
  <c r="L6" i="42"/>
  <c r="L5" i="42"/>
  <c r="L3" i="42"/>
  <c r="AM43" i="43" l="1"/>
  <c r="H43" i="9"/>
  <c r="AM43" i="9" s="1"/>
  <c r="AM46" i="9"/>
  <c r="Q46" i="14"/>
  <c r="AC46" i="14"/>
  <c r="N46" i="14"/>
  <c r="AH43" i="14"/>
  <c r="M46" i="14"/>
  <c r="AK46" i="14"/>
  <c r="H46" i="14"/>
  <c r="AM46" i="12"/>
  <c r="AM43" i="12"/>
  <c r="I46" i="14"/>
  <c r="Z43" i="14"/>
  <c r="Y46" i="14"/>
  <c r="R43" i="14"/>
  <c r="V46" i="14"/>
  <c r="AG46" i="14"/>
  <c r="J43" i="14"/>
  <c r="U46" i="14"/>
  <c r="AN43" i="11"/>
  <c r="AG43" i="14"/>
  <c r="Y43" i="14"/>
  <c r="Q43" i="14"/>
  <c r="I43" i="14"/>
  <c r="AF46" i="14"/>
  <c r="X46" i="14"/>
  <c r="P46" i="14"/>
  <c r="AF43" i="14"/>
  <c r="H43" i="14"/>
  <c r="AD43" i="14"/>
  <c r="V43" i="14"/>
  <c r="N43" i="14"/>
  <c r="AN46" i="11"/>
  <c r="X43" i="14"/>
  <c r="P43" i="14"/>
  <c r="AE46" i="14"/>
  <c r="W46" i="14"/>
  <c r="O46" i="14"/>
  <c r="AL43" i="11"/>
  <c r="AE43" i="14"/>
  <c r="W43" i="14"/>
  <c r="O43" i="14"/>
  <c r="AK43" i="14"/>
  <c r="AC43" i="14"/>
  <c r="U43" i="14"/>
  <c r="M43" i="14"/>
  <c r="AJ46" i="14"/>
  <c r="AB46" i="14"/>
  <c r="T46" i="14"/>
  <c r="L46" i="14"/>
  <c r="AJ43" i="14"/>
  <c r="AB43" i="14"/>
  <c r="T43" i="14"/>
  <c r="L43" i="14"/>
  <c r="AI46" i="14"/>
  <c r="AA46" i="14"/>
  <c r="S46" i="14"/>
  <c r="K46" i="14"/>
  <c r="AI43" i="14"/>
  <c r="AA43" i="14"/>
  <c r="S43" i="14"/>
  <c r="K43" i="14"/>
  <c r="AH46" i="14"/>
  <c r="Z46" i="14"/>
  <c r="R46" i="14"/>
  <c r="J46" i="14"/>
  <c r="AL46" i="11"/>
  <c r="AL46" i="12"/>
  <c r="Q34" i="42"/>
  <c r="V34" i="42"/>
  <c r="V33" i="42"/>
  <c r="V32" i="42"/>
  <c r="V26" i="42"/>
  <c r="V25" i="42"/>
  <c r="V24" i="42"/>
  <c r="V22" i="42"/>
  <c r="V21" i="42"/>
  <c r="V18" i="42"/>
  <c r="V17" i="42"/>
  <c r="V16" i="42"/>
  <c r="V15" i="42"/>
  <c r="V13" i="42"/>
  <c r="V12" i="42"/>
  <c r="V11" i="42"/>
  <c r="V10" i="42"/>
  <c r="V9" i="42"/>
  <c r="V8" i="42"/>
  <c r="V7" i="42"/>
  <c r="V6" i="42"/>
  <c r="V5" i="42"/>
  <c r="V3" i="42"/>
  <c r="V35" i="42"/>
  <c r="V31" i="42"/>
  <c r="V30" i="42"/>
  <c r="V29" i="42"/>
  <c r="V28" i="42"/>
  <c r="V27" i="42"/>
  <c r="V23" i="42"/>
  <c r="V20" i="42"/>
  <c r="V19" i="42"/>
  <c r="V14" i="42"/>
  <c r="V4" i="42"/>
  <c r="L35" i="42"/>
  <c r="L31" i="42"/>
  <c r="L30" i="42"/>
  <c r="L29" i="42"/>
  <c r="L28" i="42"/>
  <c r="L27" i="42"/>
  <c r="L23" i="42"/>
  <c r="L20" i="42"/>
  <c r="L19" i="42"/>
  <c r="L14" i="42"/>
  <c r="L4" i="42"/>
  <c r="V4" i="44"/>
  <c r="V5" i="44"/>
  <c r="V6" i="44"/>
  <c r="V7" i="44"/>
  <c r="V8" i="44"/>
  <c r="V9" i="44"/>
  <c r="V10" i="44"/>
  <c r="V11" i="44"/>
  <c r="V12" i="44"/>
  <c r="V13" i="44"/>
  <c r="V14" i="44"/>
  <c r="V15" i="44"/>
  <c r="V16" i="44"/>
  <c r="V17" i="44"/>
  <c r="V18" i="44"/>
  <c r="V19" i="44"/>
  <c r="V20" i="44"/>
  <c r="V21" i="44"/>
  <c r="V22" i="44"/>
  <c r="V23" i="44"/>
  <c r="V24" i="44"/>
  <c r="V25" i="44"/>
  <c r="V26" i="44"/>
  <c r="V27" i="44"/>
  <c r="V28" i="44"/>
  <c r="V29" i="44"/>
  <c r="V30" i="44"/>
  <c r="V31" i="44"/>
  <c r="V32" i="44"/>
  <c r="V33" i="44"/>
  <c r="V34" i="44"/>
  <c r="V35" i="44"/>
  <c r="V3" i="44"/>
  <c r="Q4" i="44"/>
  <c r="Q5" i="44"/>
  <c r="Q6" i="44"/>
  <c r="Q7" i="44"/>
  <c r="Q8" i="44"/>
  <c r="Q9" i="44"/>
  <c r="Q10" i="44"/>
  <c r="Q11" i="44"/>
  <c r="Q12" i="44"/>
  <c r="Q13" i="44"/>
  <c r="Q14" i="44"/>
  <c r="Q15" i="44"/>
  <c r="Q16" i="44"/>
  <c r="Q17" i="44"/>
  <c r="Q18" i="44"/>
  <c r="Q19" i="44"/>
  <c r="Q20" i="44"/>
  <c r="Q21" i="44"/>
  <c r="Q22" i="44"/>
  <c r="Q23" i="44"/>
  <c r="Q24" i="44"/>
  <c r="Q25" i="44"/>
  <c r="Q26" i="44"/>
  <c r="Q27" i="44"/>
  <c r="Q28" i="44"/>
  <c r="Q29" i="44"/>
  <c r="Q30" i="44"/>
  <c r="Q31" i="44"/>
  <c r="Q32" i="44"/>
  <c r="Q33" i="44"/>
  <c r="Q34" i="44"/>
  <c r="Q35" i="44"/>
  <c r="L4" i="44"/>
  <c r="L5" i="44"/>
  <c r="L6" i="44"/>
  <c r="L7" i="44"/>
  <c r="L8" i="44"/>
  <c r="L9" i="44"/>
  <c r="L10" i="44"/>
  <c r="L11" i="44"/>
  <c r="L12" i="44"/>
  <c r="L13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1" i="44"/>
  <c r="L32" i="44"/>
  <c r="L33" i="44"/>
  <c r="L34" i="44"/>
  <c r="L35" i="44"/>
  <c r="L3" i="44"/>
  <c r="Q3" i="44"/>
  <c r="H35" i="43"/>
  <c r="H27" i="44"/>
  <c r="H3" i="44"/>
  <c r="H36" i="44"/>
  <c r="AL46" i="14" l="1"/>
  <c r="AL43" i="14"/>
  <c r="H36" i="42"/>
  <c r="H21" i="44"/>
  <c r="J36" i="43"/>
  <c r="I36" i="43"/>
  <c r="H36" i="43"/>
  <c r="H36" i="9" l="1"/>
  <c r="I36" i="9"/>
  <c r="J36" i="9"/>
  <c r="H35" i="9"/>
  <c r="I35" i="43"/>
  <c r="I35" i="9" s="1"/>
  <c r="J35" i="43"/>
  <c r="J35" i="9" s="1"/>
  <c r="H34" i="43"/>
  <c r="H34" i="9" s="1"/>
  <c r="I34" i="43"/>
  <c r="I34" i="9" s="1"/>
  <c r="J34" i="43"/>
  <c r="J34" i="9" s="1"/>
  <c r="H33" i="43"/>
  <c r="H33" i="9" s="1"/>
  <c r="I33" i="43"/>
  <c r="I33" i="9" s="1"/>
  <c r="J33" i="43"/>
  <c r="J33" i="9" s="1"/>
  <c r="H32" i="43"/>
  <c r="H32" i="9" s="1"/>
  <c r="I32" i="43"/>
  <c r="I32" i="9" s="1"/>
  <c r="J32" i="43"/>
  <c r="J32" i="9" s="1"/>
  <c r="H31" i="43"/>
  <c r="H31" i="9" s="1"/>
  <c r="I31" i="43"/>
  <c r="I31" i="9" s="1"/>
  <c r="J31" i="43"/>
  <c r="J31" i="9" s="1"/>
  <c r="H30" i="43"/>
  <c r="H30" i="9" s="1"/>
  <c r="I30" i="43"/>
  <c r="I30" i="9" s="1"/>
  <c r="J30" i="43"/>
  <c r="J30" i="9" s="1"/>
  <c r="H29" i="43"/>
  <c r="H29" i="9" s="1"/>
  <c r="I29" i="43"/>
  <c r="I29" i="9" s="1"/>
  <c r="J29" i="43"/>
  <c r="J29" i="9" s="1"/>
  <c r="H28" i="43"/>
  <c r="H28" i="9" s="1"/>
  <c r="I28" i="43"/>
  <c r="I28" i="9" s="1"/>
  <c r="J28" i="43"/>
  <c r="J28" i="9" s="1"/>
  <c r="H27" i="43"/>
  <c r="H27" i="9" s="1"/>
  <c r="I27" i="43"/>
  <c r="I27" i="9" s="1"/>
  <c r="J27" i="43"/>
  <c r="J27" i="9" s="1"/>
  <c r="H26" i="43"/>
  <c r="H26" i="9" s="1"/>
  <c r="I26" i="43"/>
  <c r="I26" i="9" s="1"/>
  <c r="J26" i="43"/>
  <c r="J26" i="9" s="1"/>
  <c r="H25" i="43"/>
  <c r="H25" i="9" s="1"/>
  <c r="I25" i="43"/>
  <c r="I25" i="9" s="1"/>
  <c r="J25" i="43"/>
  <c r="J25" i="9" s="1"/>
  <c r="H24" i="43"/>
  <c r="H24" i="9" s="1"/>
  <c r="I24" i="43"/>
  <c r="I24" i="9" s="1"/>
  <c r="J24" i="43"/>
  <c r="J24" i="9" s="1"/>
  <c r="H23" i="43"/>
  <c r="H23" i="9" s="1"/>
  <c r="I23" i="43"/>
  <c r="I23" i="9" s="1"/>
  <c r="J23" i="43"/>
  <c r="J23" i="9" s="1"/>
  <c r="H22" i="43"/>
  <c r="H22" i="9" s="1"/>
  <c r="I22" i="43"/>
  <c r="I22" i="9" s="1"/>
  <c r="J22" i="43"/>
  <c r="J22" i="9" s="1"/>
  <c r="H21" i="43"/>
  <c r="H21" i="9" s="1"/>
  <c r="I21" i="43"/>
  <c r="I21" i="9" s="1"/>
  <c r="J21" i="43"/>
  <c r="J21" i="9" s="1"/>
  <c r="H20" i="43"/>
  <c r="H20" i="9" s="1"/>
  <c r="I20" i="43"/>
  <c r="I20" i="9" s="1"/>
  <c r="J20" i="43"/>
  <c r="J20" i="9" s="1"/>
  <c r="H19" i="43"/>
  <c r="H19" i="9" s="1"/>
  <c r="I19" i="43"/>
  <c r="I19" i="9" s="1"/>
  <c r="J19" i="43"/>
  <c r="J19" i="9" s="1"/>
  <c r="H18" i="43"/>
  <c r="H18" i="9" s="1"/>
  <c r="I18" i="43"/>
  <c r="I18" i="9" s="1"/>
  <c r="J18" i="43"/>
  <c r="J18" i="9" s="1"/>
  <c r="H17" i="43"/>
  <c r="H17" i="9" s="1"/>
  <c r="I17" i="43"/>
  <c r="I17" i="9" s="1"/>
  <c r="J17" i="43"/>
  <c r="J17" i="9" s="1"/>
  <c r="H16" i="43"/>
  <c r="H16" i="9" s="1"/>
  <c r="I16" i="43"/>
  <c r="I16" i="9" s="1"/>
  <c r="J16" i="43"/>
  <c r="J16" i="9" s="1"/>
  <c r="H15" i="43"/>
  <c r="H15" i="9" s="1"/>
  <c r="I15" i="43"/>
  <c r="I15" i="9" s="1"/>
  <c r="J15" i="43"/>
  <c r="J15" i="9" s="1"/>
  <c r="H14" i="43"/>
  <c r="H14" i="9" s="1"/>
  <c r="I14" i="43"/>
  <c r="I14" i="9" s="1"/>
  <c r="J14" i="43"/>
  <c r="J14" i="9" s="1"/>
  <c r="H13" i="43"/>
  <c r="H13" i="9" s="1"/>
  <c r="I13" i="43"/>
  <c r="I13" i="9" s="1"/>
  <c r="J13" i="43"/>
  <c r="J13" i="9" s="1"/>
  <c r="H12" i="43"/>
  <c r="H12" i="9" s="1"/>
  <c r="I12" i="43"/>
  <c r="I12" i="9" s="1"/>
  <c r="J12" i="43"/>
  <c r="J12" i="9" s="1"/>
  <c r="H11" i="43"/>
  <c r="H11" i="9" s="1"/>
  <c r="I11" i="43"/>
  <c r="I11" i="9" s="1"/>
  <c r="J11" i="43"/>
  <c r="J11" i="9" s="1"/>
  <c r="H10" i="43"/>
  <c r="H10" i="9" s="1"/>
  <c r="I10" i="43"/>
  <c r="I10" i="9" s="1"/>
  <c r="J10" i="43"/>
  <c r="J10" i="9" s="1"/>
  <c r="H9" i="43"/>
  <c r="H9" i="9" s="1"/>
  <c r="I9" i="43"/>
  <c r="I9" i="9" s="1"/>
  <c r="J9" i="43"/>
  <c r="J9" i="9" s="1"/>
  <c r="H8" i="43"/>
  <c r="H8" i="9" s="1"/>
  <c r="I8" i="43"/>
  <c r="I8" i="9" s="1"/>
  <c r="J8" i="43"/>
  <c r="J8" i="9" s="1"/>
  <c r="H7" i="43"/>
  <c r="H7" i="9" s="1"/>
  <c r="I7" i="43"/>
  <c r="I7" i="9" s="1"/>
  <c r="J7" i="43"/>
  <c r="J7" i="9" s="1"/>
  <c r="H6" i="43"/>
  <c r="H6" i="9" s="1"/>
  <c r="I6" i="43"/>
  <c r="I6" i="9" s="1"/>
  <c r="J6" i="43"/>
  <c r="J6" i="9" s="1"/>
  <c r="H5" i="43"/>
  <c r="H5" i="9" s="1"/>
  <c r="I5" i="43"/>
  <c r="I5" i="9" s="1"/>
  <c r="J5" i="43"/>
  <c r="J5" i="9" s="1"/>
  <c r="H4" i="43"/>
  <c r="H4" i="9" s="1"/>
  <c r="I4" i="43"/>
  <c r="I4" i="9" s="1"/>
  <c r="J4" i="43"/>
  <c r="J4" i="9" s="1"/>
  <c r="I3" i="43"/>
  <c r="I3" i="9" s="1"/>
  <c r="J3" i="43"/>
  <c r="J3" i="9" s="1"/>
  <c r="H3" i="43"/>
  <c r="H3" i="9" s="1"/>
  <c r="AL53" i="43"/>
  <c r="AK53" i="43"/>
  <c r="AJ53" i="43"/>
  <c r="AI53" i="43"/>
  <c r="AH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L53" i="43"/>
  <c r="K53" i="43"/>
  <c r="AM4" i="14"/>
  <c r="AM5" i="14"/>
  <c r="AM6" i="14"/>
  <c r="AM7" i="14"/>
  <c r="AM8" i="14"/>
  <c r="AM9" i="14"/>
  <c r="AM10" i="14"/>
  <c r="AM11" i="14"/>
  <c r="AM12" i="14"/>
  <c r="AM13" i="14"/>
  <c r="AM14" i="14"/>
  <c r="AM15" i="14"/>
  <c r="AM16" i="14"/>
  <c r="AM17" i="14"/>
  <c r="AM18" i="14"/>
  <c r="AM19" i="14"/>
  <c r="AM20" i="14"/>
  <c r="AM21" i="14"/>
  <c r="AM22" i="14"/>
  <c r="AM23" i="14"/>
  <c r="AM24" i="14"/>
  <c r="AM25" i="14"/>
  <c r="AM26" i="14"/>
  <c r="AM27" i="14"/>
  <c r="AM28" i="14"/>
  <c r="AM29" i="14"/>
  <c r="AM30" i="14"/>
  <c r="AM31" i="14"/>
  <c r="AM32" i="14"/>
  <c r="AM33" i="14"/>
  <c r="AM34" i="14"/>
  <c r="AM35" i="14"/>
  <c r="AM36" i="14"/>
  <c r="AM37" i="14"/>
  <c r="AM38" i="14"/>
  <c r="AM39" i="14"/>
  <c r="AM40" i="14"/>
  <c r="AM41" i="14"/>
  <c r="AM42" i="14"/>
  <c r="AM44" i="14"/>
  <c r="AM45" i="14"/>
  <c r="AM47" i="14"/>
  <c r="AM48" i="14"/>
  <c r="AM49" i="14"/>
  <c r="AM50" i="14"/>
  <c r="AM51" i="14"/>
  <c r="AM52" i="14"/>
  <c r="AM3" i="14"/>
  <c r="AW4" i="42"/>
  <c r="AW5" i="42"/>
  <c r="AW6" i="42"/>
  <c r="AW7" i="42"/>
  <c r="AW8" i="42"/>
  <c r="AW9" i="42"/>
  <c r="AW10" i="42"/>
  <c r="AW11" i="42"/>
  <c r="AW12" i="42"/>
  <c r="AW13" i="42"/>
  <c r="AW14" i="42"/>
  <c r="AW15" i="42"/>
  <c r="AW16" i="42"/>
  <c r="AW17" i="42"/>
  <c r="AW18" i="42"/>
  <c r="AW19" i="42"/>
  <c r="AW20" i="42"/>
  <c r="AW21" i="42"/>
  <c r="AW22" i="42"/>
  <c r="AW23" i="42"/>
  <c r="AW24" i="42"/>
  <c r="AW25" i="42"/>
  <c r="AW26" i="42"/>
  <c r="AW27" i="42"/>
  <c r="AW28" i="42"/>
  <c r="AW29" i="42"/>
  <c r="AW30" i="42"/>
  <c r="AW31" i="42"/>
  <c r="AW32" i="42"/>
  <c r="AW33" i="42"/>
  <c r="AW34" i="42"/>
  <c r="AW35" i="42"/>
  <c r="AW36" i="42"/>
  <c r="AW37" i="42"/>
  <c r="AW38" i="42"/>
  <c r="AW39" i="42"/>
  <c r="AW40" i="42"/>
  <c r="AW41" i="42"/>
  <c r="AW42" i="42"/>
  <c r="AW44" i="42"/>
  <c r="AW45" i="42"/>
  <c r="AW47" i="42"/>
  <c r="AW48" i="42"/>
  <c r="AW49" i="42"/>
  <c r="AW50" i="42"/>
  <c r="AW51" i="42"/>
  <c r="AW52" i="42"/>
  <c r="AW3" i="42"/>
  <c r="AV4" i="44"/>
  <c r="AV5" i="44"/>
  <c r="AV6" i="44"/>
  <c r="AV7" i="44"/>
  <c r="AV8" i="44"/>
  <c r="AV9" i="44"/>
  <c r="AV10" i="44"/>
  <c r="AV11" i="44"/>
  <c r="AV12" i="44"/>
  <c r="AV13" i="44"/>
  <c r="AV14" i="44"/>
  <c r="AV15" i="44"/>
  <c r="AV16" i="44"/>
  <c r="AV17" i="44"/>
  <c r="AV18" i="44"/>
  <c r="AV19" i="44"/>
  <c r="AV20" i="44"/>
  <c r="AV21" i="44"/>
  <c r="AV22" i="44"/>
  <c r="AV23" i="44"/>
  <c r="AV24" i="44"/>
  <c r="AV25" i="44"/>
  <c r="AV26" i="44"/>
  <c r="AV27" i="44"/>
  <c r="AV28" i="44"/>
  <c r="AV29" i="44"/>
  <c r="AV30" i="44"/>
  <c r="AV31" i="44"/>
  <c r="AV32" i="44"/>
  <c r="AV33" i="44"/>
  <c r="AV34" i="44"/>
  <c r="AV35" i="44"/>
  <c r="AV36" i="44"/>
  <c r="AV37" i="44"/>
  <c r="AV38" i="44"/>
  <c r="AV39" i="44"/>
  <c r="AV40" i="44"/>
  <c r="AV41" i="44"/>
  <c r="AV42" i="44"/>
  <c r="AV44" i="44"/>
  <c r="AV45" i="44"/>
  <c r="AV47" i="44"/>
  <c r="AV48" i="44"/>
  <c r="AV49" i="44"/>
  <c r="AV50" i="44"/>
  <c r="AV51" i="44"/>
  <c r="AV52" i="44"/>
  <c r="AV3" i="44"/>
  <c r="AN4" i="12"/>
  <c r="AN5" i="12"/>
  <c r="AN6" i="12"/>
  <c r="AN7" i="12"/>
  <c r="AN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4" i="12"/>
  <c r="AN45" i="12"/>
  <c r="AN47" i="12"/>
  <c r="AN48" i="12"/>
  <c r="AN49" i="12"/>
  <c r="AN50" i="12"/>
  <c r="AN51" i="12"/>
  <c r="AN52" i="12"/>
  <c r="AN3" i="12"/>
  <c r="AI50" i="42" l="1"/>
  <c r="AF50" i="42"/>
  <c r="AA50" i="42"/>
  <c r="Y50" i="42"/>
  <c r="V50" i="42"/>
  <c r="Q50" i="42"/>
  <c r="O50" i="42"/>
  <c r="L50" i="42"/>
  <c r="I50" i="42"/>
  <c r="AI45" i="42"/>
  <c r="AF45" i="42"/>
  <c r="AA45" i="42"/>
  <c r="Y45" i="42"/>
  <c r="V45" i="42"/>
  <c r="Q45" i="42"/>
  <c r="O45" i="42"/>
  <c r="L45" i="42"/>
  <c r="I45" i="42"/>
  <c r="AI44" i="42"/>
  <c r="AF44" i="42"/>
  <c r="AA44" i="42"/>
  <c r="Y44" i="42"/>
  <c r="V44" i="42"/>
  <c r="Q44" i="42"/>
  <c r="O44" i="42"/>
  <c r="L44" i="42"/>
  <c r="I44" i="42"/>
  <c r="AI40" i="42"/>
  <c r="AF40" i="42"/>
  <c r="AA40" i="42"/>
  <c r="Y40" i="42"/>
  <c r="V40" i="42"/>
  <c r="Q40" i="42"/>
  <c r="O40" i="42"/>
  <c r="L40" i="42"/>
  <c r="I40" i="42"/>
  <c r="AL37" i="42"/>
  <c r="AK37" i="42"/>
  <c r="AJ37" i="42"/>
  <c r="AI37" i="42"/>
  <c r="AH37" i="42"/>
  <c r="AG37" i="42"/>
  <c r="AF37" i="42"/>
  <c r="AE37" i="42"/>
  <c r="AD37" i="42"/>
  <c r="AC37" i="42"/>
  <c r="AB37" i="42"/>
  <c r="AA37" i="42"/>
  <c r="Z37" i="42"/>
  <c r="Y37" i="42"/>
  <c r="X37" i="42"/>
  <c r="W37" i="42"/>
  <c r="V37" i="42"/>
  <c r="U37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AL35" i="42"/>
  <c r="AK35" i="42"/>
  <c r="AJ35" i="42"/>
  <c r="AI35" i="42"/>
  <c r="AH35" i="42"/>
  <c r="AG35" i="42"/>
  <c r="AF35" i="42"/>
  <c r="AE35" i="42"/>
  <c r="AD35" i="42"/>
  <c r="AC35" i="42"/>
  <c r="AB35" i="42"/>
  <c r="AA35" i="42"/>
  <c r="Z35" i="42"/>
  <c r="Y35" i="42"/>
  <c r="X35" i="42"/>
  <c r="W35" i="42"/>
  <c r="U35" i="42"/>
  <c r="T35" i="42"/>
  <c r="S35" i="42"/>
  <c r="R35" i="42"/>
  <c r="Q35" i="42"/>
  <c r="P35" i="42"/>
  <c r="O35" i="42"/>
  <c r="N35" i="42"/>
  <c r="M35" i="42"/>
  <c r="K35" i="42"/>
  <c r="J35" i="42"/>
  <c r="I35" i="42"/>
  <c r="H35" i="42"/>
  <c r="AL31" i="42"/>
  <c r="AK31" i="42"/>
  <c r="AJ31" i="42"/>
  <c r="AI31" i="42"/>
  <c r="AH31" i="42"/>
  <c r="AG31" i="42"/>
  <c r="AF31" i="42"/>
  <c r="AE31" i="42"/>
  <c r="AD31" i="42"/>
  <c r="AC31" i="42"/>
  <c r="AB31" i="42"/>
  <c r="AA31" i="42"/>
  <c r="Z31" i="42"/>
  <c r="Y31" i="42"/>
  <c r="X31" i="42"/>
  <c r="W31" i="42"/>
  <c r="U31" i="42"/>
  <c r="T31" i="42"/>
  <c r="S31" i="42"/>
  <c r="R31" i="42"/>
  <c r="Q31" i="42"/>
  <c r="P31" i="42"/>
  <c r="O31" i="42"/>
  <c r="N31" i="42"/>
  <c r="M31" i="42"/>
  <c r="K31" i="42"/>
  <c r="J31" i="42"/>
  <c r="I31" i="42"/>
  <c r="H31" i="42"/>
  <c r="AL30" i="42"/>
  <c r="AK30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U30" i="42"/>
  <c r="T30" i="42"/>
  <c r="S30" i="42"/>
  <c r="R30" i="42"/>
  <c r="Q30" i="42"/>
  <c r="P30" i="42"/>
  <c r="O30" i="42"/>
  <c r="N30" i="42"/>
  <c r="M30" i="42"/>
  <c r="K30" i="42"/>
  <c r="J30" i="42"/>
  <c r="I30" i="42"/>
  <c r="H30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U29" i="42"/>
  <c r="T29" i="42"/>
  <c r="S29" i="42"/>
  <c r="R29" i="42"/>
  <c r="Q29" i="42"/>
  <c r="P29" i="42"/>
  <c r="O29" i="42"/>
  <c r="N29" i="42"/>
  <c r="M29" i="42"/>
  <c r="K29" i="42"/>
  <c r="J29" i="42"/>
  <c r="I29" i="42"/>
  <c r="H29" i="42"/>
  <c r="AL28" i="42"/>
  <c r="AK28" i="42"/>
  <c r="AJ28" i="42"/>
  <c r="AI28" i="42"/>
  <c r="AH28" i="42"/>
  <c r="AG28" i="42"/>
  <c r="AF28" i="42"/>
  <c r="AE28" i="42"/>
  <c r="AD28" i="42"/>
  <c r="AC28" i="42"/>
  <c r="AB28" i="42"/>
  <c r="AA28" i="42"/>
  <c r="Z28" i="42"/>
  <c r="Y28" i="42"/>
  <c r="X28" i="42"/>
  <c r="W28" i="42"/>
  <c r="U28" i="42"/>
  <c r="T28" i="42"/>
  <c r="S28" i="42"/>
  <c r="R28" i="42"/>
  <c r="Q28" i="42"/>
  <c r="P28" i="42"/>
  <c r="O28" i="42"/>
  <c r="N28" i="42"/>
  <c r="M28" i="42"/>
  <c r="K28" i="42"/>
  <c r="J28" i="42"/>
  <c r="I28" i="42"/>
  <c r="H28" i="42"/>
  <c r="AL27" i="42"/>
  <c r="AK27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U27" i="42"/>
  <c r="T27" i="42"/>
  <c r="S27" i="42"/>
  <c r="R27" i="42"/>
  <c r="Q27" i="42"/>
  <c r="P27" i="42"/>
  <c r="O27" i="42"/>
  <c r="N27" i="42"/>
  <c r="M27" i="42"/>
  <c r="K27" i="42"/>
  <c r="J27" i="42"/>
  <c r="I27" i="42"/>
  <c r="H27" i="42"/>
  <c r="AL23" i="42"/>
  <c r="AK23" i="42"/>
  <c r="AJ23" i="42"/>
  <c r="AI23" i="42"/>
  <c r="AH23" i="42"/>
  <c r="AG23" i="42"/>
  <c r="AF23" i="42"/>
  <c r="AE23" i="42"/>
  <c r="AD23" i="42"/>
  <c r="AC23" i="42"/>
  <c r="AB23" i="42"/>
  <c r="AA23" i="42"/>
  <c r="Z23" i="42"/>
  <c r="Y23" i="42"/>
  <c r="X23" i="42"/>
  <c r="W23" i="42"/>
  <c r="U23" i="42"/>
  <c r="T23" i="42"/>
  <c r="S23" i="42"/>
  <c r="R23" i="42"/>
  <c r="Q23" i="42"/>
  <c r="P23" i="42"/>
  <c r="O23" i="42"/>
  <c r="N23" i="42"/>
  <c r="M23" i="42"/>
  <c r="K23" i="42"/>
  <c r="J23" i="42"/>
  <c r="I23" i="42"/>
  <c r="H23" i="42"/>
  <c r="AL20" i="42"/>
  <c r="AK20" i="42"/>
  <c r="AJ20" i="42"/>
  <c r="AI20" i="42"/>
  <c r="AH20" i="42"/>
  <c r="AG20" i="42"/>
  <c r="AF20" i="42"/>
  <c r="AE20" i="42"/>
  <c r="AD20" i="42"/>
  <c r="AC20" i="42"/>
  <c r="AB20" i="42"/>
  <c r="AA20" i="42"/>
  <c r="Z20" i="42"/>
  <c r="Y20" i="42"/>
  <c r="X20" i="42"/>
  <c r="W20" i="42"/>
  <c r="U20" i="42"/>
  <c r="T20" i="42"/>
  <c r="S20" i="42"/>
  <c r="R20" i="42"/>
  <c r="Q20" i="42"/>
  <c r="P20" i="42"/>
  <c r="O20" i="42"/>
  <c r="N20" i="42"/>
  <c r="M20" i="42"/>
  <c r="K20" i="42"/>
  <c r="J20" i="42"/>
  <c r="I20" i="42"/>
  <c r="H20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W19" i="42"/>
  <c r="U19" i="42"/>
  <c r="T19" i="42"/>
  <c r="S19" i="42"/>
  <c r="R19" i="42"/>
  <c r="Q19" i="42"/>
  <c r="P19" i="42"/>
  <c r="O19" i="42"/>
  <c r="N19" i="42"/>
  <c r="M19" i="42"/>
  <c r="K19" i="42"/>
  <c r="J19" i="42"/>
  <c r="I19" i="42"/>
  <c r="H19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W14" i="42"/>
  <c r="U14" i="42"/>
  <c r="T14" i="42"/>
  <c r="S14" i="42"/>
  <c r="R14" i="42"/>
  <c r="Q14" i="42"/>
  <c r="P14" i="42"/>
  <c r="O14" i="42"/>
  <c r="N14" i="42"/>
  <c r="M14" i="42"/>
  <c r="K14" i="42"/>
  <c r="J14" i="42"/>
  <c r="I14" i="42"/>
  <c r="H14" i="42"/>
  <c r="AL4" i="42"/>
  <c r="AK4" i="42"/>
  <c r="AJ4" i="42"/>
  <c r="AI4" i="42"/>
  <c r="AH4" i="42"/>
  <c r="AG4" i="42"/>
  <c r="AF4" i="42"/>
  <c r="AE4" i="42"/>
  <c r="AD4" i="42"/>
  <c r="AC4" i="42"/>
  <c r="AB4" i="42"/>
  <c r="AA4" i="42"/>
  <c r="Z4" i="42"/>
  <c r="Y4" i="42"/>
  <c r="X4" i="42"/>
  <c r="W4" i="42"/>
  <c r="U4" i="42"/>
  <c r="T4" i="42"/>
  <c r="S4" i="42"/>
  <c r="R4" i="42"/>
  <c r="Q4" i="42"/>
  <c r="P4" i="42"/>
  <c r="O4" i="42"/>
  <c r="N4" i="42"/>
  <c r="M4" i="42"/>
  <c r="K4" i="42"/>
  <c r="J4" i="42"/>
  <c r="I4" i="42"/>
  <c r="H4" i="42"/>
  <c r="AI52" i="42"/>
  <c r="AF52" i="42"/>
  <c r="AA52" i="42"/>
  <c r="Y52" i="42"/>
  <c r="V52" i="42"/>
  <c r="Q52" i="42"/>
  <c r="O52" i="42"/>
  <c r="L52" i="42"/>
  <c r="I52" i="42"/>
  <c r="AI51" i="42"/>
  <c r="AF51" i="42"/>
  <c r="AA51" i="42"/>
  <c r="Y51" i="42"/>
  <c r="V51" i="42"/>
  <c r="Q51" i="42"/>
  <c r="O51" i="42"/>
  <c r="L51" i="42"/>
  <c r="I51" i="42"/>
  <c r="AI49" i="42"/>
  <c r="AF49" i="42"/>
  <c r="AA49" i="42"/>
  <c r="Y49" i="42"/>
  <c r="V49" i="42"/>
  <c r="Q49" i="42"/>
  <c r="O49" i="42"/>
  <c r="L49" i="42"/>
  <c r="I49" i="42"/>
  <c r="AI48" i="42"/>
  <c r="AF48" i="42"/>
  <c r="AA48" i="42"/>
  <c r="Y48" i="42"/>
  <c r="V48" i="42"/>
  <c r="Q48" i="42"/>
  <c r="O48" i="42"/>
  <c r="L48" i="42"/>
  <c r="I48" i="42"/>
  <c r="AI47" i="42"/>
  <c r="AF47" i="42"/>
  <c r="AA47" i="42"/>
  <c r="Y47" i="42"/>
  <c r="V47" i="42"/>
  <c r="Q47" i="42"/>
  <c r="O47" i="42"/>
  <c r="L47" i="42"/>
  <c r="I47" i="42"/>
  <c r="AI42" i="42"/>
  <c r="AF42" i="42"/>
  <c r="AA42" i="42"/>
  <c r="Y42" i="42"/>
  <c r="V42" i="42"/>
  <c r="Q42" i="42"/>
  <c r="O42" i="42"/>
  <c r="L42" i="42"/>
  <c r="I42" i="42"/>
  <c r="AI41" i="42"/>
  <c r="AF41" i="42"/>
  <c r="AA41" i="42"/>
  <c r="Y41" i="42"/>
  <c r="V41" i="42"/>
  <c r="Q41" i="42"/>
  <c r="O41" i="42"/>
  <c r="L41" i="42"/>
  <c r="I41" i="42"/>
  <c r="AI39" i="42"/>
  <c r="AF39" i="42"/>
  <c r="AA39" i="42"/>
  <c r="Y39" i="42"/>
  <c r="V39" i="42"/>
  <c r="Q39" i="42"/>
  <c r="O39" i="42"/>
  <c r="L39" i="42"/>
  <c r="I39" i="42"/>
  <c r="AI38" i="42"/>
  <c r="AF38" i="42"/>
  <c r="AA38" i="42"/>
  <c r="Y38" i="42"/>
  <c r="V38" i="42"/>
  <c r="Q38" i="42"/>
  <c r="O38" i="42"/>
  <c r="L38" i="42"/>
  <c r="I38" i="42"/>
  <c r="AL36" i="42"/>
  <c r="AK36" i="42"/>
  <c r="AJ36" i="42"/>
  <c r="AI36" i="42"/>
  <c r="AH36" i="42"/>
  <c r="AG36" i="42"/>
  <c r="AF36" i="42"/>
  <c r="AE36" i="42"/>
  <c r="AD36" i="42"/>
  <c r="AC36" i="42"/>
  <c r="AB36" i="42"/>
  <c r="AA36" i="42"/>
  <c r="Z36" i="42"/>
  <c r="Y36" i="42"/>
  <c r="X36" i="42"/>
  <c r="W36" i="42"/>
  <c r="V36" i="42"/>
  <c r="U36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AL34" i="42"/>
  <c r="AK34" i="42"/>
  <c r="AJ34" i="42"/>
  <c r="AI34" i="42"/>
  <c r="AH34" i="42"/>
  <c r="AG34" i="42"/>
  <c r="AF34" i="42"/>
  <c r="AE34" i="42"/>
  <c r="AD34" i="42"/>
  <c r="AC34" i="42"/>
  <c r="AB34" i="42"/>
  <c r="AA34" i="42"/>
  <c r="Z34" i="42"/>
  <c r="Y34" i="42"/>
  <c r="X34" i="42"/>
  <c r="W34" i="42"/>
  <c r="U34" i="42"/>
  <c r="T34" i="42"/>
  <c r="S34" i="42"/>
  <c r="R34" i="42"/>
  <c r="P34" i="42"/>
  <c r="O34" i="42"/>
  <c r="N34" i="42"/>
  <c r="M34" i="42"/>
  <c r="K34" i="42"/>
  <c r="J34" i="42"/>
  <c r="I34" i="42"/>
  <c r="H34" i="42"/>
  <c r="AL33" i="42"/>
  <c r="AK33" i="42"/>
  <c r="AJ33" i="42"/>
  <c r="AI33" i="42"/>
  <c r="AH33" i="42"/>
  <c r="AG33" i="42"/>
  <c r="AF33" i="42"/>
  <c r="AE33" i="42"/>
  <c r="AD33" i="42"/>
  <c r="AC33" i="42"/>
  <c r="AB33" i="42"/>
  <c r="AA33" i="42"/>
  <c r="Z33" i="42"/>
  <c r="Y33" i="42"/>
  <c r="X33" i="42"/>
  <c r="W33" i="42"/>
  <c r="U33" i="42"/>
  <c r="T33" i="42"/>
  <c r="S33" i="42"/>
  <c r="R33" i="42"/>
  <c r="Q33" i="42"/>
  <c r="P33" i="42"/>
  <c r="O33" i="42"/>
  <c r="N33" i="42"/>
  <c r="M33" i="42"/>
  <c r="K33" i="42"/>
  <c r="J33" i="42"/>
  <c r="I33" i="42"/>
  <c r="H33" i="42"/>
  <c r="AL32" i="42"/>
  <c r="AK32" i="42"/>
  <c r="AJ32" i="42"/>
  <c r="AI32" i="42"/>
  <c r="AH32" i="42"/>
  <c r="AG32" i="42"/>
  <c r="AF32" i="42"/>
  <c r="AE32" i="42"/>
  <c r="AD32" i="42"/>
  <c r="AC32" i="42"/>
  <c r="AB32" i="42"/>
  <c r="AA32" i="42"/>
  <c r="Z32" i="42"/>
  <c r="Y32" i="42"/>
  <c r="X32" i="42"/>
  <c r="W32" i="42"/>
  <c r="U32" i="42"/>
  <c r="T32" i="42"/>
  <c r="S32" i="42"/>
  <c r="R32" i="42"/>
  <c r="Q32" i="42"/>
  <c r="P32" i="42"/>
  <c r="O32" i="42"/>
  <c r="N32" i="42"/>
  <c r="M32" i="42"/>
  <c r="K32" i="42"/>
  <c r="J32" i="42"/>
  <c r="I32" i="42"/>
  <c r="H32" i="42"/>
  <c r="AL26" i="42"/>
  <c r="AK26" i="42"/>
  <c r="AJ26" i="42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U26" i="42"/>
  <c r="T26" i="42"/>
  <c r="S26" i="42"/>
  <c r="R26" i="42"/>
  <c r="Q26" i="42"/>
  <c r="P26" i="42"/>
  <c r="O26" i="42"/>
  <c r="N26" i="42"/>
  <c r="M26" i="42"/>
  <c r="K26" i="42"/>
  <c r="J26" i="42"/>
  <c r="I26" i="42"/>
  <c r="H26" i="42"/>
  <c r="AL25" i="42"/>
  <c r="AK25" i="42"/>
  <c r="AJ25" i="42"/>
  <c r="AI25" i="42"/>
  <c r="AH25" i="42"/>
  <c r="AG25" i="42"/>
  <c r="AF25" i="42"/>
  <c r="AE25" i="42"/>
  <c r="AD25" i="42"/>
  <c r="AC25" i="42"/>
  <c r="AB25" i="42"/>
  <c r="AA25" i="42"/>
  <c r="Z25" i="42"/>
  <c r="Y25" i="42"/>
  <c r="X25" i="42"/>
  <c r="W25" i="42"/>
  <c r="U25" i="42"/>
  <c r="T25" i="42"/>
  <c r="S25" i="42"/>
  <c r="R25" i="42"/>
  <c r="Q25" i="42"/>
  <c r="P25" i="42"/>
  <c r="O25" i="42"/>
  <c r="N25" i="42"/>
  <c r="M25" i="42"/>
  <c r="K25" i="42"/>
  <c r="J25" i="42"/>
  <c r="I25" i="42"/>
  <c r="H25" i="42"/>
  <c r="AL24" i="42"/>
  <c r="AK24" i="42"/>
  <c r="AJ24" i="42"/>
  <c r="AI24" i="42"/>
  <c r="AH24" i="42"/>
  <c r="AG24" i="42"/>
  <c r="AF24" i="42"/>
  <c r="AE24" i="42"/>
  <c r="AD24" i="42"/>
  <c r="AC24" i="42"/>
  <c r="AB24" i="42"/>
  <c r="AA24" i="42"/>
  <c r="Z24" i="42"/>
  <c r="Y24" i="42"/>
  <c r="X24" i="42"/>
  <c r="W24" i="42"/>
  <c r="U24" i="42"/>
  <c r="T24" i="42"/>
  <c r="S24" i="42"/>
  <c r="R24" i="42"/>
  <c r="Q24" i="42"/>
  <c r="P24" i="42"/>
  <c r="O24" i="42"/>
  <c r="N24" i="42"/>
  <c r="M24" i="42"/>
  <c r="K24" i="42"/>
  <c r="J24" i="42"/>
  <c r="I24" i="42"/>
  <c r="H24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W22" i="42"/>
  <c r="U22" i="42"/>
  <c r="T22" i="42"/>
  <c r="S22" i="42"/>
  <c r="R22" i="42"/>
  <c r="Q22" i="42"/>
  <c r="P22" i="42"/>
  <c r="O22" i="42"/>
  <c r="N22" i="42"/>
  <c r="M22" i="42"/>
  <c r="K22" i="42"/>
  <c r="J22" i="42"/>
  <c r="I22" i="42"/>
  <c r="H22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Z21" i="42"/>
  <c r="Y21" i="42"/>
  <c r="X21" i="42"/>
  <c r="W21" i="42"/>
  <c r="U21" i="42"/>
  <c r="T21" i="42"/>
  <c r="S21" i="42"/>
  <c r="R21" i="42"/>
  <c r="Q21" i="42"/>
  <c r="P21" i="42"/>
  <c r="O21" i="42"/>
  <c r="N21" i="42"/>
  <c r="M21" i="42"/>
  <c r="K21" i="42"/>
  <c r="J21" i="42"/>
  <c r="I21" i="42"/>
  <c r="H21" i="42"/>
  <c r="AL18" i="42"/>
  <c r="AK18" i="42"/>
  <c r="AJ18" i="42"/>
  <c r="AI18" i="42"/>
  <c r="AH18" i="42"/>
  <c r="AG18" i="42"/>
  <c r="AF18" i="42"/>
  <c r="AE18" i="42"/>
  <c r="AD18" i="42"/>
  <c r="AC18" i="42"/>
  <c r="AB18" i="42"/>
  <c r="AA18" i="42"/>
  <c r="Z18" i="42"/>
  <c r="Y18" i="42"/>
  <c r="X18" i="42"/>
  <c r="W18" i="42"/>
  <c r="U18" i="42"/>
  <c r="T18" i="42"/>
  <c r="S18" i="42"/>
  <c r="R18" i="42"/>
  <c r="Q18" i="42"/>
  <c r="P18" i="42"/>
  <c r="O18" i="42"/>
  <c r="N18" i="42"/>
  <c r="M18" i="42"/>
  <c r="K18" i="42"/>
  <c r="J18" i="42"/>
  <c r="I18" i="42"/>
  <c r="H18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W17" i="42"/>
  <c r="U17" i="42"/>
  <c r="T17" i="42"/>
  <c r="S17" i="42"/>
  <c r="R17" i="42"/>
  <c r="Q17" i="42"/>
  <c r="P17" i="42"/>
  <c r="O17" i="42"/>
  <c r="N17" i="42"/>
  <c r="M17" i="42"/>
  <c r="K17" i="42"/>
  <c r="J17" i="42"/>
  <c r="I17" i="42"/>
  <c r="H17" i="42"/>
  <c r="AL16" i="42"/>
  <c r="AK16" i="42"/>
  <c r="AJ16" i="42"/>
  <c r="AI16" i="42"/>
  <c r="AH16" i="42"/>
  <c r="AG16" i="42"/>
  <c r="AF16" i="42"/>
  <c r="AE16" i="42"/>
  <c r="AD16" i="42"/>
  <c r="AC16" i="42"/>
  <c r="AB16" i="42"/>
  <c r="AA16" i="42"/>
  <c r="Z16" i="42"/>
  <c r="Y16" i="42"/>
  <c r="X16" i="42"/>
  <c r="W16" i="42"/>
  <c r="U16" i="42"/>
  <c r="T16" i="42"/>
  <c r="S16" i="42"/>
  <c r="R16" i="42"/>
  <c r="Q16" i="42"/>
  <c r="P16" i="42"/>
  <c r="O16" i="42"/>
  <c r="N16" i="42"/>
  <c r="M16" i="42"/>
  <c r="K16" i="42"/>
  <c r="J16" i="42"/>
  <c r="I16" i="42"/>
  <c r="H16" i="42"/>
  <c r="AL15" i="42"/>
  <c r="AK15" i="42"/>
  <c r="AJ15" i="42"/>
  <c r="AI15" i="42"/>
  <c r="AH15" i="42"/>
  <c r="AG15" i="42"/>
  <c r="AF15" i="42"/>
  <c r="AE15" i="42"/>
  <c r="AD15" i="42"/>
  <c r="AC15" i="42"/>
  <c r="AB15" i="42"/>
  <c r="AA15" i="42"/>
  <c r="Z15" i="42"/>
  <c r="Y15" i="42"/>
  <c r="X15" i="42"/>
  <c r="W15" i="42"/>
  <c r="U15" i="42"/>
  <c r="T15" i="42"/>
  <c r="S15" i="42"/>
  <c r="R15" i="42"/>
  <c r="Q15" i="42"/>
  <c r="P15" i="42"/>
  <c r="O15" i="42"/>
  <c r="N15" i="42"/>
  <c r="M15" i="42"/>
  <c r="K15" i="42"/>
  <c r="J15" i="42"/>
  <c r="I15" i="42"/>
  <c r="H15" i="42"/>
  <c r="AL13" i="42"/>
  <c r="AK13" i="42"/>
  <c r="AJ13" i="42"/>
  <c r="AI13" i="42"/>
  <c r="AH13" i="42"/>
  <c r="AG13" i="42"/>
  <c r="AF13" i="42"/>
  <c r="AE13" i="42"/>
  <c r="AD13" i="42"/>
  <c r="AC13" i="42"/>
  <c r="AB13" i="42"/>
  <c r="AA13" i="42"/>
  <c r="Z13" i="42"/>
  <c r="Y13" i="42"/>
  <c r="X13" i="42"/>
  <c r="W13" i="42"/>
  <c r="U13" i="42"/>
  <c r="T13" i="42"/>
  <c r="S13" i="42"/>
  <c r="R13" i="42"/>
  <c r="Q13" i="42"/>
  <c r="P13" i="42"/>
  <c r="O13" i="42"/>
  <c r="N13" i="42"/>
  <c r="M13" i="42"/>
  <c r="K13" i="42"/>
  <c r="J13" i="42"/>
  <c r="I13" i="42"/>
  <c r="H13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W12" i="42"/>
  <c r="U12" i="42"/>
  <c r="T12" i="42"/>
  <c r="S12" i="42"/>
  <c r="R12" i="42"/>
  <c r="Q12" i="42"/>
  <c r="P12" i="42"/>
  <c r="O12" i="42"/>
  <c r="N12" i="42"/>
  <c r="M12" i="42"/>
  <c r="K12" i="42"/>
  <c r="J12" i="42"/>
  <c r="I12" i="42"/>
  <c r="H12" i="42"/>
  <c r="AL11" i="42"/>
  <c r="AK11" i="42"/>
  <c r="AJ11" i="42"/>
  <c r="AI11" i="42"/>
  <c r="AH11" i="42"/>
  <c r="AG11" i="42"/>
  <c r="AF11" i="42"/>
  <c r="AE11" i="42"/>
  <c r="AD11" i="42"/>
  <c r="AC11" i="42"/>
  <c r="AB11" i="42"/>
  <c r="AA11" i="42"/>
  <c r="Z11" i="42"/>
  <c r="Y11" i="42"/>
  <c r="X11" i="42"/>
  <c r="W11" i="42"/>
  <c r="U11" i="42"/>
  <c r="T11" i="42"/>
  <c r="S11" i="42"/>
  <c r="R11" i="42"/>
  <c r="Q11" i="42"/>
  <c r="P11" i="42"/>
  <c r="O11" i="42"/>
  <c r="N11" i="42"/>
  <c r="M11" i="42"/>
  <c r="K11" i="42"/>
  <c r="J11" i="42"/>
  <c r="I11" i="42"/>
  <c r="H11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W10" i="42"/>
  <c r="U10" i="42"/>
  <c r="T10" i="42"/>
  <c r="S10" i="42"/>
  <c r="R10" i="42"/>
  <c r="Q10" i="42"/>
  <c r="P10" i="42"/>
  <c r="O10" i="42"/>
  <c r="N10" i="42"/>
  <c r="M10" i="42"/>
  <c r="K10" i="42"/>
  <c r="J10" i="42"/>
  <c r="I10" i="42"/>
  <c r="H10" i="42"/>
  <c r="AL9" i="42"/>
  <c r="AK9" i="42"/>
  <c r="AJ9" i="42"/>
  <c r="AI9" i="42"/>
  <c r="AH9" i="42"/>
  <c r="AG9" i="42"/>
  <c r="AF9" i="42"/>
  <c r="AE9" i="42"/>
  <c r="AD9" i="42"/>
  <c r="AC9" i="42"/>
  <c r="AB9" i="42"/>
  <c r="AA9" i="42"/>
  <c r="Z9" i="42"/>
  <c r="Y9" i="42"/>
  <c r="X9" i="42"/>
  <c r="W9" i="42"/>
  <c r="U9" i="42"/>
  <c r="T9" i="42"/>
  <c r="S9" i="42"/>
  <c r="R9" i="42"/>
  <c r="Q9" i="42"/>
  <c r="P9" i="42"/>
  <c r="O9" i="42"/>
  <c r="N9" i="42"/>
  <c r="M9" i="42"/>
  <c r="K9" i="42"/>
  <c r="J9" i="42"/>
  <c r="I9" i="42"/>
  <c r="H9" i="42"/>
  <c r="AL8" i="42"/>
  <c r="AK8" i="42"/>
  <c r="AJ8" i="42"/>
  <c r="AI8" i="42"/>
  <c r="AH8" i="42"/>
  <c r="AG8" i="42"/>
  <c r="AF8" i="42"/>
  <c r="AE8" i="42"/>
  <c r="AD8" i="42"/>
  <c r="AC8" i="42"/>
  <c r="AB8" i="42"/>
  <c r="AA8" i="42"/>
  <c r="Z8" i="42"/>
  <c r="Y8" i="42"/>
  <c r="X8" i="42"/>
  <c r="W8" i="42"/>
  <c r="U8" i="42"/>
  <c r="T8" i="42"/>
  <c r="S8" i="42"/>
  <c r="R8" i="42"/>
  <c r="Q8" i="42"/>
  <c r="P8" i="42"/>
  <c r="O8" i="42"/>
  <c r="N8" i="42"/>
  <c r="M8" i="42"/>
  <c r="K8" i="42"/>
  <c r="J8" i="42"/>
  <c r="I8" i="42"/>
  <c r="H8" i="42"/>
  <c r="AL7" i="42"/>
  <c r="AK7" i="42"/>
  <c r="AJ7" i="42"/>
  <c r="AI7" i="42"/>
  <c r="AH7" i="42"/>
  <c r="AG7" i="42"/>
  <c r="AF7" i="42"/>
  <c r="AE7" i="42"/>
  <c r="AD7" i="42"/>
  <c r="AC7" i="42"/>
  <c r="AB7" i="42"/>
  <c r="AA7" i="42"/>
  <c r="Z7" i="42"/>
  <c r="Y7" i="42"/>
  <c r="X7" i="42"/>
  <c r="W7" i="42"/>
  <c r="U7" i="42"/>
  <c r="T7" i="42"/>
  <c r="S7" i="42"/>
  <c r="R7" i="42"/>
  <c r="Q7" i="42"/>
  <c r="P7" i="42"/>
  <c r="O7" i="42"/>
  <c r="N7" i="42"/>
  <c r="M7" i="42"/>
  <c r="K7" i="42"/>
  <c r="J7" i="42"/>
  <c r="I7" i="42"/>
  <c r="H7" i="42"/>
  <c r="AL6" i="42"/>
  <c r="AK6" i="42"/>
  <c r="AJ6" i="42"/>
  <c r="AI6" i="42"/>
  <c r="AH6" i="42"/>
  <c r="AG6" i="42"/>
  <c r="AF6" i="42"/>
  <c r="AE6" i="42"/>
  <c r="AD6" i="42"/>
  <c r="AC6" i="42"/>
  <c r="AB6" i="42"/>
  <c r="AA6" i="42"/>
  <c r="Z6" i="42"/>
  <c r="Y6" i="42"/>
  <c r="X6" i="42"/>
  <c r="W6" i="42"/>
  <c r="U6" i="42"/>
  <c r="T6" i="42"/>
  <c r="S6" i="42"/>
  <c r="R6" i="42"/>
  <c r="Q6" i="42"/>
  <c r="P6" i="42"/>
  <c r="O6" i="42"/>
  <c r="N6" i="42"/>
  <c r="M6" i="42"/>
  <c r="K6" i="42"/>
  <c r="J6" i="42"/>
  <c r="I6" i="42"/>
  <c r="H6" i="42"/>
  <c r="AL5" i="42"/>
  <c r="AK5" i="42"/>
  <c r="AJ5" i="42"/>
  <c r="AI5" i="42"/>
  <c r="AH5" i="42"/>
  <c r="AG5" i="42"/>
  <c r="AF5" i="42"/>
  <c r="AE5" i="42"/>
  <c r="AD5" i="42"/>
  <c r="AC5" i="42"/>
  <c r="AB5" i="42"/>
  <c r="AA5" i="42"/>
  <c r="Z5" i="42"/>
  <c r="Y5" i="42"/>
  <c r="X5" i="42"/>
  <c r="W5" i="42"/>
  <c r="U5" i="42"/>
  <c r="T5" i="42"/>
  <c r="S5" i="42"/>
  <c r="R5" i="42"/>
  <c r="Q5" i="42"/>
  <c r="P5" i="42"/>
  <c r="O5" i="42"/>
  <c r="N5" i="42"/>
  <c r="M5" i="42"/>
  <c r="K5" i="42"/>
  <c r="J5" i="42"/>
  <c r="I5" i="42"/>
  <c r="H5" i="42"/>
  <c r="AL3" i="42"/>
  <c r="AK3" i="42"/>
  <c r="AJ3" i="42"/>
  <c r="AI3" i="42"/>
  <c r="AH3" i="42"/>
  <c r="AG3" i="42"/>
  <c r="AF3" i="42"/>
  <c r="AE3" i="42"/>
  <c r="AD3" i="42"/>
  <c r="AC3" i="42"/>
  <c r="AB3" i="42"/>
  <c r="AA3" i="42"/>
  <c r="Z3" i="42"/>
  <c r="Y3" i="42"/>
  <c r="X3" i="42"/>
  <c r="W3" i="42"/>
  <c r="U3" i="42"/>
  <c r="T3" i="42"/>
  <c r="S3" i="42"/>
  <c r="R3" i="42"/>
  <c r="Q3" i="42"/>
  <c r="P3" i="42"/>
  <c r="O3" i="42"/>
  <c r="N3" i="42"/>
  <c r="M3" i="42"/>
  <c r="K3" i="42"/>
  <c r="J3" i="42"/>
  <c r="I3" i="42"/>
  <c r="H3" i="42"/>
  <c r="AN37" i="42"/>
  <c r="AN36" i="42"/>
  <c r="AN35" i="42"/>
  <c r="AN34" i="42"/>
  <c r="AN33" i="42"/>
  <c r="AN32" i="42"/>
  <c r="AN31" i="42"/>
  <c r="AN30" i="42"/>
  <c r="AN29" i="42"/>
  <c r="AN28" i="42"/>
  <c r="AN27" i="42"/>
  <c r="AN26" i="42"/>
  <c r="AN25" i="42"/>
  <c r="AN24" i="42"/>
  <c r="AN23" i="42"/>
  <c r="AN22" i="42"/>
  <c r="AN21" i="42"/>
  <c r="AN20" i="42"/>
  <c r="AN19" i="42"/>
  <c r="AN18" i="42"/>
  <c r="AN17" i="42"/>
  <c r="AN16" i="42"/>
  <c r="AN15" i="42"/>
  <c r="AN14" i="42"/>
  <c r="AN13" i="42"/>
  <c r="AN12" i="42"/>
  <c r="AN11" i="42"/>
  <c r="AN10" i="42"/>
  <c r="AN9" i="42"/>
  <c r="AN8" i="42"/>
  <c r="AN7" i="42"/>
  <c r="AN6" i="42"/>
  <c r="AN5" i="42"/>
  <c r="AN4" i="42"/>
  <c r="AN3" i="42"/>
  <c r="AN11" i="43"/>
  <c r="AN12" i="43"/>
  <c r="AN13" i="43"/>
  <c r="AN14" i="43"/>
  <c r="AN15" i="43"/>
  <c r="AN16" i="43"/>
  <c r="AN17" i="43"/>
  <c r="AN18" i="43"/>
  <c r="AN19" i="43"/>
  <c r="AN20" i="43"/>
  <c r="AN21" i="43"/>
  <c r="AN22" i="43"/>
  <c r="AN23" i="43"/>
  <c r="AN24" i="43"/>
  <c r="AN25" i="43"/>
  <c r="AN26" i="43"/>
  <c r="AN27" i="43"/>
  <c r="AN28" i="43"/>
  <c r="AN29" i="43"/>
  <c r="AN30" i="43"/>
  <c r="AN31" i="43"/>
  <c r="AN32" i="43"/>
  <c r="AN33" i="43"/>
  <c r="AN34" i="43"/>
  <c r="AN35" i="43"/>
  <c r="AN36" i="43"/>
  <c r="AN37" i="43"/>
  <c r="AN4" i="43"/>
  <c r="AN5" i="43"/>
  <c r="AN6" i="43"/>
  <c r="AN7" i="43"/>
  <c r="AN8" i="43"/>
  <c r="AN9" i="43"/>
  <c r="AN10" i="43"/>
  <c r="AN3" i="43"/>
  <c r="K53" i="42" l="1"/>
  <c r="Q53" i="42"/>
  <c r="W53" i="42"/>
  <c r="AC53" i="42"/>
  <c r="AI53" i="42"/>
  <c r="L53" i="42"/>
  <c r="R53" i="42"/>
  <c r="X53" i="42"/>
  <c r="AD53" i="42"/>
  <c r="AJ53" i="42"/>
  <c r="M53" i="42"/>
  <c r="S53" i="42"/>
  <c r="Y53" i="42"/>
  <c r="AE53" i="42"/>
  <c r="AK53" i="42"/>
  <c r="N53" i="42"/>
  <c r="T53" i="42"/>
  <c r="Z53" i="42"/>
  <c r="AF53" i="42"/>
  <c r="AL53" i="42"/>
  <c r="I53" i="42"/>
  <c r="O53" i="42"/>
  <c r="U53" i="42"/>
  <c r="AA53" i="42"/>
  <c r="AG53" i="42"/>
  <c r="J53" i="42"/>
  <c r="P53" i="42"/>
  <c r="V53" i="42"/>
  <c r="AB53" i="42"/>
  <c r="AH53" i="42"/>
  <c r="AN34" i="9"/>
  <c r="AN33" i="9"/>
  <c r="AN32" i="9"/>
  <c r="AN26" i="9"/>
  <c r="AN25" i="9"/>
  <c r="AN13" i="9"/>
  <c r="AN5" i="9"/>
  <c r="AN53" i="9" l="1"/>
  <c r="H37" i="43"/>
  <c r="H37" i="9" s="1"/>
  <c r="I37" i="43"/>
  <c r="I37" i="9" s="1"/>
  <c r="J37" i="43"/>
  <c r="J37" i="9" s="1"/>
  <c r="AL57" i="45" l="1"/>
  <c r="AK57" i="45"/>
  <c r="AJ57" i="45"/>
  <c r="AI57" i="45"/>
  <c r="AH57" i="45"/>
  <c r="AG57" i="45"/>
  <c r="AF57" i="45"/>
  <c r="AE57" i="45"/>
  <c r="AD57" i="45"/>
  <c r="AC57" i="45"/>
  <c r="AB57" i="45"/>
  <c r="AA57" i="45"/>
  <c r="Z57" i="45"/>
  <c r="Y57" i="45"/>
  <c r="X57" i="45"/>
  <c r="W57" i="45"/>
  <c r="V57" i="45"/>
  <c r="U57" i="45"/>
  <c r="T57" i="45"/>
  <c r="S57" i="45"/>
  <c r="R57" i="45"/>
  <c r="Q57" i="45"/>
  <c r="P57" i="45"/>
  <c r="O57" i="45"/>
  <c r="N57" i="45"/>
  <c r="M57" i="45"/>
  <c r="L57" i="45"/>
  <c r="K57" i="45"/>
  <c r="J57" i="45"/>
  <c r="I57" i="45"/>
  <c r="AR37" i="45"/>
  <c r="AR36" i="45"/>
  <c r="AR35" i="45"/>
  <c r="AR34" i="45"/>
  <c r="AR33" i="45"/>
  <c r="AR32" i="45"/>
  <c r="AR31" i="45"/>
  <c r="AR30" i="45"/>
  <c r="AR29" i="45"/>
  <c r="AR28" i="45"/>
  <c r="AR27" i="45"/>
  <c r="AR26" i="45"/>
  <c r="AR25" i="45"/>
  <c r="AR24" i="45"/>
  <c r="AR23" i="45"/>
  <c r="AR22" i="45"/>
  <c r="AR21" i="45"/>
  <c r="AR20" i="45"/>
  <c r="AR19" i="45"/>
  <c r="AR18" i="45"/>
  <c r="AR17" i="45"/>
  <c r="AR16" i="45"/>
  <c r="AR15" i="45"/>
  <c r="AR14" i="45"/>
  <c r="AR13" i="45"/>
  <c r="AR12" i="45"/>
  <c r="AR11" i="45"/>
  <c r="AR10" i="45"/>
  <c r="AR9" i="45"/>
  <c r="AR8" i="45"/>
  <c r="AR7" i="45"/>
  <c r="AR6" i="45"/>
  <c r="AR5" i="45"/>
  <c r="AR4" i="45"/>
  <c r="AR3" i="45"/>
  <c r="O43" i="45" l="1"/>
  <c r="O46" i="45"/>
  <c r="W43" i="45"/>
  <c r="W46" i="45"/>
  <c r="AE43" i="45"/>
  <c r="AE46" i="45"/>
  <c r="P43" i="45"/>
  <c r="P46" i="45"/>
  <c r="X46" i="45"/>
  <c r="X43" i="45"/>
  <c r="AF46" i="45"/>
  <c r="AF43" i="45"/>
  <c r="Y43" i="45"/>
  <c r="Y46" i="45"/>
  <c r="J46" i="45"/>
  <c r="J43" i="45"/>
  <c r="AH46" i="45"/>
  <c r="AH43" i="45"/>
  <c r="K43" i="45"/>
  <c r="K46" i="45"/>
  <c r="AI46" i="45"/>
  <c r="AI43" i="45"/>
  <c r="L46" i="45"/>
  <c r="L43" i="45"/>
  <c r="T46" i="45"/>
  <c r="T43" i="45"/>
  <c r="AB46" i="45"/>
  <c r="AB43" i="45"/>
  <c r="AJ46" i="45"/>
  <c r="AJ43" i="45"/>
  <c r="I43" i="45"/>
  <c r="I46" i="45"/>
  <c r="AG46" i="45"/>
  <c r="AG43" i="45"/>
  <c r="R46" i="45"/>
  <c r="R43" i="45"/>
  <c r="AA46" i="45"/>
  <c r="AA43" i="45"/>
  <c r="M43" i="45"/>
  <c r="M46" i="45"/>
  <c r="U46" i="45"/>
  <c r="U43" i="45"/>
  <c r="AC43" i="45"/>
  <c r="AC46" i="45"/>
  <c r="AK43" i="45"/>
  <c r="AK46" i="45"/>
  <c r="Q43" i="45"/>
  <c r="Q46" i="45"/>
  <c r="Z46" i="45"/>
  <c r="Z43" i="45"/>
  <c r="S43" i="45"/>
  <c r="S46" i="45"/>
  <c r="N43" i="45"/>
  <c r="N46" i="45"/>
  <c r="V43" i="45"/>
  <c r="V46" i="45"/>
  <c r="AD46" i="45"/>
  <c r="AD43" i="45"/>
  <c r="AL43" i="45"/>
  <c r="AL46" i="45"/>
  <c r="AR53" i="45"/>
  <c r="AM46" i="45" l="1"/>
  <c r="AS46" i="45"/>
  <c r="AS43" i="45"/>
  <c r="AM43" i="45"/>
  <c r="AM26" i="42"/>
  <c r="AI52" i="44"/>
  <c r="AF52" i="44"/>
  <c r="AA52" i="44"/>
  <c r="Y52" i="44"/>
  <c r="V52" i="44"/>
  <c r="Q52" i="44"/>
  <c r="O52" i="44"/>
  <c r="L52" i="44"/>
  <c r="I52" i="44"/>
  <c r="D52" i="44"/>
  <c r="B52" i="44"/>
  <c r="AI51" i="44"/>
  <c r="AF51" i="44"/>
  <c r="AA51" i="44"/>
  <c r="Y51" i="44"/>
  <c r="V51" i="44"/>
  <c r="Q51" i="44"/>
  <c r="O51" i="44"/>
  <c r="L51" i="44"/>
  <c r="I51" i="44"/>
  <c r="D51" i="44"/>
  <c r="B51" i="44"/>
  <c r="AI50" i="44"/>
  <c r="AF50" i="44"/>
  <c r="AA50" i="44"/>
  <c r="Y50" i="44"/>
  <c r="V50" i="44"/>
  <c r="Q50" i="44"/>
  <c r="O50" i="44"/>
  <c r="L50" i="44"/>
  <c r="I50" i="44"/>
  <c r="D50" i="44"/>
  <c r="B50" i="44"/>
  <c r="AI49" i="44"/>
  <c r="AF49" i="44"/>
  <c r="AA49" i="44"/>
  <c r="Y49" i="44"/>
  <c r="V49" i="44"/>
  <c r="Q49" i="44"/>
  <c r="O49" i="44"/>
  <c r="L49" i="44"/>
  <c r="I49" i="44"/>
  <c r="D49" i="44"/>
  <c r="B49" i="44"/>
  <c r="AI48" i="44"/>
  <c r="AF48" i="44"/>
  <c r="AA48" i="44"/>
  <c r="Y48" i="44"/>
  <c r="V48" i="44"/>
  <c r="Q48" i="44"/>
  <c r="O48" i="44"/>
  <c r="L48" i="44"/>
  <c r="I48" i="44"/>
  <c r="D48" i="44"/>
  <c r="B48" i="44"/>
  <c r="AI47" i="44"/>
  <c r="AF47" i="44"/>
  <c r="AA47" i="44"/>
  <c r="Y47" i="44"/>
  <c r="V47" i="44"/>
  <c r="Q47" i="44"/>
  <c r="O47" i="44"/>
  <c r="L47" i="44"/>
  <c r="I47" i="44"/>
  <c r="D47" i="44"/>
  <c r="B47" i="44"/>
  <c r="AI45" i="44"/>
  <c r="AF45" i="44"/>
  <c r="AA45" i="44"/>
  <c r="Y45" i="44"/>
  <c r="V45" i="44"/>
  <c r="Q45" i="44"/>
  <c r="O45" i="44"/>
  <c r="L45" i="44"/>
  <c r="I45" i="44"/>
  <c r="D45" i="44"/>
  <c r="B45" i="44"/>
  <c r="AI44" i="44"/>
  <c r="AF44" i="44"/>
  <c r="AA44" i="44"/>
  <c r="Y44" i="44"/>
  <c r="V44" i="44"/>
  <c r="Q44" i="44"/>
  <c r="O44" i="44"/>
  <c r="L44" i="44"/>
  <c r="I44" i="44"/>
  <c r="D44" i="44"/>
  <c r="B44" i="44"/>
  <c r="AI42" i="44"/>
  <c r="AF42" i="44"/>
  <c r="AA42" i="44"/>
  <c r="Y42" i="44"/>
  <c r="V42" i="44"/>
  <c r="Q42" i="44"/>
  <c r="O42" i="44"/>
  <c r="L42" i="44"/>
  <c r="I42" i="44"/>
  <c r="D42" i="44"/>
  <c r="B42" i="44"/>
  <c r="AI41" i="44"/>
  <c r="AF41" i="44"/>
  <c r="AA41" i="44"/>
  <c r="Y41" i="44"/>
  <c r="V41" i="44"/>
  <c r="Q41" i="44"/>
  <c r="O41" i="44"/>
  <c r="L41" i="44"/>
  <c r="I41" i="44"/>
  <c r="D41" i="44"/>
  <c r="B41" i="44"/>
  <c r="AI40" i="44"/>
  <c r="AF40" i="44"/>
  <c r="AA40" i="44"/>
  <c r="Y40" i="44"/>
  <c r="V40" i="44"/>
  <c r="Q40" i="44"/>
  <c r="O40" i="44"/>
  <c r="L40" i="44"/>
  <c r="I40" i="44"/>
  <c r="D40" i="44"/>
  <c r="B40" i="44"/>
  <c r="AI39" i="44"/>
  <c r="AF39" i="44"/>
  <c r="AA39" i="44"/>
  <c r="Y39" i="44"/>
  <c r="V39" i="44"/>
  <c r="Q39" i="44"/>
  <c r="O39" i="44"/>
  <c r="L39" i="44"/>
  <c r="I39" i="44"/>
  <c r="D39" i="44"/>
  <c r="B39" i="44"/>
  <c r="AI38" i="44"/>
  <c r="AF38" i="44"/>
  <c r="AA38" i="44"/>
  <c r="Y38" i="44"/>
  <c r="V38" i="44"/>
  <c r="Q38" i="44"/>
  <c r="O38" i="44"/>
  <c r="L38" i="44"/>
  <c r="I38" i="44"/>
  <c r="D38" i="44"/>
  <c r="B38" i="44"/>
  <c r="AL37" i="44"/>
  <c r="AK37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AL35" i="44"/>
  <c r="AK35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W35" i="44"/>
  <c r="U35" i="44"/>
  <c r="T35" i="44"/>
  <c r="S35" i="44"/>
  <c r="R35" i="44"/>
  <c r="P35" i="44"/>
  <c r="O35" i="44"/>
  <c r="N35" i="44"/>
  <c r="M35" i="44"/>
  <c r="K35" i="44"/>
  <c r="J35" i="44"/>
  <c r="I35" i="44"/>
  <c r="H35" i="44"/>
  <c r="AL34" i="44"/>
  <c r="AK34" i="44"/>
  <c r="AJ34" i="44"/>
  <c r="AI34" i="44"/>
  <c r="AH34" i="44"/>
  <c r="AG34" i="44"/>
  <c r="AF34" i="44"/>
  <c r="AE34" i="44"/>
  <c r="AD34" i="44"/>
  <c r="AC34" i="44"/>
  <c r="AB34" i="44"/>
  <c r="AA34" i="44"/>
  <c r="Z34" i="44"/>
  <c r="Y34" i="44"/>
  <c r="X34" i="44"/>
  <c r="W34" i="44"/>
  <c r="U34" i="44"/>
  <c r="T34" i="44"/>
  <c r="S34" i="44"/>
  <c r="R34" i="44"/>
  <c r="P34" i="44"/>
  <c r="O34" i="44"/>
  <c r="N34" i="44"/>
  <c r="M34" i="44"/>
  <c r="K34" i="44"/>
  <c r="J34" i="44"/>
  <c r="I34" i="44"/>
  <c r="H34" i="44"/>
  <c r="AL33" i="44"/>
  <c r="AK33" i="44"/>
  <c r="AJ33" i="44"/>
  <c r="AI33" i="44"/>
  <c r="AH33" i="44"/>
  <c r="AG33" i="44"/>
  <c r="AF33" i="44"/>
  <c r="AE33" i="44"/>
  <c r="AD33" i="44"/>
  <c r="AC33" i="44"/>
  <c r="AB33" i="44"/>
  <c r="AA33" i="44"/>
  <c r="Z33" i="44"/>
  <c r="Y33" i="44"/>
  <c r="X33" i="44"/>
  <c r="W33" i="44"/>
  <c r="U33" i="44"/>
  <c r="T33" i="44"/>
  <c r="S33" i="44"/>
  <c r="R33" i="44"/>
  <c r="P33" i="44"/>
  <c r="O33" i="44"/>
  <c r="N33" i="44"/>
  <c r="M33" i="44"/>
  <c r="K33" i="44"/>
  <c r="J33" i="44"/>
  <c r="I33" i="44"/>
  <c r="H33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U32" i="44"/>
  <c r="T32" i="44"/>
  <c r="S32" i="44"/>
  <c r="R32" i="44"/>
  <c r="P32" i="44"/>
  <c r="O32" i="44"/>
  <c r="N32" i="44"/>
  <c r="M32" i="44"/>
  <c r="K32" i="44"/>
  <c r="J32" i="44"/>
  <c r="I32" i="44"/>
  <c r="H32" i="44"/>
  <c r="AL31" i="44"/>
  <c r="AK31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U31" i="44"/>
  <c r="T31" i="44"/>
  <c r="S31" i="44"/>
  <c r="R31" i="44"/>
  <c r="P31" i="44"/>
  <c r="O31" i="44"/>
  <c r="N31" i="44"/>
  <c r="M31" i="44"/>
  <c r="K31" i="44"/>
  <c r="J31" i="44"/>
  <c r="I31" i="44"/>
  <c r="H31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U30" i="44"/>
  <c r="T30" i="44"/>
  <c r="S30" i="44"/>
  <c r="R30" i="44"/>
  <c r="P30" i="44"/>
  <c r="O30" i="44"/>
  <c r="N30" i="44"/>
  <c r="M30" i="44"/>
  <c r="K30" i="44"/>
  <c r="J30" i="44"/>
  <c r="I30" i="44"/>
  <c r="H30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U29" i="44"/>
  <c r="T29" i="44"/>
  <c r="S29" i="44"/>
  <c r="R29" i="44"/>
  <c r="P29" i="44"/>
  <c r="O29" i="44"/>
  <c r="N29" i="44"/>
  <c r="M29" i="44"/>
  <c r="K29" i="44"/>
  <c r="J29" i="44"/>
  <c r="I29" i="44"/>
  <c r="H29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U28" i="44"/>
  <c r="T28" i="44"/>
  <c r="S28" i="44"/>
  <c r="R28" i="44"/>
  <c r="P28" i="44"/>
  <c r="O28" i="44"/>
  <c r="N28" i="44"/>
  <c r="M28" i="44"/>
  <c r="K28" i="44"/>
  <c r="J28" i="44"/>
  <c r="I28" i="44"/>
  <c r="H28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U27" i="44"/>
  <c r="T27" i="44"/>
  <c r="S27" i="44"/>
  <c r="R27" i="44"/>
  <c r="P27" i="44"/>
  <c r="O27" i="44"/>
  <c r="N27" i="44"/>
  <c r="M27" i="44"/>
  <c r="K27" i="44"/>
  <c r="J27" i="44"/>
  <c r="I27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U26" i="44"/>
  <c r="T26" i="44"/>
  <c r="S26" i="44"/>
  <c r="R26" i="44"/>
  <c r="P26" i="44"/>
  <c r="O26" i="44"/>
  <c r="N26" i="44"/>
  <c r="M26" i="44"/>
  <c r="K26" i="44"/>
  <c r="J26" i="44"/>
  <c r="I26" i="44"/>
  <c r="H26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U25" i="44"/>
  <c r="T25" i="44"/>
  <c r="S25" i="44"/>
  <c r="R25" i="44"/>
  <c r="P25" i="44"/>
  <c r="O25" i="44"/>
  <c r="N25" i="44"/>
  <c r="M25" i="44"/>
  <c r="K25" i="44"/>
  <c r="J25" i="44"/>
  <c r="I25" i="44"/>
  <c r="H25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U24" i="44"/>
  <c r="T24" i="44"/>
  <c r="S24" i="44"/>
  <c r="R24" i="44"/>
  <c r="P24" i="44"/>
  <c r="O24" i="44"/>
  <c r="N24" i="44"/>
  <c r="M24" i="44"/>
  <c r="K24" i="44"/>
  <c r="J24" i="44"/>
  <c r="I24" i="44"/>
  <c r="H24" i="44"/>
  <c r="AL23" i="44"/>
  <c r="AK23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W23" i="44"/>
  <c r="U23" i="44"/>
  <c r="T23" i="44"/>
  <c r="S23" i="44"/>
  <c r="R23" i="44"/>
  <c r="P23" i="44"/>
  <c r="O23" i="44"/>
  <c r="N23" i="44"/>
  <c r="M23" i="44"/>
  <c r="K23" i="44"/>
  <c r="J23" i="44"/>
  <c r="I23" i="44"/>
  <c r="H23" i="44"/>
  <c r="AL22" i="44"/>
  <c r="AK22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W22" i="44"/>
  <c r="U22" i="44"/>
  <c r="T22" i="44"/>
  <c r="S22" i="44"/>
  <c r="R22" i="44"/>
  <c r="P22" i="44"/>
  <c r="O22" i="44"/>
  <c r="N22" i="44"/>
  <c r="M22" i="44"/>
  <c r="K22" i="44"/>
  <c r="J22" i="44"/>
  <c r="I22" i="44"/>
  <c r="H22" i="44"/>
  <c r="AL21" i="44"/>
  <c r="AK21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W21" i="44"/>
  <c r="U21" i="44"/>
  <c r="T21" i="44"/>
  <c r="S21" i="44"/>
  <c r="R21" i="44"/>
  <c r="P21" i="44"/>
  <c r="O21" i="44"/>
  <c r="N21" i="44"/>
  <c r="M21" i="44"/>
  <c r="K21" i="44"/>
  <c r="J21" i="44"/>
  <c r="I21" i="44"/>
  <c r="AL20" i="44"/>
  <c r="AK20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W20" i="44"/>
  <c r="U20" i="44"/>
  <c r="T20" i="44"/>
  <c r="S20" i="44"/>
  <c r="R20" i="44"/>
  <c r="P20" i="44"/>
  <c r="O20" i="44"/>
  <c r="N20" i="44"/>
  <c r="M20" i="44"/>
  <c r="K20" i="44"/>
  <c r="J20" i="44"/>
  <c r="I20" i="44"/>
  <c r="H20" i="44"/>
  <c r="AL19" i="44"/>
  <c r="AK19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W19" i="44"/>
  <c r="U19" i="44"/>
  <c r="T19" i="44"/>
  <c r="S19" i="44"/>
  <c r="R19" i="44"/>
  <c r="P19" i="44"/>
  <c r="O19" i="44"/>
  <c r="N19" i="44"/>
  <c r="M19" i="44"/>
  <c r="K19" i="44"/>
  <c r="J19" i="44"/>
  <c r="I19" i="44"/>
  <c r="H19" i="44"/>
  <c r="AL18" i="44"/>
  <c r="AK18" i="44"/>
  <c r="AJ18" i="44"/>
  <c r="AI18" i="44"/>
  <c r="AH18" i="44"/>
  <c r="AG18" i="44"/>
  <c r="AF18" i="44"/>
  <c r="AE18" i="44"/>
  <c r="AD18" i="44"/>
  <c r="AC18" i="44"/>
  <c r="AB18" i="44"/>
  <c r="AA18" i="44"/>
  <c r="Z18" i="44"/>
  <c r="Y18" i="44"/>
  <c r="X18" i="44"/>
  <c r="W18" i="44"/>
  <c r="U18" i="44"/>
  <c r="T18" i="44"/>
  <c r="S18" i="44"/>
  <c r="R18" i="44"/>
  <c r="P18" i="44"/>
  <c r="O18" i="44"/>
  <c r="N18" i="44"/>
  <c r="M18" i="44"/>
  <c r="K18" i="44"/>
  <c r="J18" i="44"/>
  <c r="I18" i="44"/>
  <c r="H18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W17" i="44"/>
  <c r="U17" i="44"/>
  <c r="T17" i="44"/>
  <c r="S17" i="44"/>
  <c r="R17" i="44"/>
  <c r="P17" i="44"/>
  <c r="O17" i="44"/>
  <c r="N17" i="44"/>
  <c r="M17" i="44"/>
  <c r="K17" i="44"/>
  <c r="J17" i="44"/>
  <c r="I17" i="44"/>
  <c r="H17" i="44"/>
  <c r="AL16" i="44"/>
  <c r="AK16" i="44"/>
  <c r="AJ16" i="44"/>
  <c r="AI16" i="44"/>
  <c r="AH16" i="44"/>
  <c r="AG16" i="44"/>
  <c r="AF16" i="44"/>
  <c r="AE16" i="44"/>
  <c r="AD16" i="44"/>
  <c r="AC16" i="44"/>
  <c r="AB16" i="44"/>
  <c r="AA16" i="44"/>
  <c r="Z16" i="44"/>
  <c r="Y16" i="44"/>
  <c r="X16" i="44"/>
  <c r="W16" i="44"/>
  <c r="U16" i="44"/>
  <c r="T16" i="44"/>
  <c r="S16" i="44"/>
  <c r="R16" i="44"/>
  <c r="P16" i="44"/>
  <c r="O16" i="44"/>
  <c r="N16" i="44"/>
  <c r="M16" i="44"/>
  <c r="K16" i="44"/>
  <c r="J16" i="44"/>
  <c r="I16" i="44"/>
  <c r="H16" i="44"/>
  <c r="AL15" i="44"/>
  <c r="AK15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U15" i="44"/>
  <c r="T15" i="44"/>
  <c r="S15" i="44"/>
  <c r="R15" i="44"/>
  <c r="P15" i="44"/>
  <c r="O15" i="44"/>
  <c r="N15" i="44"/>
  <c r="M15" i="44"/>
  <c r="K15" i="44"/>
  <c r="J15" i="44"/>
  <c r="I15" i="44"/>
  <c r="H15" i="44"/>
  <c r="AL14" i="44"/>
  <c r="AK14" i="44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W14" i="44"/>
  <c r="U14" i="44"/>
  <c r="T14" i="44"/>
  <c r="S14" i="44"/>
  <c r="R14" i="44"/>
  <c r="P14" i="44"/>
  <c r="O14" i="44"/>
  <c r="N14" i="44"/>
  <c r="M14" i="44"/>
  <c r="K14" i="44"/>
  <c r="J14" i="44"/>
  <c r="I14" i="44"/>
  <c r="H14" i="44"/>
  <c r="AL13" i="44"/>
  <c r="AK13" i="44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X13" i="44"/>
  <c r="W13" i="44"/>
  <c r="U13" i="44"/>
  <c r="T13" i="44"/>
  <c r="S13" i="44"/>
  <c r="R13" i="44"/>
  <c r="P13" i="44"/>
  <c r="O13" i="44"/>
  <c r="N13" i="44"/>
  <c r="M13" i="44"/>
  <c r="K13" i="44"/>
  <c r="J13" i="44"/>
  <c r="I13" i="44"/>
  <c r="H13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U12" i="44"/>
  <c r="T12" i="44"/>
  <c r="S12" i="44"/>
  <c r="R12" i="44"/>
  <c r="P12" i="44"/>
  <c r="O12" i="44"/>
  <c r="N12" i="44"/>
  <c r="M12" i="44"/>
  <c r="K12" i="44"/>
  <c r="J12" i="44"/>
  <c r="I12" i="44"/>
  <c r="H12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U11" i="44"/>
  <c r="T11" i="44"/>
  <c r="S11" i="44"/>
  <c r="R11" i="44"/>
  <c r="P11" i="44"/>
  <c r="O11" i="44"/>
  <c r="N11" i="44"/>
  <c r="M11" i="44"/>
  <c r="K11" i="44"/>
  <c r="J11" i="44"/>
  <c r="I11" i="44"/>
  <c r="H11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U10" i="44"/>
  <c r="T10" i="44"/>
  <c r="S10" i="44"/>
  <c r="R10" i="44"/>
  <c r="P10" i="44"/>
  <c r="O10" i="44"/>
  <c r="N10" i="44"/>
  <c r="M10" i="44"/>
  <c r="K10" i="44"/>
  <c r="J10" i="44"/>
  <c r="I10" i="44"/>
  <c r="H10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U9" i="44"/>
  <c r="T9" i="44"/>
  <c r="S9" i="44"/>
  <c r="R9" i="44"/>
  <c r="P9" i="44"/>
  <c r="O9" i="44"/>
  <c r="N9" i="44"/>
  <c r="M9" i="44"/>
  <c r="K9" i="44"/>
  <c r="J9" i="44"/>
  <c r="I9" i="44"/>
  <c r="H9" i="44"/>
  <c r="AL8" i="44"/>
  <c r="AK8" i="44"/>
  <c r="AJ8" i="44"/>
  <c r="AI8" i="44"/>
  <c r="AH8" i="44"/>
  <c r="AG8" i="44"/>
  <c r="AF8" i="44"/>
  <c r="AE8" i="44"/>
  <c r="AD8" i="44"/>
  <c r="AC8" i="44"/>
  <c r="AB8" i="44"/>
  <c r="AA8" i="44"/>
  <c r="Z8" i="44"/>
  <c r="Y8" i="44"/>
  <c r="X8" i="44"/>
  <c r="W8" i="44"/>
  <c r="U8" i="44"/>
  <c r="T8" i="44"/>
  <c r="S8" i="44"/>
  <c r="R8" i="44"/>
  <c r="P8" i="44"/>
  <c r="O8" i="44"/>
  <c r="N8" i="44"/>
  <c r="M8" i="44"/>
  <c r="K8" i="44"/>
  <c r="J8" i="44"/>
  <c r="I8" i="44"/>
  <c r="H8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U7" i="44"/>
  <c r="T7" i="44"/>
  <c r="S7" i="44"/>
  <c r="R7" i="44"/>
  <c r="P7" i="44"/>
  <c r="O7" i="44"/>
  <c r="N7" i="44"/>
  <c r="M7" i="44"/>
  <c r="K7" i="44"/>
  <c r="J7" i="44"/>
  <c r="I7" i="44"/>
  <c r="H7" i="44"/>
  <c r="AL6" i="44"/>
  <c r="AK6" i="44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W6" i="44"/>
  <c r="U6" i="44"/>
  <c r="T6" i="44"/>
  <c r="S6" i="44"/>
  <c r="R6" i="44"/>
  <c r="P6" i="44"/>
  <c r="O6" i="44"/>
  <c r="N6" i="44"/>
  <c r="M6" i="44"/>
  <c r="K6" i="44"/>
  <c r="J6" i="44"/>
  <c r="I6" i="44"/>
  <c r="H6" i="44"/>
  <c r="AL5" i="44"/>
  <c r="AK5" i="44"/>
  <c r="AJ5" i="44"/>
  <c r="AI5" i="44"/>
  <c r="AH5" i="44"/>
  <c r="AG5" i="44"/>
  <c r="AF5" i="44"/>
  <c r="AE5" i="44"/>
  <c r="AD5" i="44"/>
  <c r="AC5" i="44"/>
  <c r="AB5" i="44"/>
  <c r="AA5" i="44"/>
  <c r="Z5" i="44"/>
  <c r="Y5" i="44"/>
  <c r="X5" i="44"/>
  <c r="W5" i="44"/>
  <c r="U5" i="44"/>
  <c r="T5" i="44"/>
  <c r="S5" i="44"/>
  <c r="R5" i="44"/>
  <c r="P5" i="44"/>
  <c r="O5" i="44"/>
  <c r="N5" i="44"/>
  <c r="M5" i="44"/>
  <c r="K5" i="44"/>
  <c r="J5" i="44"/>
  <c r="I5" i="44"/>
  <c r="H5" i="44"/>
  <c r="AL4" i="44"/>
  <c r="AK4" i="44"/>
  <c r="AJ4" i="44"/>
  <c r="AI4" i="44"/>
  <c r="AH4" i="44"/>
  <c r="AG4" i="44"/>
  <c r="AF4" i="44"/>
  <c r="AE4" i="44"/>
  <c r="AD4" i="44"/>
  <c r="AC4" i="44"/>
  <c r="AB4" i="44"/>
  <c r="AA4" i="44"/>
  <c r="Z4" i="44"/>
  <c r="Y4" i="44"/>
  <c r="X4" i="44"/>
  <c r="W4" i="44"/>
  <c r="U4" i="44"/>
  <c r="T4" i="44"/>
  <c r="S4" i="44"/>
  <c r="R4" i="44"/>
  <c r="P4" i="44"/>
  <c r="O4" i="44"/>
  <c r="N4" i="44"/>
  <c r="M4" i="44"/>
  <c r="K4" i="44"/>
  <c r="J4" i="44"/>
  <c r="I4" i="44"/>
  <c r="H4" i="44"/>
  <c r="AL3" i="44"/>
  <c r="AK3" i="44"/>
  <c r="AJ3" i="44"/>
  <c r="AI3" i="44"/>
  <c r="AH3" i="44"/>
  <c r="AG3" i="44"/>
  <c r="AF3" i="44"/>
  <c r="AE3" i="44"/>
  <c r="AD3" i="44"/>
  <c r="AC3" i="44"/>
  <c r="AB3" i="44"/>
  <c r="AA3" i="44"/>
  <c r="Z3" i="44"/>
  <c r="Y3" i="44"/>
  <c r="X3" i="44"/>
  <c r="W3" i="44"/>
  <c r="U3" i="44"/>
  <c r="T3" i="44"/>
  <c r="S3" i="44"/>
  <c r="R3" i="44"/>
  <c r="P3" i="44"/>
  <c r="O3" i="44"/>
  <c r="N3" i="44"/>
  <c r="M3" i="44"/>
  <c r="K3" i="44"/>
  <c r="J3" i="44"/>
  <c r="I3" i="44"/>
  <c r="AV52" i="43"/>
  <c r="D52" i="43"/>
  <c r="B52" i="43"/>
  <c r="AV51" i="43"/>
  <c r="D51" i="43"/>
  <c r="B51" i="43"/>
  <c r="AV50" i="43"/>
  <c r="D50" i="43"/>
  <c r="B50" i="43"/>
  <c r="AV49" i="43"/>
  <c r="D49" i="43"/>
  <c r="B49" i="43"/>
  <c r="AV48" i="43"/>
  <c r="D48" i="43"/>
  <c r="B48" i="43"/>
  <c r="AV47" i="43"/>
  <c r="D47" i="43"/>
  <c r="B47" i="43"/>
  <c r="AV45" i="43"/>
  <c r="D45" i="43"/>
  <c r="B45" i="43"/>
  <c r="AV44" i="43"/>
  <c r="D44" i="43"/>
  <c r="B44" i="43"/>
  <c r="AV42" i="43"/>
  <c r="D42" i="43"/>
  <c r="B42" i="43"/>
  <c r="AV41" i="43"/>
  <c r="D41" i="43"/>
  <c r="B41" i="43"/>
  <c r="AV40" i="43"/>
  <c r="D40" i="43"/>
  <c r="B40" i="43"/>
  <c r="AV39" i="43"/>
  <c r="D39" i="43"/>
  <c r="B39" i="43"/>
  <c r="AV38" i="43"/>
  <c r="D38" i="43"/>
  <c r="B38" i="43"/>
  <c r="AV37" i="43"/>
  <c r="AM37" i="43"/>
  <c r="AV36" i="43"/>
  <c r="AM36" i="43"/>
  <c r="AV35" i="43"/>
  <c r="AM35" i="43"/>
  <c r="AV34" i="43"/>
  <c r="AM34" i="43"/>
  <c r="AV33" i="43"/>
  <c r="AM33" i="43"/>
  <c r="AV32" i="43"/>
  <c r="AM32" i="43"/>
  <c r="AV31" i="43"/>
  <c r="AM31" i="43"/>
  <c r="AV30" i="43"/>
  <c r="AM30" i="43"/>
  <c r="AV29" i="43"/>
  <c r="AM29" i="43"/>
  <c r="AV28" i="43"/>
  <c r="AM28" i="43"/>
  <c r="AV27" i="43"/>
  <c r="AM27" i="43"/>
  <c r="AV26" i="43"/>
  <c r="AM26" i="43"/>
  <c r="AV25" i="43"/>
  <c r="AM25" i="43"/>
  <c r="AV24" i="43"/>
  <c r="AM24" i="43"/>
  <c r="AV23" i="43"/>
  <c r="AM23" i="43"/>
  <c r="AV22" i="43"/>
  <c r="AM22" i="43"/>
  <c r="AV21" i="43"/>
  <c r="AM21" i="43"/>
  <c r="AV20" i="43"/>
  <c r="AM20" i="43"/>
  <c r="AV19" i="43"/>
  <c r="AM19" i="43"/>
  <c r="AV18" i="43"/>
  <c r="AM18" i="43"/>
  <c r="AV17" i="43"/>
  <c r="AM17" i="43"/>
  <c r="AV16" i="43"/>
  <c r="AM16" i="43"/>
  <c r="AV15" i="43"/>
  <c r="AM15" i="43"/>
  <c r="AV14" i="43"/>
  <c r="AM14" i="43"/>
  <c r="AV13" i="43"/>
  <c r="AM13" i="43"/>
  <c r="AV12" i="43"/>
  <c r="AM12" i="43"/>
  <c r="AV11" i="43"/>
  <c r="AM11" i="43"/>
  <c r="AV10" i="43"/>
  <c r="AM10" i="43"/>
  <c r="AV9" i="43"/>
  <c r="AM9" i="43"/>
  <c r="AV8" i="43"/>
  <c r="AM8" i="43"/>
  <c r="AV7" i="43"/>
  <c r="AM7" i="43"/>
  <c r="AV6" i="43"/>
  <c r="AM6" i="43"/>
  <c r="AV5" i="43"/>
  <c r="AM5" i="43"/>
  <c r="AV4" i="43"/>
  <c r="AM4" i="43"/>
  <c r="AV3" i="43"/>
  <c r="AM3" i="43"/>
  <c r="AM52" i="11"/>
  <c r="AM51" i="11"/>
  <c r="AM50" i="11"/>
  <c r="AM49" i="11"/>
  <c r="AM48" i="11"/>
  <c r="AM47" i="11"/>
  <c r="AM45" i="11"/>
  <c r="AM44" i="11"/>
  <c r="AM42" i="11"/>
  <c r="AM41" i="11"/>
  <c r="AM40" i="11"/>
  <c r="AM39" i="11"/>
  <c r="AM38" i="11"/>
  <c r="AM37" i="11"/>
  <c r="AM36" i="11"/>
  <c r="AM35" i="11"/>
  <c r="AM34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M7" i="11"/>
  <c r="AM6" i="11"/>
  <c r="AM5" i="11"/>
  <c r="AM4" i="11"/>
  <c r="AM3" i="11"/>
  <c r="AV52" i="9"/>
  <c r="AV51" i="9"/>
  <c r="AV50" i="9"/>
  <c r="AV49" i="9"/>
  <c r="AV48" i="9"/>
  <c r="AV47" i="9"/>
  <c r="AV45" i="9"/>
  <c r="AV44" i="9"/>
  <c r="AV42" i="9"/>
  <c r="AV41" i="9"/>
  <c r="AV40" i="9"/>
  <c r="AV39" i="9"/>
  <c r="AV38" i="9"/>
  <c r="AV37" i="9"/>
  <c r="AV36" i="9"/>
  <c r="AV35" i="9"/>
  <c r="AV34" i="9"/>
  <c r="AV33" i="9"/>
  <c r="AV32" i="9"/>
  <c r="AV31" i="9"/>
  <c r="AV30" i="9"/>
  <c r="AV29" i="9"/>
  <c r="AV28" i="9"/>
  <c r="AV27" i="9"/>
  <c r="AV26" i="9"/>
  <c r="AV25" i="9"/>
  <c r="AV24" i="9"/>
  <c r="AV23" i="9"/>
  <c r="AV22" i="9"/>
  <c r="AV21" i="9"/>
  <c r="AV20" i="9"/>
  <c r="AV19" i="9"/>
  <c r="AV18" i="9"/>
  <c r="AV17" i="9"/>
  <c r="AV16" i="9"/>
  <c r="AV15" i="9"/>
  <c r="AV14" i="9"/>
  <c r="AV13" i="9"/>
  <c r="AV12" i="9"/>
  <c r="AV11" i="9"/>
  <c r="AV10" i="9"/>
  <c r="AV9" i="9"/>
  <c r="AV8" i="9"/>
  <c r="AV7" i="9"/>
  <c r="AV6" i="9"/>
  <c r="AV5" i="9"/>
  <c r="AV4" i="9"/>
  <c r="AV3" i="9"/>
  <c r="N53" i="44" l="1"/>
  <c r="T53" i="44"/>
  <c r="Z53" i="44"/>
  <c r="AF53" i="44"/>
  <c r="AL53" i="44"/>
  <c r="AM8" i="44"/>
  <c r="AM9" i="44"/>
  <c r="AM13" i="44"/>
  <c r="AM19" i="44"/>
  <c r="AM25" i="44"/>
  <c r="AM32" i="44"/>
  <c r="AA53" i="44"/>
  <c r="AM20" i="44"/>
  <c r="P53" i="44"/>
  <c r="AH53" i="44"/>
  <c r="AM15" i="44"/>
  <c r="AM21" i="44"/>
  <c r="AM27" i="44"/>
  <c r="AM28" i="44"/>
  <c r="AM33" i="44"/>
  <c r="AM34" i="44"/>
  <c r="AM3" i="44"/>
  <c r="I53" i="44"/>
  <c r="AG53" i="44"/>
  <c r="AM26" i="44"/>
  <c r="J53" i="44"/>
  <c r="V53" i="44"/>
  <c r="AB53" i="44"/>
  <c r="AM4" i="44"/>
  <c r="K53" i="44"/>
  <c r="Q53" i="44"/>
  <c r="W53" i="44"/>
  <c r="AC53" i="44"/>
  <c r="AI53" i="44"/>
  <c r="AM5" i="44"/>
  <c r="AM6" i="44"/>
  <c r="AM10" i="44"/>
  <c r="AM11" i="44"/>
  <c r="AM16" i="44"/>
  <c r="AM22" i="44"/>
  <c r="AM29" i="44"/>
  <c r="AM35" i="44"/>
  <c r="O53" i="44"/>
  <c r="L53" i="44"/>
  <c r="R53" i="44"/>
  <c r="X53" i="44"/>
  <c r="AD53" i="44"/>
  <c r="AJ53" i="44"/>
  <c r="AM17" i="44"/>
  <c r="AM23" i="44"/>
  <c r="AM36" i="44"/>
  <c r="U53" i="44"/>
  <c r="AM14" i="44"/>
  <c r="M53" i="44"/>
  <c r="S53" i="44"/>
  <c r="Y53" i="44"/>
  <c r="AE53" i="44"/>
  <c r="AK53" i="44"/>
  <c r="AM7" i="44"/>
  <c r="AM12" i="44"/>
  <c r="AM18" i="44"/>
  <c r="AM24" i="44"/>
  <c r="AM30" i="44"/>
  <c r="AM31" i="44"/>
  <c r="AM37" i="44"/>
  <c r="AM37" i="9"/>
  <c r="AM36" i="9"/>
  <c r="AM35" i="9"/>
  <c r="AM34" i="9"/>
  <c r="AM33" i="9"/>
  <c r="AM32" i="9"/>
  <c r="AM31" i="9"/>
  <c r="AM30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M16" i="9"/>
  <c r="AM15" i="9"/>
  <c r="AM14" i="9"/>
  <c r="AM13" i="9"/>
  <c r="AM12" i="9"/>
  <c r="AM11" i="9"/>
  <c r="AM10" i="9"/>
  <c r="AM9" i="9"/>
  <c r="AM8" i="9"/>
  <c r="AM7" i="9"/>
  <c r="AM6" i="9"/>
  <c r="AM5" i="9"/>
  <c r="AM4" i="9"/>
  <c r="AM3" i="9"/>
  <c r="D52" i="42"/>
  <c r="B52" i="42"/>
  <c r="D51" i="42"/>
  <c r="B51" i="42"/>
  <c r="D50" i="42"/>
  <c r="B50" i="42"/>
  <c r="D49" i="42"/>
  <c r="B49" i="42"/>
  <c r="D48" i="42"/>
  <c r="B48" i="42"/>
  <c r="D47" i="42"/>
  <c r="B47" i="42"/>
  <c r="D45" i="42"/>
  <c r="B45" i="42"/>
  <c r="D44" i="42"/>
  <c r="B44" i="42"/>
  <c r="D42" i="42"/>
  <c r="B42" i="42"/>
  <c r="D41" i="42"/>
  <c r="B41" i="42"/>
  <c r="D40" i="42"/>
  <c r="B40" i="42"/>
  <c r="D39" i="42"/>
  <c r="B39" i="42"/>
  <c r="D38" i="42"/>
  <c r="B38" i="42"/>
  <c r="AM37" i="42"/>
  <c r="AM36" i="42"/>
  <c r="AM35" i="42"/>
  <c r="AM34" i="42"/>
  <c r="AM33" i="42"/>
  <c r="AM32" i="42"/>
  <c r="AM31" i="42"/>
  <c r="AM30" i="42"/>
  <c r="AM29" i="42"/>
  <c r="AM28" i="42"/>
  <c r="AM27" i="42"/>
  <c r="AM25" i="42"/>
  <c r="AM24" i="42"/>
  <c r="AM23" i="42"/>
  <c r="AM22" i="42"/>
  <c r="AM21" i="42"/>
  <c r="AM20" i="42"/>
  <c r="AM19" i="42"/>
  <c r="AM18" i="42"/>
  <c r="AM17" i="42"/>
  <c r="AM16" i="42"/>
  <c r="AM15" i="42"/>
  <c r="AM14" i="42"/>
  <c r="AM13" i="42"/>
  <c r="AM12" i="42"/>
  <c r="AM11" i="42"/>
  <c r="AM10" i="42"/>
  <c r="AM9" i="42"/>
  <c r="AM8" i="42"/>
  <c r="AM7" i="42"/>
  <c r="AM6" i="42"/>
  <c r="AM5" i="42"/>
  <c r="AM4" i="42"/>
  <c r="AM3" i="42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E8" i="12"/>
  <c r="AE7" i="12"/>
  <c r="AE6" i="12"/>
  <c r="AE5" i="12"/>
  <c r="AE4" i="12"/>
  <c r="AE3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C4" i="12"/>
  <c r="AC3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  <c r="AB7" i="12"/>
  <c r="AB6" i="12"/>
  <c r="AB5" i="12"/>
  <c r="AB4" i="12"/>
  <c r="AB3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AA4" i="12"/>
  <c r="AA3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Z4" i="12"/>
  <c r="Z3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8" i="12"/>
  <c r="X7" i="12"/>
  <c r="X6" i="12"/>
  <c r="X5" i="12"/>
  <c r="X4" i="12"/>
  <c r="X3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W3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V4" i="12"/>
  <c r="V3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M3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K52" i="12"/>
  <c r="AK51" i="12"/>
  <c r="AK50" i="12"/>
  <c r="AK49" i="12"/>
  <c r="AK48" i="12"/>
  <c r="AK47" i="12"/>
  <c r="AK45" i="12"/>
  <c r="AK44" i="12"/>
  <c r="AK42" i="12"/>
  <c r="AK41" i="12"/>
  <c r="AK40" i="12"/>
  <c r="AK39" i="12"/>
  <c r="AK38" i="12"/>
  <c r="AK37" i="12"/>
  <c r="AK36" i="12"/>
  <c r="AK35" i="12"/>
  <c r="AK34" i="12"/>
  <c r="AK33" i="12"/>
  <c r="AK32" i="12"/>
  <c r="AK31" i="12"/>
  <c r="AK30" i="12"/>
  <c r="AK29" i="12"/>
  <c r="AK28" i="12"/>
  <c r="AK27" i="12"/>
  <c r="AK26" i="12"/>
  <c r="AK25" i="12"/>
  <c r="AK24" i="12"/>
  <c r="AK23" i="12"/>
  <c r="AK22" i="12"/>
  <c r="AK21" i="12"/>
  <c r="AK20" i="12"/>
  <c r="AK19" i="12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K4" i="12"/>
  <c r="AK3" i="12"/>
  <c r="AJ52" i="12"/>
  <c r="AJ51" i="12"/>
  <c r="AJ50" i="12"/>
  <c r="AJ49" i="12"/>
  <c r="AJ48" i="12"/>
  <c r="AJ47" i="12"/>
  <c r="AJ45" i="12"/>
  <c r="AJ44" i="12"/>
  <c r="AJ42" i="12"/>
  <c r="AJ41" i="12"/>
  <c r="AJ40" i="12"/>
  <c r="AJ39" i="12"/>
  <c r="AJ38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J6" i="12"/>
  <c r="AJ5" i="12"/>
  <c r="AJ4" i="12"/>
  <c r="AJ3" i="12"/>
  <c r="AI52" i="12"/>
  <c r="AI51" i="12"/>
  <c r="AI50" i="12"/>
  <c r="AI49" i="12"/>
  <c r="AI48" i="12"/>
  <c r="AI47" i="12"/>
  <c r="AI45" i="12"/>
  <c r="AI44" i="12"/>
  <c r="AI42" i="12"/>
  <c r="AI41" i="12"/>
  <c r="AI40" i="12"/>
  <c r="AI39" i="12"/>
  <c r="AI38" i="12"/>
  <c r="AI37" i="12"/>
  <c r="AI36" i="12"/>
  <c r="AI35" i="12"/>
  <c r="AI34" i="12"/>
  <c r="AI33" i="12"/>
  <c r="AI32" i="12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3" i="12"/>
  <c r="AH52" i="12"/>
  <c r="AH51" i="12"/>
  <c r="AH50" i="12"/>
  <c r="AH49" i="12"/>
  <c r="AH48" i="12"/>
  <c r="AH47" i="12"/>
  <c r="AH45" i="12"/>
  <c r="AH44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3" i="12"/>
  <c r="AG52" i="12"/>
  <c r="AG51" i="12"/>
  <c r="AG50" i="12"/>
  <c r="AG49" i="12"/>
  <c r="AG48" i="12"/>
  <c r="AG47" i="12"/>
  <c r="AG45" i="12"/>
  <c r="AG44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G4" i="12"/>
  <c r="AG3" i="12"/>
  <c r="AF37" i="12"/>
  <c r="AF36" i="12"/>
  <c r="AF35" i="12"/>
  <c r="AF34" i="12"/>
  <c r="AF33" i="12"/>
  <c r="AF32" i="12"/>
  <c r="AF31" i="12"/>
  <c r="AF30" i="12"/>
  <c r="AF29" i="12"/>
  <c r="AF28" i="12"/>
  <c r="AF27" i="12"/>
  <c r="AF26" i="12"/>
  <c r="AF25" i="12"/>
  <c r="AF24" i="12"/>
  <c r="AF23" i="12"/>
  <c r="AF22" i="12"/>
  <c r="AF21" i="12"/>
  <c r="AF20" i="12"/>
  <c r="AF19" i="12"/>
  <c r="AF18" i="12"/>
  <c r="AF17" i="12"/>
  <c r="AF16" i="12"/>
  <c r="AF15" i="12"/>
  <c r="AF14" i="12"/>
  <c r="AF13" i="12"/>
  <c r="AF12" i="12"/>
  <c r="AF11" i="12"/>
  <c r="AF10" i="12"/>
  <c r="AF9" i="12"/>
  <c r="AF8" i="12"/>
  <c r="AF7" i="12"/>
  <c r="AF6" i="12"/>
  <c r="AF5" i="12"/>
  <c r="AF4" i="12"/>
  <c r="AF3" i="12"/>
  <c r="AF52" i="12"/>
  <c r="AF51" i="12"/>
  <c r="AF50" i="12"/>
  <c r="AF49" i="12"/>
  <c r="AF48" i="12"/>
  <c r="AF47" i="12"/>
  <c r="AF45" i="12"/>
  <c r="AF44" i="12"/>
  <c r="AF42" i="12"/>
  <c r="AF41" i="12"/>
  <c r="AF40" i="12"/>
  <c r="AF39" i="12"/>
  <c r="AF38" i="12"/>
  <c r="AE52" i="12"/>
  <c r="AE51" i="12"/>
  <c r="AE50" i="12"/>
  <c r="AE49" i="12"/>
  <c r="AE48" i="12"/>
  <c r="AE47" i="12"/>
  <c r="AE45" i="12"/>
  <c r="AE44" i="12"/>
  <c r="AE42" i="12"/>
  <c r="AE41" i="12"/>
  <c r="AE40" i="12"/>
  <c r="AE39" i="12"/>
  <c r="AE38" i="12"/>
  <c r="AD52" i="12"/>
  <c r="AD51" i="12"/>
  <c r="AD50" i="12"/>
  <c r="AD49" i="12"/>
  <c r="AD48" i="12"/>
  <c r="AD47" i="12"/>
  <c r="AD45" i="12"/>
  <c r="AD44" i="12"/>
  <c r="AD42" i="12"/>
  <c r="AD41" i="12"/>
  <c r="AD40" i="12"/>
  <c r="AD39" i="12"/>
  <c r="AD38" i="12"/>
  <c r="AC52" i="12"/>
  <c r="AC51" i="12"/>
  <c r="AC50" i="12"/>
  <c r="AC49" i="12"/>
  <c r="AC48" i="12"/>
  <c r="AC47" i="12"/>
  <c r="AC45" i="12"/>
  <c r="AC44" i="12"/>
  <c r="AC42" i="12"/>
  <c r="AC41" i="12"/>
  <c r="AC40" i="12"/>
  <c r="AC39" i="12"/>
  <c r="AC38" i="12"/>
  <c r="AB52" i="12"/>
  <c r="AB51" i="12"/>
  <c r="AB50" i="12"/>
  <c r="AB49" i="12"/>
  <c r="AB48" i="12"/>
  <c r="AB47" i="12"/>
  <c r="AB45" i="12"/>
  <c r="AB44" i="12"/>
  <c r="AB42" i="12"/>
  <c r="AB41" i="12"/>
  <c r="AB40" i="12"/>
  <c r="AB39" i="12"/>
  <c r="AB38" i="12"/>
  <c r="AA52" i="12"/>
  <c r="AA51" i="12"/>
  <c r="AA50" i="12"/>
  <c r="AA49" i="12"/>
  <c r="AA48" i="12"/>
  <c r="AA47" i="12"/>
  <c r="AA45" i="12"/>
  <c r="AA44" i="12"/>
  <c r="AA42" i="12"/>
  <c r="AA41" i="12"/>
  <c r="AA40" i="12"/>
  <c r="AA39" i="12"/>
  <c r="AA38" i="12"/>
  <c r="Z52" i="12"/>
  <c r="Z51" i="12"/>
  <c r="Z50" i="12"/>
  <c r="Z49" i="12"/>
  <c r="Z48" i="12"/>
  <c r="Z47" i="12"/>
  <c r="Z45" i="12"/>
  <c r="Z44" i="12"/>
  <c r="Z42" i="12"/>
  <c r="Z41" i="12"/>
  <c r="Z40" i="12"/>
  <c r="Z39" i="12"/>
  <c r="Z38" i="12"/>
  <c r="Y52" i="12"/>
  <c r="Y51" i="12"/>
  <c r="Y50" i="12"/>
  <c r="Y49" i="12"/>
  <c r="Y48" i="12"/>
  <c r="Y47" i="12"/>
  <c r="Y45" i="12"/>
  <c r="Y44" i="12"/>
  <c r="Y42" i="12"/>
  <c r="Y41" i="12"/>
  <c r="Y40" i="12"/>
  <c r="Y39" i="12"/>
  <c r="Y38" i="12"/>
  <c r="X52" i="12"/>
  <c r="X51" i="12"/>
  <c r="X50" i="12"/>
  <c r="X49" i="12"/>
  <c r="X48" i="12"/>
  <c r="X47" i="12"/>
  <c r="X45" i="12"/>
  <c r="X44" i="12"/>
  <c r="X42" i="12"/>
  <c r="X41" i="12"/>
  <c r="X40" i="12"/>
  <c r="X39" i="12"/>
  <c r="X38" i="12"/>
  <c r="W52" i="12"/>
  <c r="W51" i="12"/>
  <c r="W50" i="12"/>
  <c r="W49" i="12"/>
  <c r="W48" i="12"/>
  <c r="W47" i="12"/>
  <c r="W45" i="12"/>
  <c r="W44" i="12"/>
  <c r="W42" i="12"/>
  <c r="W41" i="12"/>
  <c r="W40" i="12"/>
  <c r="W39" i="12"/>
  <c r="W38" i="12"/>
  <c r="V52" i="12"/>
  <c r="V51" i="12"/>
  <c r="V50" i="12"/>
  <c r="V49" i="12"/>
  <c r="V48" i="12"/>
  <c r="V47" i="12"/>
  <c r="V45" i="12"/>
  <c r="V44" i="12"/>
  <c r="V42" i="12"/>
  <c r="V41" i="12"/>
  <c r="V40" i="12"/>
  <c r="V39" i="12"/>
  <c r="V38" i="12"/>
  <c r="U52" i="12"/>
  <c r="U51" i="12"/>
  <c r="U50" i="12"/>
  <c r="U49" i="12"/>
  <c r="U48" i="12"/>
  <c r="U47" i="12"/>
  <c r="U45" i="12"/>
  <c r="U44" i="12"/>
  <c r="U42" i="12"/>
  <c r="U41" i="12"/>
  <c r="U40" i="12"/>
  <c r="U39" i="12"/>
  <c r="U38" i="12"/>
  <c r="T52" i="12"/>
  <c r="T51" i="12"/>
  <c r="T50" i="12"/>
  <c r="T49" i="12"/>
  <c r="T48" i="12"/>
  <c r="T47" i="12"/>
  <c r="T45" i="12"/>
  <c r="T44" i="12"/>
  <c r="T42" i="12"/>
  <c r="T41" i="12"/>
  <c r="T40" i="12"/>
  <c r="T39" i="12"/>
  <c r="T38" i="12"/>
  <c r="S52" i="12"/>
  <c r="S51" i="12"/>
  <c r="S50" i="12"/>
  <c r="S49" i="12"/>
  <c r="S48" i="12"/>
  <c r="S47" i="12"/>
  <c r="S45" i="12"/>
  <c r="S44" i="12"/>
  <c r="S42" i="12"/>
  <c r="S41" i="12"/>
  <c r="S40" i="12"/>
  <c r="S39" i="12"/>
  <c r="S38" i="12"/>
  <c r="R52" i="12"/>
  <c r="R51" i="12"/>
  <c r="R50" i="12"/>
  <c r="R49" i="12"/>
  <c r="R48" i="12"/>
  <c r="R47" i="12"/>
  <c r="R45" i="12"/>
  <c r="R44" i="12"/>
  <c r="R42" i="12"/>
  <c r="R41" i="12"/>
  <c r="R40" i="12"/>
  <c r="R39" i="12"/>
  <c r="R38" i="12"/>
  <c r="Q52" i="12"/>
  <c r="Q51" i="12"/>
  <c r="Q50" i="12"/>
  <c r="Q49" i="12"/>
  <c r="Q48" i="12"/>
  <c r="Q47" i="12"/>
  <c r="Q45" i="12"/>
  <c r="Q44" i="12"/>
  <c r="Q42" i="12"/>
  <c r="Q41" i="12"/>
  <c r="Q40" i="12"/>
  <c r="Q39" i="12"/>
  <c r="Q38" i="12"/>
  <c r="P52" i="12"/>
  <c r="P51" i="12"/>
  <c r="P50" i="12"/>
  <c r="P49" i="12"/>
  <c r="P48" i="12"/>
  <c r="P47" i="12"/>
  <c r="P45" i="12"/>
  <c r="P44" i="12"/>
  <c r="P42" i="12"/>
  <c r="P41" i="12"/>
  <c r="P40" i="12"/>
  <c r="P39" i="12"/>
  <c r="P38" i="12"/>
  <c r="O52" i="12"/>
  <c r="O51" i="12"/>
  <c r="O50" i="12"/>
  <c r="O49" i="12"/>
  <c r="O48" i="12"/>
  <c r="O47" i="12"/>
  <c r="O45" i="12"/>
  <c r="O44" i="12"/>
  <c r="O42" i="12"/>
  <c r="O41" i="12"/>
  <c r="O40" i="12"/>
  <c r="O39" i="12"/>
  <c r="O38" i="12"/>
  <c r="N52" i="12"/>
  <c r="N51" i="12"/>
  <c r="N50" i="12"/>
  <c r="N49" i="12"/>
  <c r="N48" i="12"/>
  <c r="N47" i="12"/>
  <c r="N45" i="12"/>
  <c r="N44" i="12"/>
  <c r="N42" i="12"/>
  <c r="N41" i="12"/>
  <c r="N40" i="12"/>
  <c r="N39" i="12"/>
  <c r="N38" i="12"/>
  <c r="M52" i="12"/>
  <c r="M51" i="12"/>
  <c r="M50" i="12"/>
  <c r="M49" i="12"/>
  <c r="M48" i="12"/>
  <c r="M47" i="12"/>
  <c r="M45" i="12"/>
  <c r="M44" i="12"/>
  <c r="M42" i="12"/>
  <c r="M41" i="12"/>
  <c r="M40" i="12"/>
  <c r="M39" i="12"/>
  <c r="M38" i="12"/>
  <c r="L52" i="12"/>
  <c r="L51" i="12"/>
  <c r="L50" i="12"/>
  <c r="L49" i="12"/>
  <c r="L48" i="12"/>
  <c r="L47" i="12"/>
  <c r="L45" i="12"/>
  <c r="L44" i="12"/>
  <c r="L42" i="12"/>
  <c r="L41" i="12"/>
  <c r="L40" i="12"/>
  <c r="L39" i="12"/>
  <c r="L38" i="12"/>
  <c r="K52" i="12"/>
  <c r="K51" i="12"/>
  <c r="K50" i="12"/>
  <c r="K49" i="12"/>
  <c r="K48" i="12"/>
  <c r="K47" i="12"/>
  <c r="K45" i="12"/>
  <c r="K44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J52" i="12"/>
  <c r="J51" i="12"/>
  <c r="J50" i="12"/>
  <c r="J49" i="12"/>
  <c r="J48" i="12"/>
  <c r="J47" i="12"/>
  <c r="J45" i="12"/>
  <c r="J44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I52" i="12"/>
  <c r="I51" i="12"/>
  <c r="I50" i="12"/>
  <c r="I49" i="12"/>
  <c r="I48" i="12"/>
  <c r="I47" i="12"/>
  <c r="I45" i="12"/>
  <c r="I44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H3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AK52" i="11"/>
  <c r="AK51" i="11"/>
  <c r="AK50" i="11"/>
  <c r="AK49" i="11"/>
  <c r="AK48" i="11"/>
  <c r="AK47" i="11"/>
  <c r="AK45" i="11"/>
  <c r="AK44" i="11"/>
  <c r="AK42" i="11"/>
  <c r="AK41" i="11"/>
  <c r="AK40" i="11"/>
  <c r="AK39" i="11"/>
  <c r="AK38" i="11"/>
  <c r="AJ52" i="11"/>
  <c r="AJ51" i="11"/>
  <c r="AJ50" i="11"/>
  <c r="AJ49" i="11"/>
  <c r="AJ48" i="11"/>
  <c r="AJ47" i="11"/>
  <c r="AJ45" i="11"/>
  <c r="AJ44" i="11"/>
  <c r="AJ42" i="11"/>
  <c r="AJ41" i="11"/>
  <c r="AJ40" i="11"/>
  <c r="AJ39" i="11"/>
  <c r="AJ38" i="11"/>
  <c r="AI52" i="11"/>
  <c r="AI51" i="11"/>
  <c r="AI50" i="11"/>
  <c r="AI49" i="11"/>
  <c r="AI48" i="11"/>
  <c r="AI47" i="11"/>
  <c r="AI45" i="11"/>
  <c r="AI44" i="11"/>
  <c r="AI42" i="11"/>
  <c r="AI41" i="11"/>
  <c r="AI40" i="11"/>
  <c r="AI39" i="11"/>
  <c r="AI38" i="11"/>
  <c r="AH52" i="11"/>
  <c r="AH51" i="11"/>
  <c r="AH50" i="11"/>
  <c r="AH49" i="11"/>
  <c r="AH48" i="11"/>
  <c r="AH47" i="11"/>
  <c r="AH45" i="11"/>
  <c r="AH44" i="11"/>
  <c r="AH42" i="11"/>
  <c r="AH41" i="11"/>
  <c r="AH40" i="11"/>
  <c r="AH39" i="11"/>
  <c r="AH38" i="11"/>
  <c r="AG52" i="11"/>
  <c r="AG51" i="11"/>
  <c r="AG50" i="11"/>
  <c r="AG49" i="11"/>
  <c r="AG48" i="11"/>
  <c r="AG47" i="11"/>
  <c r="AG45" i="11"/>
  <c r="AG44" i="11"/>
  <c r="AG42" i="11"/>
  <c r="AG41" i="11"/>
  <c r="AG40" i="11"/>
  <c r="AG39" i="11"/>
  <c r="AG38" i="11"/>
  <c r="AF52" i="11"/>
  <c r="AF51" i="11"/>
  <c r="AF50" i="11"/>
  <c r="AF49" i="11"/>
  <c r="AF48" i="11"/>
  <c r="AF47" i="11"/>
  <c r="AF45" i="11"/>
  <c r="AF44" i="11"/>
  <c r="AF42" i="11"/>
  <c r="AF41" i="11"/>
  <c r="AF40" i="11"/>
  <c r="AF39" i="11"/>
  <c r="AF38" i="11"/>
  <c r="AE52" i="11"/>
  <c r="AE51" i="11"/>
  <c r="AE50" i="11"/>
  <c r="AE49" i="11"/>
  <c r="AE48" i="11"/>
  <c r="AE47" i="11"/>
  <c r="AE45" i="11"/>
  <c r="AE44" i="11"/>
  <c r="AE42" i="11"/>
  <c r="AE41" i="11"/>
  <c r="AE40" i="11"/>
  <c r="AE39" i="11"/>
  <c r="AE38" i="11"/>
  <c r="AD52" i="11"/>
  <c r="AD51" i="11"/>
  <c r="AD50" i="11"/>
  <c r="AD49" i="11"/>
  <c r="AD48" i="11"/>
  <c r="AD47" i="11"/>
  <c r="AD45" i="11"/>
  <c r="AD44" i="11"/>
  <c r="AD42" i="11"/>
  <c r="AD41" i="11"/>
  <c r="AD40" i="11"/>
  <c r="AD39" i="11"/>
  <c r="AD38" i="11"/>
  <c r="AC52" i="11"/>
  <c r="AC51" i="11"/>
  <c r="AC50" i="11"/>
  <c r="AC49" i="11"/>
  <c r="AC48" i="11"/>
  <c r="AC47" i="11"/>
  <c r="AC45" i="11"/>
  <c r="AC44" i="11"/>
  <c r="AC42" i="11"/>
  <c r="AC41" i="11"/>
  <c r="AC40" i="11"/>
  <c r="AC39" i="11"/>
  <c r="AC38" i="11"/>
  <c r="AB52" i="11"/>
  <c r="AB51" i="11"/>
  <c r="AB50" i="11"/>
  <c r="AB49" i="11"/>
  <c r="AB48" i="11"/>
  <c r="AB47" i="11"/>
  <c r="AB45" i="11"/>
  <c r="AB44" i="11"/>
  <c r="AB42" i="11"/>
  <c r="AB41" i="11"/>
  <c r="AB40" i="11"/>
  <c r="AB39" i="11"/>
  <c r="AB38" i="11"/>
  <c r="AA52" i="11"/>
  <c r="AA51" i="11"/>
  <c r="AA50" i="11"/>
  <c r="AA49" i="11"/>
  <c r="AA48" i="11"/>
  <c r="AA47" i="11"/>
  <c r="AA45" i="11"/>
  <c r="AA44" i="11"/>
  <c r="AA42" i="11"/>
  <c r="AA41" i="11"/>
  <c r="AA40" i="11"/>
  <c r="AA39" i="11"/>
  <c r="AA38" i="11"/>
  <c r="Z52" i="11"/>
  <c r="Z51" i="11"/>
  <c r="Z50" i="11"/>
  <c r="Z49" i="11"/>
  <c r="Z48" i="11"/>
  <c r="Z47" i="11"/>
  <c r="Z45" i="11"/>
  <c r="Z44" i="11"/>
  <c r="Z42" i="11"/>
  <c r="Z41" i="11"/>
  <c r="Z40" i="11"/>
  <c r="Z39" i="11"/>
  <c r="Z38" i="11"/>
  <c r="Y52" i="11"/>
  <c r="Y51" i="11"/>
  <c r="Y50" i="11"/>
  <c r="Y49" i="11"/>
  <c r="Y48" i="11"/>
  <c r="Y47" i="11"/>
  <c r="Y45" i="11"/>
  <c r="Y44" i="11"/>
  <c r="Y42" i="11"/>
  <c r="Y41" i="11"/>
  <c r="Y40" i="11"/>
  <c r="Y39" i="11"/>
  <c r="Y38" i="11"/>
  <c r="X52" i="11"/>
  <c r="X51" i="11"/>
  <c r="X50" i="11"/>
  <c r="X49" i="11"/>
  <c r="X48" i="11"/>
  <c r="X47" i="11"/>
  <c r="X45" i="11"/>
  <c r="X44" i="11"/>
  <c r="X42" i="11"/>
  <c r="X41" i="11"/>
  <c r="X40" i="11"/>
  <c r="X39" i="11"/>
  <c r="X38" i="11"/>
  <c r="W52" i="11"/>
  <c r="W51" i="11"/>
  <c r="W50" i="11"/>
  <c r="W49" i="11"/>
  <c r="W48" i="11"/>
  <c r="W47" i="11"/>
  <c r="W45" i="11"/>
  <c r="W44" i="11"/>
  <c r="W42" i="11"/>
  <c r="W41" i="11"/>
  <c r="W40" i="11"/>
  <c r="W39" i="11"/>
  <c r="W38" i="11"/>
  <c r="V52" i="11"/>
  <c r="V51" i="11"/>
  <c r="V50" i="11"/>
  <c r="V49" i="11"/>
  <c r="V48" i="11"/>
  <c r="V47" i="11"/>
  <c r="V45" i="11"/>
  <c r="V44" i="11"/>
  <c r="V42" i="11"/>
  <c r="V41" i="11"/>
  <c r="V40" i="11"/>
  <c r="V39" i="11"/>
  <c r="V38" i="11"/>
  <c r="U52" i="11"/>
  <c r="U51" i="11"/>
  <c r="U50" i="11"/>
  <c r="U49" i="11"/>
  <c r="U48" i="11"/>
  <c r="U47" i="11"/>
  <c r="U45" i="11"/>
  <c r="U44" i="11"/>
  <c r="U42" i="11"/>
  <c r="U41" i="11"/>
  <c r="U40" i="11"/>
  <c r="U39" i="11"/>
  <c r="U38" i="11"/>
  <c r="T52" i="11"/>
  <c r="T51" i="11"/>
  <c r="T50" i="11"/>
  <c r="T49" i="11"/>
  <c r="T48" i="11"/>
  <c r="T47" i="11"/>
  <c r="T45" i="11"/>
  <c r="T44" i="11"/>
  <c r="T42" i="11"/>
  <c r="T41" i="11"/>
  <c r="T40" i="11"/>
  <c r="T39" i="11"/>
  <c r="T38" i="11"/>
  <c r="S52" i="11"/>
  <c r="S51" i="11"/>
  <c r="S50" i="11"/>
  <c r="S49" i="11"/>
  <c r="S48" i="11"/>
  <c r="S47" i="11"/>
  <c r="S45" i="11"/>
  <c r="S44" i="11"/>
  <c r="S42" i="11"/>
  <c r="S41" i="11"/>
  <c r="S40" i="11"/>
  <c r="S39" i="11"/>
  <c r="S38" i="11"/>
  <c r="R52" i="11"/>
  <c r="R51" i="11"/>
  <c r="R50" i="11"/>
  <c r="R49" i="11"/>
  <c r="R48" i="11"/>
  <c r="R47" i="11"/>
  <c r="R45" i="11"/>
  <c r="R44" i="11"/>
  <c r="R42" i="11"/>
  <c r="R41" i="11"/>
  <c r="R40" i="11"/>
  <c r="R39" i="11"/>
  <c r="R38" i="11"/>
  <c r="Q52" i="11"/>
  <c r="Q51" i="11"/>
  <c r="Q50" i="11"/>
  <c r="Q49" i="11"/>
  <c r="Q48" i="11"/>
  <c r="Q47" i="11"/>
  <c r="Q45" i="11"/>
  <c r="Q44" i="11"/>
  <c r="Q42" i="11"/>
  <c r="Q41" i="11"/>
  <c r="Q40" i="11"/>
  <c r="Q39" i="11"/>
  <c r="Q38" i="11"/>
  <c r="P52" i="11"/>
  <c r="P51" i="11"/>
  <c r="P50" i="11"/>
  <c r="P49" i="11"/>
  <c r="P48" i="11"/>
  <c r="P47" i="11"/>
  <c r="P45" i="11"/>
  <c r="P44" i="11"/>
  <c r="P42" i="11"/>
  <c r="P41" i="11"/>
  <c r="P40" i="11"/>
  <c r="P39" i="11"/>
  <c r="P38" i="11"/>
  <c r="O52" i="11"/>
  <c r="O51" i="11"/>
  <c r="O50" i="11"/>
  <c r="O49" i="11"/>
  <c r="O48" i="11"/>
  <c r="O47" i="11"/>
  <c r="O45" i="11"/>
  <c r="O44" i="11"/>
  <c r="O42" i="11"/>
  <c r="O41" i="11"/>
  <c r="O40" i="11"/>
  <c r="O39" i="11"/>
  <c r="O38" i="11"/>
  <c r="N52" i="11"/>
  <c r="N51" i="11"/>
  <c r="N50" i="11"/>
  <c r="N49" i="11"/>
  <c r="N48" i="11"/>
  <c r="N47" i="11"/>
  <c r="N45" i="11"/>
  <c r="N44" i="11"/>
  <c r="N42" i="11"/>
  <c r="N41" i="11"/>
  <c r="N40" i="11"/>
  <c r="N39" i="11"/>
  <c r="N38" i="11"/>
  <c r="M52" i="11"/>
  <c r="M51" i="11"/>
  <c r="M50" i="11"/>
  <c r="M49" i="11"/>
  <c r="M48" i="11"/>
  <c r="M47" i="11"/>
  <c r="M45" i="11"/>
  <c r="M44" i="11"/>
  <c r="M42" i="11"/>
  <c r="M41" i="11"/>
  <c r="M40" i="11"/>
  <c r="M39" i="11"/>
  <c r="M38" i="11"/>
  <c r="L52" i="11"/>
  <c r="L51" i="11"/>
  <c r="L50" i="11"/>
  <c r="L49" i="11"/>
  <c r="L48" i="11"/>
  <c r="L47" i="11"/>
  <c r="L45" i="11"/>
  <c r="L44" i="11"/>
  <c r="L42" i="11"/>
  <c r="L41" i="11"/>
  <c r="L40" i="11"/>
  <c r="L39" i="11"/>
  <c r="L38" i="11"/>
  <c r="K52" i="11"/>
  <c r="K51" i="11"/>
  <c r="K50" i="11"/>
  <c r="K49" i="11"/>
  <c r="K48" i="11"/>
  <c r="K47" i="11"/>
  <c r="K45" i="11"/>
  <c r="K44" i="11"/>
  <c r="K42" i="11"/>
  <c r="K41" i="11"/>
  <c r="K40" i="11"/>
  <c r="K39" i="11"/>
  <c r="K38" i="11"/>
  <c r="J52" i="11"/>
  <c r="J51" i="11"/>
  <c r="J50" i="11"/>
  <c r="J49" i="11"/>
  <c r="J48" i="11"/>
  <c r="J47" i="11"/>
  <c r="J45" i="11"/>
  <c r="J44" i="11"/>
  <c r="J42" i="11"/>
  <c r="J41" i="11"/>
  <c r="J40" i="11"/>
  <c r="J39" i="11"/>
  <c r="J38" i="11"/>
  <c r="I52" i="11"/>
  <c r="I51" i="11"/>
  <c r="I50" i="11"/>
  <c r="I49" i="11"/>
  <c r="I48" i="11"/>
  <c r="I47" i="11"/>
  <c r="I45" i="11"/>
  <c r="I44" i="11"/>
  <c r="I42" i="11"/>
  <c r="I41" i="11"/>
  <c r="I40" i="11"/>
  <c r="I39" i="11"/>
  <c r="I38" i="11"/>
  <c r="H39" i="11"/>
  <c r="H40" i="11"/>
  <c r="H41" i="11"/>
  <c r="H42" i="11"/>
  <c r="H44" i="11"/>
  <c r="H45" i="11"/>
  <c r="H47" i="11"/>
  <c r="H48" i="11"/>
  <c r="H49" i="11"/>
  <c r="H50" i="11"/>
  <c r="H51" i="11"/>
  <c r="H52" i="11"/>
  <c r="H38" i="11"/>
  <c r="E52" i="11"/>
  <c r="E51" i="11"/>
  <c r="E50" i="11"/>
  <c r="E49" i="11"/>
  <c r="E48" i="11"/>
  <c r="E47" i="11"/>
  <c r="E45" i="11"/>
  <c r="E44" i="11"/>
  <c r="E42" i="11"/>
  <c r="E41" i="11"/>
  <c r="E40" i="11"/>
  <c r="E39" i="11"/>
  <c r="E38" i="11"/>
  <c r="H52" i="12"/>
  <c r="H51" i="12"/>
  <c r="H50" i="12"/>
  <c r="H49" i="12"/>
  <c r="H48" i="12"/>
  <c r="H47" i="12"/>
  <c r="H45" i="12"/>
  <c r="H44" i="12"/>
  <c r="H42" i="12"/>
  <c r="H41" i="12"/>
  <c r="H40" i="12"/>
  <c r="H39" i="12"/>
  <c r="H38" i="12"/>
  <c r="AM49" i="12" l="1"/>
  <c r="AM41" i="12"/>
  <c r="AM5" i="12"/>
  <c r="AM10" i="12"/>
  <c r="AM16" i="12"/>
  <c r="AM22" i="12"/>
  <c r="AM28" i="12"/>
  <c r="AM34" i="12"/>
  <c r="J53" i="12"/>
  <c r="AH53" i="12"/>
  <c r="AM42" i="12"/>
  <c r="AM50" i="12"/>
  <c r="AM6" i="12"/>
  <c r="AM11" i="12"/>
  <c r="AM17" i="12"/>
  <c r="AM23" i="12"/>
  <c r="AM29" i="12"/>
  <c r="AM35" i="12"/>
  <c r="K53" i="12"/>
  <c r="AI53" i="12"/>
  <c r="Q53" i="12"/>
  <c r="W53" i="12"/>
  <c r="AC53" i="12"/>
  <c r="L53" i="12"/>
  <c r="AM44" i="12"/>
  <c r="AM51" i="12"/>
  <c r="AM7" i="12"/>
  <c r="AM12" i="12"/>
  <c r="AM18" i="12"/>
  <c r="AM24" i="12"/>
  <c r="AM30" i="12"/>
  <c r="AM36" i="12"/>
  <c r="AJ53" i="12"/>
  <c r="P53" i="12"/>
  <c r="V53" i="12"/>
  <c r="AB53" i="12"/>
  <c r="AM38" i="12"/>
  <c r="AM45" i="12"/>
  <c r="AM52" i="12"/>
  <c r="AM8" i="12"/>
  <c r="AM13" i="12"/>
  <c r="AM19" i="12"/>
  <c r="AM25" i="12"/>
  <c r="AM31" i="12"/>
  <c r="AM37" i="12"/>
  <c r="AK53" i="12"/>
  <c r="O53" i="12"/>
  <c r="U53" i="12"/>
  <c r="AA53" i="12"/>
  <c r="R53" i="12"/>
  <c r="X53" i="12"/>
  <c r="AD53" i="12"/>
  <c r="AM39" i="12"/>
  <c r="AM47" i="12"/>
  <c r="AM9" i="12"/>
  <c r="AM14" i="12"/>
  <c r="AM20" i="12"/>
  <c r="AM26" i="12"/>
  <c r="AM32" i="12"/>
  <c r="H53" i="12"/>
  <c r="H54" i="12" s="1"/>
  <c r="AM3" i="12"/>
  <c r="N53" i="12"/>
  <c r="T53" i="12"/>
  <c r="Z53" i="12"/>
  <c r="AM40" i="12"/>
  <c r="AM48" i="12"/>
  <c r="AM4" i="12"/>
  <c r="AM15" i="12"/>
  <c r="AM21" i="12"/>
  <c r="AM27" i="12"/>
  <c r="AM33" i="12"/>
  <c r="I53" i="12"/>
  <c r="AF53" i="12"/>
  <c r="AG53" i="12"/>
  <c r="M53" i="12"/>
  <c r="S53" i="12"/>
  <c r="Y53" i="12"/>
  <c r="AE53" i="12"/>
  <c r="L39" i="14"/>
  <c r="M39" i="45"/>
  <c r="N51" i="14"/>
  <c r="O51" i="45"/>
  <c r="Q40" i="14"/>
  <c r="R40" i="45"/>
  <c r="S45" i="14"/>
  <c r="T45" i="45"/>
  <c r="U50" i="14"/>
  <c r="V50" i="45"/>
  <c r="X39" i="14"/>
  <c r="Y39" i="45"/>
  <c r="Z44" i="14"/>
  <c r="AA44" i="45"/>
  <c r="AA50" i="14"/>
  <c r="AB50" i="45"/>
  <c r="AD39" i="14"/>
  <c r="AE39" i="45"/>
  <c r="AF51" i="14"/>
  <c r="AG51" i="45"/>
  <c r="AI40" i="14"/>
  <c r="AJ40" i="45"/>
  <c r="AK45" i="14"/>
  <c r="AL45" i="45"/>
  <c r="AN38" i="11"/>
  <c r="AN47" i="11"/>
  <c r="AN39" i="11"/>
  <c r="K41" i="14"/>
  <c r="L41" i="45"/>
  <c r="K49" i="14"/>
  <c r="L49" i="45"/>
  <c r="L40" i="14"/>
  <c r="M40" i="45"/>
  <c r="L48" i="14"/>
  <c r="M48" i="45"/>
  <c r="M39" i="14"/>
  <c r="N39" i="45"/>
  <c r="M47" i="14"/>
  <c r="N47" i="45"/>
  <c r="N38" i="14"/>
  <c r="O38" i="45"/>
  <c r="N45" i="14"/>
  <c r="O45" i="45"/>
  <c r="N52" i="14"/>
  <c r="O52" i="45"/>
  <c r="O44" i="14"/>
  <c r="P44" i="45"/>
  <c r="O51" i="14"/>
  <c r="P51" i="45"/>
  <c r="P42" i="14"/>
  <c r="Q42" i="45"/>
  <c r="P50" i="14"/>
  <c r="Q50" i="45"/>
  <c r="Q41" i="14"/>
  <c r="R41" i="45"/>
  <c r="Q49" i="14"/>
  <c r="R49" i="45"/>
  <c r="R40" i="14"/>
  <c r="S40" i="45"/>
  <c r="R48" i="14"/>
  <c r="S48" i="45"/>
  <c r="S39" i="14"/>
  <c r="T39" i="45"/>
  <c r="S47" i="14"/>
  <c r="T47" i="45"/>
  <c r="T38" i="14"/>
  <c r="U38" i="45"/>
  <c r="T45" i="14"/>
  <c r="U45" i="45"/>
  <c r="T52" i="14"/>
  <c r="U52" i="45"/>
  <c r="U44" i="14"/>
  <c r="V44" i="45"/>
  <c r="U51" i="14"/>
  <c r="V51" i="45"/>
  <c r="V42" i="14"/>
  <c r="W42" i="45"/>
  <c r="V50" i="14"/>
  <c r="W50" i="45"/>
  <c r="W41" i="14"/>
  <c r="X41" i="45"/>
  <c r="W49" i="14"/>
  <c r="X49" i="45"/>
  <c r="X40" i="14"/>
  <c r="Y40" i="45"/>
  <c r="X48" i="14"/>
  <c r="Y48" i="45"/>
  <c r="Y39" i="14"/>
  <c r="Z39" i="45"/>
  <c r="Y47" i="14"/>
  <c r="Z47" i="45"/>
  <c r="Z38" i="14"/>
  <c r="AA38" i="45"/>
  <c r="Z45" i="14"/>
  <c r="AA45" i="45"/>
  <c r="Z52" i="14"/>
  <c r="AA52" i="45"/>
  <c r="AA44" i="14"/>
  <c r="AB44" i="45"/>
  <c r="AA51" i="14"/>
  <c r="AB51" i="45"/>
  <c r="AB42" i="14"/>
  <c r="AC42" i="45"/>
  <c r="AB50" i="14"/>
  <c r="AC50" i="45"/>
  <c r="AC41" i="14"/>
  <c r="AD41" i="45"/>
  <c r="AC49" i="14"/>
  <c r="AD49" i="45"/>
  <c r="AD40" i="14"/>
  <c r="AE40" i="45"/>
  <c r="AD48" i="14"/>
  <c r="AE48" i="45"/>
  <c r="AE39" i="14"/>
  <c r="AF39" i="45"/>
  <c r="AE47" i="14"/>
  <c r="AF47" i="45"/>
  <c r="AF38" i="14"/>
  <c r="AG38" i="45"/>
  <c r="AF45" i="14"/>
  <c r="AG45" i="45"/>
  <c r="AF52" i="14"/>
  <c r="AG52" i="45"/>
  <c r="AG44" i="14"/>
  <c r="AH44" i="45"/>
  <c r="AG51" i="14"/>
  <c r="AH51" i="45"/>
  <c r="AH42" i="14"/>
  <c r="AI42" i="45"/>
  <c r="AH50" i="14"/>
  <c r="AI50" i="45"/>
  <c r="AI41" i="14"/>
  <c r="AJ41" i="45"/>
  <c r="AI49" i="14"/>
  <c r="AJ49" i="45"/>
  <c r="AJ40" i="14"/>
  <c r="AK40" i="45"/>
  <c r="AJ48" i="14"/>
  <c r="AK48" i="45"/>
  <c r="AK39" i="14"/>
  <c r="AL39" i="45"/>
  <c r="AK47" i="14"/>
  <c r="AL47" i="45"/>
  <c r="L47" i="14"/>
  <c r="M47" i="45"/>
  <c r="N44" i="14"/>
  <c r="O44" i="45"/>
  <c r="P49" i="14"/>
  <c r="Q49" i="45"/>
  <c r="S52" i="14"/>
  <c r="T52" i="45"/>
  <c r="V41" i="14"/>
  <c r="W41" i="45"/>
  <c r="X47" i="14"/>
  <c r="Y47" i="45"/>
  <c r="Z51" i="14"/>
  <c r="AA51" i="45"/>
  <c r="AC40" i="14"/>
  <c r="AD40" i="45"/>
  <c r="AE45" i="14"/>
  <c r="AF45" i="45"/>
  <c r="AG42" i="14"/>
  <c r="AH42" i="45"/>
  <c r="AI48" i="14"/>
  <c r="AJ48" i="45"/>
  <c r="AJ47" i="14"/>
  <c r="AK47" i="45"/>
  <c r="AN52" i="11"/>
  <c r="K42" i="14"/>
  <c r="L42" i="45"/>
  <c r="K50" i="14"/>
  <c r="L50" i="45"/>
  <c r="L41" i="14"/>
  <c r="M41" i="45"/>
  <c r="L49" i="14"/>
  <c r="M49" i="45"/>
  <c r="M40" i="14"/>
  <c r="N40" i="45"/>
  <c r="M48" i="14"/>
  <c r="N48" i="45"/>
  <c r="N39" i="14"/>
  <c r="O39" i="45"/>
  <c r="N47" i="14"/>
  <c r="O47" i="45"/>
  <c r="O38" i="14"/>
  <c r="P38" i="45"/>
  <c r="O45" i="14"/>
  <c r="P45" i="45"/>
  <c r="O52" i="14"/>
  <c r="P52" i="45"/>
  <c r="P44" i="14"/>
  <c r="Q44" i="45"/>
  <c r="P51" i="14"/>
  <c r="Q51" i="45"/>
  <c r="Q42" i="14"/>
  <c r="R42" i="45"/>
  <c r="Q50" i="14"/>
  <c r="R50" i="45"/>
  <c r="R41" i="14"/>
  <c r="S41" i="45"/>
  <c r="R49" i="14"/>
  <c r="S49" i="45"/>
  <c r="S40" i="14"/>
  <c r="T40" i="45"/>
  <c r="S48" i="14"/>
  <c r="T48" i="45"/>
  <c r="T39" i="14"/>
  <c r="U39" i="45"/>
  <c r="T47" i="14"/>
  <c r="U47" i="45"/>
  <c r="U38" i="14"/>
  <c r="V38" i="45"/>
  <c r="U45" i="14"/>
  <c r="V45" i="45"/>
  <c r="U52" i="14"/>
  <c r="V52" i="45"/>
  <c r="V44" i="14"/>
  <c r="W44" i="45"/>
  <c r="V51" i="14"/>
  <c r="W51" i="45"/>
  <c r="W42" i="14"/>
  <c r="X42" i="45"/>
  <c r="W50" i="14"/>
  <c r="X50" i="45"/>
  <c r="X41" i="14"/>
  <c r="Y41" i="45"/>
  <c r="X49" i="14"/>
  <c r="Y49" i="45"/>
  <c r="Y40" i="14"/>
  <c r="Z40" i="45"/>
  <c r="Y48" i="14"/>
  <c r="Z48" i="45"/>
  <c r="Z39" i="14"/>
  <c r="AA39" i="45"/>
  <c r="Z47" i="14"/>
  <c r="AA47" i="45"/>
  <c r="AA38" i="14"/>
  <c r="AB38" i="45"/>
  <c r="AA45" i="14"/>
  <c r="AB45" i="45"/>
  <c r="AA52" i="14"/>
  <c r="AB52" i="45"/>
  <c r="AB44" i="14"/>
  <c r="AC44" i="45"/>
  <c r="AB51" i="14"/>
  <c r="AC51" i="45"/>
  <c r="AC42" i="14"/>
  <c r="AD42" i="45"/>
  <c r="AC50" i="14"/>
  <c r="AD50" i="45"/>
  <c r="AD41" i="14"/>
  <c r="AE41" i="45"/>
  <c r="AD49" i="14"/>
  <c r="AE49" i="45"/>
  <c r="AE40" i="14"/>
  <c r="AF40" i="45"/>
  <c r="AE48" i="14"/>
  <c r="AF48" i="45"/>
  <c r="AF39" i="14"/>
  <c r="AG39" i="45"/>
  <c r="AF47" i="14"/>
  <c r="AG47" i="45"/>
  <c r="AG38" i="14"/>
  <c r="AH38" i="45"/>
  <c r="AG45" i="14"/>
  <c r="AH45" i="45"/>
  <c r="AG52" i="14"/>
  <c r="AH52" i="45"/>
  <c r="AH44" i="14"/>
  <c r="AI44" i="45"/>
  <c r="AH51" i="14"/>
  <c r="AI51" i="45"/>
  <c r="AI42" i="14"/>
  <c r="AJ42" i="45"/>
  <c r="AI50" i="14"/>
  <c r="AJ50" i="45"/>
  <c r="AJ41" i="14"/>
  <c r="AK41" i="45"/>
  <c r="AJ49" i="14"/>
  <c r="AK49" i="45"/>
  <c r="AK40" i="14"/>
  <c r="AL40" i="45"/>
  <c r="AK48" i="14"/>
  <c r="AL48" i="45"/>
  <c r="AN40" i="11"/>
  <c r="K40" i="14"/>
  <c r="L40" i="45"/>
  <c r="M45" i="14"/>
  <c r="N45" i="45"/>
  <c r="P41" i="14"/>
  <c r="Q41" i="45"/>
  <c r="R47" i="14"/>
  <c r="S47" i="45"/>
  <c r="T44" i="14"/>
  <c r="U44" i="45"/>
  <c r="V49" i="14"/>
  <c r="W49" i="45"/>
  <c r="Y45" i="14"/>
  <c r="Z45" i="45"/>
  <c r="AB41" i="14"/>
  <c r="AC41" i="45"/>
  <c r="AD47" i="14"/>
  <c r="AE47" i="45"/>
  <c r="AF44" i="14"/>
  <c r="AG44" i="45"/>
  <c r="AH41" i="14"/>
  <c r="AI41" i="45"/>
  <c r="AK52" i="14"/>
  <c r="AL52" i="45"/>
  <c r="K44" i="14"/>
  <c r="L44" i="45"/>
  <c r="K51" i="14"/>
  <c r="L51" i="45"/>
  <c r="L42" i="14"/>
  <c r="M42" i="45"/>
  <c r="L50" i="14"/>
  <c r="M50" i="45"/>
  <c r="M41" i="14"/>
  <c r="N41" i="45"/>
  <c r="M49" i="14"/>
  <c r="N49" i="45"/>
  <c r="N40" i="14"/>
  <c r="O40" i="45"/>
  <c r="N48" i="14"/>
  <c r="O48" i="45"/>
  <c r="O39" i="14"/>
  <c r="P39" i="45"/>
  <c r="O47" i="14"/>
  <c r="P47" i="45"/>
  <c r="P38" i="14"/>
  <c r="Q38" i="45"/>
  <c r="P45" i="14"/>
  <c r="Q45" i="45"/>
  <c r="P52" i="14"/>
  <c r="Q52" i="45"/>
  <c r="Q44" i="14"/>
  <c r="R44" i="45"/>
  <c r="Q51" i="14"/>
  <c r="R51" i="45"/>
  <c r="R42" i="14"/>
  <c r="S42" i="45"/>
  <c r="R50" i="14"/>
  <c r="S50" i="45"/>
  <c r="S41" i="14"/>
  <c r="T41" i="45"/>
  <c r="S49" i="14"/>
  <c r="T49" i="45"/>
  <c r="T40" i="14"/>
  <c r="U40" i="45"/>
  <c r="T48" i="14"/>
  <c r="U48" i="45"/>
  <c r="U39" i="14"/>
  <c r="V39" i="45"/>
  <c r="U47" i="14"/>
  <c r="V47" i="45"/>
  <c r="V38" i="14"/>
  <c r="W38" i="45"/>
  <c r="V45" i="14"/>
  <c r="W45" i="45"/>
  <c r="V52" i="14"/>
  <c r="W52" i="45"/>
  <c r="W44" i="14"/>
  <c r="X44" i="45"/>
  <c r="W51" i="14"/>
  <c r="X51" i="45"/>
  <c r="X42" i="14"/>
  <c r="Y42" i="45"/>
  <c r="X50" i="14"/>
  <c r="Y50" i="45"/>
  <c r="Y41" i="14"/>
  <c r="Z41" i="45"/>
  <c r="Y49" i="14"/>
  <c r="Z49" i="45"/>
  <c r="Z40" i="14"/>
  <c r="AA40" i="45"/>
  <c r="Z48" i="14"/>
  <c r="AA48" i="45"/>
  <c r="AA39" i="14"/>
  <c r="AB39" i="45"/>
  <c r="AA47" i="14"/>
  <c r="AB47" i="45"/>
  <c r="AB38" i="14"/>
  <c r="AC38" i="45"/>
  <c r="AB45" i="14"/>
  <c r="AC45" i="45"/>
  <c r="AB52" i="14"/>
  <c r="AC52" i="45"/>
  <c r="AC44" i="14"/>
  <c r="AD44" i="45"/>
  <c r="AC51" i="14"/>
  <c r="AD51" i="45"/>
  <c r="AD42" i="14"/>
  <c r="AE42" i="45"/>
  <c r="AD50" i="14"/>
  <c r="AE50" i="45"/>
  <c r="AE41" i="14"/>
  <c r="AF41" i="45"/>
  <c r="AE49" i="14"/>
  <c r="AF49" i="45"/>
  <c r="AF40" i="14"/>
  <c r="AG40" i="45"/>
  <c r="AF48" i="14"/>
  <c r="AG48" i="45"/>
  <c r="AG39" i="14"/>
  <c r="AH39" i="45"/>
  <c r="AG47" i="14"/>
  <c r="AH47" i="45"/>
  <c r="AH38" i="14"/>
  <c r="AI38" i="45"/>
  <c r="AH45" i="14"/>
  <c r="AI45" i="45"/>
  <c r="AH52" i="14"/>
  <c r="AI52" i="45"/>
  <c r="AI44" i="14"/>
  <c r="AJ44" i="45"/>
  <c r="AI51" i="14"/>
  <c r="AJ51" i="45"/>
  <c r="AJ42" i="14"/>
  <c r="AK42" i="45"/>
  <c r="AJ50" i="14"/>
  <c r="AK50" i="45"/>
  <c r="AK41" i="14"/>
  <c r="AL41" i="45"/>
  <c r="AK49" i="14"/>
  <c r="AL49" i="45"/>
  <c r="AN48" i="11"/>
  <c r="M38" i="14"/>
  <c r="N38" i="45"/>
  <c r="O42" i="14"/>
  <c r="P42" i="45"/>
  <c r="Q48" i="14"/>
  <c r="R48" i="45"/>
  <c r="S38" i="14"/>
  <c r="T38" i="45"/>
  <c r="U42" i="14"/>
  <c r="V42" i="45"/>
  <c r="W48" i="14"/>
  <c r="X48" i="45"/>
  <c r="Y38" i="14"/>
  <c r="Z38" i="45"/>
  <c r="AA42" i="14"/>
  <c r="AB42" i="45"/>
  <c r="AC48" i="14"/>
  <c r="AD48" i="45"/>
  <c r="AE52" i="14"/>
  <c r="AF52" i="45"/>
  <c r="AG50" i="14"/>
  <c r="AH50" i="45"/>
  <c r="AJ39" i="14"/>
  <c r="AK39" i="45"/>
  <c r="AK38" i="14"/>
  <c r="AL38" i="45"/>
  <c r="AN45" i="11"/>
  <c r="AN51" i="11"/>
  <c r="AN42" i="11"/>
  <c r="K45" i="14"/>
  <c r="L45" i="45"/>
  <c r="L44" i="14"/>
  <c r="M44" i="45"/>
  <c r="M42" i="14"/>
  <c r="N42" i="45"/>
  <c r="M50" i="14"/>
  <c r="N50" i="45"/>
  <c r="N49" i="14"/>
  <c r="O49" i="45"/>
  <c r="O40" i="14"/>
  <c r="P40" i="45"/>
  <c r="O48" i="14"/>
  <c r="P48" i="45"/>
  <c r="P39" i="14"/>
  <c r="Q39" i="45"/>
  <c r="P47" i="14"/>
  <c r="Q47" i="45"/>
  <c r="Q38" i="14"/>
  <c r="R38" i="45"/>
  <c r="Q45" i="14"/>
  <c r="R45" i="45"/>
  <c r="Q52" i="14"/>
  <c r="R52" i="45"/>
  <c r="R44" i="14"/>
  <c r="S44" i="45"/>
  <c r="R51" i="14"/>
  <c r="S51" i="45"/>
  <c r="S42" i="14"/>
  <c r="T42" i="45"/>
  <c r="S50" i="14"/>
  <c r="T50" i="45"/>
  <c r="T41" i="14"/>
  <c r="U41" i="45"/>
  <c r="T49" i="14"/>
  <c r="U49" i="45"/>
  <c r="U40" i="14"/>
  <c r="V40" i="45"/>
  <c r="U48" i="14"/>
  <c r="V48" i="45"/>
  <c r="V39" i="14"/>
  <c r="W39" i="45"/>
  <c r="V47" i="14"/>
  <c r="W47" i="45"/>
  <c r="W38" i="14"/>
  <c r="X38" i="45"/>
  <c r="W45" i="14"/>
  <c r="X45" i="45"/>
  <c r="W52" i="14"/>
  <c r="X52" i="45"/>
  <c r="X44" i="14"/>
  <c r="Y44" i="45"/>
  <c r="X51" i="14"/>
  <c r="Y51" i="45"/>
  <c r="Y42" i="14"/>
  <c r="Z42" i="45"/>
  <c r="Y50" i="14"/>
  <c r="Z50" i="45"/>
  <c r="Z41" i="14"/>
  <c r="AA41" i="45"/>
  <c r="Z49" i="14"/>
  <c r="AA49" i="45"/>
  <c r="AA40" i="14"/>
  <c r="AB40" i="45"/>
  <c r="AA48" i="14"/>
  <c r="AB48" i="45"/>
  <c r="AB39" i="14"/>
  <c r="AC39" i="45"/>
  <c r="AB47" i="14"/>
  <c r="AC47" i="45"/>
  <c r="AC38" i="14"/>
  <c r="AD38" i="45"/>
  <c r="AC45" i="14"/>
  <c r="AD45" i="45"/>
  <c r="AC52" i="14"/>
  <c r="AD52" i="45"/>
  <c r="AD44" i="14"/>
  <c r="AE44" i="45"/>
  <c r="AD51" i="14"/>
  <c r="AE51" i="45"/>
  <c r="AE42" i="14"/>
  <c r="AF42" i="45"/>
  <c r="AE50" i="14"/>
  <c r="AF50" i="45"/>
  <c r="AF41" i="14"/>
  <c r="AG41" i="45"/>
  <c r="AF49" i="14"/>
  <c r="AG49" i="45"/>
  <c r="AG40" i="14"/>
  <c r="AH40" i="45"/>
  <c r="AG48" i="14"/>
  <c r="AH48" i="45"/>
  <c r="AH39" i="14"/>
  <c r="AI39" i="45"/>
  <c r="AH47" i="14"/>
  <c r="AI47" i="45"/>
  <c r="AI38" i="14"/>
  <c r="AJ38" i="45"/>
  <c r="AI45" i="14"/>
  <c r="AJ45" i="45"/>
  <c r="AI52" i="14"/>
  <c r="AJ52" i="45"/>
  <c r="AJ44" i="14"/>
  <c r="AK44" i="45"/>
  <c r="AJ51" i="14"/>
  <c r="AK51" i="45"/>
  <c r="AK42" i="14"/>
  <c r="AL42" i="45"/>
  <c r="AK50" i="14"/>
  <c r="AL50" i="45"/>
  <c r="K48" i="14"/>
  <c r="L48" i="45"/>
  <c r="M52" i="14"/>
  <c r="N52" i="45"/>
  <c r="O50" i="14"/>
  <c r="P50" i="45"/>
  <c r="R39" i="14"/>
  <c r="S39" i="45"/>
  <c r="T51" i="14"/>
  <c r="U51" i="45"/>
  <c r="W40" i="14"/>
  <c r="X40" i="45"/>
  <c r="Y52" i="14"/>
  <c r="Z52" i="45"/>
  <c r="AB49" i="14"/>
  <c r="AC49" i="45"/>
  <c r="AE38" i="14"/>
  <c r="AF38" i="45"/>
  <c r="AH49" i="14"/>
  <c r="AI49" i="45"/>
  <c r="AN44" i="11"/>
  <c r="AN50" i="11"/>
  <c r="K38" i="14"/>
  <c r="L38" i="45"/>
  <c r="K52" i="14"/>
  <c r="L52" i="45"/>
  <c r="L51" i="14"/>
  <c r="M51" i="45"/>
  <c r="N41" i="14"/>
  <c r="O41" i="45"/>
  <c r="AN49" i="11"/>
  <c r="AN41" i="11"/>
  <c r="K39" i="14"/>
  <c r="L39" i="45"/>
  <c r="K47" i="14"/>
  <c r="L47" i="45"/>
  <c r="L38" i="14"/>
  <c r="M38" i="45"/>
  <c r="L45" i="14"/>
  <c r="M45" i="45"/>
  <c r="L52" i="14"/>
  <c r="M52" i="45"/>
  <c r="M44" i="14"/>
  <c r="N44" i="45"/>
  <c r="M51" i="14"/>
  <c r="N51" i="45"/>
  <c r="N42" i="14"/>
  <c r="O42" i="45"/>
  <c r="N50" i="14"/>
  <c r="O50" i="45"/>
  <c r="O41" i="14"/>
  <c r="P41" i="45"/>
  <c r="O49" i="14"/>
  <c r="P49" i="45"/>
  <c r="P40" i="14"/>
  <c r="Q40" i="45"/>
  <c r="P48" i="14"/>
  <c r="Q48" i="45"/>
  <c r="Q39" i="14"/>
  <c r="R39" i="45"/>
  <c r="Q47" i="14"/>
  <c r="R47" i="45"/>
  <c r="R38" i="14"/>
  <c r="S38" i="45"/>
  <c r="R45" i="14"/>
  <c r="S45" i="45"/>
  <c r="R52" i="14"/>
  <c r="S52" i="45"/>
  <c r="S44" i="14"/>
  <c r="T44" i="45"/>
  <c r="S51" i="14"/>
  <c r="T51" i="45"/>
  <c r="T42" i="14"/>
  <c r="U42" i="45"/>
  <c r="T50" i="14"/>
  <c r="U50" i="45"/>
  <c r="U41" i="14"/>
  <c r="V41" i="45"/>
  <c r="U49" i="14"/>
  <c r="V49" i="45"/>
  <c r="V40" i="14"/>
  <c r="W40" i="45"/>
  <c r="V48" i="14"/>
  <c r="W48" i="45"/>
  <c r="W39" i="14"/>
  <c r="X39" i="45"/>
  <c r="W47" i="14"/>
  <c r="X47" i="45"/>
  <c r="X38" i="14"/>
  <c r="Y38" i="45"/>
  <c r="X45" i="14"/>
  <c r="Y45" i="45"/>
  <c r="X52" i="14"/>
  <c r="Y52" i="45"/>
  <c r="Y44" i="14"/>
  <c r="Z44" i="45"/>
  <c r="Y51" i="14"/>
  <c r="Z51" i="45"/>
  <c r="Z42" i="14"/>
  <c r="AA42" i="45"/>
  <c r="Z50" i="14"/>
  <c r="AA50" i="45"/>
  <c r="AA41" i="14"/>
  <c r="AB41" i="45"/>
  <c r="AA49" i="14"/>
  <c r="AB49" i="45"/>
  <c r="AB40" i="14"/>
  <c r="AC40" i="45"/>
  <c r="AB48" i="14"/>
  <c r="AC48" i="45"/>
  <c r="AC39" i="14"/>
  <c r="AD39" i="45"/>
  <c r="AC47" i="14"/>
  <c r="AD47" i="45"/>
  <c r="AD38" i="14"/>
  <c r="AE38" i="45"/>
  <c r="AD45" i="14"/>
  <c r="AE45" i="45"/>
  <c r="AD52" i="14"/>
  <c r="AE52" i="45"/>
  <c r="AE44" i="14"/>
  <c r="AF44" i="45"/>
  <c r="AE51" i="14"/>
  <c r="AF51" i="45"/>
  <c r="AF42" i="14"/>
  <c r="AG42" i="45"/>
  <c r="AF50" i="14"/>
  <c r="AG50" i="45"/>
  <c r="AG41" i="14"/>
  <c r="AH41" i="45"/>
  <c r="AG49" i="14"/>
  <c r="AH49" i="45"/>
  <c r="AH40" i="14"/>
  <c r="AI40" i="45"/>
  <c r="AH48" i="14"/>
  <c r="AI48" i="45"/>
  <c r="AI39" i="14"/>
  <c r="AJ39" i="45"/>
  <c r="AI47" i="14"/>
  <c r="AJ47" i="45"/>
  <c r="AJ38" i="14"/>
  <c r="AK38" i="45"/>
  <c r="AJ45" i="14"/>
  <c r="AK45" i="45"/>
  <c r="AJ52" i="14"/>
  <c r="AK52" i="45"/>
  <c r="AK44" i="14"/>
  <c r="AL44" i="45"/>
  <c r="AK51" i="14"/>
  <c r="AL51" i="45"/>
  <c r="AL52" i="11"/>
  <c r="AL41" i="11"/>
  <c r="AL49" i="11"/>
  <c r="AL50" i="11"/>
  <c r="AL45" i="11"/>
  <c r="AL42" i="11"/>
  <c r="AL44" i="11"/>
  <c r="AL51" i="11"/>
  <c r="AL39" i="11"/>
  <c r="AL47" i="11"/>
  <c r="AL40" i="11"/>
  <c r="AL48" i="11"/>
  <c r="AL38" i="11"/>
  <c r="E52" i="12"/>
  <c r="E51" i="12"/>
  <c r="E50" i="12"/>
  <c r="E49" i="12"/>
  <c r="E48" i="12"/>
  <c r="E47" i="12"/>
  <c r="E45" i="12"/>
  <c r="E44" i="12"/>
  <c r="E42" i="12"/>
  <c r="E41" i="12"/>
  <c r="E40" i="12"/>
  <c r="E39" i="12"/>
  <c r="E38" i="12"/>
  <c r="B52" i="9"/>
  <c r="B51" i="9"/>
  <c r="B50" i="9"/>
  <c r="B49" i="9"/>
  <c r="B48" i="9"/>
  <c r="B47" i="9"/>
  <c r="B45" i="9"/>
  <c r="B44" i="9"/>
  <c r="B42" i="9"/>
  <c r="B41" i="9"/>
  <c r="B40" i="9"/>
  <c r="B39" i="9"/>
  <c r="B38" i="9"/>
  <c r="AL14" i="39"/>
  <c r="AL7" i="39" s="1"/>
  <c r="AK14" i="39"/>
  <c r="AK7" i="39" s="1"/>
  <c r="AJ14" i="39"/>
  <c r="AJ7" i="39" s="1"/>
  <c r="AI14" i="39"/>
  <c r="AI7" i="39" s="1"/>
  <c r="AH14" i="39"/>
  <c r="AH7" i="39" s="1"/>
  <c r="AG14" i="39"/>
  <c r="AG7" i="39" s="1"/>
  <c r="AF14" i="39"/>
  <c r="AF7" i="39" s="1"/>
  <c r="AE14" i="39"/>
  <c r="AE7" i="39" s="1"/>
  <c r="AD14" i="39"/>
  <c r="AD7" i="39" s="1"/>
  <c r="AC14" i="39"/>
  <c r="AC7" i="39" s="1"/>
  <c r="AB14" i="39"/>
  <c r="AB7" i="39" s="1"/>
  <c r="AA14" i="39"/>
  <c r="AA7" i="39" s="1"/>
  <c r="Z14" i="39"/>
  <c r="Z7" i="39" s="1"/>
  <c r="Y14" i="39"/>
  <c r="Y7" i="39" s="1"/>
  <c r="X14" i="39"/>
  <c r="X7" i="39" s="1"/>
  <c r="W14" i="39"/>
  <c r="W7" i="39" s="1"/>
  <c r="V14" i="39"/>
  <c r="V7" i="39" s="1"/>
  <c r="U14" i="39"/>
  <c r="U7" i="39" s="1"/>
  <c r="T14" i="39"/>
  <c r="T7" i="39" s="1"/>
  <c r="S14" i="39"/>
  <c r="S7" i="39" s="1"/>
  <c r="R14" i="39"/>
  <c r="R7" i="39" s="1"/>
  <c r="Q14" i="39"/>
  <c r="Q7" i="39" s="1"/>
  <c r="P14" i="39"/>
  <c r="P7" i="39" s="1"/>
  <c r="O14" i="39"/>
  <c r="O7" i="39" s="1"/>
  <c r="N14" i="39"/>
  <c r="N7" i="39" s="1"/>
  <c r="M14" i="39"/>
  <c r="M7" i="39" s="1"/>
  <c r="L14" i="39"/>
  <c r="L7" i="39" s="1"/>
  <c r="K14" i="39"/>
  <c r="J14" i="39"/>
  <c r="I14" i="39"/>
  <c r="AR6" i="39"/>
  <c r="AR5" i="39"/>
  <c r="AR4" i="39"/>
  <c r="AR3" i="39"/>
  <c r="AL12" i="38"/>
  <c r="AK12" i="38"/>
  <c r="AJ12" i="38"/>
  <c r="AI12" i="38"/>
  <c r="AH12" i="38"/>
  <c r="AG12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AR5" i="38"/>
  <c r="AR4" i="38"/>
  <c r="AR3" i="38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AR6" i="37"/>
  <c r="AR5" i="37"/>
  <c r="AR4" i="37"/>
  <c r="AR3" i="37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Y10" i="36"/>
  <c r="X10" i="36"/>
  <c r="W10" i="36"/>
  <c r="V10" i="36"/>
  <c r="U10" i="36"/>
  <c r="T10" i="36"/>
  <c r="S10" i="36"/>
  <c r="R10" i="36"/>
  <c r="Q10" i="36"/>
  <c r="P10" i="36"/>
  <c r="O10" i="36"/>
  <c r="N10" i="36"/>
  <c r="M10" i="36"/>
  <c r="L10" i="36"/>
  <c r="K10" i="36"/>
  <c r="J10" i="36"/>
  <c r="I10" i="36"/>
  <c r="AR5" i="36"/>
  <c r="AR4" i="36"/>
  <c r="AR3" i="36"/>
  <c r="AL10" i="35"/>
  <c r="AK10" i="35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AR3" i="35"/>
  <c r="AR6" i="35" s="1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AR6" i="34"/>
  <c r="AR5" i="34"/>
  <c r="AR4" i="34"/>
  <c r="AR3" i="34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AR3" i="33"/>
  <c r="AR6" i="33" s="1"/>
  <c r="AL11" i="32"/>
  <c r="AK11" i="32"/>
  <c r="AJ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AR4" i="32"/>
  <c r="AR3" i="32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R6" i="31"/>
  <c r="AR5" i="31"/>
  <c r="AR4" i="31"/>
  <c r="AR3" i="31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R5" i="30"/>
  <c r="AR4" i="30"/>
  <c r="AR3" i="30"/>
  <c r="AL15" i="24"/>
  <c r="AK15" i="24"/>
  <c r="AJ15" i="24"/>
  <c r="AI15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R10" i="24"/>
  <c r="AR9" i="24"/>
  <c r="AR6" i="24"/>
  <c r="AR5" i="24"/>
  <c r="AR4" i="24"/>
  <c r="AR3" i="24"/>
  <c r="J57" i="15"/>
  <c r="K57" i="15"/>
  <c r="AR37" i="15"/>
  <c r="AR36" i="15"/>
  <c r="AR35" i="15"/>
  <c r="AR34" i="15"/>
  <c r="AR33" i="15"/>
  <c r="AR32" i="15"/>
  <c r="AR31" i="15"/>
  <c r="AR30" i="15"/>
  <c r="AR29" i="15"/>
  <c r="AR28" i="15"/>
  <c r="AR27" i="15"/>
  <c r="AR26" i="15"/>
  <c r="AR25" i="15"/>
  <c r="AR24" i="15"/>
  <c r="AR23" i="15"/>
  <c r="AR22" i="15"/>
  <c r="AR21" i="15"/>
  <c r="AR20" i="15"/>
  <c r="AR19" i="15"/>
  <c r="AR18" i="15"/>
  <c r="AR17" i="15"/>
  <c r="AR16" i="15"/>
  <c r="AR15" i="15"/>
  <c r="AR14" i="15"/>
  <c r="AR13" i="15"/>
  <c r="AR12" i="15"/>
  <c r="AR11" i="15"/>
  <c r="AR10" i="15"/>
  <c r="AR9" i="15"/>
  <c r="AR8" i="15"/>
  <c r="AR7" i="15"/>
  <c r="AR6" i="15"/>
  <c r="AR5" i="15"/>
  <c r="AR4" i="15"/>
  <c r="AR3" i="15"/>
  <c r="K43" i="15" l="1"/>
  <c r="K46" i="15"/>
  <c r="J46" i="15"/>
  <c r="J43" i="15"/>
  <c r="AM53" i="12"/>
  <c r="I54" i="12"/>
  <c r="J54" i="12" s="1"/>
  <c r="K54" i="12" s="1"/>
  <c r="L54" i="12" s="1"/>
  <c r="M54" i="12" s="1"/>
  <c r="N54" i="12" s="1"/>
  <c r="O54" i="12" s="1"/>
  <c r="P54" i="12" s="1"/>
  <c r="Q54" i="12" s="1"/>
  <c r="R54" i="12" s="1"/>
  <c r="S54" i="12" s="1"/>
  <c r="T54" i="12" s="1"/>
  <c r="U54" i="12" s="1"/>
  <c r="V54" i="12" s="1"/>
  <c r="W54" i="12" s="1"/>
  <c r="X54" i="12" s="1"/>
  <c r="Y54" i="12" s="1"/>
  <c r="Z54" i="12" s="1"/>
  <c r="AA54" i="12" s="1"/>
  <c r="AB54" i="12" s="1"/>
  <c r="AC54" i="12" s="1"/>
  <c r="AD54" i="12" s="1"/>
  <c r="AE54" i="12" s="1"/>
  <c r="AF54" i="12" s="1"/>
  <c r="AG54" i="12" s="1"/>
  <c r="AH54" i="12" s="1"/>
  <c r="AI54" i="12" s="1"/>
  <c r="AJ54" i="12" s="1"/>
  <c r="AK54" i="12" s="1"/>
  <c r="AR7" i="32"/>
  <c r="AR11" i="24"/>
  <c r="AR7" i="34"/>
  <c r="AR7" i="30"/>
  <c r="AR7" i="31"/>
  <c r="AR6" i="36"/>
  <c r="AR8" i="37"/>
  <c r="AR8" i="38"/>
  <c r="AR10" i="39"/>
  <c r="AR53" i="15"/>
  <c r="AL48" i="12"/>
  <c r="AL47" i="12"/>
  <c r="AL40" i="12"/>
  <c r="AL49" i="12"/>
  <c r="AL51" i="12"/>
  <c r="AL44" i="12"/>
  <c r="AL38" i="12"/>
  <c r="AL52" i="12"/>
  <c r="AL39" i="12"/>
  <c r="AL50" i="12"/>
  <c r="AL42" i="12"/>
  <c r="AL45" i="12"/>
  <c r="AL41" i="12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I57" i="15" l="1"/>
  <c r="AL37" i="12"/>
  <c r="AL36" i="12"/>
  <c r="H36" i="11"/>
  <c r="I36" i="11"/>
  <c r="J36" i="45" s="1"/>
  <c r="J36" i="11"/>
  <c r="K36" i="45" s="1"/>
  <c r="K36" i="11"/>
  <c r="L36" i="45" s="1"/>
  <c r="L36" i="11"/>
  <c r="M36" i="45" s="1"/>
  <c r="M36" i="11"/>
  <c r="N36" i="45" s="1"/>
  <c r="N36" i="11"/>
  <c r="O36" i="45" s="1"/>
  <c r="O36" i="11"/>
  <c r="P36" i="45" s="1"/>
  <c r="P36" i="11"/>
  <c r="Q36" i="45" s="1"/>
  <c r="Q36" i="11"/>
  <c r="R36" i="45" s="1"/>
  <c r="R36" i="11"/>
  <c r="S36" i="45" s="1"/>
  <c r="S36" i="11"/>
  <c r="T36" i="45" s="1"/>
  <c r="T36" i="11"/>
  <c r="U36" i="45" s="1"/>
  <c r="U36" i="11"/>
  <c r="V36" i="45" s="1"/>
  <c r="V36" i="11"/>
  <c r="W36" i="45" s="1"/>
  <c r="W36" i="11"/>
  <c r="X36" i="45" s="1"/>
  <c r="X36" i="11"/>
  <c r="Y36" i="45" s="1"/>
  <c r="Y36" i="11"/>
  <c r="Z36" i="45" s="1"/>
  <c r="Z36" i="11"/>
  <c r="AA36" i="45" s="1"/>
  <c r="AA36" i="11"/>
  <c r="AB36" i="45" s="1"/>
  <c r="AB36" i="11"/>
  <c r="AC36" i="45" s="1"/>
  <c r="AC36" i="11"/>
  <c r="AD36" i="45" s="1"/>
  <c r="AD36" i="11"/>
  <c r="AE36" i="45" s="1"/>
  <c r="AE36" i="11"/>
  <c r="AF36" i="45" s="1"/>
  <c r="AF36" i="11"/>
  <c r="AG36" i="45" s="1"/>
  <c r="AG36" i="11"/>
  <c r="AH36" i="45" s="1"/>
  <c r="AH36" i="11"/>
  <c r="AI36" i="45" s="1"/>
  <c r="AI36" i="11"/>
  <c r="AJ36" i="45" s="1"/>
  <c r="AJ36" i="11"/>
  <c r="AK36" i="45" s="1"/>
  <c r="AK36" i="11"/>
  <c r="AL36" i="45" s="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I46" i="15" l="1"/>
  <c r="I43" i="15"/>
  <c r="L5" i="36"/>
  <c r="U5" i="36"/>
  <c r="O5" i="36"/>
  <c r="X5" i="36"/>
  <c r="AG5" i="36"/>
  <c r="AA5" i="36"/>
  <c r="N5" i="36"/>
  <c r="K5" i="36"/>
  <c r="AJ5" i="36"/>
  <c r="AD5" i="36"/>
  <c r="R5" i="36"/>
  <c r="J5" i="36"/>
  <c r="AB5" i="36"/>
  <c r="P5" i="36"/>
  <c r="AH5" i="36"/>
  <c r="V5" i="36"/>
  <c r="AA37" i="45"/>
  <c r="Z37" i="14"/>
  <c r="AL37" i="45"/>
  <c r="AK37" i="14"/>
  <c r="AF37" i="45"/>
  <c r="AE37" i="14"/>
  <c r="Z37" i="45"/>
  <c r="Y37" i="14"/>
  <c r="T37" i="45"/>
  <c r="S37" i="14"/>
  <c r="AF5" i="36"/>
  <c r="Z5" i="36"/>
  <c r="AK37" i="45"/>
  <c r="AJ37" i="14"/>
  <c r="AE37" i="45"/>
  <c r="AD37" i="14"/>
  <c r="Y37" i="45"/>
  <c r="X37" i="14"/>
  <c r="S37" i="45"/>
  <c r="R37" i="14"/>
  <c r="M37" i="45"/>
  <c r="L37" i="14"/>
  <c r="AK5" i="36"/>
  <c r="AE5" i="36"/>
  <c r="Y5" i="36"/>
  <c r="S5" i="36"/>
  <c r="M5" i="36"/>
  <c r="AJ37" i="45"/>
  <c r="AI37" i="14"/>
  <c r="AD37" i="45"/>
  <c r="AC37" i="14"/>
  <c r="X37" i="45"/>
  <c r="W37" i="14"/>
  <c r="R37" i="45"/>
  <c r="Q37" i="14"/>
  <c r="L37" i="45"/>
  <c r="K37" i="14"/>
  <c r="O37" i="45"/>
  <c r="N37" i="14"/>
  <c r="AL5" i="36"/>
  <c r="T5" i="36"/>
  <c r="AI37" i="45"/>
  <c r="AH37" i="14"/>
  <c r="AC37" i="45"/>
  <c r="AB37" i="14"/>
  <c r="W37" i="45"/>
  <c r="V37" i="14"/>
  <c r="Q37" i="45"/>
  <c r="P37" i="14"/>
  <c r="K37" i="45"/>
  <c r="J37" i="14"/>
  <c r="AI5" i="36"/>
  <c r="AC5" i="36"/>
  <c r="W5" i="36"/>
  <c r="Q5" i="36"/>
  <c r="AH37" i="45"/>
  <c r="AG37" i="14"/>
  <c r="AB37" i="45"/>
  <c r="AA37" i="14"/>
  <c r="V37" i="45"/>
  <c r="U37" i="14"/>
  <c r="P37" i="45"/>
  <c r="O37" i="14"/>
  <c r="J37" i="45"/>
  <c r="I37" i="14"/>
  <c r="AN36" i="11"/>
  <c r="I36" i="45"/>
  <c r="AG37" i="45"/>
  <c r="AF37" i="14"/>
  <c r="U37" i="45"/>
  <c r="T37" i="14"/>
  <c r="AN37" i="11"/>
  <c r="I37" i="45"/>
  <c r="N37" i="45"/>
  <c r="M37" i="14"/>
  <c r="I5" i="36"/>
  <c r="AG10" i="24"/>
  <c r="AA10" i="24"/>
  <c r="U10" i="24"/>
  <c r="O10" i="24"/>
  <c r="AH10" i="24"/>
  <c r="AB10" i="24"/>
  <c r="V10" i="24"/>
  <c r="P10" i="24"/>
  <c r="J10" i="24"/>
  <c r="AL10" i="24"/>
  <c r="AF10" i="24"/>
  <c r="Z10" i="24"/>
  <c r="T10" i="24"/>
  <c r="N10" i="24"/>
  <c r="AJ10" i="24"/>
  <c r="AD10" i="24"/>
  <c r="X10" i="24"/>
  <c r="R10" i="24"/>
  <c r="L10" i="24"/>
  <c r="AI10" i="24"/>
  <c r="AC10" i="24"/>
  <c r="W10" i="24"/>
  <c r="Q10" i="24"/>
  <c r="K10" i="24"/>
  <c r="I10" i="24"/>
  <c r="AK10" i="24"/>
  <c r="AE10" i="24"/>
  <c r="Y10" i="24"/>
  <c r="S10" i="24"/>
  <c r="M10" i="24"/>
  <c r="Z36" i="14"/>
  <c r="T36" i="14"/>
  <c r="AF36" i="14"/>
  <c r="N36" i="14"/>
  <c r="AG36" i="14"/>
  <c r="AA36" i="14"/>
  <c r="U36" i="14"/>
  <c r="O36" i="14"/>
  <c r="I36" i="14"/>
  <c r="H37" i="14"/>
  <c r="AK36" i="14"/>
  <c r="AE36" i="14"/>
  <c r="Y36" i="14"/>
  <c r="S36" i="14"/>
  <c r="M36" i="14"/>
  <c r="AJ36" i="14"/>
  <c r="AD36" i="14"/>
  <c r="X36" i="14"/>
  <c r="R36" i="14"/>
  <c r="L36" i="14"/>
  <c r="AI36" i="14"/>
  <c r="AC36" i="14"/>
  <c r="W36" i="14"/>
  <c r="Q36" i="14"/>
  <c r="K36" i="14"/>
  <c r="AH36" i="14"/>
  <c r="AB36" i="14"/>
  <c r="V36" i="14"/>
  <c r="P36" i="14"/>
  <c r="J36" i="14"/>
  <c r="H36" i="14"/>
  <c r="AL36" i="11"/>
  <c r="AL37" i="11"/>
  <c r="AM5" i="36" l="1"/>
  <c r="AM37" i="45"/>
  <c r="AS37" i="45"/>
  <c r="AM36" i="45"/>
  <c r="AS36" i="45"/>
  <c r="AM10" i="24"/>
  <c r="AL36" i="14"/>
  <c r="AL37" i="14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E52" i="14"/>
  <c r="E51" i="14"/>
  <c r="E50" i="14"/>
  <c r="E49" i="14"/>
  <c r="E48" i="14"/>
  <c r="E47" i="14"/>
  <c r="E45" i="14"/>
  <c r="E44" i="14"/>
  <c r="E42" i="14"/>
  <c r="E41" i="14"/>
  <c r="E40" i="14"/>
  <c r="E39" i="14"/>
  <c r="E38" i="14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AL7" i="12"/>
  <c r="AL6" i="12"/>
  <c r="AL5" i="12"/>
  <c r="AL4" i="12"/>
  <c r="AL3" i="12"/>
  <c r="D52" i="9"/>
  <c r="D51" i="9"/>
  <c r="D50" i="9"/>
  <c r="D49" i="9"/>
  <c r="D48" i="9"/>
  <c r="D47" i="9"/>
  <c r="D45" i="9"/>
  <c r="D44" i="9"/>
  <c r="D42" i="9"/>
  <c r="D41" i="9"/>
  <c r="D40" i="9"/>
  <c r="D39" i="9"/>
  <c r="D38" i="9"/>
  <c r="S43" i="15" l="1"/>
  <c r="S46" i="15"/>
  <c r="AB46" i="15"/>
  <c r="AB43" i="15"/>
  <c r="M43" i="15"/>
  <c r="M46" i="15"/>
  <c r="AC43" i="15"/>
  <c r="AC46" i="15"/>
  <c r="AK43" i="15"/>
  <c r="AK46" i="15"/>
  <c r="N43" i="15"/>
  <c r="N46" i="15"/>
  <c r="V43" i="15"/>
  <c r="V46" i="15"/>
  <c r="AD46" i="15"/>
  <c r="AD43" i="15"/>
  <c r="AL46" i="15"/>
  <c r="AL43" i="15"/>
  <c r="L43" i="15"/>
  <c r="L46" i="15"/>
  <c r="AE46" i="15"/>
  <c r="AE43" i="15"/>
  <c r="U43" i="15"/>
  <c r="U46" i="15"/>
  <c r="AF46" i="15"/>
  <c r="AF43" i="15"/>
  <c r="AA43" i="15"/>
  <c r="AA46" i="15"/>
  <c r="T43" i="15"/>
  <c r="T46" i="15"/>
  <c r="O43" i="15"/>
  <c r="O46" i="15"/>
  <c r="P43" i="15"/>
  <c r="P46" i="15"/>
  <c r="Q43" i="15"/>
  <c r="Q46" i="15"/>
  <c r="Y43" i="15"/>
  <c r="Y46" i="15"/>
  <c r="AG43" i="15"/>
  <c r="AG46" i="15"/>
  <c r="AI43" i="15"/>
  <c r="AI46" i="15"/>
  <c r="AJ46" i="15"/>
  <c r="AJ43" i="15"/>
  <c r="W43" i="15"/>
  <c r="W46" i="15"/>
  <c r="X46" i="15"/>
  <c r="X43" i="15"/>
  <c r="R43" i="15"/>
  <c r="R46" i="15"/>
  <c r="Z43" i="15"/>
  <c r="Z46" i="15"/>
  <c r="AH43" i="15"/>
  <c r="AH46" i="15"/>
  <c r="AL53" i="12"/>
  <c r="M49" i="15"/>
  <c r="M6" i="38" s="1"/>
  <c r="M41" i="15"/>
  <c r="M8" i="39" s="1"/>
  <c r="M50" i="15"/>
  <c r="M5" i="33" s="1"/>
  <c r="M42" i="15"/>
  <c r="M6" i="32" s="1"/>
  <c r="M39" i="15"/>
  <c r="M51" i="15"/>
  <c r="M7" i="38" s="1"/>
  <c r="M44" i="15"/>
  <c r="M4" i="35" s="1"/>
  <c r="M52" i="15"/>
  <c r="M7" i="37" s="1"/>
  <c r="M45" i="15"/>
  <c r="M5" i="35" s="1"/>
  <c r="M40" i="15"/>
  <c r="M4" i="33" s="1"/>
  <c r="M48" i="15"/>
  <c r="M9" i="39" s="1"/>
  <c r="M38" i="15"/>
  <c r="M5" i="32" s="1"/>
  <c r="S50" i="15"/>
  <c r="S5" i="33" s="1"/>
  <c r="S42" i="15"/>
  <c r="S6" i="32" s="1"/>
  <c r="S51" i="15"/>
  <c r="S7" i="38" s="1"/>
  <c r="S44" i="15"/>
  <c r="S4" i="35" s="1"/>
  <c r="S40" i="15"/>
  <c r="S4" i="33" s="1"/>
  <c r="S52" i="15"/>
  <c r="S7" i="37" s="1"/>
  <c r="S45" i="15"/>
  <c r="S5" i="35" s="1"/>
  <c r="S38" i="15"/>
  <c r="S5" i="32" s="1"/>
  <c r="S48" i="15"/>
  <c r="S9" i="39" s="1"/>
  <c r="S49" i="15"/>
  <c r="S6" i="38" s="1"/>
  <c r="S41" i="15"/>
  <c r="S8" i="39" s="1"/>
  <c r="S39" i="15"/>
  <c r="Y51" i="15"/>
  <c r="Y7" i="38" s="1"/>
  <c r="Y44" i="15"/>
  <c r="Y4" i="35" s="1"/>
  <c r="Y52" i="15"/>
  <c r="Y7" i="37" s="1"/>
  <c r="Y45" i="15"/>
  <c r="Y5" i="35" s="1"/>
  <c r="Y38" i="15"/>
  <c r="Y5" i="32" s="1"/>
  <c r="Y48" i="15"/>
  <c r="Y9" i="39" s="1"/>
  <c r="Y39" i="15"/>
  <c r="Y49" i="15"/>
  <c r="Y6" i="38" s="1"/>
  <c r="Y41" i="15"/>
  <c r="Y8" i="39" s="1"/>
  <c r="Y50" i="15"/>
  <c r="Y5" i="33" s="1"/>
  <c r="Y42" i="15"/>
  <c r="Y6" i="32" s="1"/>
  <c r="Y40" i="15"/>
  <c r="Y4" i="33" s="1"/>
  <c r="AE52" i="15"/>
  <c r="AE7" i="37" s="1"/>
  <c r="AE45" i="15"/>
  <c r="AE5" i="35" s="1"/>
  <c r="AE39" i="15"/>
  <c r="AE48" i="15"/>
  <c r="AE9" i="39" s="1"/>
  <c r="AE49" i="15"/>
  <c r="AE6" i="38" s="1"/>
  <c r="AE41" i="15"/>
  <c r="AE8" i="39" s="1"/>
  <c r="AE40" i="15"/>
  <c r="AE4" i="33" s="1"/>
  <c r="AE50" i="15"/>
  <c r="AE5" i="33" s="1"/>
  <c r="AE42" i="15"/>
  <c r="AE6" i="32" s="1"/>
  <c r="AE51" i="15"/>
  <c r="AE7" i="38" s="1"/>
  <c r="AE44" i="15"/>
  <c r="AE4" i="35" s="1"/>
  <c r="AE38" i="15"/>
  <c r="AE5" i="32" s="1"/>
  <c r="AK52" i="15"/>
  <c r="AK7" i="37" s="1"/>
  <c r="AK48" i="15"/>
  <c r="AK9" i="39" s="1"/>
  <c r="AK40" i="15"/>
  <c r="AK4" i="33" s="1"/>
  <c r="AK49" i="15"/>
  <c r="AK6" i="38" s="1"/>
  <c r="AK41" i="15"/>
  <c r="AK8" i="39" s="1"/>
  <c r="AK50" i="15"/>
  <c r="AK5" i="33" s="1"/>
  <c r="AK42" i="15"/>
  <c r="AK6" i="32" s="1"/>
  <c r="AK38" i="15"/>
  <c r="AK5" i="32" s="1"/>
  <c r="AK51" i="15"/>
  <c r="AK7" i="38" s="1"/>
  <c r="AK44" i="15"/>
  <c r="AK4" i="35" s="1"/>
  <c r="AK45" i="15"/>
  <c r="AK5" i="35" s="1"/>
  <c r="AK39" i="15"/>
  <c r="N52" i="15"/>
  <c r="N7" i="37" s="1"/>
  <c r="N51" i="15"/>
  <c r="N7" i="38" s="1"/>
  <c r="N50" i="15"/>
  <c r="N5" i="33" s="1"/>
  <c r="N49" i="15"/>
  <c r="N6" i="38" s="1"/>
  <c r="N48" i="15"/>
  <c r="N9" i="39" s="1"/>
  <c r="N45" i="15"/>
  <c r="N5" i="35" s="1"/>
  <c r="N44" i="15"/>
  <c r="N4" i="35" s="1"/>
  <c r="N42" i="15"/>
  <c r="N6" i="32" s="1"/>
  <c r="N41" i="15"/>
  <c r="N8" i="39" s="1"/>
  <c r="N40" i="15"/>
  <c r="N4" i="33" s="1"/>
  <c r="N39" i="15"/>
  <c r="N38" i="15"/>
  <c r="N5" i="32" s="1"/>
  <c r="T52" i="15"/>
  <c r="T7" i="37" s="1"/>
  <c r="T51" i="15"/>
  <c r="T7" i="38" s="1"/>
  <c r="T50" i="15"/>
  <c r="T5" i="33" s="1"/>
  <c r="T49" i="15"/>
  <c r="T6" i="38" s="1"/>
  <c r="T48" i="15"/>
  <c r="T9" i="39" s="1"/>
  <c r="T45" i="15"/>
  <c r="T5" i="35" s="1"/>
  <c r="T44" i="15"/>
  <c r="T4" i="35" s="1"/>
  <c r="T42" i="15"/>
  <c r="T6" i="32" s="1"/>
  <c r="T41" i="15"/>
  <c r="T8" i="39" s="1"/>
  <c r="T40" i="15"/>
  <c r="T4" i="33" s="1"/>
  <c r="T39" i="15"/>
  <c r="T38" i="15"/>
  <c r="T5" i="32" s="1"/>
  <c r="Z52" i="15"/>
  <c r="Z7" i="37" s="1"/>
  <c r="Z51" i="15"/>
  <c r="Z7" i="38" s="1"/>
  <c r="Z50" i="15"/>
  <c r="Z5" i="33" s="1"/>
  <c r="Z49" i="15"/>
  <c r="Z6" i="38" s="1"/>
  <c r="Z48" i="15"/>
  <c r="Z9" i="39" s="1"/>
  <c r="Z45" i="15"/>
  <c r="Z5" i="35" s="1"/>
  <c r="Z44" i="15"/>
  <c r="Z4" i="35" s="1"/>
  <c r="Z42" i="15"/>
  <c r="Z6" i="32" s="1"/>
  <c r="Z41" i="15"/>
  <c r="Z8" i="39" s="1"/>
  <c r="Z40" i="15"/>
  <c r="Z4" i="33" s="1"/>
  <c r="Z39" i="15"/>
  <c r="Z38" i="15"/>
  <c r="Z5" i="32" s="1"/>
  <c r="AF52" i="15"/>
  <c r="AF7" i="37" s="1"/>
  <c r="AF51" i="15"/>
  <c r="AF7" i="38" s="1"/>
  <c r="AF50" i="15"/>
  <c r="AF5" i="33" s="1"/>
  <c r="AF49" i="15"/>
  <c r="AF6" i="38" s="1"/>
  <c r="AF48" i="15"/>
  <c r="AF9" i="39" s="1"/>
  <c r="AF45" i="15"/>
  <c r="AF5" i="35" s="1"/>
  <c r="AF44" i="15"/>
  <c r="AF4" i="35" s="1"/>
  <c r="AF42" i="15"/>
  <c r="AF6" i="32" s="1"/>
  <c r="AF41" i="15"/>
  <c r="AF8" i="39" s="1"/>
  <c r="AF40" i="15"/>
  <c r="AF4" i="33" s="1"/>
  <c r="AF39" i="15"/>
  <c r="AF38" i="15"/>
  <c r="AF5" i="32" s="1"/>
  <c r="AL52" i="15"/>
  <c r="AL7" i="37" s="1"/>
  <c r="AL51" i="15"/>
  <c r="AL7" i="38" s="1"/>
  <c r="AL50" i="15"/>
  <c r="AL5" i="33" s="1"/>
  <c r="AL49" i="15"/>
  <c r="AL6" i="38" s="1"/>
  <c r="AL48" i="15"/>
  <c r="AL9" i="39" s="1"/>
  <c r="AL45" i="15"/>
  <c r="AL5" i="35" s="1"/>
  <c r="AL44" i="15"/>
  <c r="AL4" i="35" s="1"/>
  <c r="AL42" i="15"/>
  <c r="AL6" i="32" s="1"/>
  <c r="AL41" i="15"/>
  <c r="AL8" i="39" s="1"/>
  <c r="AL40" i="15"/>
  <c r="AL4" i="33" s="1"/>
  <c r="AL39" i="15"/>
  <c r="AL38" i="15"/>
  <c r="AL5" i="32" s="1"/>
  <c r="O51" i="15"/>
  <c r="O7" i="38" s="1"/>
  <c r="O48" i="15"/>
  <c r="O9" i="39" s="1"/>
  <c r="O44" i="15"/>
  <c r="O4" i="35" s="1"/>
  <c r="O52" i="15"/>
  <c r="O7" i="37" s="1"/>
  <c r="O50" i="15"/>
  <c r="O5" i="33" s="1"/>
  <c r="O45" i="15"/>
  <c r="O5" i="35" s="1"/>
  <c r="O41" i="15"/>
  <c r="O8" i="39" s="1"/>
  <c r="O49" i="15"/>
  <c r="O6" i="38" s="1"/>
  <c r="O42" i="15"/>
  <c r="O6" i="32" s="1"/>
  <c r="O39" i="15"/>
  <c r="O40" i="15"/>
  <c r="O4" i="33" s="1"/>
  <c r="O38" i="15"/>
  <c r="O5" i="32" s="1"/>
  <c r="U52" i="15"/>
  <c r="U7" i="37" s="1"/>
  <c r="U49" i="15"/>
  <c r="U6" i="38" s="1"/>
  <c r="U45" i="15"/>
  <c r="U5" i="35" s="1"/>
  <c r="U41" i="15"/>
  <c r="U8" i="39" s="1"/>
  <c r="U48" i="15"/>
  <c r="U9" i="39" s="1"/>
  <c r="U42" i="15"/>
  <c r="U6" i="32" s="1"/>
  <c r="U51" i="15"/>
  <c r="U7" i="38" s="1"/>
  <c r="U50" i="15"/>
  <c r="U5" i="33" s="1"/>
  <c r="U44" i="15"/>
  <c r="U4" i="35" s="1"/>
  <c r="U40" i="15"/>
  <c r="U4" i="33" s="1"/>
  <c r="U38" i="15"/>
  <c r="U5" i="32" s="1"/>
  <c r="U39" i="15"/>
  <c r="AA52" i="15"/>
  <c r="AA7" i="37" s="1"/>
  <c r="AA50" i="15"/>
  <c r="AA5" i="33" s="1"/>
  <c r="AA42" i="15"/>
  <c r="AA6" i="32" s="1"/>
  <c r="AA49" i="15"/>
  <c r="AA6" i="38" s="1"/>
  <c r="AA45" i="15"/>
  <c r="AA5" i="35" s="1"/>
  <c r="AA44" i="15"/>
  <c r="AA4" i="35" s="1"/>
  <c r="AA51" i="15"/>
  <c r="AA7" i="38" s="1"/>
  <c r="AA48" i="15"/>
  <c r="AA9" i="39" s="1"/>
  <c r="AA41" i="15"/>
  <c r="AA8" i="39" s="1"/>
  <c r="AA38" i="15"/>
  <c r="AA5" i="32" s="1"/>
  <c r="AA39" i="15"/>
  <c r="AA40" i="15"/>
  <c r="AA4" i="33" s="1"/>
  <c r="AG48" i="15"/>
  <c r="AG9" i="39" s="1"/>
  <c r="AG44" i="15"/>
  <c r="AG4" i="35" s="1"/>
  <c r="AG50" i="15"/>
  <c r="AG5" i="33" s="1"/>
  <c r="AG41" i="15"/>
  <c r="AG8" i="39" s="1"/>
  <c r="AG52" i="15"/>
  <c r="AG7" i="37" s="1"/>
  <c r="AG51" i="15"/>
  <c r="AG7" i="38" s="1"/>
  <c r="AG49" i="15"/>
  <c r="AG6" i="38" s="1"/>
  <c r="AG45" i="15"/>
  <c r="AG5" i="35" s="1"/>
  <c r="AG42" i="15"/>
  <c r="AG6" i="32" s="1"/>
  <c r="AG39" i="15"/>
  <c r="AG40" i="15"/>
  <c r="AG4" i="33" s="1"/>
  <c r="AG38" i="15"/>
  <c r="AG5" i="32" s="1"/>
  <c r="P39" i="15"/>
  <c r="P42" i="15"/>
  <c r="P6" i="32" s="1"/>
  <c r="P40" i="15"/>
  <c r="P4" i="33" s="1"/>
  <c r="P38" i="15"/>
  <c r="P5" i="32" s="1"/>
  <c r="P52" i="15"/>
  <c r="P7" i="37" s="1"/>
  <c r="P51" i="15"/>
  <c r="P7" i="38" s="1"/>
  <c r="P50" i="15"/>
  <c r="P5" i="33" s="1"/>
  <c r="P49" i="15"/>
  <c r="P6" i="38" s="1"/>
  <c r="P48" i="15"/>
  <c r="P9" i="39" s="1"/>
  <c r="P45" i="15"/>
  <c r="P5" i="35" s="1"/>
  <c r="P44" i="15"/>
  <c r="P4" i="35" s="1"/>
  <c r="P41" i="15"/>
  <c r="P8" i="39" s="1"/>
  <c r="V40" i="15"/>
  <c r="V4" i="33" s="1"/>
  <c r="V39" i="15"/>
  <c r="V52" i="15"/>
  <c r="V7" i="37" s="1"/>
  <c r="V51" i="15"/>
  <c r="V7" i="38" s="1"/>
  <c r="V50" i="15"/>
  <c r="V5" i="33" s="1"/>
  <c r="V49" i="15"/>
  <c r="V6" i="38" s="1"/>
  <c r="V48" i="15"/>
  <c r="V9" i="39" s="1"/>
  <c r="V45" i="15"/>
  <c r="V5" i="35" s="1"/>
  <c r="V44" i="15"/>
  <c r="V4" i="35" s="1"/>
  <c r="V42" i="15"/>
  <c r="V6" i="32" s="1"/>
  <c r="V41" i="15"/>
  <c r="V8" i="39" s="1"/>
  <c r="V38" i="15"/>
  <c r="V5" i="32" s="1"/>
  <c r="AB38" i="15"/>
  <c r="AB5" i="32" s="1"/>
  <c r="AB52" i="15"/>
  <c r="AB7" i="37" s="1"/>
  <c r="AB51" i="15"/>
  <c r="AB7" i="38" s="1"/>
  <c r="AB50" i="15"/>
  <c r="AB5" i="33" s="1"/>
  <c r="AB49" i="15"/>
  <c r="AB6" i="38" s="1"/>
  <c r="AB48" i="15"/>
  <c r="AB9" i="39" s="1"/>
  <c r="AB45" i="15"/>
  <c r="AB5" i="35" s="1"/>
  <c r="AB44" i="15"/>
  <c r="AB4" i="35" s="1"/>
  <c r="AB42" i="15"/>
  <c r="AB6" i="32" s="1"/>
  <c r="AB41" i="15"/>
  <c r="AB8" i="39" s="1"/>
  <c r="AB40" i="15"/>
  <c r="AB4" i="33" s="1"/>
  <c r="AB39" i="15"/>
  <c r="AH39" i="15"/>
  <c r="AH38" i="15"/>
  <c r="AH5" i="32" s="1"/>
  <c r="AH52" i="15"/>
  <c r="AH7" i="37" s="1"/>
  <c r="AH51" i="15"/>
  <c r="AH7" i="38" s="1"/>
  <c r="AH50" i="15"/>
  <c r="AH5" i="33" s="1"/>
  <c r="AH49" i="15"/>
  <c r="AH6" i="38" s="1"/>
  <c r="AH48" i="15"/>
  <c r="AH9" i="39" s="1"/>
  <c r="AH45" i="15"/>
  <c r="AH5" i="35" s="1"/>
  <c r="AH44" i="15"/>
  <c r="AH4" i="35" s="1"/>
  <c r="AH42" i="15"/>
  <c r="AH6" i="32" s="1"/>
  <c r="AH41" i="15"/>
  <c r="AH8" i="39" s="1"/>
  <c r="AH40" i="15"/>
  <c r="AH4" i="33" s="1"/>
  <c r="Q52" i="15"/>
  <c r="Q7" i="37" s="1"/>
  <c r="Q51" i="15"/>
  <c r="Q7" i="38" s="1"/>
  <c r="Q50" i="15"/>
  <c r="Q5" i="33" s="1"/>
  <c r="Q49" i="15"/>
  <c r="Q6" i="38" s="1"/>
  <c r="Q48" i="15"/>
  <c r="Q9" i="39" s="1"/>
  <c r="Q45" i="15"/>
  <c r="Q5" i="35" s="1"/>
  <c r="Q44" i="15"/>
  <c r="Q4" i="35" s="1"/>
  <c r="Q42" i="15"/>
  <c r="Q6" i="32" s="1"/>
  <c r="Q41" i="15"/>
  <c r="Q8" i="39" s="1"/>
  <c r="Q40" i="15"/>
  <c r="Q4" i="33" s="1"/>
  <c r="Q39" i="15"/>
  <c r="Q38" i="15"/>
  <c r="Q5" i="32" s="1"/>
  <c r="W52" i="15"/>
  <c r="W7" i="37" s="1"/>
  <c r="W51" i="15"/>
  <c r="W7" i="38" s="1"/>
  <c r="W50" i="15"/>
  <c r="W5" i="33" s="1"/>
  <c r="W49" i="15"/>
  <c r="W6" i="38" s="1"/>
  <c r="W48" i="15"/>
  <c r="W9" i="39" s="1"/>
  <c r="W45" i="15"/>
  <c r="W5" i="35" s="1"/>
  <c r="W44" i="15"/>
  <c r="W4" i="35" s="1"/>
  <c r="W42" i="15"/>
  <c r="W6" i="32" s="1"/>
  <c r="W41" i="15"/>
  <c r="W8" i="39" s="1"/>
  <c r="W40" i="15"/>
  <c r="W4" i="33" s="1"/>
  <c r="W39" i="15"/>
  <c r="W38" i="15"/>
  <c r="W5" i="32" s="1"/>
  <c r="AC52" i="15"/>
  <c r="AC7" i="37" s="1"/>
  <c r="AC51" i="15"/>
  <c r="AC7" i="38" s="1"/>
  <c r="AC50" i="15"/>
  <c r="AC5" i="33" s="1"/>
  <c r="AC49" i="15"/>
  <c r="AC6" i="38" s="1"/>
  <c r="AC48" i="15"/>
  <c r="AC9" i="39" s="1"/>
  <c r="AC45" i="15"/>
  <c r="AC5" i="35" s="1"/>
  <c r="AC44" i="15"/>
  <c r="AC4" i="35" s="1"/>
  <c r="AC42" i="15"/>
  <c r="AC6" i="32" s="1"/>
  <c r="AC41" i="15"/>
  <c r="AC8" i="39" s="1"/>
  <c r="AC40" i="15"/>
  <c r="AC4" i="33" s="1"/>
  <c r="AC39" i="15"/>
  <c r="AC38" i="15"/>
  <c r="AC5" i="32" s="1"/>
  <c r="AI52" i="15"/>
  <c r="AI7" i="37" s="1"/>
  <c r="AI51" i="15"/>
  <c r="AI7" i="38" s="1"/>
  <c r="AI50" i="15"/>
  <c r="AI5" i="33" s="1"/>
  <c r="AI49" i="15"/>
  <c r="AI6" i="38" s="1"/>
  <c r="AI48" i="15"/>
  <c r="AI9" i="39" s="1"/>
  <c r="AI45" i="15"/>
  <c r="AI5" i="35" s="1"/>
  <c r="AI44" i="15"/>
  <c r="AI4" i="35" s="1"/>
  <c r="AI42" i="15"/>
  <c r="AI6" i="32" s="1"/>
  <c r="AI41" i="15"/>
  <c r="AI8" i="39" s="1"/>
  <c r="AI40" i="15"/>
  <c r="AI4" i="33" s="1"/>
  <c r="AI39" i="15"/>
  <c r="AI38" i="15"/>
  <c r="AI5" i="32" s="1"/>
  <c r="L52" i="15"/>
  <c r="L7" i="37" s="1"/>
  <c r="L51" i="15"/>
  <c r="L7" i="38" s="1"/>
  <c r="L50" i="15"/>
  <c r="L5" i="33" s="1"/>
  <c r="L49" i="15"/>
  <c r="L6" i="38" s="1"/>
  <c r="L48" i="15"/>
  <c r="L9" i="39" s="1"/>
  <c r="L45" i="15"/>
  <c r="L5" i="35" s="1"/>
  <c r="L44" i="15"/>
  <c r="L4" i="35" s="1"/>
  <c r="L42" i="15"/>
  <c r="L6" i="32" s="1"/>
  <c r="L41" i="15"/>
  <c r="L8" i="39" s="1"/>
  <c r="L40" i="15"/>
  <c r="L4" i="33" s="1"/>
  <c r="L39" i="15"/>
  <c r="L38" i="15"/>
  <c r="L5" i="32" s="1"/>
  <c r="R52" i="15"/>
  <c r="R7" i="37" s="1"/>
  <c r="R51" i="15"/>
  <c r="R7" i="38" s="1"/>
  <c r="R50" i="15"/>
  <c r="R5" i="33" s="1"/>
  <c r="R49" i="15"/>
  <c r="R6" i="38" s="1"/>
  <c r="R48" i="15"/>
  <c r="R9" i="39" s="1"/>
  <c r="R45" i="15"/>
  <c r="R5" i="35" s="1"/>
  <c r="R44" i="15"/>
  <c r="R4" i="35" s="1"/>
  <c r="R42" i="15"/>
  <c r="R6" i="32" s="1"/>
  <c r="R41" i="15"/>
  <c r="R8" i="39" s="1"/>
  <c r="R40" i="15"/>
  <c r="R4" i="33" s="1"/>
  <c r="R39" i="15"/>
  <c r="R38" i="15"/>
  <c r="R5" i="32" s="1"/>
  <c r="X52" i="15"/>
  <c r="X7" i="37" s="1"/>
  <c r="X51" i="15"/>
  <c r="X7" i="38" s="1"/>
  <c r="X50" i="15"/>
  <c r="X5" i="33" s="1"/>
  <c r="X49" i="15"/>
  <c r="X6" i="38" s="1"/>
  <c r="X48" i="15"/>
  <c r="X9" i="39" s="1"/>
  <c r="X45" i="15"/>
  <c r="X5" i="35" s="1"/>
  <c r="X44" i="15"/>
  <c r="X4" i="35" s="1"/>
  <c r="X42" i="15"/>
  <c r="X6" i="32" s="1"/>
  <c r="X41" i="15"/>
  <c r="X8" i="39" s="1"/>
  <c r="X40" i="15"/>
  <c r="X4" i="33" s="1"/>
  <c r="X39" i="15"/>
  <c r="X38" i="15"/>
  <c r="X5" i="32" s="1"/>
  <c r="AD52" i="15"/>
  <c r="AD7" i="37" s="1"/>
  <c r="AD51" i="15"/>
  <c r="AD7" i="38" s="1"/>
  <c r="AD50" i="15"/>
  <c r="AD5" i="33" s="1"/>
  <c r="AD49" i="15"/>
  <c r="AD6" i="38" s="1"/>
  <c r="AD48" i="15"/>
  <c r="AD9" i="39" s="1"/>
  <c r="AD45" i="15"/>
  <c r="AD5" i="35" s="1"/>
  <c r="AD44" i="15"/>
  <c r="AD4" i="35" s="1"/>
  <c r="AD42" i="15"/>
  <c r="AD6" i="32" s="1"/>
  <c r="AD41" i="15"/>
  <c r="AD8" i="39" s="1"/>
  <c r="AD40" i="15"/>
  <c r="AD4" i="33" s="1"/>
  <c r="AD39" i="15"/>
  <c r="AD38" i="15"/>
  <c r="AD5" i="32" s="1"/>
  <c r="AJ52" i="15"/>
  <c r="AJ7" i="37" s="1"/>
  <c r="AJ51" i="15"/>
  <c r="AJ7" i="38" s="1"/>
  <c r="AJ50" i="15"/>
  <c r="AJ5" i="33" s="1"/>
  <c r="AJ49" i="15"/>
  <c r="AJ6" i="38" s="1"/>
  <c r="AJ48" i="15"/>
  <c r="AJ9" i="39" s="1"/>
  <c r="AJ45" i="15"/>
  <c r="AJ5" i="35" s="1"/>
  <c r="AJ44" i="15"/>
  <c r="AJ4" i="35" s="1"/>
  <c r="AJ42" i="15"/>
  <c r="AJ6" i="32" s="1"/>
  <c r="AJ41" i="15"/>
  <c r="AJ8" i="39" s="1"/>
  <c r="AJ40" i="15"/>
  <c r="AJ4" i="33" s="1"/>
  <c r="AJ39" i="15"/>
  <c r="AJ38" i="15"/>
  <c r="AJ5" i="32" s="1"/>
  <c r="AA37" i="15"/>
  <c r="AA36" i="15"/>
  <c r="AH37" i="15"/>
  <c r="AH36" i="15"/>
  <c r="K36" i="15"/>
  <c r="K37" i="15"/>
  <c r="Q36" i="15"/>
  <c r="Q37" i="15"/>
  <c r="W37" i="15"/>
  <c r="W36" i="15"/>
  <c r="AC36" i="15"/>
  <c r="AC37" i="15"/>
  <c r="AI36" i="15"/>
  <c r="AI37" i="15"/>
  <c r="U37" i="15"/>
  <c r="U36" i="15"/>
  <c r="AB37" i="15"/>
  <c r="AB36" i="15"/>
  <c r="L37" i="15"/>
  <c r="L36" i="15"/>
  <c r="R36" i="15"/>
  <c r="R37" i="15"/>
  <c r="X37" i="15"/>
  <c r="X36" i="15"/>
  <c r="AD37" i="15"/>
  <c r="AD36" i="15"/>
  <c r="AJ37" i="15"/>
  <c r="AJ36" i="15"/>
  <c r="AG37" i="15"/>
  <c r="AG36" i="15"/>
  <c r="J37" i="15"/>
  <c r="J36" i="15"/>
  <c r="V37" i="15"/>
  <c r="V36" i="15"/>
  <c r="M37" i="15"/>
  <c r="M36" i="15"/>
  <c r="S37" i="15"/>
  <c r="S36" i="15"/>
  <c r="Y37" i="15"/>
  <c r="Y36" i="15"/>
  <c r="AE37" i="15"/>
  <c r="AE36" i="15"/>
  <c r="AK37" i="15"/>
  <c r="AK36" i="15"/>
  <c r="I37" i="15"/>
  <c r="I36" i="15"/>
  <c r="O37" i="15"/>
  <c r="O36" i="15"/>
  <c r="P37" i="15"/>
  <c r="P36" i="15"/>
  <c r="N37" i="15"/>
  <c r="N36" i="15"/>
  <c r="T37" i="15"/>
  <c r="T36" i="15"/>
  <c r="Z37" i="15"/>
  <c r="Z36" i="15"/>
  <c r="AF37" i="15"/>
  <c r="AF36" i="15"/>
  <c r="AL37" i="15"/>
  <c r="AL36" i="15"/>
  <c r="AK35" i="11"/>
  <c r="AL35" i="45" s="1"/>
  <c r="AK34" i="11"/>
  <c r="AL34" i="45" s="1"/>
  <c r="AK33" i="11"/>
  <c r="AL33" i="45" s="1"/>
  <c r="AK32" i="11"/>
  <c r="AL32" i="45" s="1"/>
  <c r="AK31" i="11"/>
  <c r="AL31" i="45" s="1"/>
  <c r="AK30" i="11"/>
  <c r="AL30" i="45" s="1"/>
  <c r="AK29" i="11"/>
  <c r="AL29" i="45" s="1"/>
  <c r="AK28" i="11"/>
  <c r="AL28" i="45" s="1"/>
  <c r="AK27" i="11"/>
  <c r="AL27" i="45" s="1"/>
  <c r="AK26" i="11"/>
  <c r="AL26" i="45" s="1"/>
  <c r="AK25" i="11"/>
  <c r="AL25" i="45" s="1"/>
  <c r="AK24" i="11"/>
  <c r="AL24" i="45" s="1"/>
  <c r="AK23" i="11"/>
  <c r="AL3" i="34" s="1"/>
  <c r="AK22" i="11"/>
  <c r="AK21" i="11"/>
  <c r="AK20" i="11"/>
  <c r="AL20" i="45" s="1"/>
  <c r="AK19" i="11"/>
  <c r="AL19" i="45" s="1"/>
  <c r="AK18" i="11"/>
  <c r="AL18" i="45" s="1"/>
  <c r="AK17" i="11"/>
  <c r="AL17" i="45" s="1"/>
  <c r="AK16" i="11"/>
  <c r="AL16" i="45" s="1"/>
  <c r="AK15" i="11"/>
  <c r="AL15" i="45" s="1"/>
  <c r="AK14" i="11"/>
  <c r="AL14" i="45" s="1"/>
  <c r="AK13" i="11"/>
  <c r="AL13" i="45" s="1"/>
  <c r="AK12" i="11"/>
  <c r="AL12" i="45" s="1"/>
  <c r="AK11" i="11"/>
  <c r="AL11" i="45" s="1"/>
  <c r="AK10" i="11"/>
  <c r="AL10" i="45" s="1"/>
  <c r="AK9" i="11"/>
  <c r="AL9" i="45" s="1"/>
  <c r="AK8" i="11"/>
  <c r="AL8" i="45" s="1"/>
  <c r="AK7" i="11"/>
  <c r="AL7" i="45" s="1"/>
  <c r="AK6" i="11"/>
  <c r="AL6" i="45" s="1"/>
  <c r="AK5" i="11"/>
  <c r="AL5" i="45" s="1"/>
  <c r="AK4" i="11"/>
  <c r="AL4" i="45" s="1"/>
  <c r="AK3" i="11"/>
  <c r="AL3" i="32" s="1"/>
  <c r="AJ35" i="11"/>
  <c r="AK35" i="45" s="1"/>
  <c r="AJ34" i="11"/>
  <c r="AK34" i="45" s="1"/>
  <c r="AJ33" i="11"/>
  <c r="AK33" i="45" s="1"/>
  <c r="AJ32" i="11"/>
  <c r="AK32" i="45" s="1"/>
  <c r="AJ31" i="11"/>
  <c r="AK31" i="45" s="1"/>
  <c r="AJ30" i="11"/>
  <c r="AK30" i="45" s="1"/>
  <c r="AJ29" i="11"/>
  <c r="AK29" i="45" s="1"/>
  <c r="AJ28" i="11"/>
  <c r="AK28" i="45" s="1"/>
  <c r="AJ27" i="11"/>
  <c r="AK27" i="45" s="1"/>
  <c r="AJ26" i="11"/>
  <c r="AK26" i="45" s="1"/>
  <c r="AJ25" i="11"/>
  <c r="AK25" i="45" s="1"/>
  <c r="AJ24" i="11"/>
  <c r="AK24" i="45" s="1"/>
  <c r="AJ23" i="11"/>
  <c r="AJ22" i="11"/>
  <c r="AJ21" i="11"/>
  <c r="AJ20" i="11"/>
  <c r="AK20" i="45" s="1"/>
  <c r="AJ19" i="11"/>
  <c r="AK19" i="45" s="1"/>
  <c r="AJ18" i="11"/>
  <c r="AK18" i="45" s="1"/>
  <c r="AJ17" i="11"/>
  <c r="AK17" i="45" s="1"/>
  <c r="AJ16" i="11"/>
  <c r="AK16" i="45" s="1"/>
  <c r="AJ15" i="11"/>
  <c r="AK15" i="45" s="1"/>
  <c r="AJ14" i="11"/>
  <c r="AK14" i="45" s="1"/>
  <c r="AJ13" i="11"/>
  <c r="AK13" i="45" s="1"/>
  <c r="AJ12" i="11"/>
  <c r="AK12" i="45" s="1"/>
  <c r="AJ11" i="11"/>
  <c r="AK11" i="45" s="1"/>
  <c r="AJ10" i="11"/>
  <c r="AK10" i="45" s="1"/>
  <c r="AJ9" i="11"/>
  <c r="AK9" i="45" s="1"/>
  <c r="AJ8" i="11"/>
  <c r="AK8" i="45" s="1"/>
  <c r="AJ7" i="11"/>
  <c r="AK7" i="45" s="1"/>
  <c r="AJ6" i="11"/>
  <c r="AK6" i="45" s="1"/>
  <c r="AJ5" i="11"/>
  <c r="AK5" i="45" s="1"/>
  <c r="AJ4" i="11"/>
  <c r="AK4" i="45" s="1"/>
  <c r="AJ3" i="11"/>
  <c r="AI35" i="11"/>
  <c r="AJ35" i="45" s="1"/>
  <c r="AI34" i="11"/>
  <c r="AJ34" i="45" s="1"/>
  <c r="AI33" i="11"/>
  <c r="AJ33" i="45" s="1"/>
  <c r="AI32" i="11"/>
  <c r="AJ32" i="45" s="1"/>
  <c r="AI31" i="11"/>
  <c r="AJ31" i="45" s="1"/>
  <c r="AI30" i="11"/>
  <c r="AJ30" i="45" s="1"/>
  <c r="AI29" i="11"/>
  <c r="AJ29" i="45" s="1"/>
  <c r="AI28" i="11"/>
  <c r="AJ28" i="45" s="1"/>
  <c r="AI27" i="11"/>
  <c r="AJ27" i="45" s="1"/>
  <c r="AI26" i="11"/>
  <c r="AJ26" i="45" s="1"/>
  <c r="AI25" i="11"/>
  <c r="AJ25" i="45" s="1"/>
  <c r="AI24" i="11"/>
  <c r="AJ24" i="45" s="1"/>
  <c r="AI23" i="11"/>
  <c r="AI22" i="11"/>
  <c r="AI21" i="11"/>
  <c r="AI20" i="11"/>
  <c r="AJ20" i="45" s="1"/>
  <c r="AI19" i="11"/>
  <c r="AJ19" i="45" s="1"/>
  <c r="AI18" i="11"/>
  <c r="AJ18" i="45" s="1"/>
  <c r="AI17" i="11"/>
  <c r="AJ17" i="45" s="1"/>
  <c r="AI16" i="11"/>
  <c r="AJ16" i="45" s="1"/>
  <c r="AI15" i="11"/>
  <c r="AJ15" i="45" s="1"/>
  <c r="AI14" i="11"/>
  <c r="AJ14" i="45" s="1"/>
  <c r="AI13" i="11"/>
  <c r="AJ13" i="45" s="1"/>
  <c r="AI12" i="11"/>
  <c r="AJ12" i="45" s="1"/>
  <c r="AI11" i="11"/>
  <c r="AJ11" i="45" s="1"/>
  <c r="AI10" i="11"/>
  <c r="AJ10" i="45" s="1"/>
  <c r="AI9" i="11"/>
  <c r="AJ9" i="45" s="1"/>
  <c r="AI8" i="11"/>
  <c r="AJ8" i="45" s="1"/>
  <c r="AI7" i="11"/>
  <c r="AJ7" i="45" s="1"/>
  <c r="AI6" i="11"/>
  <c r="AJ6" i="45" s="1"/>
  <c r="AI5" i="11"/>
  <c r="AJ5" i="45" s="1"/>
  <c r="AI4" i="11"/>
  <c r="AJ4" i="45" s="1"/>
  <c r="AI3" i="11"/>
  <c r="AH35" i="11"/>
  <c r="AI35" i="45" s="1"/>
  <c r="AH34" i="11"/>
  <c r="AI34" i="45" s="1"/>
  <c r="AH33" i="11"/>
  <c r="AI33" i="45" s="1"/>
  <c r="AH32" i="11"/>
  <c r="AI32" i="45" s="1"/>
  <c r="AH31" i="11"/>
  <c r="AI31" i="45" s="1"/>
  <c r="AH30" i="11"/>
  <c r="AI30" i="45" s="1"/>
  <c r="AH29" i="11"/>
  <c r="AI29" i="45" s="1"/>
  <c r="AH28" i="11"/>
  <c r="AI28" i="45" s="1"/>
  <c r="AH27" i="11"/>
  <c r="AI27" i="45" s="1"/>
  <c r="AH26" i="11"/>
  <c r="AI26" i="45" s="1"/>
  <c r="AH25" i="11"/>
  <c r="AI25" i="45" s="1"/>
  <c r="AH24" i="11"/>
  <c r="AI24" i="45" s="1"/>
  <c r="AH23" i="11"/>
  <c r="AH22" i="11"/>
  <c r="AH21" i="11"/>
  <c r="AH20" i="11"/>
  <c r="AI20" i="45" s="1"/>
  <c r="AH19" i="11"/>
  <c r="AI19" i="45" s="1"/>
  <c r="AH18" i="11"/>
  <c r="AI18" i="45" s="1"/>
  <c r="AH17" i="11"/>
  <c r="AI17" i="45" s="1"/>
  <c r="AH16" i="11"/>
  <c r="AI16" i="45" s="1"/>
  <c r="AH15" i="11"/>
  <c r="AI15" i="45" s="1"/>
  <c r="AH14" i="11"/>
  <c r="AI14" i="45" s="1"/>
  <c r="AH13" i="11"/>
  <c r="AI13" i="45" s="1"/>
  <c r="AH12" i="11"/>
  <c r="AI12" i="45" s="1"/>
  <c r="AH11" i="11"/>
  <c r="AI11" i="45" s="1"/>
  <c r="AH10" i="11"/>
  <c r="AI10" i="45" s="1"/>
  <c r="AH9" i="11"/>
  <c r="AI9" i="45" s="1"/>
  <c r="AH8" i="11"/>
  <c r="AI8" i="45" s="1"/>
  <c r="AH7" i="11"/>
  <c r="AI7" i="45" s="1"/>
  <c r="AH6" i="11"/>
  <c r="AI6" i="45" s="1"/>
  <c r="AH5" i="11"/>
  <c r="AI5" i="45" s="1"/>
  <c r="AH4" i="11"/>
  <c r="AI4" i="45" s="1"/>
  <c r="AH3" i="11"/>
  <c r="AG35" i="11"/>
  <c r="AH35" i="45" s="1"/>
  <c r="AG34" i="11"/>
  <c r="AH34" i="45" s="1"/>
  <c r="AG33" i="11"/>
  <c r="AH33" i="45" s="1"/>
  <c r="AG32" i="11"/>
  <c r="AH32" i="45" s="1"/>
  <c r="AG31" i="11"/>
  <c r="AH31" i="45" s="1"/>
  <c r="AG30" i="11"/>
  <c r="AH30" i="45" s="1"/>
  <c r="AG29" i="11"/>
  <c r="AH29" i="45" s="1"/>
  <c r="AG28" i="11"/>
  <c r="AH28" i="45" s="1"/>
  <c r="AG27" i="11"/>
  <c r="AH27" i="45" s="1"/>
  <c r="AG26" i="11"/>
  <c r="AH26" i="45" s="1"/>
  <c r="AG25" i="11"/>
  <c r="AH25" i="45" s="1"/>
  <c r="AG24" i="11"/>
  <c r="AH24" i="45" s="1"/>
  <c r="AG23" i="11"/>
  <c r="AG22" i="11"/>
  <c r="AG21" i="11"/>
  <c r="AG20" i="11"/>
  <c r="AH20" i="45" s="1"/>
  <c r="AG19" i="11"/>
  <c r="AH19" i="45" s="1"/>
  <c r="AG18" i="11"/>
  <c r="AH18" i="45" s="1"/>
  <c r="AG17" i="11"/>
  <c r="AH17" i="45" s="1"/>
  <c r="AG16" i="11"/>
  <c r="AH16" i="45" s="1"/>
  <c r="AG15" i="11"/>
  <c r="AH15" i="45" s="1"/>
  <c r="AG14" i="11"/>
  <c r="AH14" i="45" s="1"/>
  <c r="AG13" i="11"/>
  <c r="AH13" i="45" s="1"/>
  <c r="AG12" i="11"/>
  <c r="AH12" i="45" s="1"/>
  <c r="AG11" i="11"/>
  <c r="AH11" i="45" s="1"/>
  <c r="AG10" i="11"/>
  <c r="AH10" i="45" s="1"/>
  <c r="AG9" i="11"/>
  <c r="AH9" i="45" s="1"/>
  <c r="AG8" i="11"/>
  <c r="AH8" i="45" s="1"/>
  <c r="AG7" i="11"/>
  <c r="AH7" i="45" s="1"/>
  <c r="AG6" i="11"/>
  <c r="AH6" i="45" s="1"/>
  <c r="AG5" i="11"/>
  <c r="AH5" i="45" s="1"/>
  <c r="AG4" i="11"/>
  <c r="AH4" i="45" s="1"/>
  <c r="AG3" i="11"/>
  <c r="AH3" i="32" s="1"/>
  <c r="AF35" i="11"/>
  <c r="AG35" i="45" s="1"/>
  <c r="AF34" i="11"/>
  <c r="AG34" i="45" s="1"/>
  <c r="AF33" i="11"/>
  <c r="AG33" i="45" s="1"/>
  <c r="AF32" i="11"/>
  <c r="AG32" i="45" s="1"/>
  <c r="AF31" i="11"/>
  <c r="AG31" i="45" s="1"/>
  <c r="AF30" i="11"/>
  <c r="AG30" i="45" s="1"/>
  <c r="AF29" i="11"/>
  <c r="AG29" i="45" s="1"/>
  <c r="AF28" i="11"/>
  <c r="AG28" i="45" s="1"/>
  <c r="AF27" i="11"/>
  <c r="AG27" i="45" s="1"/>
  <c r="AF26" i="11"/>
  <c r="AG26" i="45" s="1"/>
  <c r="AF25" i="11"/>
  <c r="AG25" i="45" s="1"/>
  <c r="AF24" i="11"/>
  <c r="AG24" i="45" s="1"/>
  <c r="AF23" i="11"/>
  <c r="AF22" i="11"/>
  <c r="AF21" i="11"/>
  <c r="AF20" i="11"/>
  <c r="AG20" i="45" s="1"/>
  <c r="AF19" i="11"/>
  <c r="AG19" i="45" s="1"/>
  <c r="AF18" i="11"/>
  <c r="AG18" i="45" s="1"/>
  <c r="AF17" i="11"/>
  <c r="AG17" i="45" s="1"/>
  <c r="AF16" i="11"/>
  <c r="AG16" i="45" s="1"/>
  <c r="AF15" i="11"/>
  <c r="AG15" i="45" s="1"/>
  <c r="AF14" i="11"/>
  <c r="AG14" i="45" s="1"/>
  <c r="AF13" i="11"/>
  <c r="AG13" i="45" s="1"/>
  <c r="AF12" i="11"/>
  <c r="AG12" i="45" s="1"/>
  <c r="AF11" i="11"/>
  <c r="AG11" i="45" s="1"/>
  <c r="AF10" i="11"/>
  <c r="AG10" i="45" s="1"/>
  <c r="AF9" i="11"/>
  <c r="AG9" i="45" s="1"/>
  <c r="AF8" i="11"/>
  <c r="AG8" i="45" s="1"/>
  <c r="AF7" i="11"/>
  <c r="AG7" i="45" s="1"/>
  <c r="AF6" i="11"/>
  <c r="AG6" i="45" s="1"/>
  <c r="AF5" i="11"/>
  <c r="AG5" i="45" s="1"/>
  <c r="AF4" i="11"/>
  <c r="AG4" i="45" s="1"/>
  <c r="AF3" i="11"/>
  <c r="AE35" i="11"/>
  <c r="AF35" i="45" s="1"/>
  <c r="AE34" i="11"/>
  <c r="AF34" i="45" s="1"/>
  <c r="AE33" i="11"/>
  <c r="AF33" i="45" s="1"/>
  <c r="AE32" i="11"/>
  <c r="AF32" i="45" s="1"/>
  <c r="AE31" i="11"/>
  <c r="AF31" i="45" s="1"/>
  <c r="AE30" i="11"/>
  <c r="AF30" i="45" s="1"/>
  <c r="AE29" i="11"/>
  <c r="AF29" i="45" s="1"/>
  <c r="AE28" i="11"/>
  <c r="AF28" i="45" s="1"/>
  <c r="AE27" i="11"/>
  <c r="AF27" i="45" s="1"/>
  <c r="AE26" i="11"/>
  <c r="AF26" i="45" s="1"/>
  <c r="AE25" i="11"/>
  <c r="AF25" i="45" s="1"/>
  <c r="AE24" i="11"/>
  <c r="AF24" i="45" s="1"/>
  <c r="AE23" i="11"/>
  <c r="AF3" i="34" s="1"/>
  <c r="AE22" i="11"/>
  <c r="AE21" i="11"/>
  <c r="AE20" i="11"/>
  <c r="AF20" i="45" s="1"/>
  <c r="AE19" i="11"/>
  <c r="AF19" i="45" s="1"/>
  <c r="AE18" i="11"/>
  <c r="AF18" i="45" s="1"/>
  <c r="AE17" i="11"/>
  <c r="AF17" i="45" s="1"/>
  <c r="AE16" i="11"/>
  <c r="AF16" i="45" s="1"/>
  <c r="AE15" i="11"/>
  <c r="AF15" i="45" s="1"/>
  <c r="AE14" i="11"/>
  <c r="AF14" i="45" s="1"/>
  <c r="AE13" i="11"/>
  <c r="AF13" i="45" s="1"/>
  <c r="AE12" i="11"/>
  <c r="AF12" i="45" s="1"/>
  <c r="AE11" i="11"/>
  <c r="AF11" i="45" s="1"/>
  <c r="AE10" i="11"/>
  <c r="AF10" i="45" s="1"/>
  <c r="AE9" i="11"/>
  <c r="AF9" i="45" s="1"/>
  <c r="AE8" i="11"/>
  <c r="AF8" i="45" s="1"/>
  <c r="AE7" i="11"/>
  <c r="AF7" i="45" s="1"/>
  <c r="AE6" i="11"/>
  <c r="AF6" i="45" s="1"/>
  <c r="AE5" i="11"/>
  <c r="AF5" i="45" s="1"/>
  <c r="AE4" i="11"/>
  <c r="AF4" i="45" s="1"/>
  <c r="AE3" i="11"/>
  <c r="AF3" i="32" s="1"/>
  <c r="AD35" i="11"/>
  <c r="AE35" i="45" s="1"/>
  <c r="AD34" i="11"/>
  <c r="AE34" i="45" s="1"/>
  <c r="AD33" i="11"/>
  <c r="AE33" i="45" s="1"/>
  <c r="AD32" i="11"/>
  <c r="AE32" i="45" s="1"/>
  <c r="AD31" i="11"/>
  <c r="AE31" i="45" s="1"/>
  <c r="AD30" i="11"/>
  <c r="AE30" i="45" s="1"/>
  <c r="AD29" i="11"/>
  <c r="AE29" i="45" s="1"/>
  <c r="AD28" i="11"/>
  <c r="AE28" i="45" s="1"/>
  <c r="AD27" i="11"/>
  <c r="AE27" i="45" s="1"/>
  <c r="AD26" i="11"/>
  <c r="AE26" i="45" s="1"/>
  <c r="AD25" i="11"/>
  <c r="AE25" i="45" s="1"/>
  <c r="AD24" i="11"/>
  <c r="AE24" i="45" s="1"/>
  <c r="AD23" i="11"/>
  <c r="AD22" i="11"/>
  <c r="AD21" i="11"/>
  <c r="AD20" i="11"/>
  <c r="AE20" i="45" s="1"/>
  <c r="AD19" i="11"/>
  <c r="AE19" i="45" s="1"/>
  <c r="AD18" i="11"/>
  <c r="AE18" i="45" s="1"/>
  <c r="AD17" i="11"/>
  <c r="AE17" i="45" s="1"/>
  <c r="AD16" i="11"/>
  <c r="AE16" i="45" s="1"/>
  <c r="AD15" i="11"/>
  <c r="AE15" i="45" s="1"/>
  <c r="AD14" i="11"/>
  <c r="AE14" i="45" s="1"/>
  <c r="AD13" i="11"/>
  <c r="AE13" i="45" s="1"/>
  <c r="AD12" i="11"/>
  <c r="AE12" i="45" s="1"/>
  <c r="AD11" i="11"/>
  <c r="AE11" i="45" s="1"/>
  <c r="AD10" i="11"/>
  <c r="AE10" i="45" s="1"/>
  <c r="AD9" i="11"/>
  <c r="AE9" i="45" s="1"/>
  <c r="AD8" i="11"/>
  <c r="AE8" i="45" s="1"/>
  <c r="AD7" i="11"/>
  <c r="AE7" i="45" s="1"/>
  <c r="AD6" i="11"/>
  <c r="AE6" i="45" s="1"/>
  <c r="AD5" i="11"/>
  <c r="AE5" i="45" s="1"/>
  <c r="AD4" i="11"/>
  <c r="AE4" i="45" s="1"/>
  <c r="AD3" i="11"/>
  <c r="AC35" i="11"/>
  <c r="AD35" i="45" s="1"/>
  <c r="AC34" i="11"/>
  <c r="AD34" i="45" s="1"/>
  <c r="AC33" i="11"/>
  <c r="AD33" i="45" s="1"/>
  <c r="AC32" i="11"/>
  <c r="AD32" i="45" s="1"/>
  <c r="AC31" i="11"/>
  <c r="AD31" i="45" s="1"/>
  <c r="AC30" i="11"/>
  <c r="AD30" i="45" s="1"/>
  <c r="AC29" i="11"/>
  <c r="AD29" i="45" s="1"/>
  <c r="AC28" i="11"/>
  <c r="AD28" i="45" s="1"/>
  <c r="AC27" i="11"/>
  <c r="AD27" i="45" s="1"/>
  <c r="AC26" i="11"/>
  <c r="AD26" i="45" s="1"/>
  <c r="AC25" i="11"/>
  <c r="AD25" i="45" s="1"/>
  <c r="AC24" i="11"/>
  <c r="AD24" i="45" s="1"/>
  <c r="AC23" i="11"/>
  <c r="AD3" i="34" s="1"/>
  <c r="AC22" i="11"/>
  <c r="AC21" i="11"/>
  <c r="AC20" i="11"/>
  <c r="AD20" i="45" s="1"/>
  <c r="AC19" i="11"/>
  <c r="AD19" i="45" s="1"/>
  <c r="AC18" i="11"/>
  <c r="AD18" i="45" s="1"/>
  <c r="AC17" i="11"/>
  <c r="AD17" i="45" s="1"/>
  <c r="AC16" i="11"/>
  <c r="AD16" i="45" s="1"/>
  <c r="AC15" i="11"/>
  <c r="AD15" i="45" s="1"/>
  <c r="AC14" i="11"/>
  <c r="AD14" i="45" s="1"/>
  <c r="AC13" i="11"/>
  <c r="AD13" i="45" s="1"/>
  <c r="AC12" i="11"/>
  <c r="AD12" i="45" s="1"/>
  <c r="AC11" i="11"/>
  <c r="AD11" i="45" s="1"/>
  <c r="AC10" i="11"/>
  <c r="AD10" i="45" s="1"/>
  <c r="AC9" i="11"/>
  <c r="AD9" i="45" s="1"/>
  <c r="AC8" i="11"/>
  <c r="AD8" i="45" s="1"/>
  <c r="AC7" i="11"/>
  <c r="AD7" i="45" s="1"/>
  <c r="AC6" i="11"/>
  <c r="AD6" i="45" s="1"/>
  <c r="AC5" i="11"/>
  <c r="AD5" i="45" s="1"/>
  <c r="AC4" i="11"/>
  <c r="AD4" i="45" s="1"/>
  <c r="AC3" i="11"/>
  <c r="AB35" i="11"/>
  <c r="AC35" i="45" s="1"/>
  <c r="AB34" i="11"/>
  <c r="AC34" i="45" s="1"/>
  <c r="AB33" i="11"/>
  <c r="AC33" i="45" s="1"/>
  <c r="AB32" i="11"/>
  <c r="AC32" i="45" s="1"/>
  <c r="AB31" i="11"/>
  <c r="AC31" i="45" s="1"/>
  <c r="AB30" i="11"/>
  <c r="AC30" i="45" s="1"/>
  <c r="AB29" i="11"/>
  <c r="AC29" i="45" s="1"/>
  <c r="AB28" i="11"/>
  <c r="AC28" i="45" s="1"/>
  <c r="AB27" i="11"/>
  <c r="AC27" i="45" s="1"/>
  <c r="AB26" i="11"/>
  <c r="AC26" i="45" s="1"/>
  <c r="AB25" i="11"/>
  <c r="AC25" i="45" s="1"/>
  <c r="AB24" i="11"/>
  <c r="AC24" i="45" s="1"/>
  <c r="AB23" i="11"/>
  <c r="AB22" i="11"/>
  <c r="AB21" i="11"/>
  <c r="AB20" i="11"/>
  <c r="AC20" i="45" s="1"/>
  <c r="AB19" i="11"/>
  <c r="AC19" i="45" s="1"/>
  <c r="AB18" i="11"/>
  <c r="AC18" i="45" s="1"/>
  <c r="AB17" i="11"/>
  <c r="AC17" i="45" s="1"/>
  <c r="AB16" i="11"/>
  <c r="AC16" i="45" s="1"/>
  <c r="AB15" i="11"/>
  <c r="AC15" i="45" s="1"/>
  <c r="AB14" i="11"/>
  <c r="AC14" i="45" s="1"/>
  <c r="AB13" i="11"/>
  <c r="AC13" i="45" s="1"/>
  <c r="AB12" i="11"/>
  <c r="AC12" i="45" s="1"/>
  <c r="AB11" i="11"/>
  <c r="AC11" i="45" s="1"/>
  <c r="AB10" i="11"/>
  <c r="AC10" i="45" s="1"/>
  <c r="AB9" i="11"/>
  <c r="AC9" i="45" s="1"/>
  <c r="AB8" i="11"/>
  <c r="AC8" i="45" s="1"/>
  <c r="AB7" i="11"/>
  <c r="AC7" i="45" s="1"/>
  <c r="AB6" i="11"/>
  <c r="AC6" i="45" s="1"/>
  <c r="AB5" i="11"/>
  <c r="AC5" i="45" s="1"/>
  <c r="AB4" i="11"/>
  <c r="AC4" i="45" s="1"/>
  <c r="AB3" i="11"/>
  <c r="AA35" i="11"/>
  <c r="AB35" i="45" s="1"/>
  <c r="AA34" i="11"/>
  <c r="AB34" i="45" s="1"/>
  <c r="AA33" i="11"/>
  <c r="AB33" i="45" s="1"/>
  <c r="AA32" i="11"/>
  <c r="AB32" i="45" s="1"/>
  <c r="AA31" i="11"/>
  <c r="AB31" i="45" s="1"/>
  <c r="AA30" i="11"/>
  <c r="AB30" i="45" s="1"/>
  <c r="AA29" i="11"/>
  <c r="AB29" i="45" s="1"/>
  <c r="AA28" i="11"/>
  <c r="AB28" i="45" s="1"/>
  <c r="AA27" i="11"/>
  <c r="AB27" i="45" s="1"/>
  <c r="AA26" i="11"/>
  <c r="AB26" i="45" s="1"/>
  <c r="AA25" i="11"/>
  <c r="AB25" i="45" s="1"/>
  <c r="AA24" i="11"/>
  <c r="AB24" i="45" s="1"/>
  <c r="AA23" i="11"/>
  <c r="AB3" i="34" s="1"/>
  <c r="AA22" i="11"/>
  <c r="AA21" i="11"/>
  <c r="AA20" i="11"/>
  <c r="AB20" i="45" s="1"/>
  <c r="AA19" i="11"/>
  <c r="AB19" i="45" s="1"/>
  <c r="AA18" i="11"/>
  <c r="AB18" i="45" s="1"/>
  <c r="AA17" i="11"/>
  <c r="AB17" i="45" s="1"/>
  <c r="AA16" i="11"/>
  <c r="AB16" i="45" s="1"/>
  <c r="AA15" i="11"/>
  <c r="AB15" i="45" s="1"/>
  <c r="AA14" i="11"/>
  <c r="AB14" i="45" s="1"/>
  <c r="AA13" i="11"/>
  <c r="AB13" i="45" s="1"/>
  <c r="AA12" i="11"/>
  <c r="AB12" i="45" s="1"/>
  <c r="AA11" i="11"/>
  <c r="AB11" i="45" s="1"/>
  <c r="AA10" i="11"/>
  <c r="AB10" i="45" s="1"/>
  <c r="AA9" i="11"/>
  <c r="AB9" i="45" s="1"/>
  <c r="AA8" i="11"/>
  <c r="AB8" i="45" s="1"/>
  <c r="AA7" i="11"/>
  <c r="AB7" i="45" s="1"/>
  <c r="AA6" i="11"/>
  <c r="AB6" i="45" s="1"/>
  <c r="AA5" i="11"/>
  <c r="AB5" i="45" s="1"/>
  <c r="AA4" i="11"/>
  <c r="AB4" i="45" s="1"/>
  <c r="AA3" i="11"/>
  <c r="AB3" i="32" s="1"/>
  <c r="Z35" i="11"/>
  <c r="AA35" i="45" s="1"/>
  <c r="Z34" i="11"/>
  <c r="AA34" i="45" s="1"/>
  <c r="Z33" i="11"/>
  <c r="AA33" i="45" s="1"/>
  <c r="Z32" i="11"/>
  <c r="AA32" i="45" s="1"/>
  <c r="Z31" i="11"/>
  <c r="AA31" i="45" s="1"/>
  <c r="Z30" i="11"/>
  <c r="AA30" i="45" s="1"/>
  <c r="Z29" i="11"/>
  <c r="AA29" i="45" s="1"/>
  <c r="Z28" i="11"/>
  <c r="AA28" i="45" s="1"/>
  <c r="Z27" i="11"/>
  <c r="AA27" i="45" s="1"/>
  <c r="Z26" i="11"/>
  <c r="AA26" i="45" s="1"/>
  <c r="Z25" i="11"/>
  <c r="AA25" i="45" s="1"/>
  <c r="Z24" i="11"/>
  <c r="AA24" i="45" s="1"/>
  <c r="Z23" i="11"/>
  <c r="Z22" i="11"/>
  <c r="Z21" i="11"/>
  <c r="Z20" i="11"/>
  <c r="AA20" i="45" s="1"/>
  <c r="Z19" i="11"/>
  <c r="AA19" i="45" s="1"/>
  <c r="Z18" i="11"/>
  <c r="AA18" i="45" s="1"/>
  <c r="Z17" i="11"/>
  <c r="AA17" i="45" s="1"/>
  <c r="Z16" i="11"/>
  <c r="AA16" i="45" s="1"/>
  <c r="Z15" i="11"/>
  <c r="AA15" i="45" s="1"/>
  <c r="Z14" i="11"/>
  <c r="AA14" i="45" s="1"/>
  <c r="Z13" i="11"/>
  <c r="AA13" i="45" s="1"/>
  <c r="Z12" i="11"/>
  <c r="AA12" i="45" s="1"/>
  <c r="Z11" i="11"/>
  <c r="AA11" i="45" s="1"/>
  <c r="Z10" i="11"/>
  <c r="AA10" i="45" s="1"/>
  <c r="Z9" i="11"/>
  <c r="AA9" i="45" s="1"/>
  <c r="Z8" i="11"/>
  <c r="AA8" i="45" s="1"/>
  <c r="Z7" i="11"/>
  <c r="AA7" i="45" s="1"/>
  <c r="Z6" i="11"/>
  <c r="AA6" i="45" s="1"/>
  <c r="Z5" i="11"/>
  <c r="AA5" i="45" s="1"/>
  <c r="Z4" i="11"/>
  <c r="AA4" i="45" s="1"/>
  <c r="Z3" i="11"/>
  <c r="Y35" i="11"/>
  <c r="Z35" i="45" s="1"/>
  <c r="Y34" i="11"/>
  <c r="Z34" i="45" s="1"/>
  <c r="Y33" i="11"/>
  <c r="Z33" i="45" s="1"/>
  <c r="Y32" i="11"/>
  <c r="Z32" i="45" s="1"/>
  <c r="Y31" i="11"/>
  <c r="Z31" i="45" s="1"/>
  <c r="Y30" i="11"/>
  <c r="Z30" i="45" s="1"/>
  <c r="Y29" i="11"/>
  <c r="Z29" i="45" s="1"/>
  <c r="Y28" i="11"/>
  <c r="Z28" i="45" s="1"/>
  <c r="Y27" i="11"/>
  <c r="Z27" i="45" s="1"/>
  <c r="Y26" i="11"/>
  <c r="Z26" i="45" s="1"/>
  <c r="Y25" i="11"/>
  <c r="Z25" i="45" s="1"/>
  <c r="Y24" i="11"/>
  <c r="Z24" i="45" s="1"/>
  <c r="Y23" i="11"/>
  <c r="Z3" i="34" s="1"/>
  <c r="Y22" i="11"/>
  <c r="Y21" i="11"/>
  <c r="Y20" i="11"/>
  <c r="Z20" i="45" s="1"/>
  <c r="Y19" i="11"/>
  <c r="Z19" i="45" s="1"/>
  <c r="Y18" i="11"/>
  <c r="Z18" i="45" s="1"/>
  <c r="Y17" i="11"/>
  <c r="Z17" i="45" s="1"/>
  <c r="Y16" i="11"/>
  <c r="Z16" i="45" s="1"/>
  <c r="Y15" i="11"/>
  <c r="Z15" i="45" s="1"/>
  <c r="Y14" i="11"/>
  <c r="Z14" i="45" s="1"/>
  <c r="Y13" i="11"/>
  <c r="Z13" i="45" s="1"/>
  <c r="Y12" i="11"/>
  <c r="Z12" i="45" s="1"/>
  <c r="Y11" i="11"/>
  <c r="Z11" i="45" s="1"/>
  <c r="Y10" i="11"/>
  <c r="Z10" i="45" s="1"/>
  <c r="Y9" i="11"/>
  <c r="Z9" i="45" s="1"/>
  <c r="Y8" i="11"/>
  <c r="Z8" i="45" s="1"/>
  <c r="Y7" i="11"/>
  <c r="Z7" i="45" s="1"/>
  <c r="Y6" i="11"/>
  <c r="Z6" i="45" s="1"/>
  <c r="Y5" i="11"/>
  <c r="Z5" i="45" s="1"/>
  <c r="Y4" i="11"/>
  <c r="Z4" i="45" s="1"/>
  <c r="Y3" i="11"/>
  <c r="Z3" i="32" s="1"/>
  <c r="X35" i="11"/>
  <c r="Y35" i="45" s="1"/>
  <c r="X34" i="11"/>
  <c r="Y34" i="45" s="1"/>
  <c r="X33" i="11"/>
  <c r="Y33" i="45" s="1"/>
  <c r="X32" i="11"/>
  <c r="Y32" i="45" s="1"/>
  <c r="X31" i="11"/>
  <c r="Y31" i="45" s="1"/>
  <c r="X30" i="11"/>
  <c r="Y30" i="45" s="1"/>
  <c r="X29" i="11"/>
  <c r="Y29" i="45" s="1"/>
  <c r="X28" i="11"/>
  <c r="Y28" i="45" s="1"/>
  <c r="X27" i="11"/>
  <c r="Y27" i="45" s="1"/>
  <c r="X26" i="11"/>
  <c r="Y26" i="45" s="1"/>
  <c r="X25" i="11"/>
  <c r="Y25" i="45" s="1"/>
  <c r="X24" i="11"/>
  <c r="Y24" i="45" s="1"/>
  <c r="X23" i="11"/>
  <c r="X22" i="11"/>
  <c r="X21" i="11"/>
  <c r="X20" i="11"/>
  <c r="Y20" i="45" s="1"/>
  <c r="X19" i="11"/>
  <c r="Y19" i="45" s="1"/>
  <c r="X18" i="11"/>
  <c r="Y18" i="45" s="1"/>
  <c r="X17" i="11"/>
  <c r="Y17" i="45" s="1"/>
  <c r="X16" i="11"/>
  <c r="Y16" i="45" s="1"/>
  <c r="X15" i="11"/>
  <c r="Y15" i="45" s="1"/>
  <c r="X14" i="11"/>
  <c r="Y14" i="45" s="1"/>
  <c r="X13" i="11"/>
  <c r="Y13" i="45" s="1"/>
  <c r="X12" i="11"/>
  <c r="Y12" i="45" s="1"/>
  <c r="X11" i="11"/>
  <c r="Y11" i="45" s="1"/>
  <c r="X10" i="11"/>
  <c r="Y10" i="45" s="1"/>
  <c r="X9" i="11"/>
  <c r="Y9" i="45" s="1"/>
  <c r="X8" i="11"/>
  <c r="Y8" i="45" s="1"/>
  <c r="X7" i="11"/>
  <c r="Y7" i="45" s="1"/>
  <c r="X6" i="11"/>
  <c r="Y6" i="45" s="1"/>
  <c r="X5" i="11"/>
  <c r="Y5" i="45" s="1"/>
  <c r="X4" i="11"/>
  <c r="Y4" i="45" s="1"/>
  <c r="X3" i="11"/>
  <c r="W35" i="11"/>
  <c r="X35" i="45" s="1"/>
  <c r="W34" i="11"/>
  <c r="X34" i="45" s="1"/>
  <c r="W33" i="11"/>
  <c r="X33" i="45" s="1"/>
  <c r="W32" i="11"/>
  <c r="X32" i="45" s="1"/>
  <c r="W31" i="11"/>
  <c r="X31" i="45" s="1"/>
  <c r="W30" i="11"/>
  <c r="X30" i="45" s="1"/>
  <c r="W29" i="11"/>
  <c r="X29" i="45" s="1"/>
  <c r="W28" i="11"/>
  <c r="X28" i="45" s="1"/>
  <c r="W27" i="11"/>
  <c r="X27" i="45" s="1"/>
  <c r="W26" i="11"/>
  <c r="X26" i="45" s="1"/>
  <c r="W25" i="11"/>
  <c r="X25" i="45" s="1"/>
  <c r="W24" i="11"/>
  <c r="X24" i="45" s="1"/>
  <c r="W23" i="11"/>
  <c r="X3" i="34" s="1"/>
  <c r="W22" i="11"/>
  <c r="W21" i="11"/>
  <c r="W20" i="11"/>
  <c r="X20" i="45" s="1"/>
  <c r="W19" i="11"/>
  <c r="X19" i="45" s="1"/>
  <c r="W18" i="11"/>
  <c r="X18" i="45" s="1"/>
  <c r="W17" i="11"/>
  <c r="X17" i="45" s="1"/>
  <c r="W16" i="11"/>
  <c r="X16" i="45" s="1"/>
  <c r="W15" i="11"/>
  <c r="X15" i="45" s="1"/>
  <c r="W14" i="11"/>
  <c r="X14" i="45" s="1"/>
  <c r="W13" i="11"/>
  <c r="X13" i="45" s="1"/>
  <c r="W12" i="11"/>
  <c r="X12" i="45" s="1"/>
  <c r="W11" i="11"/>
  <c r="X11" i="45" s="1"/>
  <c r="W10" i="11"/>
  <c r="X10" i="45" s="1"/>
  <c r="W9" i="11"/>
  <c r="X9" i="45" s="1"/>
  <c r="W8" i="11"/>
  <c r="X8" i="45" s="1"/>
  <c r="W7" i="11"/>
  <c r="X7" i="45" s="1"/>
  <c r="W6" i="11"/>
  <c r="X6" i="45" s="1"/>
  <c r="W5" i="11"/>
  <c r="X5" i="45" s="1"/>
  <c r="W4" i="11"/>
  <c r="X4" i="45" s="1"/>
  <c r="W3" i="11"/>
  <c r="X3" i="32" s="1"/>
  <c r="V35" i="11"/>
  <c r="W35" i="45" s="1"/>
  <c r="V34" i="11"/>
  <c r="W34" i="45" s="1"/>
  <c r="V33" i="11"/>
  <c r="W33" i="45" s="1"/>
  <c r="V32" i="11"/>
  <c r="W32" i="45" s="1"/>
  <c r="V31" i="11"/>
  <c r="W31" i="45" s="1"/>
  <c r="V30" i="11"/>
  <c r="W30" i="45" s="1"/>
  <c r="V29" i="11"/>
  <c r="W29" i="45" s="1"/>
  <c r="V28" i="11"/>
  <c r="W28" i="45" s="1"/>
  <c r="V27" i="11"/>
  <c r="W27" i="45" s="1"/>
  <c r="V26" i="11"/>
  <c r="W26" i="45" s="1"/>
  <c r="V25" i="11"/>
  <c r="W25" i="45" s="1"/>
  <c r="V24" i="11"/>
  <c r="W24" i="45" s="1"/>
  <c r="V23" i="11"/>
  <c r="V22" i="11"/>
  <c r="V21" i="11"/>
  <c r="V20" i="11"/>
  <c r="W20" i="45" s="1"/>
  <c r="V19" i="11"/>
  <c r="W19" i="45" s="1"/>
  <c r="V18" i="11"/>
  <c r="W18" i="45" s="1"/>
  <c r="V17" i="11"/>
  <c r="W17" i="45" s="1"/>
  <c r="V16" i="11"/>
  <c r="W16" i="45" s="1"/>
  <c r="V15" i="11"/>
  <c r="W15" i="45" s="1"/>
  <c r="V14" i="11"/>
  <c r="W14" i="45" s="1"/>
  <c r="V13" i="11"/>
  <c r="W13" i="45" s="1"/>
  <c r="V12" i="11"/>
  <c r="W12" i="45" s="1"/>
  <c r="V11" i="11"/>
  <c r="W11" i="45" s="1"/>
  <c r="V10" i="11"/>
  <c r="W10" i="45" s="1"/>
  <c r="V9" i="11"/>
  <c r="W9" i="45" s="1"/>
  <c r="V8" i="11"/>
  <c r="W8" i="45" s="1"/>
  <c r="V7" i="11"/>
  <c r="W7" i="45" s="1"/>
  <c r="V6" i="11"/>
  <c r="W6" i="45" s="1"/>
  <c r="V5" i="11"/>
  <c r="W5" i="45" s="1"/>
  <c r="V4" i="11"/>
  <c r="W4" i="45" s="1"/>
  <c r="V3" i="11"/>
  <c r="U35" i="11"/>
  <c r="V35" i="45" s="1"/>
  <c r="U34" i="11"/>
  <c r="V34" i="45" s="1"/>
  <c r="U33" i="11"/>
  <c r="V33" i="45" s="1"/>
  <c r="U32" i="11"/>
  <c r="V32" i="45" s="1"/>
  <c r="U31" i="11"/>
  <c r="V31" i="45" s="1"/>
  <c r="U30" i="11"/>
  <c r="V30" i="45" s="1"/>
  <c r="U29" i="11"/>
  <c r="V29" i="45" s="1"/>
  <c r="U28" i="11"/>
  <c r="V28" i="45" s="1"/>
  <c r="U27" i="11"/>
  <c r="V27" i="45" s="1"/>
  <c r="U26" i="11"/>
  <c r="V26" i="45" s="1"/>
  <c r="U25" i="11"/>
  <c r="V25" i="45" s="1"/>
  <c r="U24" i="11"/>
  <c r="V24" i="45" s="1"/>
  <c r="U23" i="11"/>
  <c r="V3" i="34" s="1"/>
  <c r="U22" i="11"/>
  <c r="U21" i="11"/>
  <c r="U20" i="11"/>
  <c r="V20" i="45" s="1"/>
  <c r="U19" i="11"/>
  <c r="V19" i="45" s="1"/>
  <c r="U18" i="11"/>
  <c r="V18" i="45" s="1"/>
  <c r="U17" i="11"/>
  <c r="V17" i="45" s="1"/>
  <c r="U16" i="11"/>
  <c r="V16" i="45" s="1"/>
  <c r="U15" i="11"/>
  <c r="V15" i="45" s="1"/>
  <c r="U14" i="11"/>
  <c r="V14" i="45" s="1"/>
  <c r="U13" i="11"/>
  <c r="V13" i="45" s="1"/>
  <c r="U12" i="11"/>
  <c r="V12" i="45" s="1"/>
  <c r="U11" i="11"/>
  <c r="V11" i="45" s="1"/>
  <c r="U10" i="11"/>
  <c r="V10" i="45" s="1"/>
  <c r="U9" i="11"/>
  <c r="V9" i="45" s="1"/>
  <c r="U8" i="11"/>
  <c r="V8" i="45" s="1"/>
  <c r="U7" i="11"/>
  <c r="V7" i="45" s="1"/>
  <c r="U6" i="11"/>
  <c r="V6" i="45" s="1"/>
  <c r="U5" i="11"/>
  <c r="V5" i="45" s="1"/>
  <c r="U4" i="11"/>
  <c r="V4" i="45" s="1"/>
  <c r="U3" i="11"/>
  <c r="V3" i="32" s="1"/>
  <c r="T35" i="11"/>
  <c r="U35" i="45" s="1"/>
  <c r="T34" i="11"/>
  <c r="U34" i="45" s="1"/>
  <c r="T33" i="11"/>
  <c r="U33" i="45" s="1"/>
  <c r="T32" i="11"/>
  <c r="U32" i="45" s="1"/>
  <c r="T31" i="11"/>
  <c r="U31" i="45" s="1"/>
  <c r="T30" i="11"/>
  <c r="U30" i="45" s="1"/>
  <c r="T29" i="11"/>
  <c r="U29" i="45" s="1"/>
  <c r="T28" i="11"/>
  <c r="U28" i="45" s="1"/>
  <c r="T27" i="11"/>
  <c r="U27" i="45" s="1"/>
  <c r="T26" i="11"/>
  <c r="U26" i="45" s="1"/>
  <c r="T25" i="11"/>
  <c r="U25" i="45" s="1"/>
  <c r="T24" i="11"/>
  <c r="U24" i="45" s="1"/>
  <c r="T23" i="11"/>
  <c r="T22" i="11"/>
  <c r="T21" i="11"/>
  <c r="T20" i="11"/>
  <c r="U20" i="45" s="1"/>
  <c r="T19" i="11"/>
  <c r="U19" i="45" s="1"/>
  <c r="T18" i="11"/>
  <c r="U18" i="45" s="1"/>
  <c r="T17" i="11"/>
  <c r="U17" i="45" s="1"/>
  <c r="T16" i="11"/>
  <c r="U16" i="45" s="1"/>
  <c r="T15" i="11"/>
  <c r="U15" i="45" s="1"/>
  <c r="T14" i="11"/>
  <c r="U14" i="45" s="1"/>
  <c r="T13" i="11"/>
  <c r="U13" i="45" s="1"/>
  <c r="T12" i="11"/>
  <c r="U12" i="45" s="1"/>
  <c r="T11" i="11"/>
  <c r="U11" i="45" s="1"/>
  <c r="T10" i="11"/>
  <c r="U10" i="45" s="1"/>
  <c r="T9" i="11"/>
  <c r="U9" i="45" s="1"/>
  <c r="T8" i="11"/>
  <c r="U8" i="45" s="1"/>
  <c r="T7" i="11"/>
  <c r="U7" i="45" s="1"/>
  <c r="T6" i="11"/>
  <c r="U6" i="45" s="1"/>
  <c r="T5" i="11"/>
  <c r="U5" i="45" s="1"/>
  <c r="T4" i="11"/>
  <c r="U4" i="45" s="1"/>
  <c r="T3" i="11"/>
  <c r="S35" i="11"/>
  <c r="T35" i="45" s="1"/>
  <c r="S34" i="11"/>
  <c r="T34" i="45" s="1"/>
  <c r="S33" i="11"/>
  <c r="T33" i="45" s="1"/>
  <c r="S32" i="11"/>
  <c r="T32" i="45" s="1"/>
  <c r="S31" i="11"/>
  <c r="T31" i="45" s="1"/>
  <c r="S30" i="11"/>
  <c r="T30" i="45" s="1"/>
  <c r="S29" i="11"/>
  <c r="T29" i="45" s="1"/>
  <c r="S28" i="11"/>
  <c r="T28" i="45" s="1"/>
  <c r="S27" i="11"/>
  <c r="T27" i="45" s="1"/>
  <c r="S26" i="11"/>
  <c r="T26" i="45" s="1"/>
  <c r="S25" i="11"/>
  <c r="T25" i="45" s="1"/>
  <c r="S24" i="11"/>
  <c r="T24" i="45" s="1"/>
  <c r="S23" i="11"/>
  <c r="T3" i="34" s="1"/>
  <c r="S22" i="11"/>
  <c r="S21" i="11"/>
  <c r="S20" i="11"/>
  <c r="T20" i="45" s="1"/>
  <c r="S19" i="11"/>
  <c r="T19" i="45" s="1"/>
  <c r="S18" i="11"/>
  <c r="T18" i="45" s="1"/>
  <c r="S17" i="11"/>
  <c r="T17" i="45" s="1"/>
  <c r="S16" i="11"/>
  <c r="T16" i="45" s="1"/>
  <c r="S15" i="11"/>
  <c r="T15" i="45" s="1"/>
  <c r="S14" i="11"/>
  <c r="T14" i="45" s="1"/>
  <c r="S13" i="11"/>
  <c r="T13" i="45" s="1"/>
  <c r="S12" i="11"/>
  <c r="T12" i="45" s="1"/>
  <c r="S11" i="11"/>
  <c r="T11" i="45" s="1"/>
  <c r="S10" i="11"/>
  <c r="T10" i="45" s="1"/>
  <c r="S9" i="11"/>
  <c r="T9" i="45" s="1"/>
  <c r="S8" i="11"/>
  <c r="T8" i="45" s="1"/>
  <c r="S7" i="11"/>
  <c r="T7" i="45" s="1"/>
  <c r="S6" i="11"/>
  <c r="T6" i="45" s="1"/>
  <c r="S5" i="11"/>
  <c r="T5" i="45" s="1"/>
  <c r="S4" i="11"/>
  <c r="T4" i="45" s="1"/>
  <c r="S3" i="11"/>
  <c r="T3" i="32" s="1"/>
  <c r="R35" i="11"/>
  <c r="S35" i="45" s="1"/>
  <c r="R34" i="11"/>
  <c r="S34" i="45" s="1"/>
  <c r="R33" i="11"/>
  <c r="S33" i="45" s="1"/>
  <c r="R32" i="11"/>
  <c r="S32" i="45" s="1"/>
  <c r="R31" i="11"/>
  <c r="S31" i="45" s="1"/>
  <c r="R30" i="11"/>
  <c r="S30" i="45" s="1"/>
  <c r="R29" i="11"/>
  <c r="S29" i="45" s="1"/>
  <c r="R28" i="11"/>
  <c r="S28" i="45" s="1"/>
  <c r="R27" i="11"/>
  <c r="S27" i="45" s="1"/>
  <c r="R26" i="11"/>
  <c r="S26" i="45" s="1"/>
  <c r="R25" i="11"/>
  <c r="S25" i="45" s="1"/>
  <c r="R24" i="11"/>
  <c r="S24" i="45" s="1"/>
  <c r="R23" i="11"/>
  <c r="R22" i="11"/>
  <c r="R21" i="11"/>
  <c r="R20" i="11"/>
  <c r="S20" i="45" s="1"/>
  <c r="R19" i="11"/>
  <c r="S19" i="45" s="1"/>
  <c r="R18" i="11"/>
  <c r="S18" i="45" s="1"/>
  <c r="R17" i="11"/>
  <c r="S17" i="45" s="1"/>
  <c r="R16" i="11"/>
  <c r="S16" i="45" s="1"/>
  <c r="R15" i="11"/>
  <c r="S15" i="45" s="1"/>
  <c r="R14" i="11"/>
  <c r="S14" i="45" s="1"/>
  <c r="R13" i="11"/>
  <c r="S13" i="45" s="1"/>
  <c r="R12" i="11"/>
  <c r="S12" i="45" s="1"/>
  <c r="R11" i="11"/>
  <c r="S11" i="45" s="1"/>
  <c r="R10" i="11"/>
  <c r="S10" i="45" s="1"/>
  <c r="R9" i="11"/>
  <c r="S9" i="45" s="1"/>
  <c r="R8" i="11"/>
  <c r="S8" i="45" s="1"/>
  <c r="R7" i="11"/>
  <c r="S7" i="45" s="1"/>
  <c r="R6" i="11"/>
  <c r="S6" i="45" s="1"/>
  <c r="R5" i="11"/>
  <c r="S5" i="45" s="1"/>
  <c r="R4" i="11"/>
  <c r="S4" i="45" s="1"/>
  <c r="R3" i="11"/>
  <c r="Q35" i="11"/>
  <c r="R35" i="45" s="1"/>
  <c r="Q34" i="11"/>
  <c r="R34" i="45" s="1"/>
  <c r="Q33" i="11"/>
  <c r="R33" i="45" s="1"/>
  <c r="Q32" i="11"/>
  <c r="R32" i="45" s="1"/>
  <c r="Q31" i="11"/>
  <c r="R31" i="45" s="1"/>
  <c r="Q30" i="11"/>
  <c r="R30" i="45" s="1"/>
  <c r="Q29" i="11"/>
  <c r="R29" i="45" s="1"/>
  <c r="Q28" i="11"/>
  <c r="R28" i="45" s="1"/>
  <c r="Q27" i="11"/>
  <c r="R27" i="45" s="1"/>
  <c r="Q26" i="11"/>
  <c r="R26" i="45" s="1"/>
  <c r="Q25" i="11"/>
  <c r="R25" i="45" s="1"/>
  <c r="Q24" i="11"/>
  <c r="R24" i="45" s="1"/>
  <c r="Q23" i="11"/>
  <c r="R3" i="34" s="1"/>
  <c r="Q22" i="11"/>
  <c r="Q21" i="11"/>
  <c r="Q20" i="11"/>
  <c r="R20" i="45" s="1"/>
  <c r="Q19" i="11"/>
  <c r="R19" i="45" s="1"/>
  <c r="Q18" i="11"/>
  <c r="R18" i="45" s="1"/>
  <c r="Q17" i="11"/>
  <c r="R17" i="45" s="1"/>
  <c r="Q16" i="11"/>
  <c r="R16" i="45" s="1"/>
  <c r="Q15" i="11"/>
  <c r="R15" i="45" s="1"/>
  <c r="Q14" i="11"/>
  <c r="R14" i="45" s="1"/>
  <c r="Q13" i="11"/>
  <c r="R13" i="45" s="1"/>
  <c r="Q12" i="11"/>
  <c r="R12" i="45" s="1"/>
  <c r="Q11" i="11"/>
  <c r="R11" i="45" s="1"/>
  <c r="Q10" i="11"/>
  <c r="R10" i="45" s="1"/>
  <c r="Q9" i="11"/>
  <c r="R9" i="45" s="1"/>
  <c r="Q8" i="11"/>
  <c r="R8" i="45" s="1"/>
  <c r="Q7" i="11"/>
  <c r="R7" i="45" s="1"/>
  <c r="Q6" i="11"/>
  <c r="R6" i="45" s="1"/>
  <c r="Q5" i="11"/>
  <c r="R5" i="45" s="1"/>
  <c r="Q4" i="11"/>
  <c r="R4" i="45" s="1"/>
  <c r="Q3" i="11"/>
  <c r="R3" i="32" s="1"/>
  <c r="P35" i="11"/>
  <c r="Q35" i="45" s="1"/>
  <c r="P34" i="11"/>
  <c r="Q34" i="45" s="1"/>
  <c r="P33" i="11"/>
  <c r="Q33" i="45" s="1"/>
  <c r="P32" i="11"/>
  <c r="Q32" i="45" s="1"/>
  <c r="P31" i="11"/>
  <c r="Q31" i="45" s="1"/>
  <c r="P30" i="11"/>
  <c r="Q30" i="45" s="1"/>
  <c r="P29" i="11"/>
  <c r="Q29" i="45" s="1"/>
  <c r="P28" i="11"/>
  <c r="Q28" i="45" s="1"/>
  <c r="P27" i="11"/>
  <c r="Q27" i="45" s="1"/>
  <c r="P26" i="11"/>
  <c r="Q26" i="45" s="1"/>
  <c r="P25" i="11"/>
  <c r="Q25" i="45" s="1"/>
  <c r="P24" i="11"/>
  <c r="Q24" i="45" s="1"/>
  <c r="P23" i="11"/>
  <c r="P22" i="11"/>
  <c r="P21" i="11"/>
  <c r="P20" i="11"/>
  <c r="Q20" i="45" s="1"/>
  <c r="P19" i="11"/>
  <c r="Q19" i="45" s="1"/>
  <c r="P18" i="11"/>
  <c r="Q18" i="45" s="1"/>
  <c r="P17" i="11"/>
  <c r="Q17" i="45" s="1"/>
  <c r="P16" i="11"/>
  <c r="Q16" i="45" s="1"/>
  <c r="P15" i="11"/>
  <c r="Q15" i="45" s="1"/>
  <c r="P14" i="11"/>
  <c r="Q14" i="45" s="1"/>
  <c r="P13" i="11"/>
  <c r="Q13" i="45" s="1"/>
  <c r="P12" i="11"/>
  <c r="Q12" i="45" s="1"/>
  <c r="P11" i="11"/>
  <c r="Q11" i="45" s="1"/>
  <c r="P10" i="11"/>
  <c r="Q10" i="45" s="1"/>
  <c r="P9" i="11"/>
  <c r="Q9" i="45" s="1"/>
  <c r="P8" i="11"/>
  <c r="Q8" i="45" s="1"/>
  <c r="P7" i="11"/>
  <c r="Q7" i="45" s="1"/>
  <c r="P6" i="11"/>
  <c r="Q6" i="45" s="1"/>
  <c r="P5" i="11"/>
  <c r="Q5" i="45" s="1"/>
  <c r="P4" i="11"/>
  <c r="Q4" i="45" s="1"/>
  <c r="P3" i="11"/>
  <c r="Q3" i="32" s="1"/>
  <c r="O35" i="11"/>
  <c r="P35" i="45" s="1"/>
  <c r="O34" i="11"/>
  <c r="P34" i="45" s="1"/>
  <c r="O33" i="11"/>
  <c r="P33" i="45" s="1"/>
  <c r="O32" i="11"/>
  <c r="P32" i="45" s="1"/>
  <c r="O31" i="11"/>
  <c r="P31" i="45" s="1"/>
  <c r="O30" i="11"/>
  <c r="P30" i="45" s="1"/>
  <c r="O29" i="11"/>
  <c r="P29" i="45" s="1"/>
  <c r="O28" i="11"/>
  <c r="P28" i="45" s="1"/>
  <c r="O27" i="11"/>
  <c r="P27" i="45" s="1"/>
  <c r="O26" i="11"/>
  <c r="P26" i="45" s="1"/>
  <c r="O25" i="11"/>
  <c r="P25" i="45" s="1"/>
  <c r="O24" i="11"/>
  <c r="P24" i="45" s="1"/>
  <c r="O23" i="11"/>
  <c r="P3" i="34" s="1"/>
  <c r="O22" i="11"/>
  <c r="O21" i="11"/>
  <c r="O20" i="11"/>
  <c r="P20" i="45" s="1"/>
  <c r="O19" i="11"/>
  <c r="P19" i="45" s="1"/>
  <c r="O18" i="11"/>
  <c r="P18" i="45" s="1"/>
  <c r="O17" i="11"/>
  <c r="P17" i="45" s="1"/>
  <c r="O16" i="11"/>
  <c r="P16" i="45" s="1"/>
  <c r="O15" i="11"/>
  <c r="P15" i="45" s="1"/>
  <c r="O14" i="11"/>
  <c r="P14" i="45" s="1"/>
  <c r="O13" i="11"/>
  <c r="P13" i="45" s="1"/>
  <c r="O12" i="11"/>
  <c r="P12" i="45" s="1"/>
  <c r="O11" i="11"/>
  <c r="P11" i="45" s="1"/>
  <c r="O10" i="11"/>
  <c r="P10" i="45" s="1"/>
  <c r="O9" i="11"/>
  <c r="P9" i="45" s="1"/>
  <c r="O8" i="11"/>
  <c r="P8" i="45" s="1"/>
  <c r="O7" i="11"/>
  <c r="P7" i="45" s="1"/>
  <c r="O6" i="11"/>
  <c r="P6" i="45" s="1"/>
  <c r="O5" i="11"/>
  <c r="P5" i="45" s="1"/>
  <c r="O4" i="11"/>
  <c r="P4" i="45" s="1"/>
  <c r="O3" i="11"/>
  <c r="P3" i="32" s="1"/>
  <c r="N35" i="11"/>
  <c r="O35" i="45" s="1"/>
  <c r="N34" i="11"/>
  <c r="O34" i="45" s="1"/>
  <c r="N33" i="11"/>
  <c r="O33" i="45" s="1"/>
  <c r="N32" i="11"/>
  <c r="O32" i="45" s="1"/>
  <c r="N31" i="11"/>
  <c r="O31" i="45" s="1"/>
  <c r="N30" i="11"/>
  <c r="O30" i="45" s="1"/>
  <c r="N29" i="11"/>
  <c r="O29" i="45" s="1"/>
  <c r="N28" i="11"/>
  <c r="O28" i="45" s="1"/>
  <c r="N27" i="11"/>
  <c r="O27" i="45" s="1"/>
  <c r="N26" i="11"/>
  <c r="O26" i="45" s="1"/>
  <c r="N25" i="11"/>
  <c r="O25" i="45" s="1"/>
  <c r="N24" i="11"/>
  <c r="O24" i="45" s="1"/>
  <c r="N23" i="11"/>
  <c r="O3" i="34" s="1"/>
  <c r="N22" i="11"/>
  <c r="N21" i="11"/>
  <c r="N20" i="11"/>
  <c r="O20" i="45" s="1"/>
  <c r="N19" i="11"/>
  <c r="O19" i="45" s="1"/>
  <c r="N18" i="11"/>
  <c r="O18" i="45" s="1"/>
  <c r="N17" i="11"/>
  <c r="O17" i="45" s="1"/>
  <c r="N16" i="11"/>
  <c r="O16" i="45" s="1"/>
  <c r="N15" i="11"/>
  <c r="O15" i="45" s="1"/>
  <c r="N14" i="11"/>
  <c r="O14" i="45" s="1"/>
  <c r="N13" i="11"/>
  <c r="O13" i="45" s="1"/>
  <c r="N12" i="11"/>
  <c r="O12" i="45" s="1"/>
  <c r="N11" i="11"/>
  <c r="O11" i="45" s="1"/>
  <c r="N10" i="11"/>
  <c r="O10" i="45" s="1"/>
  <c r="N9" i="11"/>
  <c r="O9" i="45" s="1"/>
  <c r="N8" i="11"/>
  <c r="O8" i="45" s="1"/>
  <c r="N7" i="11"/>
  <c r="O7" i="45" s="1"/>
  <c r="N6" i="11"/>
  <c r="O6" i="45" s="1"/>
  <c r="N5" i="11"/>
  <c r="O5" i="45" s="1"/>
  <c r="N4" i="11"/>
  <c r="O4" i="45" s="1"/>
  <c r="N3" i="11"/>
  <c r="O3" i="32" s="1"/>
  <c r="M35" i="11"/>
  <c r="N35" i="45" s="1"/>
  <c r="M34" i="11"/>
  <c r="N34" i="45" s="1"/>
  <c r="M33" i="11"/>
  <c r="N33" i="45" s="1"/>
  <c r="M32" i="11"/>
  <c r="N32" i="45" s="1"/>
  <c r="M31" i="11"/>
  <c r="N31" i="45" s="1"/>
  <c r="M30" i="11"/>
  <c r="N30" i="45" s="1"/>
  <c r="M29" i="11"/>
  <c r="N29" i="45" s="1"/>
  <c r="M28" i="11"/>
  <c r="N28" i="45" s="1"/>
  <c r="M27" i="11"/>
  <c r="N27" i="45" s="1"/>
  <c r="M26" i="11"/>
  <c r="N26" i="45" s="1"/>
  <c r="M25" i="11"/>
  <c r="N25" i="45" s="1"/>
  <c r="M24" i="11"/>
  <c r="N24" i="45" s="1"/>
  <c r="M23" i="11"/>
  <c r="N3" i="34" s="1"/>
  <c r="M22" i="11"/>
  <c r="M21" i="11"/>
  <c r="M20" i="11"/>
  <c r="N20" i="45" s="1"/>
  <c r="M19" i="11"/>
  <c r="N19" i="45" s="1"/>
  <c r="M18" i="11"/>
  <c r="N18" i="45" s="1"/>
  <c r="M17" i="11"/>
  <c r="N17" i="45" s="1"/>
  <c r="M16" i="11"/>
  <c r="N16" i="45" s="1"/>
  <c r="M15" i="11"/>
  <c r="N15" i="45" s="1"/>
  <c r="M14" i="11"/>
  <c r="N14" i="45" s="1"/>
  <c r="M13" i="11"/>
  <c r="N13" i="45" s="1"/>
  <c r="M12" i="11"/>
  <c r="N12" i="45" s="1"/>
  <c r="M11" i="11"/>
  <c r="N11" i="45" s="1"/>
  <c r="M10" i="11"/>
  <c r="N10" i="45" s="1"/>
  <c r="M9" i="11"/>
  <c r="N9" i="45" s="1"/>
  <c r="M8" i="11"/>
  <c r="N8" i="45" s="1"/>
  <c r="M7" i="11"/>
  <c r="N7" i="45" s="1"/>
  <c r="M6" i="11"/>
  <c r="N6" i="45" s="1"/>
  <c r="M5" i="11"/>
  <c r="N5" i="45" s="1"/>
  <c r="M4" i="11"/>
  <c r="N4" i="45" s="1"/>
  <c r="M3" i="11"/>
  <c r="N3" i="32" s="1"/>
  <c r="L35" i="11"/>
  <c r="M35" i="45" s="1"/>
  <c r="L34" i="11"/>
  <c r="M34" i="45" s="1"/>
  <c r="L33" i="11"/>
  <c r="M33" i="45" s="1"/>
  <c r="L32" i="11"/>
  <c r="M32" i="45" s="1"/>
  <c r="L31" i="11"/>
  <c r="M31" i="45" s="1"/>
  <c r="L30" i="11"/>
  <c r="M30" i="45" s="1"/>
  <c r="L29" i="11"/>
  <c r="M29" i="45" s="1"/>
  <c r="L28" i="11"/>
  <c r="M28" i="45" s="1"/>
  <c r="L27" i="11"/>
  <c r="M27" i="45" s="1"/>
  <c r="L26" i="11"/>
  <c r="M26" i="45" s="1"/>
  <c r="L25" i="11"/>
  <c r="M25" i="45" s="1"/>
  <c r="L24" i="11"/>
  <c r="M24" i="45" s="1"/>
  <c r="L23" i="11"/>
  <c r="M3" i="34" s="1"/>
  <c r="L22" i="11"/>
  <c r="L21" i="11"/>
  <c r="L20" i="11"/>
  <c r="M20" i="45" s="1"/>
  <c r="L19" i="11"/>
  <c r="M19" i="45" s="1"/>
  <c r="L18" i="11"/>
  <c r="M18" i="45" s="1"/>
  <c r="L17" i="11"/>
  <c r="M17" i="45" s="1"/>
  <c r="L16" i="11"/>
  <c r="M16" i="45" s="1"/>
  <c r="L15" i="11"/>
  <c r="M15" i="45" s="1"/>
  <c r="L14" i="11"/>
  <c r="M14" i="45" s="1"/>
  <c r="L13" i="11"/>
  <c r="M13" i="45" s="1"/>
  <c r="L12" i="11"/>
  <c r="M12" i="45" s="1"/>
  <c r="L11" i="11"/>
  <c r="M11" i="45" s="1"/>
  <c r="L10" i="11"/>
  <c r="M10" i="45" s="1"/>
  <c r="L9" i="11"/>
  <c r="M9" i="45" s="1"/>
  <c r="L8" i="11"/>
  <c r="M8" i="45" s="1"/>
  <c r="L7" i="11"/>
  <c r="M7" i="45" s="1"/>
  <c r="L6" i="11"/>
  <c r="M6" i="45" s="1"/>
  <c r="L5" i="11"/>
  <c r="M5" i="45" s="1"/>
  <c r="L4" i="11"/>
  <c r="M4" i="45" s="1"/>
  <c r="L3" i="11"/>
  <c r="M3" i="32" s="1"/>
  <c r="K35" i="11"/>
  <c r="L35" i="45" s="1"/>
  <c r="K34" i="11"/>
  <c r="L34" i="45" s="1"/>
  <c r="K33" i="11"/>
  <c r="L33" i="45" s="1"/>
  <c r="K32" i="11"/>
  <c r="L32" i="45" s="1"/>
  <c r="K31" i="11"/>
  <c r="L31" i="45" s="1"/>
  <c r="K30" i="11"/>
  <c r="L30" i="45" s="1"/>
  <c r="K29" i="11"/>
  <c r="L29" i="45" s="1"/>
  <c r="K28" i="11"/>
  <c r="L28" i="45" s="1"/>
  <c r="K27" i="11"/>
  <c r="L27" i="45" s="1"/>
  <c r="K26" i="11"/>
  <c r="L26" i="45" s="1"/>
  <c r="K25" i="11"/>
  <c r="L25" i="45" s="1"/>
  <c r="K24" i="11"/>
  <c r="L24" i="45" s="1"/>
  <c r="K23" i="11"/>
  <c r="L3" i="34" s="1"/>
  <c r="K22" i="11"/>
  <c r="K21" i="11"/>
  <c r="K20" i="11"/>
  <c r="L20" i="45" s="1"/>
  <c r="K19" i="11"/>
  <c r="L19" i="45" s="1"/>
  <c r="K18" i="11"/>
  <c r="L18" i="45" s="1"/>
  <c r="K17" i="11"/>
  <c r="L17" i="45" s="1"/>
  <c r="K16" i="11"/>
  <c r="L16" i="45" s="1"/>
  <c r="K15" i="11"/>
  <c r="L15" i="45" s="1"/>
  <c r="K14" i="11"/>
  <c r="L14" i="45" s="1"/>
  <c r="K13" i="11"/>
  <c r="L13" i="45" s="1"/>
  <c r="K12" i="11"/>
  <c r="L12" i="45" s="1"/>
  <c r="K11" i="11"/>
  <c r="L11" i="45" s="1"/>
  <c r="K10" i="11"/>
  <c r="L10" i="45" s="1"/>
  <c r="K9" i="11"/>
  <c r="L9" i="45" s="1"/>
  <c r="K8" i="11"/>
  <c r="L8" i="45" s="1"/>
  <c r="K7" i="11"/>
  <c r="L7" i="45" s="1"/>
  <c r="K6" i="11"/>
  <c r="L6" i="45" s="1"/>
  <c r="K5" i="11"/>
  <c r="L5" i="45" s="1"/>
  <c r="K4" i="11"/>
  <c r="L4" i="45" s="1"/>
  <c r="K3" i="11"/>
  <c r="L3" i="32" s="1"/>
  <c r="J35" i="11"/>
  <c r="K35" i="45" s="1"/>
  <c r="J34" i="11"/>
  <c r="K34" i="45" s="1"/>
  <c r="J33" i="11"/>
  <c r="K33" i="45" s="1"/>
  <c r="J32" i="11"/>
  <c r="K32" i="45" s="1"/>
  <c r="J31" i="11"/>
  <c r="K31" i="45" s="1"/>
  <c r="J30" i="11"/>
  <c r="K30" i="45" s="1"/>
  <c r="J29" i="11"/>
  <c r="K29" i="45" s="1"/>
  <c r="J28" i="11"/>
  <c r="K28" i="45" s="1"/>
  <c r="J27" i="11"/>
  <c r="K27" i="45" s="1"/>
  <c r="J26" i="11"/>
  <c r="K26" i="45" s="1"/>
  <c r="J25" i="11"/>
  <c r="K25" i="45" s="1"/>
  <c r="J24" i="11"/>
  <c r="K24" i="45" s="1"/>
  <c r="J23" i="11"/>
  <c r="K3" i="34" s="1"/>
  <c r="J22" i="11"/>
  <c r="J21" i="11"/>
  <c r="J20" i="11"/>
  <c r="K20" i="45" s="1"/>
  <c r="J19" i="11"/>
  <c r="K19" i="45" s="1"/>
  <c r="J18" i="11"/>
  <c r="K18" i="45" s="1"/>
  <c r="J17" i="11"/>
  <c r="K17" i="45" s="1"/>
  <c r="J16" i="11"/>
  <c r="K16" i="45" s="1"/>
  <c r="J15" i="11"/>
  <c r="K15" i="45" s="1"/>
  <c r="J14" i="11"/>
  <c r="K14" i="45" s="1"/>
  <c r="J13" i="11"/>
  <c r="K13" i="45" s="1"/>
  <c r="J12" i="11"/>
  <c r="K12" i="45" s="1"/>
  <c r="J11" i="11"/>
  <c r="K11" i="45" s="1"/>
  <c r="J10" i="11"/>
  <c r="K10" i="45" s="1"/>
  <c r="J9" i="11"/>
  <c r="K9" i="45" s="1"/>
  <c r="J8" i="11"/>
  <c r="K8" i="45" s="1"/>
  <c r="J7" i="11"/>
  <c r="K7" i="45" s="1"/>
  <c r="J6" i="11"/>
  <c r="K6" i="45" s="1"/>
  <c r="J5" i="11"/>
  <c r="K5" i="45" s="1"/>
  <c r="J4" i="11"/>
  <c r="K4" i="45" s="1"/>
  <c r="J3" i="11"/>
  <c r="I35" i="11"/>
  <c r="J35" i="45" s="1"/>
  <c r="I34" i="11"/>
  <c r="J34" i="45" s="1"/>
  <c r="I33" i="11"/>
  <c r="J33" i="45" s="1"/>
  <c r="I32" i="11"/>
  <c r="J32" i="45" s="1"/>
  <c r="I31" i="11"/>
  <c r="J31" i="45" s="1"/>
  <c r="I30" i="11"/>
  <c r="J30" i="45" s="1"/>
  <c r="I29" i="11"/>
  <c r="J29" i="45" s="1"/>
  <c r="I28" i="11"/>
  <c r="J28" i="45" s="1"/>
  <c r="I27" i="11"/>
  <c r="J27" i="45" s="1"/>
  <c r="I26" i="11"/>
  <c r="J26" i="45" s="1"/>
  <c r="I25" i="11"/>
  <c r="J25" i="45" s="1"/>
  <c r="I24" i="11"/>
  <c r="J24" i="45" s="1"/>
  <c r="I23" i="11"/>
  <c r="J3" i="34" s="1"/>
  <c r="I22" i="11"/>
  <c r="I21" i="11"/>
  <c r="I20" i="11"/>
  <c r="J20" i="45" s="1"/>
  <c r="I19" i="11"/>
  <c r="J19" i="45" s="1"/>
  <c r="I18" i="11"/>
  <c r="J18" i="45" s="1"/>
  <c r="I17" i="11"/>
  <c r="J17" i="45" s="1"/>
  <c r="I16" i="11"/>
  <c r="J16" i="45" s="1"/>
  <c r="I15" i="11"/>
  <c r="J15" i="45" s="1"/>
  <c r="I14" i="11"/>
  <c r="J14" i="45" s="1"/>
  <c r="I13" i="11"/>
  <c r="J13" i="45" s="1"/>
  <c r="I12" i="11"/>
  <c r="J12" i="45" s="1"/>
  <c r="I11" i="11"/>
  <c r="J11" i="45" s="1"/>
  <c r="I10" i="11"/>
  <c r="J10" i="45" s="1"/>
  <c r="I9" i="11"/>
  <c r="J9" i="45" s="1"/>
  <c r="I8" i="11"/>
  <c r="J8" i="45" s="1"/>
  <c r="I7" i="11"/>
  <c r="J7" i="45" s="1"/>
  <c r="I6" i="11"/>
  <c r="J6" i="45" s="1"/>
  <c r="I5" i="11"/>
  <c r="J5" i="45" s="1"/>
  <c r="I4" i="11"/>
  <c r="J4" i="45" s="1"/>
  <c r="I3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AL6" i="34"/>
  <c r="AL6" i="31"/>
  <c r="AL3" i="31"/>
  <c r="AK6" i="37"/>
  <c r="AK3" i="35"/>
  <c r="AK5" i="38"/>
  <c r="AJ4" i="34"/>
  <c r="AJ3" i="34"/>
  <c r="AH4" i="39"/>
  <c r="AH4" i="31"/>
  <c r="AH4" i="32"/>
  <c r="AH3" i="38"/>
  <c r="AG5" i="39"/>
  <c r="AG5" i="38"/>
  <c r="AF4" i="36"/>
  <c r="AF3" i="31"/>
  <c r="AF3" i="37"/>
  <c r="AE6" i="37"/>
  <c r="AE3" i="36"/>
  <c r="AD6" i="24"/>
  <c r="AD4" i="38"/>
  <c r="AD3" i="32"/>
  <c r="AC5" i="34"/>
  <c r="AC4" i="37"/>
  <c r="AB4" i="31"/>
  <c r="AB3" i="38"/>
  <c r="AA5" i="39"/>
  <c r="Z3" i="31"/>
  <c r="D16" i="8"/>
  <c r="F16" i="8" s="1"/>
  <c r="D15" i="8"/>
  <c r="F15" i="8" s="1"/>
  <c r="D14" i="8"/>
  <c r="F14" i="8" s="1"/>
  <c r="D13" i="8"/>
  <c r="F13" i="8" s="1"/>
  <c r="D12" i="8"/>
  <c r="F12" i="8" s="1"/>
  <c r="D11" i="8"/>
  <c r="F11" i="8" s="1"/>
  <c r="D9" i="8"/>
  <c r="F9" i="8" s="1"/>
  <c r="D8" i="8"/>
  <c r="F8" i="8" s="1"/>
  <c r="D6" i="8"/>
  <c r="F6" i="8" s="1"/>
  <c r="D5" i="8"/>
  <c r="F5" i="8" s="1"/>
  <c r="D4" i="8"/>
  <c r="F4" i="8" s="1"/>
  <c r="D3" i="8"/>
  <c r="F3" i="8" s="1"/>
  <c r="D2" i="8"/>
  <c r="F2" i="8" s="1"/>
  <c r="AM46" i="15" l="1"/>
  <c r="AS46" i="15"/>
  <c r="AM43" i="15"/>
  <c r="AS43" i="15"/>
  <c r="Z21" i="45"/>
  <c r="S21" i="45"/>
  <c r="AI21" i="45"/>
  <c r="K22" i="45"/>
  <c r="O22" i="45"/>
  <c r="S22" i="45"/>
  <c r="W22" i="45"/>
  <c r="AA22" i="45"/>
  <c r="AE22" i="45"/>
  <c r="AI22" i="45"/>
  <c r="R21" i="45"/>
  <c r="V21" i="45"/>
  <c r="AD21" i="45"/>
  <c r="AH21" i="45"/>
  <c r="N22" i="45"/>
  <c r="Z22" i="45"/>
  <c r="K21" i="45"/>
  <c r="AE21" i="45"/>
  <c r="AJ6" i="34"/>
  <c r="L21" i="45"/>
  <c r="P21" i="45"/>
  <c r="T21" i="45"/>
  <c r="X21" i="45"/>
  <c r="AB21" i="45"/>
  <c r="AF21" i="45"/>
  <c r="AJ21" i="45"/>
  <c r="J21" i="45"/>
  <c r="AL21" i="45"/>
  <c r="J22" i="45"/>
  <c r="V22" i="45"/>
  <c r="W21" i="45"/>
  <c r="L22" i="45"/>
  <c r="P22" i="45"/>
  <c r="T22" i="45"/>
  <c r="X22" i="45"/>
  <c r="AB22" i="45"/>
  <c r="AF22" i="45"/>
  <c r="AJ22" i="45"/>
  <c r="N21" i="45"/>
  <c r="AD22" i="45"/>
  <c r="AH22" i="45"/>
  <c r="AA21" i="45"/>
  <c r="M21" i="45"/>
  <c r="Q21" i="45"/>
  <c r="U21" i="45"/>
  <c r="Y21" i="45"/>
  <c r="AC21" i="45"/>
  <c r="AG21" i="45"/>
  <c r="AK21" i="45"/>
  <c r="R22" i="45"/>
  <c r="AL22" i="45"/>
  <c r="O21" i="45"/>
  <c r="M22" i="45"/>
  <c r="Q22" i="45"/>
  <c r="U22" i="45"/>
  <c r="Y22" i="45"/>
  <c r="AC22" i="45"/>
  <c r="AG22" i="45"/>
  <c r="AK22" i="45"/>
  <c r="AE3" i="35"/>
  <c r="AE6" i="35" s="1"/>
  <c r="AK3" i="36"/>
  <c r="AA3" i="39"/>
  <c r="AF6" i="31"/>
  <c r="AD4" i="34"/>
  <c r="AF3" i="33"/>
  <c r="AF6" i="33" s="1"/>
  <c r="AG6" i="39"/>
  <c r="AD4" i="24"/>
  <c r="AF5" i="37"/>
  <c r="AL3" i="37"/>
  <c r="Z4" i="36"/>
  <c r="Z4" i="32"/>
  <c r="Z7" i="32" s="1"/>
  <c r="AE5" i="39"/>
  <c r="AJ3" i="31"/>
  <c r="U3" i="39"/>
  <c r="V4" i="39"/>
  <c r="AA5" i="31"/>
  <c r="AD6" i="34"/>
  <c r="Z3" i="33"/>
  <c r="Z6" i="33" s="1"/>
  <c r="X6" i="34"/>
  <c r="Y3" i="36"/>
  <c r="Z5" i="37"/>
  <c r="T4" i="36"/>
  <c r="Y5" i="38"/>
  <c r="AA3" i="30"/>
  <c r="AB4" i="39"/>
  <c r="AE5" i="38"/>
  <c r="U3" i="37"/>
  <c r="AA6" i="39"/>
  <c r="Y6" i="37"/>
  <c r="AB4" i="32"/>
  <c r="AB7" i="32" s="1"/>
  <c r="X4" i="24"/>
  <c r="T5" i="37"/>
  <c r="AJ3" i="38"/>
  <c r="AK5" i="34"/>
  <c r="X3" i="37"/>
  <c r="Y5" i="39"/>
  <c r="S5" i="39"/>
  <c r="X6" i="31"/>
  <c r="Y6" i="39"/>
  <c r="AA4" i="37"/>
  <c r="AB4" i="38"/>
  <c r="AC3" i="35"/>
  <c r="AC6" i="35" s="1"/>
  <c r="AD3" i="31"/>
  <c r="AF4" i="31"/>
  <c r="AG4" i="37"/>
  <c r="AH4" i="38"/>
  <c r="AI6" i="37"/>
  <c r="Z4" i="31"/>
  <c r="AE6" i="39"/>
  <c r="AI3" i="35"/>
  <c r="AI6" i="35" s="1"/>
  <c r="U4" i="37"/>
  <c r="W6" i="37"/>
  <c r="Z3" i="38"/>
  <c r="AA5" i="34"/>
  <c r="AC6" i="37"/>
  <c r="AD6" i="31"/>
  <c r="AF3" i="38"/>
  <c r="AG5" i="34"/>
  <c r="AJ3" i="37"/>
  <c r="X3" i="31"/>
  <c r="AD3" i="37"/>
  <c r="AF4" i="32"/>
  <c r="AF7" i="32" s="1"/>
  <c r="AJ6" i="31"/>
  <c r="Q5" i="37"/>
  <c r="AH3" i="33"/>
  <c r="AH6" i="33" s="1"/>
  <c r="Y4" i="37"/>
  <c r="AA6" i="37"/>
  <c r="X3" i="38"/>
  <c r="AE4" i="37"/>
  <c r="Z4" i="38"/>
  <c r="AB3" i="31"/>
  <c r="X4" i="31"/>
  <c r="T4" i="32"/>
  <c r="T7" i="32" s="1"/>
  <c r="U5" i="34"/>
  <c r="Q3" i="38"/>
  <c r="Q3" i="35"/>
  <c r="Q6" i="35" s="1"/>
  <c r="V4" i="38"/>
  <c r="R6" i="31"/>
  <c r="W3" i="35"/>
  <c r="W6" i="35" s="1"/>
  <c r="R4" i="38"/>
  <c r="R3" i="31"/>
  <c r="T6" i="37"/>
  <c r="S4" i="37"/>
  <c r="V3" i="31"/>
  <c r="AF4" i="34"/>
  <c r="AC5" i="31"/>
  <c r="AH4" i="36"/>
  <c r="AI5" i="31"/>
  <c r="AI3" i="39"/>
  <c r="AF6" i="34"/>
  <c r="AA3" i="36"/>
  <c r="AD4" i="39"/>
  <c r="AG3" i="36"/>
  <c r="AL4" i="34"/>
  <c r="AB4" i="36"/>
  <c r="AH5" i="37"/>
  <c r="P3" i="31"/>
  <c r="U3" i="35"/>
  <c r="U6" i="35" s="1"/>
  <c r="Q6" i="39"/>
  <c r="O3" i="35"/>
  <c r="O6" i="35" s="1"/>
  <c r="V6" i="31"/>
  <c r="K3" i="37"/>
  <c r="P5" i="34"/>
  <c r="U6" i="37"/>
  <c r="Y5" i="34"/>
  <c r="AB6" i="31"/>
  <c r="AC5" i="39"/>
  <c r="AD3" i="38"/>
  <c r="AD4" i="31"/>
  <c r="AI5" i="39"/>
  <c r="AJ4" i="32"/>
  <c r="L5" i="30"/>
  <c r="R3" i="38"/>
  <c r="S5" i="34"/>
  <c r="W5" i="39"/>
  <c r="X4" i="32"/>
  <c r="X7" i="32" s="1"/>
  <c r="AA3" i="35"/>
  <c r="AA6" i="35" s="1"/>
  <c r="AB3" i="37"/>
  <c r="AE5" i="34"/>
  <c r="AF4" i="38"/>
  <c r="Q5" i="39"/>
  <c r="M3" i="31"/>
  <c r="T4" i="38"/>
  <c r="V3" i="37"/>
  <c r="AI6" i="39"/>
  <c r="AJ4" i="31"/>
  <c r="M5" i="34"/>
  <c r="W6" i="39"/>
  <c r="AC6" i="39"/>
  <c r="AD4" i="32"/>
  <c r="AD7" i="32" s="1"/>
  <c r="AK4" i="37"/>
  <c r="AL4" i="38"/>
  <c r="P4" i="38"/>
  <c r="O3" i="31"/>
  <c r="V3" i="33"/>
  <c r="V6" i="33" s="1"/>
  <c r="U5" i="38"/>
  <c r="W3" i="39"/>
  <c r="Z4" i="34"/>
  <c r="AA5" i="38"/>
  <c r="AB3" i="33"/>
  <c r="AB6" i="33" s="1"/>
  <c r="AD9" i="24"/>
  <c r="V5" i="37"/>
  <c r="Y3" i="24"/>
  <c r="S3" i="33"/>
  <c r="S6" i="33" s="1"/>
  <c r="T6" i="34"/>
  <c r="W5" i="31"/>
  <c r="M3" i="33"/>
  <c r="M6" i="33" s="1"/>
  <c r="R4" i="39"/>
  <c r="S6" i="37"/>
  <c r="U3" i="36"/>
  <c r="V4" i="36"/>
  <c r="X4" i="39"/>
  <c r="Z6" i="31"/>
  <c r="Z6" i="34"/>
  <c r="AE3" i="24"/>
  <c r="T3" i="39"/>
  <c r="T5" i="31"/>
  <c r="AB5" i="37"/>
  <c r="P5" i="37"/>
  <c r="T4" i="34"/>
  <c r="X9" i="24"/>
  <c r="AC3" i="39"/>
  <c r="N3" i="38"/>
  <c r="Q4" i="31"/>
  <c r="L4" i="31"/>
  <c r="O4" i="32"/>
  <c r="O7" i="32" s="1"/>
  <c r="T3" i="35"/>
  <c r="T6" i="35" s="1"/>
  <c r="K4" i="31"/>
  <c r="N3" i="35"/>
  <c r="N6" i="35" s="1"/>
  <c r="J6" i="39"/>
  <c r="O3" i="37"/>
  <c r="P6" i="39"/>
  <c r="L3" i="37"/>
  <c r="O5" i="34"/>
  <c r="Q4" i="32"/>
  <c r="Q7" i="32" s="1"/>
  <c r="Q6" i="37"/>
  <c r="M6" i="39"/>
  <c r="S6" i="39"/>
  <c r="T4" i="31"/>
  <c r="U3" i="31"/>
  <c r="M4" i="38"/>
  <c r="N4" i="31"/>
  <c r="O6" i="31"/>
  <c r="R3" i="37"/>
  <c r="T3" i="38"/>
  <c r="U6" i="31"/>
  <c r="K4" i="32"/>
  <c r="N5" i="30"/>
  <c r="O4" i="37"/>
  <c r="P5" i="39"/>
  <c r="W3" i="36"/>
  <c r="AJ4" i="36"/>
  <c r="M3" i="35"/>
  <c r="M6" i="35" s="1"/>
  <c r="P4" i="32"/>
  <c r="P7" i="32" s="1"/>
  <c r="M3" i="38"/>
  <c r="P6" i="37"/>
  <c r="V4" i="31"/>
  <c r="J4" i="31"/>
  <c r="P4" i="31"/>
  <c r="S3" i="35"/>
  <c r="S6" i="35" s="1"/>
  <c r="V3" i="38"/>
  <c r="Y3" i="35"/>
  <c r="Y6" i="35" s="1"/>
  <c r="Z3" i="37"/>
  <c r="J3" i="38"/>
  <c r="T3" i="37"/>
  <c r="T6" i="31"/>
  <c r="O6" i="39"/>
  <c r="K3" i="31"/>
  <c r="W4" i="37"/>
  <c r="J6" i="37"/>
  <c r="L4" i="38"/>
  <c r="M4" i="31"/>
  <c r="N4" i="32"/>
  <c r="N7" i="32" s="1"/>
  <c r="S4" i="31"/>
  <c r="M6" i="31"/>
  <c r="N5" i="39"/>
  <c r="M4" i="37"/>
  <c r="O4" i="31"/>
  <c r="O6" i="37"/>
  <c r="R4" i="32"/>
  <c r="R7" i="32" s="1"/>
  <c r="L3" i="38"/>
  <c r="L3" i="35"/>
  <c r="L6" i="35" s="1"/>
  <c r="Q4" i="38"/>
  <c r="M3" i="37"/>
  <c r="N4" i="38"/>
  <c r="N6" i="39"/>
  <c r="P6" i="31"/>
  <c r="L4" i="32"/>
  <c r="L7" i="32" s="1"/>
  <c r="O3" i="38"/>
  <c r="P3" i="37"/>
  <c r="P4" i="37"/>
  <c r="R4" i="31"/>
  <c r="K4" i="38"/>
  <c r="K5" i="39"/>
  <c r="K6" i="39"/>
  <c r="L6" i="31"/>
  <c r="J5" i="24"/>
  <c r="N3" i="33"/>
  <c r="N6" i="33" s="1"/>
  <c r="O3" i="39"/>
  <c r="O6" i="34"/>
  <c r="T3" i="33"/>
  <c r="T6" i="33" s="1"/>
  <c r="U3" i="30"/>
  <c r="U5" i="31"/>
  <c r="X4" i="34"/>
  <c r="J6" i="31"/>
  <c r="K6" i="24"/>
  <c r="J4" i="37"/>
  <c r="J5" i="34"/>
  <c r="J3" i="31"/>
  <c r="K4" i="24"/>
  <c r="L6" i="37"/>
  <c r="Q4" i="36"/>
  <c r="O5" i="31"/>
  <c r="P3" i="36"/>
  <c r="R4" i="34"/>
  <c r="L3" i="39"/>
  <c r="M4" i="39"/>
  <c r="R6" i="34"/>
  <c r="N4" i="36"/>
  <c r="K5" i="37"/>
  <c r="K6" i="37"/>
  <c r="L3" i="31"/>
  <c r="L4" i="34"/>
  <c r="P4" i="39"/>
  <c r="S3" i="36"/>
  <c r="L6" i="34"/>
  <c r="P5" i="38"/>
  <c r="K3" i="35"/>
  <c r="O4" i="34"/>
  <c r="K3" i="33"/>
  <c r="S5" i="38"/>
  <c r="Q3" i="33"/>
  <c r="Q6" i="33" s="1"/>
  <c r="O5" i="37"/>
  <c r="X3" i="33"/>
  <c r="X6" i="33" s="1"/>
  <c r="J5" i="39"/>
  <c r="Q3" i="30"/>
  <c r="N4" i="34"/>
  <c r="R9" i="24"/>
  <c r="L5" i="38"/>
  <c r="M3" i="24"/>
  <c r="L3" i="36"/>
  <c r="P3" i="33"/>
  <c r="P6" i="33" s="1"/>
  <c r="K4" i="34"/>
  <c r="L4" i="39"/>
  <c r="N3" i="30"/>
  <c r="O3" i="36"/>
  <c r="K3" i="39"/>
  <c r="M4" i="36"/>
  <c r="S4" i="36"/>
  <c r="J3" i="37"/>
  <c r="J4" i="36"/>
  <c r="J5" i="37"/>
  <c r="L5" i="24"/>
  <c r="M5" i="37"/>
  <c r="N6" i="34"/>
  <c r="S3" i="24"/>
  <c r="S5" i="37"/>
  <c r="Q5" i="31"/>
  <c r="J3" i="33"/>
  <c r="K5" i="31"/>
  <c r="Q3" i="39"/>
  <c r="K6" i="34"/>
  <c r="N3" i="39"/>
  <c r="O5" i="38"/>
  <c r="O4" i="39"/>
  <c r="P4" i="36"/>
  <c r="N5" i="31"/>
  <c r="J3" i="35"/>
  <c r="L6" i="39"/>
  <c r="N3" i="31"/>
  <c r="N5" i="34"/>
  <c r="S3" i="38"/>
  <c r="U5" i="39"/>
  <c r="O5" i="39"/>
  <c r="P3" i="35"/>
  <c r="P6" i="35" s="1"/>
  <c r="R4" i="24"/>
  <c r="R5" i="39"/>
  <c r="Q5" i="34"/>
  <c r="N3" i="37"/>
  <c r="N4" i="37"/>
  <c r="O4" i="38"/>
  <c r="W5" i="34"/>
  <c r="X4" i="38"/>
  <c r="X6" i="24"/>
  <c r="J5" i="30"/>
  <c r="K6" i="31"/>
  <c r="J4" i="32"/>
  <c r="Q4" i="37"/>
  <c r="L5" i="39"/>
  <c r="M4" i="32"/>
  <c r="M7" i="32" s="1"/>
  <c r="M6" i="37"/>
  <c r="N6" i="31"/>
  <c r="P3" i="38"/>
  <c r="R6" i="24"/>
  <c r="R6" i="39"/>
  <c r="S4" i="32"/>
  <c r="T3" i="31"/>
  <c r="U6" i="39"/>
  <c r="V4" i="32"/>
  <c r="V7" i="32" s="1"/>
  <c r="L3" i="33"/>
  <c r="L6" i="33" s="1"/>
  <c r="O3" i="33"/>
  <c r="O6" i="33" s="1"/>
  <c r="R4" i="36"/>
  <c r="S5" i="31"/>
  <c r="AE3" i="39"/>
  <c r="AK3" i="39"/>
  <c r="Q4" i="39"/>
  <c r="J3" i="39"/>
  <c r="L4" i="36"/>
  <c r="Y3" i="39"/>
  <c r="AB4" i="34"/>
  <c r="AC5" i="38"/>
  <c r="AD4" i="36"/>
  <c r="AD5" i="37"/>
  <c r="AF4" i="39"/>
  <c r="AJ3" i="33"/>
  <c r="AJ6" i="33" s="1"/>
  <c r="AL4" i="39"/>
  <c r="V4" i="34"/>
  <c r="W5" i="38"/>
  <c r="X4" i="36"/>
  <c r="X5" i="37"/>
  <c r="Z4" i="39"/>
  <c r="AE5" i="31"/>
  <c r="AK5" i="31"/>
  <c r="Q5" i="38"/>
  <c r="M6" i="34"/>
  <c r="P4" i="34"/>
  <c r="R5" i="37"/>
  <c r="Q3" i="36"/>
  <c r="L4" i="30"/>
  <c r="M5" i="31"/>
  <c r="S3" i="39"/>
  <c r="Y5" i="31"/>
  <c r="AB6" i="34"/>
  <c r="AJ5" i="37"/>
  <c r="K4" i="39"/>
  <c r="R3" i="33"/>
  <c r="R6" i="33" s="1"/>
  <c r="T4" i="39"/>
  <c r="V6" i="34"/>
  <c r="AC3" i="36"/>
  <c r="AD3" i="33"/>
  <c r="AD6" i="33" s="1"/>
  <c r="J4" i="38"/>
  <c r="J6" i="34"/>
  <c r="K3" i="38"/>
  <c r="L4" i="37"/>
  <c r="L5" i="34"/>
  <c r="M5" i="39"/>
  <c r="N6" i="37"/>
  <c r="H41" i="42"/>
  <c r="AM41" i="42" s="1"/>
  <c r="H41" i="44"/>
  <c r="AM41" i="44" s="1"/>
  <c r="H42" i="42"/>
  <c r="AM42" i="42" s="1"/>
  <c r="H42" i="44"/>
  <c r="AM42" i="44" s="1"/>
  <c r="H50" i="42"/>
  <c r="AM50" i="42" s="1"/>
  <c r="H50" i="44"/>
  <c r="AM50" i="44" s="1"/>
  <c r="J4" i="34"/>
  <c r="M3" i="39"/>
  <c r="M4" i="34"/>
  <c r="N4" i="39"/>
  <c r="P3" i="39"/>
  <c r="P6" i="34"/>
  <c r="H44" i="42"/>
  <c r="AM44" i="42" s="1"/>
  <c r="H44" i="44"/>
  <c r="AM44" i="44" s="1"/>
  <c r="H49" i="42"/>
  <c r="AM49" i="42" s="1"/>
  <c r="H49" i="44"/>
  <c r="AM49" i="44" s="1"/>
  <c r="H51" i="42"/>
  <c r="AM51" i="42" s="1"/>
  <c r="H51" i="44"/>
  <c r="AM51" i="44" s="1"/>
  <c r="L3" i="24"/>
  <c r="H38" i="42"/>
  <c r="H38" i="44"/>
  <c r="H45" i="42"/>
  <c r="AM45" i="42" s="1"/>
  <c r="H45" i="44"/>
  <c r="AM45" i="44" s="1"/>
  <c r="H52" i="42"/>
  <c r="AM52" i="42" s="1"/>
  <c r="H52" i="44"/>
  <c r="AM52" i="44" s="1"/>
  <c r="J5" i="31"/>
  <c r="K3" i="36"/>
  <c r="K5" i="38"/>
  <c r="K9" i="24"/>
  <c r="L5" i="37"/>
  <c r="H39" i="42"/>
  <c r="AM39" i="42" s="1"/>
  <c r="H39" i="44"/>
  <c r="AM39" i="44" s="1"/>
  <c r="H47" i="42"/>
  <c r="AM47" i="42" s="1"/>
  <c r="H47" i="44"/>
  <c r="AM47" i="44" s="1"/>
  <c r="H40" i="42"/>
  <c r="AM40" i="42" s="1"/>
  <c r="H40" i="44"/>
  <c r="AM40" i="44" s="1"/>
  <c r="H48" i="42"/>
  <c r="AM48" i="42" s="1"/>
  <c r="H48" i="44"/>
  <c r="AM48" i="44" s="1"/>
  <c r="N3" i="36"/>
  <c r="N5" i="38"/>
  <c r="O4" i="36"/>
  <c r="P5" i="31"/>
  <c r="K4" i="37"/>
  <c r="K5" i="34"/>
  <c r="AN4" i="11"/>
  <c r="I4" i="45"/>
  <c r="I4" i="30"/>
  <c r="AN15" i="11"/>
  <c r="I15" i="45"/>
  <c r="I4" i="36"/>
  <c r="AN21" i="11"/>
  <c r="I21" i="45"/>
  <c r="I3" i="33"/>
  <c r="AN27" i="11"/>
  <c r="I27" i="45"/>
  <c r="I5" i="37"/>
  <c r="AN33" i="11"/>
  <c r="I33" i="45"/>
  <c r="J23" i="45"/>
  <c r="M23" i="45"/>
  <c r="P23" i="45"/>
  <c r="S23" i="45"/>
  <c r="V23" i="45"/>
  <c r="Y23" i="45"/>
  <c r="AB23" i="45"/>
  <c r="AE23" i="45"/>
  <c r="AH23" i="45"/>
  <c r="AK23" i="45"/>
  <c r="J4" i="39"/>
  <c r="K4" i="36"/>
  <c r="M3" i="36"/>
  <c r="M5" i="38"/>
  <c r="N5" i="37"/>
  <c r="I3" i="38"/>
  <c r="AN5" i="11"/>
  <c r="I5" i="45"/>
  <c r="I4" i="32"/>
  <c r="AN10" i="11"/>
  <c r="I10" i="45"/>
  <c r="I4" i="31"/>
  <c r="AN16" i="11"/>
  <c r="I16" i="45"/>
  <c r="AN22" i="11"/>
  <c r="I22" i="45"/>
  <c r="I3" i="35"/>
  <c r="AN28" i="11"/>
  <c r="I28" i="45"/>
  <c r="AM28" i="45" s="1"/>
  <c r="I6" i="37"/>
  <c r="AN34" i="11"/>
  <c r="I34" i="45"/>
  <c r="J53" i="11"/>
  <c r="K3" i="45"/>
  <c r="M53" i="11"/>
  <c r="N3" i="45"/>
  <c r="P53" i="11"/>
  <c r="Q3" i="45"/>
  <c r="S53" i="11"/>
  <c r="T3" i="45"/>
  <c r="V53" i="11"/>
  <c r="W3" i="45"/>
  <c r="Y53" i="11"/>
  <c r="Z3" i="45"/>
  <c r="AB53" i="11"/>
  <c r="AC3" i="45"/>
  <c r="AE53" i="11"/>
  <c r="AF3" i="45"/>
  <c r="AH53" i="11"/>
  <c r="AI3" i="45"/>
  <c r="AK53" i="11"/>
  <c r="AL3" i="45"/>
  <c r="I3" i="30"/>
  <c r="AN6" i="11"/>
  <c r="I6" i="45"/>
  <c r="I3" i="39"/>
  <c r="AN11" i="11"/>
  <c r="I11" i="45"/>
  <c r="I5" i="31"/>
  <c r="AN17" i="11"/>
  <c r="I17" i="45"/>
  <c r="I3" i="34"/>
  <c r="AN23" i="11"/>
  <c r="I23" i="45"/>
  <c r="I4" i="34"/>
  <c r="AN29" i="11"/>
  <c r="I29" i="45"/>
  <c r="AS29" i="45" s="1"/>
  <c r="I6" i="34"/>
  <c r="AN35" i="11"/>
  <c r="I35" i="45"/>
  <c r="AM35" i="45" s="1"/>
  <c r="L23" i="45"/>
  <c r="O23" i="45"/>
  <c r="R23" i="45"/>
  <c r="U23" i="45"/>
  <c r="X23" i="45"/>
  <c r="AA23" i="45"/>
  <c r="AD23" i="45"/>
  <c r="AG23" i="45"/>
  <c r="AJ23" i="45"/>
  <c r="I3" i="37"/>
  <c r="AN7" i="11"/>
  <c r="I7" i="45"/>
  <c r="I3" i="31"/>
  <c r="AN12" i="11"/>
  <c r="I12" i="45"/>
  <c r="I6" i="31"/>
  <c r="AN18" i="11"/>
  <c r="I18" i="45"/>
  <c r="I4" i="37"/>
  <c r="AN24" i="11"/>
  <c r="I24" i="45"/>
  <c r="I5" i="34"/>
  <c r="AN30" i="11"/>
  <c r="I30" i="45"/>
  <c r="I53" i="11"/>
  <c r="J3" i="45"/>
  <c r="L53" i="11"/>
  <c r="M3" i="45"/>
  <c r="O53" i="11"/>
  <c r="P3" i="45"/>
  <c r="R53" i="11"/>
  <c r="S3" i="45"/>
  <c r="U53" i="11"/>
  <c r="V3" i="45"/>
  <c r="X53" i="11"/>
  <c r="Y3" i="45"/>
  <c r="AA53" i="11"/>
  <c r="AB3" i="45"/>
  <c r="AD53" i="11"/>
  <c r="AE3" i="45"/>
  <c r="AG53" i="11"/>
  <c r="AH3" i="45"/>
  <c r="AJ53" i="11"/>
  <c r="AK3" i="45"/>
  <c r="J3" i="36"/>
  <c r="J5" i="38"/>
  <c r="L5" i="31"/>
  <c r="I3" i="36"/>
  <c r="AN8" i="11"/>
  <c r="I8" i="45"/>
  <c r="I5" i="38"/>
  <c r="AN13" i="11"/>
  <c r="I13" i="45"/>
  <c r="AM13" i="45" s="1"/>
  <c r="I5" i="24"/>
  <c r="AN19" i="11"/>
  <c r="I19" i="45"/>
  <c r="I4" i="39"/>
  <c r="AN25" i="11"/>
  <c r="I25" i="45"/>
  <c r="I9" i="24"/>
  <c r="AN31" i="11"/>
  <c r="I31" i="45"/>
  <c r="K23" i="45"/>
  <c r="N23" i="45"/>
  <c r="Q23" i="45"/>
  <c r="T23" i="45"/>
  <c r="W23" i="45"/>
  <c r="Z23" i="45"/>
  <c r="AC23" i="45"/>
  <c r="AF23" i="45"/>
  <c r="AI23" i="45"/>
  <c r="AL23" i="45"/>
  <c r="H53" i="11"/>
  <c r="H54" i="11" s="1"/>
  <c r="AN3" i="11"/>
  <c r="I3" i="45"/>
  <c r="I4" i="38"/>
  <c r="AN9" i="11"/>
  <c r="I9" i="45"/>
  <c r="AN14" i="11"/>
  <c r="I14" i="45"/>
  <c r="AN20" i="11"/>
  <c r="I20" i="45"/>
  <c r="AS20" i="45" s="1"/>
  <c r="I5" i="39"/>
  <c r="AN26" i="11"/>
  <c r="I26" i="45"/>
  <c r="I6" i="39"/>
  <c r="AN32" i="11"/>
  <c r="I32" i="45"/>
  <c r="K53" i="11"/>
  <c r="L3" i="45"/>
  <c r="N53" i="11"/>
  <c r="O3" i="45"/>
  <c r="Q53" i="11"/>
  <c r="R3" i="45"/>
  <c r="T53" i="11"/>
  <c r="U3" i="45"/>
  <c r="W53" i="11"/>
  <c r="X3" i="45"/>
  <c r="Z53" i="11"/>
  <c r="AA3" i="45"/>
  <c r="AC53" i="11"/>
  <c r="AD3" i="45"/>
  <c r="AF53" i="11"/>
  <c r="AG3" i="45"/>
  <c r="AI53" i="11"/>
  <c r="AJ3" i="45"/>
  <c r="AK6" i="35"/>
  <c r="AS37" i="15"/>
  <c r="AS36" i="15"/>
  <c r="U4" i="32"/>
  <c r="U4" i="36"/>
  <c r="V3" i="39"/>
  <c r="V5" i="31"/>
  <c r="V3" i="35"/>
  <c r="V6" i="35" s="1"/>
  <c r="V6" i="37"/>
  <c r="W6" i="31"/>
  <c r="W3" i="34"/>
  <c r="W4" i="34"/>
  <c r="W6" i="34"/>
  <c r="X3" i="36"/>
  <c r="X5" i="38"/>
  <c r="X4" i="37"/>
  <c r="X5" i="34"/>
  <c r="Y3" i="32"/>
  <c r="Y4" i="38"/>
  <c r="Y4" i="39"/>
  <c r="Z5" i="39"/>
  <c r="Z6" i="39"/>
  <c r="AA3" i="38"/>
  <c r="AA4" i="32"/>
  <c r="AA4" i="31"/>
  <c r="AA4" i="36"/>
  <c r="AA3" i="33"/>
  <c r="AA6" i="33" s="1"/>
  <c r="AA5" i="37"/>
  <c r="AB3" i="39"/>
  <c r="AB5" i="31"/>
  <c r="AB3" i="35"/>
  <c r="AB6" i="35" s="1"/>
  <c r="AB6" i="37"/>
  <c r="AC3" i="37"/>
  <c r="AC3" i="31"/>
  <c r="AC6" i="31"/>
  <c r="AC3" i="34"/>
  <c r="AC4" i="34"/>
  <c r="AC6" i="34"/>
  <c r="AD3" i="36"/>
  <c r="AD5" i="38"/>
  <c r="AD4" i="37"/>
  <c r="AD5" i="34"/>
  <c r="AE3" i="32"/>
  <c r="AE4" i="38"/>
  <c r="AE4" i="39"/>
  <c r="AF5" i="39"/>
  <c r="AF6" i="39"/>
  <c r="AG3" i="38"/>
  <c r="AG4" i="32"/>
  <c r="AG4" i="31"/>
  <c r="AG4" i="36"/>
  <c r="AG3" i="33"/>
  <c r="AG6" i="33" s="1"/>
  <c r="AG5" i="37"/>
  <c r="AH3" i="39"/>
  <c r="AH5" i="31"/>
  <c r="AH3" i="35"/>
  <c r="AH6" i="35" s="1"/>
  <c r="AH6" i="37"/>
  <c r="AI3" i="37"/>
  <c r="AI3" i="31"/>
  <c r="AI6" i="31"/>
  <c r="AI3" i="34"/>
  <c r="AI4" i="34"/>
  <c r="AI6" i="34"/>
  <c r="AJ3" i="36"/>
  <c r="AJ5" i="38"/>
  <c r="AJ5" i="24"/>
  <c r="AJ4" i="37"/>
  <c r="AJ5" i="34"/>
  <c r="AJ7" i="34" s="1"/>
  <c r="AK3" i="32"/>
  <c r="AK4" i="38"/>
  <c r="AK4" i="39"/>
  <c r="AL5" i="39"/>
  <c r="AL6" i="39"/>
  <c r="U3" i="38"/>
  <c r="R5" i="38"/>
  <c r="R5" i="34"/>
  <c r="S3" i="32"/>
  <c r="S4" i="39"/>
  <c r="T6" i="39"/>
  <c r="U4" i="31"/>
  <c r="U5" i="37"/>
  <c r="W3" i="31"/>
  <c r="Q3" i="31"/>
  <c r="Q4" i="34"/>
  <c r="R3" i="36"/>
  <c r="R4" i="37"/>
  <c r="S4" i="38"/>
  <c r="T5" i="39"/>
  <c r="U3" i="33"/>
  <c r="U6" i="33" s="1"/>
  <c r="W3" i="37"/>
  <c r="Q3" i="37"/>
  <c r="Q6" i="31"/>
  <c r="Q3" i="34"/>
  <c r="Q6" i="34"/>
  <c r="R3" i="39"/>
  <c r="R5" i="31"/>
  <c r="R5" i="30"/>
  <c r="R3" i="35"/>
  <c r="R6" i="35" s="1"/>
  <c r="R6" i="37"/>
  <c r="S3" i="37"/>
  <c r="S3" i="31"/>
  <c r="S6" i="31"/>
  <c r="S3" i="34"/>
  <c r="S4" i="34"/>
  <c r="S6" i="34"/>
  <c r="AG3" i="30"/>
  <c r="AG3" i="39"/>
  <c r="AG5" i="31"/>
  <c r="AG3" i="35"/>
  <c r="AG6" i="35" s="1"/>
  <c r="AG6" i="37"/>
  <c r="AH3" i="37"/>
  <c r="AH3" i="31"/>
  <c r="AH6" i="31"/>
  <c r="AH3" i="34"/>
  <c r="AH4" i="34"/>
  <c r="AH6" i="34"/>
  <c r="AI3" i="36"/>
  <c r="AI5" i="38"/>
  <c r="AI4" i="37"/>
  <c r="AI5" i="34"/>
  <c r="AJ3" i="32"/>
  <c r="AJ4" i="38"/>
  <c r="AJ4" i="39"/>
  <c r="AK3" i="24"/>
  <c r="AK5" i="39"/>
  <c r="AK6" i="39"/>
  <c r="AL3" i="38"/>
  <c r="AL4" i="32"/>
  <c r="AL7" i="32" s="1"/>
  <c r="AL4" i="31"/>
  <c r="AL4" i="36"/>
  <c r="AL3" i="33"/>
  <c r="AL6" i="33" s="1"/>
  <c r="AL5" i="37"/>
  <c r="T3" i="36"/>
  <c r="T5" i="38"/>
  <c r="T4" i="37"/>
  <c r="T5" i="34"/>
  <c r="U3" i="32"/>
  <c r="U4" i="38"/>
  <c r="U4" i="39"/>
  <c r="V5" i="39"/>
  <c r="V6" i="39"/>
  <c r="W3" i="38"/>
  <c r="W4" i="32"/>
  <c r="W4" i="31"/>
  <c r="W4" i="36"/>
  <c r="W3" i="33"/>
  <c r="W6" i="33" s="1"/>
  <c r="W5" i="37"/>
  <c r="X3" i="39"/>
  <c r="X5" i="31"/>
  <c r="X5" i="30"/>
  <c r="X3" i="35"/>
  <c r="X6" i="35" s="1"/>
  <c r="X6" i="37"/>
  <c r="Y3" i="37"/>
  <c r="Y3" i="31"/>
  <c r="Y6" i="31"/>
  <c r="Y3" i="34"/>
  <c r="Y4" i="34"/>
  <c r="Y6" i="34"/>
  <c r="Z3" i="36"/>
  <c r="Z5" i="38"/>
  <c r="Z4" i="37"/>
  <c r="Z5" i="34"/>
  <c r="AA3" i="32"/>
  <c r="AA4" i="38"/>
  <c r="AA4" i="39"/>
  <c r="AB5" i="39"/>
  <c r="AB6" i="39"/>
  <c r="AC3" i="38"/>
  <c r="AC4" i="32"/>
  <c r="AC4" i="31"/>
  <c r="AC4" i="36"/>
  <c r="AC3" i="33"/>
  <c r="AC6" i="33" s="1"/>
  <c r="AC5" i="37"/>
  <c r="AD3" i="39"/>
  <c r="AD5" i="31"/>
  <c r="AD5" i="30"/>
  <c r="AD3" i="35"/>
  <c r="AD6" i="35" s="1"/>
  <c r="AD6" i="37"/>
  <c r="AE3" i="37"/>
  <c r="AE3" i="31"/>
  <c r="AE6" i="31"/>
  <c r="AE3" i="34"/>
  <c r="AE4" i="34"/>
  <c r="AE6" i="34"/>
  <c r="AF3" i="36"/>
  <c r="AF5" i="38"/>
  <c r="AF4" i="37"/>
  <c r="AF5" i="34"/>
  <c r="AG3" i="32"/>
  <c r="AG4" i="38"/>
  <c r="AG4" i="39"/>
  <c r="AH5" i="39"/>
  <c r="AH6" i="39"/>
  <c r="AI3" i="38"/>
  <c r="AI4" i="32"/>
  <c r="AI4" i="31"/>
  <c r="AI4" i="36"/>
  <c r="AI3" i="33"/>
  <c r="AI6" i="33" s="1"/>
  <c r="AI5" i="37"/>
  <c r="AJ3" i="39"/>
  <c r="AJ5" i="31"/>
  <c r="AJ5" i="30"/>
  <c r="AJ3" i="35"/>
  <c r="AJ6" i="35" s="1"/>
  <c r="AJ6" i="37"/>
  <c r="AK3" i="37"/>
  <c r="AK3" i="31"/>
  <c r="AK6" i="31"/>
  <c r="AK3" i="34"/>
  <c r="AK4" i="34"/>
  <c r="AK6" i="34"/>
  <c r="AL3" i="36"/>
  <c r="AL5" i="38"/>
  <c r="AL4" i="37"/>
  <c r="AL5" i="34"/>
  <c r="U3" i="34"/>
  <c r="U4" i="34"/>
  <c r="U6" i="34"/>
  <c r="V3" i="36"/>
  <c r="V5" i="38"/>
  <c r="V4" i="37"/>
  <c r="V5" i="34"/>
  <c r="W3" i="32"/>
  <c r="W4" i="38"/>
  <c r="W4" i="39"/>
  <c r="X5" i="39"/>
  <c r="X6" i="39"/>
  <c r="Y3" i="38"/>
  <c r="Y4" i="32"/>
  <c r="Y4" i="31"/>
  <c r="Y4" i="36"/>
  <c r="Y3" i="33"/>
  <c r="Y6" i="33" s="1"/>
  <c r="Y5" i="37"/>
  <c r="Z3" i="39"/>
  <c r="Z5" i="31"/>
  <c r="Z3" i="35"/>
  <c r="Z6" i="35" s="1"/>
  <c r="Z6" i="37"/>
  <c r="AA3" i="37"/>
  <c r="AA3" i="31"/>
  <c r="AA6" i="31"/>
  <c r="AA3" i="34"/>
  <c r="AA4" i="34"/>
  <c r="AA6" i="34"/>
  <c r="AB3" i="36"/>
  <c r="AB5" i="38"/>
  <c r="AB4" i="37"/>
  <c r="AB5" i="34"/>
  <c r="AC3" i="32"/>
  <c r="AC4" i="38"/>
  <c r="AC4" i="39"/>
  <c r="AD5" i="39"/>
  <c r="AD6" i="39"/>
  <c r="AE3" i="38"/>
  <c r="AE4" i="32"/>
  <c r="AE4" i="31"/>
  <c r="AE4" i="36"/>
  <c r="AE3" i="33"/>
  <c r="AE6" i="33" s="1"/>
  <c r="AE5" i="37"/>
  <c r="AF3" i="39"/>
  <c r="AF5" i="31"/>
  <c r="AF3" i="35"/>
  <c r="AF6" i="35" s="1"/>
  <c r="AF6" i="37"/>
  <c r="AG3" i="37"/>
  <c r="AG3" i="31"/>
  <c r="AG6" i="31"/>
  <c r="AG3" i="34"/>
  <c r="AG4" i="34"/>
  <c r="AG6" i="34"/>
  <c r="AH3" i="36"/>
  <c r="AH5" i="38"/>
  <c r="AH4" i="37"/>
  <c r="AH5" i="34"/>
  <c r="AI3" i="32"/>
  <c r="AI4" i="38"/>
  <c r="AI4" i="39"/>
  <c r="AJ5" i="39"/>
  <c r="AJ6" i="39"/>
  <c r="AK3" i="38"/>
  <c r="AK4" i="32"/>
  <c r="AK4" i="31"/>
  <c r="AK4" i="36"/>
  <c r="AK3" i="33"/>
  <c r="AK6" i="33" s="1"/>
  <c r="AK5" i="37"/>
  <c r="AL3" i="39"/>
  <c r="AL5" i="31"/>
  <c r="AL3" i="35"/>
  <c r="AL6" i="35" s="1"/>
  <c r="AL6" i="37"/>
  <c r="AH7" i="32"/>
  <c r="Q5" i="24"/>
  <c r="R5" i="24"/>
  <c r="X5" i="24"/>
  <c r="AB5" i="30"/>
  <c r="AD5" i="24"/>
  <c r="AH5" i="30"/>
  <c r="T5" i="30"/>
  <c r="Z5" i="30"/>
  <c r="AB5" i="24"/>
  <c r="AF5" i="30"/>
  <c r="AH5" i="24"/>
  <c r="AL5" i="30"/>
  <c r="AJ4" i="24"/>
  <c r="AJ6" i="24"/>
  <c r="AJ9" i="24"/>
  <c r="K4" i="30"/>
  <c r="K3" i="24"/>
  <c r="J4" i="30"/>
  <c r="J3" i="24"/>
  <c r="AB4" i="30"/>
  <c r="AH4" i="30"/>
  <c r="N3" i="24"/>
  <c r="W3" i="30"/>
  <c r="AC3" i="30"/>
  <c r="AI3" i="30"/>
  <c r="Q4" i="24"/>
  <c r="Q6" i="24"/>
  <c r="N4" i="24"/>
  <c r="N6" i="24"/>
  <c r="T4" i="24"/>
  <c r="T6" i="24"/>
  <c r="Z4" i="24"/>
  <c r="Z6" i="24"/>
  <c r="AF4" i="24"/>
  <c r="AF6" i="24"/>
  <c r="AL4" i="24"/>
  <c r="AL6" i="24"/>
  <c r="K3" i="30"/>
  <c r="X4" i="30"/>
  <c r="AD4" i="30"/>
  <c r="AJ4" i="30"/>
  <c r="R4" i="30"/>
  <c r="N4" i="30"/>
  <c r="M5" i="30"/>
  <c r="M5" i="24"/>
  <c r="J3" i="30"/>
  <c r="M4" i="30"/>
  <c r="J9" i="24"/>
  <c r="O9" i="24"/>
  <c r="U9" i="24"/>
  <c r="AA9" i="24"/>
  <c r="AG9" i="24"/>
  <c r="M9" i="24"/>
  <c r="L9" i="24"/>
  <c r="O5" i="24"/>
  <c r="S3" i="30"/>
  <c r="Y3" i="30"/>
  <c r="AE3" i="30"/>
  <c r="AK3" i="30"/>
  <c r="M3" i="30"/>
  <c r="O4" i="30"/>
  <c r="O5" i="30"/>
  <c r="AI9" i="24"/>
  <c r="Q9" i="24"/>
  <c r="L3" i="30"/>
  <c r="O4" i="24"/>
  <c r="O6" i="24"/>
  <c r="V6" i="24"/>
  <c r="W3" i="24"/>
  <c r="AB4" i="24"/>
  <c r="AB6" i="24"/>
  <c r="AC3" i="24"/>
  <c r="AH4" i="24"/>
  <c r="AI3" i="24"/>
  <c r="AC9" i="24"/>
  <c r="N5" i="24"/>
  <c r="V4" i="24"/>
  <c r="AB9" i="24"/>
  <c r="AH6" i="24"/>
  <c r="AH9" i="24"/>
  <c r="Q3" i="24"/>
  <c r="K5" i="30"/>
  <c r="N9" i="24"/>
  <c r="T5" i="24"/>
  <c r="Z5" i="24"/>
  <c r="AF5" i="24"/>
  <c r="AL5" i="24"/>
  <c r="M4" i="24"/>
  <c r="M6" i="24"/>
  <c r="AG3" i="24"/>
  <c r="AL9" i="24"/>
  <c r="J4" i="24"/>
  <c r="J6" i="24"/>
  <c r="W9" i="24"/>
  <c r="T9" i="24"/>
  <c r="Z9" i="24"/>
  <c r="AF9" i="24"/>
  <c r="Q5" i="30"/>
  <c r="K5" i="24"/>
  <c r="L4" i="24"/>
  <c r="L6" i="24"/>
  <c r="O3" i="30"/>
  <c r="S9" i="24"/>
  <c r="T4" i="30"/>
  <c r="Y9" i="24"/>
  <c r="Z4" i="30"/>
  <c r="AE9" i="24"/>
  <c r="AF4" i="30"/>
  <c r="AK9" i="24"/>
  <c r="AL4" i="30"/>
  <c r="I22" i="15"/>
  <c r="I5" i="30"/>
  <c r="I7" i="15"/>
  <c r="I14" i="15"/>
  <c r="I4" i="24"/>
  <c r="I20" i="15"/>
  <c r="I6" i="24"/>
  <c r="I21" i="15"/>
  <c r="I23" i="15"/>
  <c r="I28" i="15"/>
  <c r="I32" i="15"/>
  <c r="R3" i="24"/>
  <c r="S4" i="30"/>
  <c r="S5" i="24"/>
  <c r="S5" i="30"/>
  <c r="T3" i="24"/>
  <c r="U4" i="30"/>
  <c r="U5" i="24"/>
  <c r="U5" i="30"/>
  <c r="V3" i="24"/>
  <c r="W4" i="30"/>
  <c r="W5" i="24"/>
  <c r="W5" i="30"/>
  <c r="X3" i="24"/>
  <c r="Y4" i="30"/>
  <c r="Y5" i="24"/>
  <c r="Y5" i="30"/>
  <c r="Z3" i="24"/>
  <c r="I27" i="15"/>
  <c r="AA4" i="30"/>
  <c r="AA5" i="24"/>
  <c r="AA5" i="30"/>
  <c r="AB3" i="24"/>
  <c r="AC4" i="30"/>
  <c r="AC5" i="24"/>
  <c r="AC5" i="30"/>
  <c r="AD3" i="24"/>
  <c r="AE4" i="30"/>
  <c r="AE5" i="24"/>
  <c r="AE5" i="30"/>
  <c r="AF3" i="24"/>
  <c r="AG4" i="30"/>
  <c r="AG5" i="24"/>
  <c r="AG5" i="30"/>
  <c r="AH3" i="24"/>
  <c r="AI4" i="30"/>
  <c r="AI5" i="24"/>
  <c r="AI5" i="30"/>
  <c r="AJ3" i="24"/>
  <c r="AK4" i="30"/>
  <c r="AK5" i="24"/>
  <c r="AK5" i="30"/>
  <c r="AL3" i="24"/>
  <c r="I4" i="15"/>
  <c r="I3" i="24"/>
  <c r="R3" i="30"/>
  <c r="S4" i="24"/>
  <c r="S6" i="24"/>
  <c r="T3" i="30"/>
  <c r="U4" i="24"/>
  <c r="U6" i="24"/>
  <c r="W4" i="24"/>
  <c r="W6" i="24"/>
  <c r="X3" i="30"/>
  <c r="Y4" i="24"/>
  <c r="Y6" i="24"/>
  <c r="Z3" i="30"/>
  <c r="AA4" i="24"/>
  <c r="AA6" i="24"/>
  <c r="AC4" i="24"/>
  <c r="AC6" i="24"/>
  <c r="AD3" i="30"/>
  <c r="AE4" i="24"/>
  <c r="AE6" i="24"/>
  <c r="AF3" i="30"/>
  <c r="AG4" i="24"/>
  <c r="AG6" i="24"/>
  <c r="AI4" i="24"/>
  <c r="AI6" i="24"/>
  <c r="AJ3" i="30"/>
  <c r="AK4" i="24"/>
  <c r="AK6" i="24"/>
  <c r="AL3" i="30"/>
  <c r="I5" i="15"/>
  <c r="O13" i="14"/>
  <c r="O19" i="14"/>
  <c r="P5" i="24"/>
  <c r="O27" i="14"/>
  <c r="Q4" i="30"/>
  <c r="O4" i="14"/>
  <c r="P3" i="24"/>
  <c r="O11" i="14"/>
  <c r="O24" i="14"/>
  <c r="O30" i="14"/>
  <c r="O34" i="14"/>
  <c r="T4" i="14"/>
  <c r="U3" i="24"/>
  <c r="U8" i="14"/>
  <c r="U13" i="14"/>
  <c r="U15" i="14"/>
  <c r="V4" i="30"/>
  <c r="U19" i="14"/>
  <c r="V5" i="24"/>
  <c r="U22" i="14"/>
  <c r="V5" i="30"/>
  <c r="U27" i="14"/>
  <c r="U32" i="14"/>
  <c r="Z4" i="14"/>
  <c r="AA3" i="24"/>
  <c r="AA8" i="14"/>
  <c r="AA9" i="14"/>
  <c r="N4" i="14"/>
  <c r="O3" i="24"/>
  <c r="O32" i="14"/>
  <c r="O6" i="14"/>
  <c r="P3" i="30"/>
  <c r="O10" i="14"/>
  <c r="O17" i="14"/>
  <c r="O25" i="14"/>
  <c r="O35" i="14"/>
  <c r="O22" i="14"/>
  <c r="P5" i="30"/>
  <c r="O3" i="14"/>
  <c r="O5" i="14"/>
  <c r="O12" i="14"/>
  <c r="O18" i="14"/>
  <c r="O26" i="14"/>
  <c r="O31" i="14"/>
  <c r="P9" i="24"/>
  <c r="O9" i="14"/>
  <c r="O7" i="14"/>
  <c r="O14" i="14"/>
  <c r="P4" i="24"/>
  <c r="O20" i="14"/>
  <c r="P6" i="24"/>
  <c r="O21" i="14"/>
  <c r="O23" i="14"/>
  <c r="O28" i="14"/>
  <c r="R7" i="14"/>
  <c r="U6" i="14"/>
  <c r="V3" i="30"/>
  <c r="U10" i="14"/>
  <c r="U17" i="14"/>
  <c r="U25" i="14"/>
  <c r="U35" i="14"/>
  <c r="AA6" i="14"/>
  <c r="AB3" i="30"/>
  <c r="AA10" i="14"/>
  <c r="AA17" i="14"/>
  <c r="AA25" i="14"/>
  <c r="AA35" i="14"/>
  <c r="AF7" i="14"/>
  <c r="AG6" i="14"/>
  <c r="AH3" i="30"/>
  <c r="AG10" i="14"/>
  <c r="AG17" i="14"/>
  <c r="AG25" i="14"/>
  <c r="AG35" i="14"/>
  <c r="O8" i="14"/>
  <c r="O15" i="14"/>
  <c r="P4" i="30"/>
  <c r="N3" i="14"/>
  <c r="O16" i="14"/>
  <c r="O29" i="14"/>
  <c r="O33" i="14"/>
  <c r="U3" i="14"/>
  <c r="U12" i="14"/>
  <c r="U18" i="14"/>
  <c r="U26" i="14"/>
  <c r="U31" i="14"/>
  <c r="V9" i="24"/>
  <c r="AA3" i="14"/>
  <c r="AM37" i="15"/>
  <c r="AM36" i="15"/>
  <c r="U7" i="14"/>
  <c r="U14" i="14"/>
  <c r="U20" i="14"/>
  <c r="U21" i="14"/>
  <c r="U23" i="14"/>
  <c r="U28" i="14"/>
  <c r="AA7" i="14"/>
  <c r="AA14" i="14"/>
  <c r="AA20" i="14"/>
  <c r="AA21" i="14"/>
  <c r="AA23" i="14"/>
  <c r="AA28" i="14"/>
  <c r="AF6" i="14"/>
  <c r="AG7" i="14"/>
  <c r="AG14" i="14"/>
  <c r="AG20" i="14"/>
  <c r="AG21" i="14"/>
  <c r="AG23" i="14"/>
  <c r="AG28" i="14"/>
  <c r="U4" i="14"/>
  <c r="U11" i="14"/>
  <c r="U24" i="14"/>
  <c r="U30" i="14"/>
  <c r="U34" i="14"/>
  <c r="AA4" i="14"/>
  <c r="AA11" i="14"/>
  <c r="AA24" i="14"/>
  <c r="AA30" i="14"/>
  <c r="AA34" i="14"/>
  <c r="AF8" i="14"/>
  <c r="AF9" i="14"/>
  <c r="AF13" i="14"/>
  <c r="AF15" i="14"/>
  <c r="AG4" i="14"/>
  <c r="AG11" i="14"/>
  <c r="AG24" i="14"/>
  <c r="AG30" i="14"/>
  <c r="AG34" i="14"/>
  <c r="T3" i="14"/>
  <c r="U16" i="14"/>
  <c r="U29" i="14"/>
  <c r="U33" i="14"/>
  <c r="Z3" i="14"/>
  <c r="AA16" i="14"/>
  <c r="AA29" i="14"/>
  <c r="AA33" i="14"/>
  <c r="AF3" i="14"/>
  <c r="AF5" i="14"/>
  <c r="AG16" i="14"/>
  <c r="AG29" i="14"/>
  <c r="AG33" i="14"/>
  <c r="AL16" i="11"/>
  <c r="H16" i="14"/>
  <c r="AL29" i="11"/>
  <c r="H29" i="14"/>
  <c r="I29" i="15"/>
  <c r="AL33" i="11"/>
  <c r="H33" i="14"/>
  <c r="I33" i="15"/>
  <c r="AL4" i="11"/>
  <c r="H4" i="14"/>
  <c r="AL11" i="11"/>
  <c r="H11" i="14"/>
  <c r="I11" i="15"/>
  <c r="AL24" i="11"/>
  <c r="H24" i="14"/>
  <c r="I24" i="15"/>
  <c r="AL30" i="11"/>
  <c r="H30" i="14"/>
  <c r="I30" i="15"/>
  <c r="AL34" i="11"/>
  <c r="H34" i="14"/>
  <c r="I34" i="15"/>
  <c r="I16" i="15"/>
  <c r="AL6" i="11"/>
  <c r="H6" i="14"/>
  <c r="AL10" i="11"/>
  <c r="H10" i="14"/>
  <c r="AL17" i="11"/>
  <c r="H17" i="14"/>
  <c r="AL25" i="11"/>
  <c r="H25" i="14"/>
  <c r="AL35" i="11"/>
  <c r="H35" i="14"/>
  <c r="I10" i="15"/>
  <c r="AA12" i="14"/>
  <c r="AA18" i="14"/>
  <c r="AA26" i="14"/>
  <c r="AA31" i="14"/>
  <c r="AG3" i="14"/>
  <c r="AG12" i="14"/>
  <c r="AG18" i="14"/>
  <c r="AG26" i="14"/>
  <c r="AG31" i="14"/>
  <c r="AL3" i="11"/>
  <c r="H5" i="14"/>
  <c r="AL5" i="11"/>
  <c r="H12" i="14"/>
  <c r="AL12" i="11"/>
  <c r="H18" i="14"/>
  <c r="AL18" i="11"/>
  <c r="H26" i="14"/>
  <c r="AL26" i="11"/>
  <c r="H31" i="14"/>
  <c r="AL31" i="11"/>
  <c r="I6" i="15"/>
  <c r="I17" i="15"/>
  <c r="AA13" i="14"/>
  <c r="AA15" i="14"/>
  <c r="AA19" i="14"/>
  <c r="AA22" i="14"/>
  <c r="AA27" i="14"/>
  <c r="AA32" i="14"/>
  <c r="AF4" i="14"/>
  <c r="AG8" i="14"/>
  <c r="AG9" i="14"/>
  <c r="AG13" i="14"/>
  <c r="AG15" i="14"/>
  <c r="AG19" i="14"/>
  <c r="AG22" i="14"/>
  <c r="AG27" i="14"/>
  <c r="AG32" i="14"/>
  <c r="AL8" i="11"/>
  <c r="H8" i="14"/>
  <c r="AL9" i="11"/>
  <c r="H9" i="14"/>
  <c r="AL13" i="11"/>
  <c r="H13" i="14"/>
  <c r="AL15" i="11"/>
  <c r="H15" i="14"/>
  <c r="AL19" i="11"/>
  <c r="H19" i="14"/>
  <c r="AL22" i="11"/>
  <c r="H22" i="14"/>
  <c r="AL27" i="11"/>
  <c r="H27" i="14"/>
  <c r="H32" i="14"/>
  <c r="AL32" i="11"/>
  <c r="I9" i="15"/>
  <c r="I12" i="15"/>
  <c r="I18" i="15"/>
  <c r="I25" i="15"/>
  <c r="I35" i="15"/>
  <c r="H7" i="14"/>
  <c r="AL7" i="11"/>
  <c r="H14" i="14"/>
  <c r="AL14" i="11"/>
  <c r="H20" i="14"/>
  <c r="AL20" i="11"/>
  <c r="H21" i="14"/>
  <c r="AL21" i="11"/>
  <c r="H23" i="14"/>
  <c r="AL23" i="11"/>
  <c r="H28" i="14"/>
  <c r="AL28" i="11"/>
  <c r="I8" i="15"/>
  <c r="I13" i="15"/>
  <c r="I15" i="15"/>
  <c r="I19" i="15"/>
  <c r="I26" i="15"/>
  <c r="I31" i="15"/>
  <c r="P7" i="14"/>
  <c r="Q7" i="15"/>
  <c r="P14" i="14"/>
  <c r="Q14" i="15"/>
  <c r="P20" i="14"/>
  <c r="Q20" i="15"/>
  <c r="P21" i="14"/>
  <c r="Q21" i="15"/>
  <c r="P23" i="14"/>
  <c r="Q23" i="15"/>
  <c r="P28" i="14"/>
  <c r="Q28" i="15"/>
  <c r="I6" i="14"/>
  <c r="J6" i="15"/>
  <c r="I10" i="14"/>
  <c r="J10" i="15"/>
  <c r="I17" i="14"/>
  <c r="J17" i="15"/>
  <c r="I25" i="14"/>
  <c r="J25" i="15"/>
  <c r="I35" i="14"/>
  <c r="J35" i="15"/>
  <c r="J7" i="14"/>
  <c r="K7" i="15"/>
  <c r="J14" i="14"/>
  <c r="K14" i="15"/>
  <c r="J20" i="14"/>
  <c r="K20" i="15"/>
  <c r="J21" i="14"/>
  <c r="K21" i="15"/>
  <c r="J23" i="14"/>
  <c r="K23" i="15"/>
  <c r="J28" i="14"/>
  <c r="K28" i="15"/>
  <c r="K6" i="14"/>
  <c r="L6" i="15"/>
  <c r="K10" i="14"/>
  <c r="L10" i="15"/>
  <c r="K17" i="14"/>
  <c r="L17" i="15"/>
  <c r="K25" i="14"/>
  <c r="L25" i="15"/>
  <c r="K35" i="14"/>
  <c r="L35" i="15"/>
  <c r="L7" i="14"/>
  <c r="M7" i="15"/>
  <c r="L14" i="14"/>
  <c r="M14" i="15"/>
  <c r="L20" i="14"/>
  <c r="M20" i="15"/>
  <c r="L21" i="14"/>
  <c r="M21" i="15"/>
  <c r="L23" i="14"/>
  <c r="M23" i="15"/>
  <c r="L28" i="14"/>
  <c r="M28" i="15"/>
  <c r="M6" i="14"/>
  <c r="N6" i="15"/>
  <c r="P16" i="14"/>
  <c r="Q16" i="15"/>
  <c r="P33" i="14"/>
  <c r="Q33" i="15"/>
  <c r="I12" i="14"/>
  <c r="J12" i="15"/>
  <c r="I18" i="14"/>
  <c r="J18" i="15"/>
  <c r="I26" i="14"/>
  <c r="J26" i="15"/>
  <c r="I31" i="14"/>
  <c r="J31" i="15"/>
  <c r="J16" i="14"/>
  <c r="K16" i="15"/>
  <c r="J29" i="14"/>
  <c r="K29" i="15"/>
  <c r="J33" i="14"/>
  <c r="K33" i="15"/>
  <c r="K3" i="14"/>
  <c r="L3" i="15"/>
  <c r="K5" i="14"/>
  <c r="L5" i="15"/>
  <c r="K12" i="14"/>
  <c r="L12" i="15"/>
  <c r="K18" i="14"/>
  <c r="L18" i="15"/>
  <c r="K26" i="14"/>
  <c r="L26" i="15"/>
  <c r="K31" i="14"/>
  <c r="L31" i="15"/>
  <c r="L16" i="14"/>
  <c r="M16" i="15"/>
  <c r="L29" i="14"/>
  <c r="M29" i="15"/>
  <c r="L33" i="14"/>
  <c r="M33" i="15"/>
  <c r="M3" i="14"/>
  <c r="N3" i="15"/>
  <c r="M5" i="14"/>
  <c r="N5" i="15"/>
  <c r="P29" i="14"/>
  <c r="Q29" i="15"/>
  <c r="I5" i="14"/>
  <c r="J5" i="15"/>
  <c r="P11" i="14"/>
  <c r="Q11" i="15"/>
  <c r="P24" i="14"/>
  <c r="Q24" i="15"/>
  <c r="P34" i="14"/>
  <c r="Q34" i="15"/>
  <c r="I9" i="14"/>
  <c r="J9" i="15"/>
  <c r="I15" i="14"/>
  <c r="J15" i="15"/>
  <c r="I19" i="14"/>
  <c r="J19" i="15"/>
  <c r="I32" i="14"/>
  <c r="J32" i="15"/>
  <c r="J4" i="14"/>
  <c r="K4" i="15"/>
  <c r="J11" i="14"/>
  <c r="K11" i="15"/>
  <c r="J24" i="14"/>
  <c r="K24" i="15"/>
  <c r="J30" i="14"/>
  <c r="K30" i="15"/>
  <c r="J34" i="14"/>
  <c r="K34" i="15"/>
  <c r="K8" i="14"/>
  <c r="L8" i="15"/>
  <c r="K9" i="14"/>
  <c r="L9" i="15"/>
  <c r="K13" i="14"/>
  <c r="L13" i="15"/>
  <c r="K15" i="14"/>
  <c r="L15" i="15"/>
  <c r="K19" i="14"/>
  <c r="L19" i="15"/>
  <c r="K22" i="14"/>
  <c r="L22" i="15"/>
  <c r="K27" i="14"/>
  <c r="L27" i="15"/>
  <c r="K32" i="14"/>
  <c r="L32" i="15"/>
  <c r="L4" i="14"/>
  <c r="M4" i="15"/>
  <c r="P4" i="14"/>
  <c r="Q4" i="15"/>
  <c r="P30" i="14"/>
  <c r="Q30" i="15"/>
  <c r="I8" i="14"/>
  <c r="J8" i="15"/>
  <c r="I13" i="14"/>
  <c r="J13" i="15"/>
  <c r="I22" i="14"/>
  <c r="J22" i="15"/>
  <c r="I27" i="14"/>
  <c r="J27" i="15"/>
  <c r="P6" i="14"/>
  <c r="Q6" i="15"/>
  <c r="P10" i="14"/>
  <c r="Q10" i="15"/>
  <c r="P17" i="14"/>
  <c r="Q17" i="15"/>
  <c r="P25" i="14"/>
  <c r="Q25" i="15"/>
  <c r="P35" i="14"/>
  <c r="Q35" i="15"/>
  <c r="I7" i="14"/>
  <c r="J7" i="15"/>
  <c r="I14" i="14"/>
  <c r="J14" i="15"/>
  <c r="I20" i="14"/>
  <c r="J20" i="15"/>
  <c r="I21" i="14"/>
  <c r="J21" i="15"/>
  <c r="I23" i="14"/>
  <c r="J23" i="15"/>
  <c r="I28" i="14"/>
  <c r="J28" i="15"/>
  <c r="J6" i="14"/>
  <c r="K6" i="15"/>
  <c r="J10" i="14"/>
  <c r="K10" i="15"/>
  <c r="J17" i="14"/>
  <c r="K17" i="15"/>
  <c r="J25" i="14"/>
  <c r="K25" i="15"/>
  <c r="J35" i="14"/>
  <c r="K35" i="15"/>
  <c r="K7" i="14"/>
  <c r="L7" i="15"/>
  <c r="K14" i="14"/>
  <c r="L14" i="15"/>
  <c r="K20" i="14"/>
  <c r="L20" i="15"/>
  <c r="K21" i="14"/>
  <c r="L21" i="15"/>
  <c r="K23" i="14"/>
  <c r="L23" i="15"/>
  <c r="K28" i="14"/>
  <c r="L28" i="15"/>
  <c r="L6" i="14"/>
  <c r="M6" i="15"/>
  <c r="P3" i="14"/>
  <c r="Q3" i="15"/>
  <c r="P5" i="14"/>
  <c r="Q5" i="15"/>
  <c r="P12" i="14"/>
  <c r="Q12" i="15"/>
  <c r="P18" i="14"/>
  <c r="Q18" i="15"/>
  <c r="P26" i="14"/>
  <c r="Q26" i="15"/>
  <c r="P31" i="14"/>
  <c r="Q31" i="15"/>
  <c r="I16" i="14"/>
  <c r="J16" i="15"/>
  <c r="I29" i="14"/>
  <c r="J29" i="15"/>
  <c r="I33" i="14"/>
  <c r="J33" i="15"/>
  <c r="J5" i="14"/>
  <c r="K5" i="15"/>
  <c r="J12" i="14"/>
  <c r="K12" i="15"/>
  <c r="J18" i="14"/>
  <c r="K18" i="15"/>
  <c r="J26" i="14"/>
  <c r="K26" i="15"/>
  <c r="J31" i="14"/>
  <c r="K31" i="15"/>
  <c r="K16" i="14"/>
  <c r="L16" i="15"/>
  <c r="K29" i="14"/>
  <c r="L29" i="15"/>
  <c r="K33" i="14"/>
  <c r="L33" i="15"/>
  <c r="L3" i="14"/>
  <c r="M3" i="15"/>
  <c r="L5" i="14"/>
  <c r="M5" i="15"/>
  <c r="P8" i="14"/>
  <c r="Q8" i="15"/>
  <c r="P9" i="14"/>
  <c r="Q9" i="15"/>
  <c r="P13" i="14"/>
  <c r="Q13" i="15"/>
  <c r="P15" i="14"/>
  <c r="Q15" i="15"/>
  <c r="P19" i="14"/>
  <c r="Q19" i="15"/>
  <c r="P22" i="14"/>
  <c r="Q22" i="15"/>
  <c r="P27" i="14"/>
  <c r="Q27" i="15"/>
  <c r="P32" i="14"/>
  <c r="Q32" i="15"/>
  <c r="I4" i="14"/>
  <c r="J4" i="15"/>
  <c r="I11" i="14"/>
  <c r="J11" i="15"/>
  <c r="I24" i="14"/>
  <c r="J24" i="15"/>
  <c r="I30" i="14"/>
  <c r="J30" i="15"/>
  <c r="I34" i="14"/>
  <c r="J34" i="15"/>
  <c r="J8" i="14"/>
  <c r="K8" i="15"/>
  <c r="J9" i="14"/>
  <c r="K9" i="15"/>
  <c r="J13" i="14"/>
  <c r="K13" i="15"/>
  <c r="J15" i="14"/>
  <c r="K15" i="15"/>
  <c r="J19" i="14"/>
  <c r="K19" i="15"/>
  <c r="J22" i="14"/>
  <c r="K22" i="15"/>
  <c r="J27" i="14"/>
  <c r="K27" i="15"/>
  <c r="J32" i="14"/>
  <c r="K32" i="15"/>
  <c r="K4" i="14"/>
  <c r="L4" i="15"/>
  <c r="K11" i="14"/>
  <c r="L11" i="15"/>
  <c r="K24" i="14"/>
  <c r="L24" i="15"/>
  <c r="K30" i="14"/>
  <c r="L30" i="15"/>
  <c r="K34" i="14"/>
  <c r="L34" i="15"/>
  <c r="L8" i="14"/>
  <c r="M8" i="15"/>
  <c r="L9" i="14"/>
  <c r="M9" i="15"/>
  <c r="L13" i="14"/>
  <c r="M13" i="15"/>
  <c r="L15" i="14"/>
  <c r="M15" i="15"/>
  <c r="L19" i="14"/>
  <c r="M19" i="15"/>
  <c r="L22" i="14"/>
  <c r="M22" i="15"/>
  <c r="M10" i="14"/>
  <c r="N10" i="15"/>
  <c r="M17" i="14"/>
  <c r="N17" i="15"/>
  <c r="M25" i="14"/>
  <c r="N25" i="15"/>
  <c r="M35" i="14"/>
  <c r="N35" i="15"/>
  <c r="N7" i="14"/>
  <c r="O7" i="15"/>
  <c r="N14" i="14"/>
  <c r="O14" i="15"/>
  <c r="N20" i="14"/>
  <c r="O20" i="15"/>
  <c r="N21" i="14"/>
  <c r="O21" i="15"/>
  <c r="N23" i="14"/>
  <c r="O23" i="15"/>
  <c r="N28" i="14"/>
  <c r="O28" i="15"/>
  <c r="Q7" i="14"/>
  <c r="R7" i="15"/>
  <c r="Q14" i="14"/>
  <c r="R14" i="15"/>
  <c r="Q20" i="14"/>
  <c r="R20" i="15"/>
  <c r="Q21" i="14"/>
  <c r="R21" i="15"/>
  <c r="Q23" i="14"/>
  <c r="R23" i="15"/>
  <c r="Q28" i="14"/>
  <c r="R28" i="15"/>
  <c r="R6" i="14"/>
  <c r="S6" i="15"/>
  <c r="R10" i="14"/>
  <c r="S10" i="15"/>
  <c r="R17" i="14"/>
  <c r="S17" i="15"/>
  <c r="R25" i="14"/>
  <c r="S25" i="15"/>
  <c r="R35" i="14"/>
  <c r="S35" i="15"/>
  <c r="S7" i="14"/>
  <c r="T7" i="15"/>
  <c r="S14" i="14"/>
  <c r="T14" i="15"/>
  <c r="S20" i="14"/>
  <c r="T20" i="15"/>
  <c r="S21" i="14"/>
  <c r="T21" i="15"/>
  <c r="S23" i="14"/>
  <c r="T23" i="15"/>
  <c r="S28" i="14"/>
  <c r="T28" i="15"/>
  <c r="T6" i="14"/>
  <c r="U6" i="15"/>
  <c r="T10" i="14"/>
  <c r="U10" i="15"/>
  <c r="T17" i="14"/>
  <c r="U17" i="15"/>
  <c r="T25" i="14"/>
  <c r="U25" i="15"/>
  <c r="T35" i="14"/>
  <c r="U35" i="15"/>
  <c r="V6" i="14"/>
  <c r="W6" i="15"/>
  <c r="V10" i="14"/>
  <c r="W10" i="15"/>
  <c r="V17" i="14"/>
  <c r="W17" i="15"/>
  <c r="V25" i="14"/>
  <c r="W25" i="15"/>
  <c r="V35" i="14"/>
  <c r="W35" i="15"/>
  <c r="W7" i="14"/>
  <c r="X7" i="15"/>
  <c r="W14" i="14"/>
  <c r="X14" i="15"/>
  <c r="W20" i="14"/>
  <c r="X20" i="15"/>
  <c r="W21" i="14"/>
  <c r="X21" i="15"/>
  <c r="W23" i="14"/>
  <c r="X23" i="15"/>
  <c r="W28" i="14"/>
  <c r="X28" i="15"/>
  <c r="X6" i="14"/>
  <c r="Y6" i="15"/>
  <c r="X10" i="14"/>
  <c r="Y10" i="15"/>
  <c r="X17" i="14"/>
  <c r="Y17" i="15"/>
  <c r="X25" i="14"/>
  <c r="Y25" i="15"/>
  <c r="X35" i="14"/>
  <c r="Y35" i="15"/>
  <c r="Y7" i="14"/>
  <c r="Z7" i="15"/>
  <c r="Y14" i="14"/>
  <c r="Z14" i="15"/>
  <c r="Y20" i="14"/>
  <c r="Z20" i="15"/>
  <c r="Y21" i="14"/>
  <c r="Z21" i="15"/>
  <c r="Y23" i="14"/>
  <c r="Z23" i="15"/>
  <c r="Y28" i="14"/>
  <c r="Z28" i="15"/>
  <c r="Z6" i="14"/>
  <c r="AA6" i="15"/>
  <c r="Z10" i="14"/>
  <c r="AA10" i="15"/>
  <c r="Z17" i="14"/>
  <c r="AA17" i="15"/>
  <c r="Z25" i="14"/>
  <c r="AA25" i="15"/>
  <c r="Z35" i="14"/>
  <c r="AA35" i="15"/>
  <c r="AB6" i="14"/>
  <c r="AC6" i="15"/>
  <c r="AB10" i="14"/>
  <c r="AC10" i="15"/>
  <c r="AB17" i="14"/>
  <c r="AC17" i="15"/>
  <c r="AB25" i="14"/>
  <c r="AC25" i="15"/>
  <c r="AB35" i="14"/>
  <c r="AC35" i="15"/>
  <c r="AC7" i="14"/>
  <c r="AD7" i="15"/>
  <c r="AC14" i="14"/>
  <c r="AD14" i="15"/>
  <c r="AC20" i="14"/>
  <c r="AD20" i="15"/>
  <c r="AC21" i="14"/>
  <c r="AD21" i="15"/>
  <c r="AC23" i="14"/>
  <c r="AD23" i="15"/>
  <c r="AC28" i="14"/>
  <c r="AD28" i="15"/>
  <c r="AD6" i="14"/>
  <c r="AE6" i="15"/>
  <c r="AD10" i="14"/>
  <c r="AE10" i="15"/>
  <c r="AD17" i="14"/>
  <c r="AE17" i="15"/>
  <c r="AD25" i="14"/>
  <c r="AE25" i="15"/>
  <c r="AD35" i="14"/>
  <c r="AE35" i="15"/>
  <c r="AE7" i="14"/>
  <c r="AF7" i="15"/>
  <c r="AE14" i="14"/>
  <c r="AF14" i="15"/>
  <c r="AE20" i="14"/>
  <c r="AF20" i="15"/>
  <c r="AE21" i="14"/>
  <c r="AF21" i="15"/>
  <c r="AE23" i="14"/>
  <c r="AF23" i="15"/>
  <c r="AE28" i="14"/>
  <c r="AF28" i="15"/>
  <c r="AF10" i="14"/>
  <c r="AG10" i="15"/>
  <c r="AF17" i="14"/>
  <c r="AG17" i="15"/>
  <c r="AF25" i="14"/>
  <c r="AG25" i="15"/>
  <c r="AF35" i="14"/>
  <c r="AG35" i="15"/>
  <c r="AH6" i="14"/>
  <c r="AI6" i="15"/>
  <c r="AH10" i="14"/>
  <c r="AI10" i="15"/>
  <c r="AH17" i="14"/>
  <c r="AI17" i="15"/>
  <c r="AH25" i="14"/>
  <c r="AI25" i="15"/>
  <c r="AH35" i="14"/>
  <c r="AI35" i="15"/>
  <c r="AI7" i="14"/>
  <c r="AJ7" i="15"/>
  <c r="AI14" i="14"/>
  <c r="AJ14" i="15"/>
  <c r="AI20" i="14"/>
  <c r="AJ20" i="15"/>
  <c r="AI21" i="14"/>
  <c r="AJ21" i="15"/>
  <c r="AI23" i="14"/>
  <c r="AJ23" i="15"/>
  <c r="AI28" i="14"/>
  <c r="AJ28" i="15"/>
  <c r="AJ6" i="14"/>
  <c r="AK6" i="15"/>
  <c r="AJ10" i="14"/>
  <c r="AK10" i="15"/>
  <c r="AJ17" i="14"/>
  <c r="AK17" i="15"/>
  <c r="AJ25" i="14"/>
  <c r="AK25" i="15"/>
  <c r="AJ35" i="14"/>
  <c r="AK35" i="15"/>
  <c r="AK7" i="14"/>
  <c r="AL7" i="15"/>
  <c r="AK14" i="14"/>
  <c r="AL14" i="15"/>
  <c r="AK20" i="14"/>
  <c r="AL20" i="15"/>
  <c r="AK21" i="14"/>
  <c r="AL21" i="15"/>
  <c r="AK23" i="14"/>
  <c r="AL23" i="15"/>
  <c r="AK28" i="14"/>
  <c r="AL28" i="15"/>
  <c r="S7" i="15"/>
  <c r="P3" i="15"/>
  <c r="AH16" i="15"/>
  <c r="AH26" i="15"/>
  <c r="AH31" i="15"/>
  <c r="AB13" i="15"/>
  <c r="AB15" i="15"/>
  <c r="AB19" i="15"/>
  <c r="AB29" i="15"/>
  <c r="AB33" i="15"/>
  <c r="V8" i="15"/>
  <c r="V10" i="15"/>
  <c r="V17" i="15"/>
  <c r="V22" i="15"/>
  <c r="V27" i="15"/>
  <c r="V32" i="15"/>
  <c r="P13" i="15"/>
  <c r="P15" i="15"/>
  <c r="P19" i="15"/>
  <c r="P24" i="15"/>
  <c r="P30" i="15"/>
  <c r="P34" i="15"/>
  <c r="U4" i="15"/>
  <c r="AG3" i="15"/>
  <c r="AG13" i="15"/>
  <c r="M12" i="14"/>
  <c r="N12" i="15"/>
  <c r="M18" i="14"/>
  <c r="N18" i="15"/>
  <c r="M26" i="14"/>
  <c r="N26" i="15"/>
  <c r="M31" i="14"/>
  <c r="N31" i="15"/>
  <c r="N16" i="14"/>
  <c r="O16" i="15"/>
  <c r="N29" i="14"/>
  <c r="O29" i="15"/>
  <c r="N33" i="14"/>
  <c r="O33" i="15"/>
  <c r="Q16" i="14"/>
  <c r="R16" i="15"/>
  <c r="Q29" i="14"/>
  <c r="R29" i="15"/>
  <c r="Q33" i="14"/>
  <c r="R33" i="15"/>
  <c r="R3" i="14"/>
  <c r="S3" i="15"/>
  <c r="R5" i="14"/>
  <c r="S5" i="15"/>
  <c r="R12" i="14"/>
  <c r="S12" i="15"/>
  <c r="R18" i="14"/>
  <c r="S18" i="15"/>
  <c r="R26" i="14"/>
  <c r="S26" i="15"/>
  <c r="R31" i="14"/>
  <c r="S31" i="15"/>
  <c r="S16" i="14"/>
  <c r="T16" i="15"/>
  <c r="S29" i="14"/>
  <c r="T29" i="15"/>
  <c r="S33" i="14"/>
  <c r="T33" i="15"/>
  <c r="T5" i="14"/>
  <c r="U5" i="15"/>
  <c r="T12" i="14"/>
  <c r="U12" i="15"/>
  <c r="T18" i="14"/>
  <c r="U18" i="15"/>
  <c r="T26" i="14"/>
  <c r="U26" i="15"/>
  <c r="T31" i="14"/>
  <c r="U31" i="15"/>
  <c r="V3" i="14"/>
  <c r="W3" i="15"/>
  <c r="V5" i="14"/>
  <c r="W5" i="15"/>
  <c r="V12" i="14"/>
  <c r="W12" i="15"/>
  <c r="V18" i="14"/>
  <c r="W18" i="15"/>
  <c r="V26" i="14"/>
  <c r="W26" i="15"/>
  <c r="V31" i="14"/>
  <c r="W31" i="15"/>
  <c r="W16" i="14"/>
  <c r="X16" i="15"/>
  <c r="W29" i="14"/>
  <c r="X29" i="15"/>
  <c r="W33" i="14"/>
  <c r="X33" i="15"/>
  <c r="X3" i="14"/>
  <c r="Y3" i="15"/>
  <c r="X5" i="14"/>
  <c r="Y5" i="15"/>
  <c r="X12" i="14"/>
  <c r="Y12" i="15"/>
  <c r="X18" i="14"/>
  <c r="Y18" i="15"/>
  <c r="X26" i="14"/>
  <c r="Y26" i="15"/>
  <c r="X31" i="14"/>
  <c r="Y31" i="15"/>
  <c r="Y16" i="14"/>
  <c r="Z16" i="15"/>
  <c r="Y29" i="14"/>
  <c r="Z29" i="15"/>
  <c r="Y33" i="14"/>
  <c r="Z33" i="15"/>
  <c r="Z5" i="14"/>
  <c r="AA5" i="15"/>
  <c r="Z12" i="14"/>
  <c r="AA12" i="15"/>
  <c r="Z18" i="14"/>
  <c r="AA18" i="15"/>
  <c r="Z26" i="14"/>
  <c r="AA26" i="15"/>
  <c r="Z31" i="14"/>
  <c r="AA31" i="15"/>
  <c r="AB3" i="14"/>
  <c r="AC3" i="15"/>
  <c r="AB5" i="14"/>
  <c r="AC5" i="15"/>
  <c r="AB12" i="14"/>
  <c r="AC12" i="15"/>
  <c r="AB18" i="14"/>
  <c r="AC18" i="15"/>
  <c r="AB26" i="14"/>
  <c r="AC26" i="15"/>
  <c r="AB31" i="14"/>
  <c r="AC31" i="15"/>
  <c r="AC16" i="14"/>
  <c r="AD16" i="15"/>
  <c r="AC29" i="14"/>
  <c r="AD29" i="15"/>
  <c r="AC33" i="14"/>
  <c r="AD33" i="15"/>
  <c r="AD3" i="14"/>
  <c r="AE3" i="15"/>
  <c r="AD5" i="14"/>
  <c r="AE5" i="15"/>
  <c r="AD12" i="14"/>
  <c r="AE12" i="15"/>
  <c r="AD18" i="14"/>
  <c r="AE18" i="15"/>
  <c r="AD26" i="14"/>
  <c r="AE26" i="15"/>
  <c r="AD31" i="14"/>
  <c r="AE31" i="15"/>
  <c r="AE16" i="14"/>
  <c r="AF16" i="15"/>
  <c r="AE29" i="14"/>
  <c r="AF29" i="15"/>
  <c r="AE33" i="14"/>
  <c r="AF33" i="15"/>
  <c r="AF12" i="14"/>
  <c r="AG12" i="15"/>
  <c r="AF18" i="14"/>
  <c r="AG18" i="15"/>
  <c r="AF26" i="14"/>
  <c r="AG26" i="15"/>
  <c r="AF31" i="14"/>
  <c r="AG31" i="15"/>
  <c r="AH3" i="14"/>
  <c r="AI3" i="15"/>
  <c r="AH5" i="14"/>
  <c r="AI5" i="15"/>
  <c r="AH12" i="14"/>
  <c r="AI12" i="15"/>
  <c r="AH18" i="14"/>
  <c r="AI18" i="15"/>
  <c r="AH26" i="14"/>
  <c r="AI26" i="15"/>
  <c r="AH31" i="14"/>
  <c r="AI31" i="15"/>
  <c r="AI16" i="14"/>
  <c r="AJ16" i="15"/>
  <c r="AI29" i="14"/>
  <c r="AJ29" i="15"/>
  <c r="AI33" i="14"/>
  <c r="AJ33" i="15"/>
  <c r="AJ3" i="14"/>
  <c r="AK3" i="15"/>
  <c r="AJ5" i="14"/>
  <c r="AK5" i="15"/>
  <c r="AJ12" i="14"/>
  <c r="AK12" i="15"/>
  <c r="AJ18" i="14"/>
  <c r="AK18" i="15"/>
  <c r="AJ26" i="14"/>
  <c r="AK26" i="15"/>
  <c r="AJ31" i="14"/>
  <c r="AK31" i="15"/>
  <c r="AK16" i="14"/>
  <c r="AL16" i="15"/>
  <c r="AK29" i="14"/>
  <c r="AL29" i="15"/>
  <c r="AK33" i="14"/>
  <c r="AL33" i="15"/>
  <c r="AH4" i="15"/>
  <c r="AH9" i="15"/>
  <c r="AH8" i="15"/>
  <c r="AH11" i="15"/>
  <c r="AH22" i="15"/>
  <c r="AH27" i="15"/>
  <c r="AH32" i="15"/>
  <c r="AB14" i="15"/>
  <c r="AB20" i="15"/>
  <c r="AB24" i="15"/>
  <c r="AB30" i="15"/>
  <c r="AB34" i="15"/>
  <c r="V7" i="15"/>
  <c r="V12" i="15"/>
  <c r="V18" i="15"/>
  <c r="V21" i="15"/>
  <c r="V23" i="15"/>
  <c r="V28" i="15"/>
  <c r="P6" i="15"/>
  <c r="P9" i="15"/>
  <c r="P14" i="15"/>
  <c r="P20" i="15"/>
  <c r="P25" i="15"/>
  <c r="P35" i="15"/>
  <c r="O4" i="15"/>
  <c r="AA3" i="15"/>
  <c r="AG8" i="15"/>
  <c r="AG9" i="15"/>
  <c r="AG15" i="15"/>
  <c r="L11" i="14"/>
  <c r="M11" i="15"/>
  <c r="L24" i="14"/>
  <c r="M24" i="15"/>
  <c r="L30" i="14"/>
  <c r="M30" i="15"/>
  <c r="L34" i="14"/>
  <c r="M34" i="15"/>
  <c r="M8" i="14"/>
  <c r="N8" i="15"/>
  <c r="M9" i="14"/>
  <c r="N9" i="15"/>
  <c r="M13" i="14"/>
  <c r="N13" i="15"/>
  <c r="M15" i="14"/>
  <c r="N15" i="15"/>
  <c r="M19" i="14"/>
  <c r="N19" i="15"/>
  <c r="M22" i="14"/>
  <c r="N22" i="15"/>
  <c r="M27" i="14"/>
  <c r="N27" i="15"/>
  <c r="M32" i="14"/>
  <c r="N32" i="15"/>
  <c r="N11" i="14"/>
  <c r="O11" i="15"/>
  <c r="N24" i="14"/>
  <c r="O24" i="15"/>
  <c r="N30" i="14"/>
  <c r="O30" i="15"/>
  <c r="N34" i="14"/>
  <c r="O34" i="15"/>
  <c r="Q4" i="14"/>
  <c r="R4" i="15"/>
  <c r="Q11" i="14"/>
  <c r="R11" i="15"/>
  <c r="Q24" i="14"/>
  <c r="R24" i="15"/>
  <c r="Q30" i="14"/>
  <c r="R30" i="15"/>
  <c r="Q34" i="14"/>
  <c r="R34" i="15"/>
  <c r="R8" i="14"/>
  <c r="S8" i="15"/>
  <c r="R9" i="14"/>
  <c r="S9" i="15"/>
  <c r="R13" i="14"/>
  <c r="S13" i="15"/>
  <c r="R15" i="14"/>
  <c r="S15" i="15"/>
  <c r="R19" i="14"/>
  <c r="S19" i="15"/>
  <c r="R22" i="14"/>
  <c r="S22" i="15"/>
  <c r="R27" i="14"/>
  <c r="S27" i="15"/>
  <c r="R32" i="14"/>
  <c r="S32" i="15"/>
  <c r="S4" i="14"/>
  <c r="T4" i="15"/>
  <c r="S11" i="14"/>
  <c r="T11" i="15"/>
  <c r="S24" i="14"/>
  <c r="T24" i="15"/>
  <c r="S30" i="14"/>
  <c r="T30" i="15"/>
  <c r="S34" i="14"/>
  <c r="T34" i="15"/>
  <c r="T8" i="14"/>
  <c r="U8" i="15"/>
  <c r="T9" i="14"/>
  <c r="U9" i="15"/>
  <c r="T13" i="14"/>
  <c r="U13" i="15"/>
  <c r="T15" i="14"/>
  <c r="U15" i="15"/>
  <c r="T19" i="14"/>
  <c r="U19" i="15"/>
  <c r="T22" i="14"/>
  <c r="U22" i="15"/>
  <c r="T27" i="14"/>
  <c r="U27" i="15"/>
  <c r="T32" i="14"/>
  <c r="U32" i="15"/>
  <c r="V8" i="14"/>
  <c r="W8" i="15"/>
  <c r="V9" i="14"/>
  <c r="W9" i="15"/>
  <c r="V13" i="14"/>
  <c r="W13" i="15"/>
  <c r="V15" i="14"/>
  <c r="W15" i="15"/>
  <c r="V19" i="14"/>
  <c r="W19" i="15"/>
  <c r="V22" i="14"/>
  <c r="W22" i="15"/>
  <c r="V27" i="14"/>
  <c r="W27" i="15"/>
  <c r="V32" i="14"/>
  <c r="W32" i="15"/>
  <c r="W4" i="14"/>
  <c r="X4" i="15"/>
  <c r="W11" i="14"/>
  <c r="X11" i="15"/>
  <c r="W24" i="14"/>
  <c r="X24" i="15"/>
  <c r="W30" i="14"/>
  <c r="X30" i="15"/>
  <c r="W34" i="14"/>
  <c r="X34" i="15"/>
  <c r="X8" i="14"/>
  <c r="Y8" i="15"/>
  <c r="X9" i="14"/>
  <c r="Y9" i="15"/>
  <c r="X13" i="14"/>
  <c r="Y13" i="15"/>
  <c r="X15" i="14"/>
  <c r="Y15" i="15"/>
  <c r="X19" i="14"/>
  <c r="Y19" i="15"/>
  <c r="X22" i="14"/>
  <c r="Y22" i="15"/>
  <c r="X27" i="14"/>
  <c r="Y27" i="15"/>
  <c r="X32" i="14"/>
  <c r="Y32" i="15"/>
  <c r="Y4" i="14"/>
  <c r="Z4" i="15"/>
  <c r="Y11" i="14"/>
  <c r="Z11" i="15"/>
  <c r="Y24" i="14"/>
  <c r="Z24" i="15"/>
  <c r="Y30" i="14"/>
  <c r="Z30" i="15"/>
  <c r="Y34" i="14"/>
  <c r="Z34" i="15"/>
  <c r="Z8" i="14"/>
  <c r="AA8" i="15"/>
  <c r="Z9" i="14"/>
  <c r="AA9" i="15"/>
  <c r="Z13" i="14"/>
  <c r="AA13" i="15"/>
  <c r="Z15" i="14"/>
  <c r="AA15" i="15"/>
  <c r="Z19" i="14"/>
  <c r="AA19" i="15"/>
  <c r="Z22" i="14"/>
  <c r="AA22" i="15"/>
  <c r="Z27" i="14"/>
  <c r="AA27" i="15"/>
  <c r="Z32" i="14"/>
  <c r="AA32" i="15"/>
  <c r="AB8" i="14"/>
  <c r="AC8" i="15"/>
  <c r="AB9" i="14"/>
  <c r="AC9" i="15"/>
  <c r="AB13" i="14"/>
  <c r="AC13" i="15"/>
  <c r="AB15" i="14"/>
  <c r="AC15" i="15"/>
  <c r="AB19" i="14"/>
  <c r="AC19" i="15"/>
  <c r="AB22" i="14"/>
  <c r="AC22" i="15"/>
  <c r="AB27" i="14"/>
  <c r="AC27" i="15"/>
  <c r="AB32" i="14"/>
  <c r="AC32" i="15"/>
  <c r="AC4" i="14"/>
  <c r="AD4" i="15"/>
  <c r="AC11" i="14"/>
  <c r="AD11" i="15"/>
  <c r="AC24" i="14"/>
  <c r="AD24" i="15"/>
  <c r="AC30" i="14"/>
  <c r="AD30" i="15"/>
  <c r="AC34" i="14"/>
  <c r="AD34" i="15"/>
  <c r="AD8" i="14"/>
  <c r="AE8" i="15"/>
  <c r="AD9" i="14"/>
  <c r="AE9" i="15"/>
  <c r="AD13" i="14"/>
  <c r="AE13" i="15"/>
  <c r="AD15" i="14"/>
  <c r="AE15" i="15"/>
  <c r="AD19" i="14"/>
  <c r="AE19" i="15"/>
  <c r="AD22" i="14"/>
  <c r="AE22" i="15"/>
  <c r="AD27" i="14"/>
  <c r="AE27" i="15"/>
  <c r="AD32" i="14"/>
  <c r="AE32" i="15"/>
  <c r="AE4" i="14"/>
  <c r="AF4" i="15"/>
  <c r="AE11" i="14"/>
  <c r="AF11" i="15"/>
  <c r="AE24" i="14"/>
  <c r="AF24" i="15"/>
  <c r="AE30" i="14"/>
  <c r="AF30" i="15"/>
  <c r="AE34" i="14"/>
  <c r="AF34" i="15"/>
  <c r="AF19" i="14"/>
  <c r="AG19" i="15"/>
  <c r="AF22" i="14"/>
  <c r="AG22" i="15"/>
  <c r="AF27" i="14"/>
  <c r="AG27" i="15"/>
  <c r="AF32" i="14"/>
  <c r="AG32" i="15"/>
  <c r="AH8" i="14"/>
  <c r="AI8" i="15"/>
  <c r="AH9" i="14"/>
  <c r="AI9" i="15"/>
  <c r="AH13" i="14"/>
  <c r="AI13" i="15"/>
  <c r="AH15" i="14"/>
  <c r="AI15" i="15"/>
  <c r="AH19" i="14"/>
  <c r="AI19" i="15"/>
  <c r="AH22" i="14"/>
  <c r="AI22" i="15"/>
  <c r="AH27" i="14"/>
  <c r="AI27" i="15"/>
  <c r="AH32" i="14"/>
  <c r="AI32" i="15"/>
  <c r="AI4" i="14"/>
  <c r="AJ4" i="15"/>
  <c r="AI11" i="14"/>
  <c r="AJ11" i="15"/>
  <c r="AI24" i="14"/>
  <c r="AJ24" i="15"/>
  <c r="AI30" i="14"/>
  <c r="AJ30" i="15"/>
  <c r="AI34" i="14"/>
  <c r="AJ34" i="15"/>
  <c r="AJ8" i="14"/>
  <c r="AK8" i="15"/>
  <c r="AJ9" i="14"/>
  <c r="AK9" i="15"/>
  <c r="AJ13" i="14"/>
  <c r="AK13" i="15"/>
  <c r="AJ15" i="14"/>
  <c r="AK15" i="15"/>
  <c r="AJ19" i="14"/>
  <c r="AK19" i="15"/>
  <c r="AJ22" i="14"/>
  <c r="AK22" i="15"/>
  <c r="AJ27" i="14"/>
  <c r="AK27" i="15"/>
  <c r="AJ32" i="14"/>
  <c r="AK32" i="15"/>
  <c r="AK4" i="14"/>
  <c r="AL4" i="15"/>
  <c r="AK11" i="14"/>
  <c r="AL11" i="15"/>
  <c r="AK24" i="14"/>
  <c r="AL24" i="15"/>
  <c r="AK30" i="14"/>
  <c r="AL30" i="15"/>
  <c r="AK34" i="14"/>
  <c r="AL34" i="15"/>
  <c r="AB4" i="15"/>
  <c r="AH7" i="15"/>
  <c r="AH10" i="15"/>
  <c r="AH17" i="15"/>
  <c r="AH21" i="15"/>
  <c r="AH23" i="15"/>
  <c r="AH28" i="15"/>
  <c r="AB6" i="15"/>
  <c r="AB9" i="15"/>
  <c r="AB16" i="15"/>
  <c r="AB25" i="15"/>
  <c r="AB35" i="15"/>
  <c r="V13" i="15"/>
  <c r="V15" i="15"/>
  <c r="V19" i="15"/>
  <c r="V29" i="15"/>
  <c r="V33" i="15"/>
  <c r="P16" i="15"/>
  <c r="P26" i="15"/>
  <c r="P31" i="15"/>
  <c r="U3" i="15"/>
  <c r="AG5" i="15"/>
  <c r="AG6" i="15"/>
  <c r="L10" i="14"/>
  <c r="M10" i="15"/>
  <c r="L17" i="14"/>
  <c r="M17" i="15"/>
  <c r="L25" i="14"/>
  <c r="M25" i="15"/>
  <c r="L35" i="14"/>
  <c r="M35" i="15"/>
  <c r="M7" i="14"/>
  <c r="N7" i="15"/>
  <c r="M14" i="14"/>
  <c r="N14" i="15"/>
  <c r="M20" i="14"/>
  <c r="N20" i="15"/>
  <c r="M21" i="14"/>
  <c r="N21" i="15"/>
  <c r="M23" i="14"/>
  <c r="N23" i="15"/>
  <c r="M28" i="14"/>
  <c r="N28" i="15"/>
  <c r="N6" i="14"/>
  <c r="O6" i="15"/>
  <c r="N10" i="14"/>
  <c r="O10" i="15"/>
  <c r="N17" i="14"/>
  <c r="O17" i="15"/>
  <c r="N25" i="14"/>
  <c r="O25" i="15"/>
  <c r="N35" i="14"/>
  <c r="O35" i="15"/>
  <c r="Q6" i="14"/>
  <c r="R6" i="15"/>
  <c r="Q10" i="14"/>
  <c r="R10" i="15"/>
  <c r="Q17" i="14"/>
  <c r="R17" i="15"/>
  <c r="Q25" i="14"/>
  <c r="R25" i="15"/>
  <c r="Q35" i="14"/>
  <c r="R35" i="15"/>
  <c r="R14" i="14"/>
  <c r="S14" i="15"/>
  <c r="R20" i="14"/>
  <c r="S20" i="15"/>
  <c r="R21" i="14"/>
  <c r="S21" i="15"/>
  <c r="R23" i="14"/>
  <c r="S23" i="15"/>
  <c r="R28" i="14"/>
  <c r="S28" i="15"/>
  <c r="S6" i="14"/>
  <c r="T6" i="15"/>
  <c r="S10" i="14"/>
  <c r="T10" i="15"/>
  <c r="S17" i="14"/>
  <c r="T17" i="15"/>
  <c r="S25" i="14"/>
  <c r="T25" i="15"/>
  <c r="S35" i="14"/>
  <c r="T35" i="15"/>
  <c r="T7" i="14"/>
  <c r="U7" i="15"/>
  <c r="T14" i="14"/>
  <c r="U14" i="15"/>
  <c r="T20" i="14"/>
  <c r="U20" i="15"/>
  <c r="T21" i="14"/>
  <c r="U21" i="15"/>
  <c r="T23" i="14"/>
  <c r="U23" i="15"/>
  <c r="T28" i="14"/>
  <c r="U28" i="15"/>
  <c r="V7" i="14"/>
  <c r="W7" i="15"/>
  <c r="V14" i="14"/>
  <c r="W14" i="15"/>
  <c r="V20" i="14"/>
  <c r="W20" i="15"/>
  <c r="V21" i="14"/>
  <c r="W21" i="15"/>
  <c r="V23" i="14"/>
  <c r="W23" i="15"/>
  <c r="V28" i="14"/>
  <c r="W28" i="15"/>
  <c r="W6" i="14"/>
  <c r="X6" i="15"/>
  <c r="W10" i="14"/>
  <c r="X10" i="15"/>
  <c r="W17" i="14"/>
  <c r="X17" i="15"/>
  <c r="W25" i="14"/>
  <c r="X25" i="15"/>
  <c r="W35" i="14"/>
  <c r="X35" i="15"/>
  <c r="X7" i="14"/>
  <c r="Y7" i="15"/>
  <c r="X14" i="14"/>
  <c r="Y14" i="15"/>
  <c r="X20" i="14"/>
  <c r="Y20" i="15"/>
  <c r="X21" i="14"/>
  <c r="Y21" i="15"/>
  <c r="X23" i="14"/>
  <c r="Y23" i="15"/>
  <c r="X28" i="14"/>
  <c r="Y28" i="15"/>
  <c r="Y6" i="14"/>
  <c r="Z6" i="15"/>
  <c r="Y10" i="14"/>
  <c r="Z10" i="15"/>
  <c r="Y17" i="14"/>
  <c r="Z17" i="15"/>
  <c r="Y25" i="14"/>
  <c r="Z25" i="15"/>
  <c r="Y35" i="14"/>
  <c r="Z35" i="15"/>
  <c r="Z7" i="14"/>
  <c r="AA7" i="15"/>
  <c r="Z14" i="14"/>
  <c r="AA14" i="15"/>
  <c r="Z20" i="14"/>
  <c r="AA20" i="15"/>
  <c r="Z21" i="14"/>
  <c r="AA21" i="15"/>
  <c r="Z23" i="14"/>
  <c r="AA23" i="15"/>
  <c r="Z28" i="14"/>
  <c r="AA28" i="15"/>
  <c r="AB7" i="14"/>
  <c r="AC7" i="15"/>
  <c r="AB14" i="14"/>
  <c r="AC14" i="15"/>
  <c r="AB20" i="14"/>
  <c r="AC20" i="15"/>
  <c r="AB21" i="14"/>
  <c r="AC21" i="15"/>
  <c r="AB23" i="14"/>
  <c r="AC23" i="15"/>
  <c r="AB28" i="14"/>
  <c r="AC28" i="15"/>
  <c r="AC6" i="14"/>
  <c r="AD6" i="15"/>
  <c r="AC10" i="14"/>
  <c r="AD10" i="15"/>
  <c r="AC17" i="14"/>
  <c r="AD17" i="15"/>
  <c r="AC25" i="14"/>
  <c r="AD25" i="15"/>
  <c r="AC35" i="14"/>
  <c r="AD35" i="15"/>
  <c r="AD7" i="14"/>
  <c r="AE7" i="15"/>
  <c r="AD14" i="14"/>
  <c r="AE14" i="15"/>
  <c r="AD20" i="14"/>
  <c r="AE20" i="15"/>
  <c r="AD21" i="14"/>
  <c r="AE21" i="15"/>
  <c r="AD23" i="14"/>
  <c r="AE23" i="15"/>
  <c r="AD28" i="14"/>
  <c r="AE28" i="15"/>
  <c r="AE6" i="14"/>
  <c r="AF6" i="15"/>
  <c r="AE10" i="14"/>
  <c r="AF10" i="15"/>
  <c r="AE17" i="14"/>
  <c r="AF17" i="15"/>
  <c r="AE25" i="14"/>
  <c r="AF25" i="15"/>
  <c r="AE35" i="14"/>
  <c r="AF35" i="15"/>
  <c r="AF14" i="14"/>
  <c r="AG14" i="15"/>
  <c r="AF20" i="14"/>
  <c r="AG20" i="15"/>
  <c r="AF21" i="14"/>
  <c r="AG21" i="15"/>
  <c r="AF23" i="14"/>
  <c r="AG23" i="15"/>
  <c r="AF28" i="14"/>
  <c r="AG28" i="15"/>
  <c r="AH7" i="14"/>
  <c r="AI7" i="15"/>
  <c r="AH14" i="14"/>
  <c r="AI14" i="15"/>
  <c r="AH20" i="14"/>
  <c r="AI20" i="15"/>
  <c r="AH21" i="14"/>
  <c r="AI21" i="15"/>
  <c r="AH23" i="14"/>
  <c r="AI23" i="15"/>
  <c r="AH28" i="14"/>
  <c r="AI28" i="15"/>
  <c r="AI6" i="14"/>
  <c r="AJ6" i="15"/>
  <c r="AI10" i="14"/>
  <c r="AJ10" i="15"/>
  <c r="AI17" i="14"/>
  <c r="AJ17" i="15"/>
  <c r="AI25" i="14"/>
  <c r="AJ25" i="15"/>
  <c r="AI35" i="14"/>
  <c r="AJ35" i="15"/>
  <c r="AJ7" i="14"/>
  <c r="AK7" i="15"/>
  <c r="AJ14" i="14"/>
  <c r="AK14" i="15"/>
  <c r="AJ20" i="14"/>
  <c r="AK20" i="15"/>
  <c r="AJ21" i="14"/>
  <c r="AK21" i="15"/>
  <c r="AJ23" i="14"/>
  <c r="AK23" i="15"/>
  <c r="AJ28" i="14"/>
  <c r="AK28" i="15"/>
  <c r="AK6" i="14"/>
  <c r="AL6" i="15"/>
  <c r="AK10" i="14"/>
  <c r="AL10" i="15"/>
  <c r="AK17" i="14"/>
  <c r="AL17" i="15"/>
  <c r="AK25" i="14"/>
  <c r="AL25" i="15"/>
  <c r="AK35" i="14"/>
  <c r="AL35" i="15"/>
  <c r="V4" i="15"/>
  <c r="AH3" i="15"/>
  <c r="AH12" i="15"/>
  <c r="AH18" i="15"/>
  <c r="AH29" i="15"/>
  <c r="AH33" i="15"/>
  <c r="AB11" i="15"/>
  <c r="AB26" i="15"/>
  <c r="AB31" i="15"/>
  <c r="V14" i="15"/>
  <c r="V20" i="15"/>
  <c r="V24" i="15"/>
  <c r="V30" i="15"/>
  <c r="V34" i="15"/>
  <c r="P8" i="15"/>
  <c r="P11" i="15"/>
  <c r="P22" i="15"/>
  <c r="P27" i="15"/>
  <c r="P32" i="15"/>
  <c r="O3" i="15"/>
  <c r="L12" i="14"/>
  <c r="M12" i="15"/>
  <c r="L18" i="14"/>
  <c r="M18" i="15"/>
  <c r="L26" i="14"/>
  <c r="M26" i="15"/>
  <c r="L31" i="14"/>
  <c r="M31" i="15"/>
  <c r="M16" i="14"/>
  <c r="N16" i="15"/>
  <c r="M29" i="14"/>
  <c r="N29" i="15"/>
  <c r="M33" i="14"/>
  <c r="N33" i="15"/>
  <c r="N5" i="14"/>
  <c r="O5" i="15"/>
  <c r="N12" i="14"/>
  <c r="O12" i="15"/>
  <c r="N18" i="14"/>
  <c r="O18" i="15"/>
  <c r="N26" i="14"/>
  <c r="O26" i="15"/>
  <c r="N31" i="14"/>
  <c r="O31" i="15"/>
  <c r="Q3" i="14"/>
  <c r="R3" i="15"/>
  <c r="Q5" i="14"/>
  <c r="R5" i="15"/>
  <c r="Q12" i="14"/>
  <c r="R12" i="15"/>
  <c r="Q18" i="14"/>
  <c r="R18" i="15"/>
  <c r="Q26" i="14"/>
  <c r="R26" i="15"/>
  <c r="Q31" i="14"/>
  <c r="R31" i="15"/>
  <c r="R16" i="14"/>
  <c r="S16" i="15"/>
  <c r="R29" i="14"/>
  <c r="S29" i="15"/>
  <c r="R33" i="14"/>
  <c r="S33" i="15"/>
  <c r="S3" i="14"/>
  <c r="T3" i="15"/>
  <c r="S5" i="14"/>
  <c r="T5" i="15"/>
  <c r="S12" i="14"/>
  <c r="T12" i="15"/>
  <c r="S18" i="14"/>
  <c r="T18" i="15"/>
  <c r="S26" i="14"/>
  <c r="T26" i="15"/>
  <c r="S31" i="14"/>
  <c r="T31" i="15"/>
  <c r="T16" i="14"/>
  <c r="U16" i="15"/>
  <c r="T29" i="14"/>
  <c r="U29" i="15"/>
  <c r="T33" i="14"/>
  <c r="U33" i="15"/>
  <c r="U5" i="14"/>
  <c r="V5" i="15"/>
  <c r="V16" i="14"/>
  <c r="W16" i="15"/>
  <c r="V29" i="14"/>
  <c r="W29" i="15"/>
  <c r="V33" i="14"/>
  <c r="W33" i="15"/>
  <c r="W3" i="14"/>
  <c r="X3" i="15"/>
  <c r="W5" i="14"/>
  <c r="X5" i="15"/>
  <c r="W12" i="14"/>
  <c r="X12" i="15"/>
  <c r="W18" i="14"/>
  <c r="X18" i="15"/>
  <c r="W26" i="14"/>
  <c r="X26" i="15"/>
  <c r="W31" i="14"/>
  <c r="X31" i="15"/>
  <c r="X16" i="14"/>
  <c r="Y16" i="15"/>
  <c r="X29" i="14"/>
  <c r="Y29" i="15"/>
  <c r="X33" i="14"/>
  <c r="Y33" i="15"/>
  <c r="Y3" i="14"/>
  <c r="Z3" i="15"/>
  <c r="Y5" i="14"/>
  <c r="Z5" i="15"/>
  <c r="Y12" i="14"/>
  <c r="Z12" i="15"/>
  <c r="Y18" i="14"/>
  <c r="Z18" i="15"/>
  <c r="Y26" i="14"/>
  <c r="Z26" i="15"/>
  <c r="Y31" i="14"/>
  <c r="Z31" i="15"/>
  <c r="Z16" i="14"/>
  <c r="AA16" i="15"/>
  <c r="Z29" i="14"/>
  <c r="AA29" i="15"/>
  <c r="Z33" i="14"/>
  <c r="AA33" i="15"/>
  <c r="AA5" i="14"/>
  <c r="AB5" i="15"/>
  <c r="AB16" i="14"/>
  <c r="AC16" i="15"/>
  <c r="AB29" i="14"/>
  <c r="AC29" i="15"/>
  <c r="AB33" i="14"/>
  <c r="AC33" i="15"/>
  <c r="AC3" i="14"/>
  <c r="AD3" i="15"/>
  <c r="AC5" i="14"/>
  <c r="AD5" i="15"/>
  <c r="AC12" i="14"/>
  <c r="AD12" i="15"/>
  <c r="AC18" i="14"/>
  <c r="AD18" i="15"/>
  <c r="AC26" i="14"/>
  <c r="AD26" i="15"/>
  <c r="AC31" i="14"/>
  <c r="AD31" i="15"/>
  <c r="AD16" i="14"/>
  <c r="AE16" i="15"/>
  <c r="AD29" i="14"/>
  <c r="AE29" i="15"/>
  <c r="AD33" i="14"/>
  <c r="AE33" i="15"/>
  <c r="AE3" i="14"/>
  <c r="AF3" i="15"/>
  <c r="AE5" i="14"/>
  <c r="AF5" i="15"/>
  <c r="AE12" i="14"/>
  <c r="AF12" i="15"/>
  <c r="AE18" i="14"/>
  <c r="AF18" i="15"/>
  <c r="AE26" i="14"/>
  <c r="AF26" i="15"/>
  <c r="AE31" i="14"/>
  <c r="AF31" i="15"/>
  <c r="AF16" i="14"/>
  <c r="AG16" i="15"/>
  <c r="AF29" i="14"/>
  <c r="AG29" i="15"/>
  <c r="AF33" i="14"/>
  <c r="AG33" i="15"/>
  <c r="AG5" i="14"/>
  <c r="AH5" i="15"/>
  <c r="AH16" i="14"/>
  <c r="AI16" i="15"/>
  <c r="AH29" i="14"/>
  <c r="AI29" i="15"/>
  <c r="AH33" i="14"/>
  <c r="AI33" i="15"/>
  <c r="AI3" i="14"/>
  <c r="AJ3" i="15"/>
  <c r="AI5" i="14"/>
  <c r="AJ5" i="15"/>
  <c r="AI12" i="14"/>
  <c r="AJ12" i="15"/>
  <c r="AI18" i="14"/>
  <c r="AJ18" i="15"/>
  <c r="AI26" i="14"/>
  <c r="AJ26" i="15"/>
  <c r="AI31" i="14"/>
  <c r="AJ31" i="15"/>
  <c r="AJ16" i="14"/>
  <c r="AK16" i="15"/>
  <c r="AJ29" i="14"/>
  <c r="AK29" i="15"/>
  <c r="AJ33" i="14"/>
  <c r="AK33" i="15"/>
  <c r="AK3" i="14"/>
  <c r="AL3" i="15"/>
  <c r="AK5" i="14"/>
  <c r="AL5" i="15"/>
  <c r="AK12" i="14"/>
  <c r="AL12" i="15"/>
  <c r="AK18" i="14"/>
  <c r="AL18" i="15"/>
  <c r="AK26" i="14"/>
  <c r="AL26" i="15"/>
  <c r="AK31" i="14"/>
  <c r="AL31" i="15"/>
  <c r="P5" i="15"/>
  <c r="P4" i="15"/>
  <c r="AB3" i="15"/>
  <c r="AH13" i="15"/>
  <c r="AH15" i="15"/>
  <c r="AH19" i="15"/>
  <c r="AH24" i="15"/>
  <c r="AH30" i="15"/>
  <c r="AH34" i="15"/>
  <c r="AB8" i="15"/>
  <c r="AB10" i="15"/>
  <c r="AB17" i="15"/>
  <c r="AB22" i="15"/>
  <c r="AB27" i="15"/>
  <c r="AB32" i="15"/>
  <c r="V6" i="15"/>
  <c r="V16" i="15"/>
  <c r="V25" i="15"/>
  <c r="V35" i="15"/>
  <c r="P7" i="15"/>
  <c r="P10" i="15"/>
  <c r="P17" i="15"/>
  <c r="P21" i="15"/>
  <c r="P23" i="15"/>
  <c r="P28" i="15"/>
  <c r="AG4" i="15"/>
  <c r="AG7" i="15"/>
  <c r="L27" i="14"/>
  <c r="M27" i="15"/>
  <c r="L32" i="14"/>
  <c r="M32" i="15"/>
  <c r="M4" i="14"/>
  <c r="N4" i="15"/>
  <c r="M11" i="14"/>
  <c r="N11" i="15"/>
  <c r="M24" i="14"/>
  <c r="N24" i="15"/>
  <c r="M30" i="14"/>
  <c r="N30" i="15"/>
  <c r="M34" i="14"/>
  <c r="N34" i="15"/>
  <c r="N8" i="14"/>
  <c r="O8" i="15"/>
  <c r="N9" i="14"/>
  <c r="O9" i="15"/>
  <c r="N13" i="14"/>
  <c r="O13" i="15"/>
  <c r="N15" i="14"/>
  <c r="O15" i="15"/>
  <c r="N19" i="14"/>
  <c r="O19" i="15"/>
  <c r="N22" i="14"/>
  <c r="O22" i="15"/>
  <c r="N27" i="14"/>
  <c r="O27" i="15"/>
  <c r="N32" i="14"/>
  <c r="O32" i="15"/>
  <c r="Q8" i="14"/>
  <c r="R8" i="15"/>
  <c r="Q9" i="14"/>
  <c r="R9" i="15"/>
  <c r="Q13" i="14"/>
  <c r="R13" i="15"/>
  <c r="Q15" i="14"/>
  <c r="R15" i="15"/>
  <c r="Q19" i="14"/>
  <c r="R19" i="15"/>
  <c r="Q22" i="14"/>
  <c r="R22" i="15"/>
  <c r="Q27" i="14"/>
  <c r="R27" i="15"/>
  <c r="Q32" i="14"/>
  <c r="R32" i="15"/>
  <c r="R4" i="14"/>
  <c r="S4" i="15"/>
  <c r="R11" i="14"/>
  <c r="S11" i="15"/>
  <c r="R24" i="14"/>
  <c r="S24" i="15"/>
  <c r="R30" i="14"/>
  <c r="S30" i="15"/>
  <c r="R34" i="14"/>
  <c r="S34" i="15"/>
  <c r="S8" i="14"/>
  <c r="T8" i="15"/>
  <c r="S9" i="14"/>
  <c r="T9" i="15"/>
  <c r="S13" i="14"/>
  <c r="T13" i="15"/>
  <c r="S15" i="14"/>
  <c r="T15" i="15"/>
  <c r="S19" i="14"/>
  <c r="T19" i="15"/>
  <c r="S22" i="14"/>
  <c r="T22" i="15"/>
  <c r="S27" i="14"/>
  <c r="T27" i="15"/>
  <c r="S32" i="14"/>
  <c r="T32" i="15"/>
  <c r="T11" i="14"/>
  <c r="U11" i="15"/>
  <c r="T24" i="14"/>
  <c r="U24" i="15"/>
  <c r="T30" i="14"/>
  <c r="U30" i="15"/>
  <c r="T34" i="14"/>
  <c r="U34" i="15"/>
  <c r="U9" i="14"/>
  <c r="V9" i="15"/>
  <c r="V4" i="14"/>
  <c r="W4" i="15"/>
  <c r="V11" i="14"/>
  <c r="W11" i="15"/>
  <c r="V24" i="14"/>
  <c r="W24" i="15"/>
  <c r="V30" i="14"/>
  <c r="W30" i="15"/>
  <c r="V34" i="14"/>
  <c r="W34" i="15"/>
  <c r="W8" i="14"/>
  <c r="X8" i="15"/>
  <c r="W9" i="14"/>
  <c r="X9" i="15"/>
  <c r="W13" i="14"/>
  <c r="X13" i="15"/>
  <c r="W15" i="14"/>
  <c r="X15" i="15"/>
  <c r="W19" i="14"/>
  <c r="X19" i="15"/>
  <c r="W22" i="14"/>
  <c r="X22" i="15"/>
  <c r="W27" i="14"/>
  <c r="X27" i="15"/>
  <c r="W32" i="14"/>
  <c r="X32" i="15"/>
  <c r="X4" i="14"/>
  <c r="Y4" i="15"/>
  <c r="X11" i="14"/>
  <c r="Y11" i="15"/>
  <c r="X24" i="14"/>
  <c r="Y24" i="15"/>
  <c r="X30" i="14"/>
  <c r="Y30" i="15"/>
  <c r="X34" i="14"/>
  <c r="Y34" i="15"/>
  <c r="Y8" i="14"/>
  <c r="Z8" i="15"/>
  <c r="Y9" i="14"/>
  <c r="Z9" i="15"/>
  <c r="Y13" i="14"/>
  <c r="Z13" i="15"/>
  <c r="Y15" i="14"/>
  <c r="Z15" i="15"/>
  <c r="Y19" i="14"/>
  <c r="Z19" i="15"/>
  <c r="Y22" i="14"/>
  <c r="Z22" i="15"/>
  <c r="Y27" i="14"/>
  <c r="Z27" i="15"/>
  <c r="Y32" i="14"/>
  <c r="Z32" i="15"/>
  <c r="Z11" i="14"/>
  <c r="AA11" i="15"/>
  <c r="Z24" i="14"/>
  <c r="AA24" i="15"/>
  <c r="Z30" i="14"/>
  <c r="AA30" i="15"/>
  <c r="Z34" i="14"/>
  <c r="AA34" i="15"/>
  <c r="AB4" i="14"/>
  <c r="AC4" i="15"/>
  <c r="AB11" i="14"/>
  <c r="AC11" i="15"/>
  <c r="AB24" i="14"/>
  <c r="AC24" i="15"/>
  <c r="AB30" i="14"/>
  <c r="AC30" i="15"/>
  <c r="AB34" i="14"/>
  <c r="AC34" i="15"/>
  <c r="AC8" i="14"/>
  <c r="AD8" i="15"/>
  <c r="AC9" i="14"/>
  <c r="AD9" i="15"/>
  <c r="AC13" i="14"/>
  <c r="AD13" i="15"/>
  <c r="AC15" i="14"/>
  <c r="AD15" i="15"/>
  <c r="AC19" i="14"/>
  <c r="AD19" i="15"/>
  <c r="AC22" i="14"/>
  <c r="AD22" i="15"/>
  <c r="AC27" i="14"/>
  <c r="AD27" i="15"/>
  <c r="AC32" i="14"/>
  <c r="AD32" i="15"/>
  <c r="AD4" i="14"/>
  <c r="AE4" i="15"/>
  <c r="AD11" i="14"/>
  <c r="AE11" i="15"/>
  <c r="AD24" i="14"/>
  <c r="AE24" i="15"/>
  <c r="AD30" i="14"/>
  <c r="AE30" i="15"/>
  <c r="AD34" i="14"/>
  <c r="AE34" i="15"/>
  <c r="AE8" i="14"/>
  <c r="AF8" i="15"/>
  <c r="AE9" i="14"/>
  <c r="AF9" i="15"/>
  <c r="AE13" i="14"/>
  <c r="AF13" i="15"/>
  <c r="AE15" i="14"/>
  <c r="AF15" i="15"/>
  <c r="AE19" i="14"/>
  <c r="AF19" i="15"/>
  <c r="AE22" i="14"/>
  <c r="AF22" i="15"/>
  <c r="AE27" i="14"/>
  <c r="AF27" i="15"/>
  <c r="AE32" i="14"/>
  <c r="AF32" i="15"/>
  <c r="AF11" i="14"/>
  <c r="AG11" i="15"/>
  <c r="AF24" i="14"/>
  <c r="AG24" i="15"/>
  <c r="AF30" i="14"/>
  <c r="AG30" i="15"/>
  <c r="AF34" i="14"/>
  <c r="AG34" i="15"/>
  <c r="AH4" i="14"/>
  <c r="AI4" i="15"/>
  <c r="AH11" i="14"/>
  <c r="AI11" i="15"/>
  <c r="AH24" i="14"/>
  <c r="AI24" i="15"/>
  <c r="AH30" i="14"/>
  <c r="AI30" i="15"/>
  <c r="AH34" i="14"/>
  <c r="AI34" i="15"/>
  <c r="AI8" i="14"/>
  <c r="AJ8" i="15"/>
  <c r="AI9" i="14"/>
  <c r="AJ9" i="15"/>
  <c r="AI13" i="14"/>
  <c r="AJ13" i="15"/>
  <c r="AI15" i="14"/>
  <c r="AJ15" i="15"/>
  <c r="AI19" i="14"/>
  <c r="AJ19" i="15"/>
  <c r="AI22" i="14"/>
  <c r="AJ22" i="15"/>
  <c r="AI27" i="14"/>
  <c r="AJ27" i="15"/>
  <c r="AI32" i="14"/>
  <c r="AJ32" i="15"/>
  <c r="AJ4" i="14"/>
  <c r="AK4" i="15"/>
  <c r="AJ11" i="14"/>
  <c r="AK11" i="15"/>
  <c r="AJ24" i="14"/>
  <c r="AK24" i="15"/>
  <c r="AJ30" i="14"/>
  <c r="AK30" i="15"/>
  <c r="AJ34" i="14"/>
  <c r="AK34" i="15"/>
  <c r="AK8" i="14"/>
  <c r="AL8" i="15"/>
  <c r="AK9" i="14"/>
  <c r="AL9" i="15"/>
  <c r="AK13" i="14"/>
  <c r="AL13" i="15"/>
  <c r="AK15" i="14"/>
  <c r="AL15" i="15"/>
  <c r="AK19" i="14"/>
  <c r="AL19" i="15"/>
  <c r="AK22" i="14"/>
  <c r="AL22" i="15"/>
  <c r="AK27" i="14"/>
  <c r="AL27" i="15"/>
  <c r="AK32" i="14"/>
  <c r="AL32" i="15"/>
  <c r="V3" i="15"/>
  <c r="AH6" i="15"/>
  <c r="AH14" i="15"/>
  <c r="AH20" i="15"/>
  <c r="AH25" i="15"/>
  <c r="AH35" i="15"/>
  <c r="AB7" i="15"/>
  <c r="AB12" i="15"/>
  <c r="AB18" i="15"/>
  <c r="AB21" i="15"/>
  <c r="AB23" i="15"/>
  <c r="AB28" i="15"/>
  <c r="V11" i="15"/>
  <c r="V26" i="15"/>
  <c r="V31" i="15"/>
  <c r="P12" i="15"/>
  <c r="P18" i="15"/>
  <c r="P29" i="15"/>
  <c r="P33" i="15"/>
  <c r="AA4" i="15"/>
  <c r="O20" i="6"/>
  <c r="O19" i="6"/>
  <c r="O18" i="6"/>
  <c r="O17" i="6"/>
  <c r="O16" i="6"/>
  <c r="O15" i="6"/>
  <c r="O14" i="6"/>
  <c r="O13" i="6"/>
  <c r="O11" i="6"/>
  <c r="O10" i="6"/>
  <c r="O8" i="6"/>
  <c r="O7" i="6"/>
  <c r="O6" i="6"/>
  <c r="M4" i="6"/>
  <c r="J4" i="6"/>
  <c r="K4" i="6"/>
  <c r="I4" i="6"/>
  <c r="H4" i="6"/>
  <c r="F4" i="6"/>
  <c r="E4" i="6"/>
  <c r="G4" i="6"/>
  <c r="AM8" i="24" l="1"/>
  <c r="AM7" i="24"/>
  <c r="AM21" i="45"/>
  <c r="AD7" i="34"/>
  <c r="AB8" i="38"/>
  <c r="AA10" i="39"/>
  <c r="AF7" i="34"/>
  <c r="AL7" i="34"/>
  <c r="AE6" i="36"/>
  <c r="W6" i="36"/>
  <c r="T7" i="34"/>
  <c r="AF7" i="31"/>
  <c r="X7" i="31"/>
  <c r="Y6" i="36"/>
  <c r="AB7" i="34"/>
  <c r="Z8" i="38"/>
  <c r="AF8" i="38"/>
  <c r="AD8" i="38"/>
  <c r="AJ7" i="31"/>
  <c r="AC6" i="36"/>
  <c r="L8" i="38"/>
  <c r="X8" i="38"/>
  <c r="Z7" i="31"/>
  <c r="T8" i="37"/>
  <c r="T8" i="38"/>
  <c r="L7" i="31"/>
  <c r="AS28" i="45"/>
  <c r="AJ7" i="32"/>
  <c r="Q8" i="38"/>
  <c r="V7" i="31"/>
  <c r="AC10" i="39"/>
  <c r="P7" i="31"/>
  <c r="T7" i="31"/>
  <c r="O8" i="37"/>
  <c r="V8" i="38"/>
  <c r="W10" i="39"/>
  <c r="S10" i="39"/>
  <c r="N8" i="38"/>
  <c r="P10" i="39"/>
  <c r="AI10" i="39"/>
  <c r="AB7" i="31"/>
  <c r="R8" i="38"/>
  <c r="P7" i="34"/>
  <c r="M7" i="34"/>
  <c r="L6" i="36"/>
  <c r="O7" i="34"/>
  <c r="L7" i="34"/>
  <c r="Q6" i="36"/>
  <c r="O7" i="31"/>
  <c r="S8" i="37"/>
  <c r="R7" i="34"/>
  <c r="AG6" i="36"/>
  <c r="M8" i="38"/>
  <c r="M7" i="31"/>
  <c r="L7" i="30"/>
  <c r="Y10" i="39"/>
  <c r="Z7" i="34"/>
  <c r="AD53" i="45"/>
  <c r="U53" i="45"/>
  <c r="R10" i="39"/>
  <c r="S7" i="32"/>
  <c r="J7" i="31"/>
  <c r="P8" i="38"/>
  <c r="L10" i="39"/>
  <c r="X7" i="34"/>
  <c r="U6" i="36"/>
  <c r="Q8" i="37"/>
  <c r="R6" i="36"/>
  <c r="J6" i="36"/>
  <c r="O6" i="36"/>
  <c r="M8" i="37"/>
  <c r="S6" i="36"/>
  <c r="N6" i="36"/>
  <c r="P6" i="36"/>
  <c r="J7" i="34"/>
  <c r="N10" i="39"/>
  <c r="K7" i="31"/>
  <c r="P8" i="37"/>
  <c r="M6" i="36"/>
  <c r="S8" i="38"/>
  <c r="U10" i="39"/>
  <c r="U7" i="31"/>
  <c r="AE10" i="39"/>
  <c r="R7" i="31"/>
  <c r="N8" i="37"/>
  <c r="O8" i="38"/>
  <c r="O10" i="39"/>
  <c r="M10" i="39"/>
  <c r="N7" i="31"/>
  <c r="Q10" i="39"/>
  <c r="K7" i="34"/>
  <c r="N7" i="34"/>
  <c r="L8" i="37"/>
  <c r="AA6" i="36"/>
  <c r="AG53" i="45"/>
  <c r="X53" i="45"/>
  <c r="V7" i="34"/>
  <c r="AS21" i="45"/>
  <c r="H53" i="44"/>
  <c r="H54" i="44" s="1"/>
  <c r="I54" i="44" s="1"/>
  <c r="J54" i="44" s="1"/>
  <c r="K54" i="44" s="1"/>
  <c r="L54" i="44" s="1"/>
  <c r="M54" i="44" s="1"/>
  <c r="N54" i="44" s="1"/>
  <c r="O54" i="44" s="1"/>
  <c r="P54" i="44" s="1"/>
  <c r="Q54" i="44" s="1"/>
  <c r="R54" i="44" s="1"/>
  <c r="S54" i="44" s="1"/>
  <c r="T54" i="44" s="1"/>
  <c r="U54" i="44" s="1"/>
  <c r="V54" i="44" s="1"/>
  <c r="W54" i="44" s="1"/>
  <c r="X54" i="44" s="1"/>
  <c r="Y54" i="44" s="1"/>
  <c r="Z54" i="44" s="1"/>
  <c r="AA54" i="44" s="1"/>
  <c r="AB54" i="44" s="1"/>
  <c r="AC54" i="44" s="1"/>
  <c r="AD54" i="44" s="1"/>
  <c r="AE54" i="44" s="1"/>
  <c r="AF54" i="44" s="1"/>
  <c r="AG54" i="44" s="1"/>
  <c r="AH54" i="44" s="1"/>
  <c r="AI54" i="44" s="1"/>
  <c r="AJ54" i="44" s="1"/>
  <c r="AK54" i="44" s="1"/>
  <c r="AL54" i="44" s="1"/>
  <c r="AM38" i="44"/>
  <c r="AM53" i="44" s="1"/>
  <c r="H53" i="42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AM38" i="42"/>
  <c r="K6" i="36"/>
  <c r="R53" i="45"/>
  <c r="N7" i="30"/>
  <c r="I6" i="36"/>
  <c r="I7" i="36" s="1"/>
  <c r="AE53" i="45"/>
  <c r="V53" i="45"/>
  <c r="M53" i="45"/>
  <c r="I7" i="34"/>
  <c r="I8" i="34" s="1"/>
  <c r="AK53" i="45"/>
  <c r="AB53" i="45"/>
  <c r="S53" i="45"/>
  <c r="O53" i="45"/>
  <c r="I7" i="31"/>
  <c r="I8" i="31" s="1"/>
  <c r="AM14" i="45"/>
  <c r="AS14" i="45"/>
  <c r="AN53" i="11"/>
  <c r="AS23" i="45"/>
  <c r="AM23" i="45"/>
  <c r="AS11" i="45"/>
  <c r="AM11" i="45"/>
  <c r="AL53" i="45"/>
  <c r="AC53" i="45"/>
  <c r="T53" i="45"/>
  <c r="AS16" i="45"/>
  <c r="AM16" i="45"/>
  <c r="AS5" i="45"/>
  <c r="AM5" i="45"/>
  <c r="AM29" i="45"/>
  <c r="AS33" i="45"/>
  <c r="AM33" i="45"/>
  <c r="AM26" i="45"/>
  <c r="AS26" i="45"/>
  <c r="I54" i="11"/>
  <c r="J54" i="11" s="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AJ54" i="11" s="1"/>
  <c r="AK54" i="11" s="1"/>
  <c r="AH53" i="45"/>
  <c r="Y53" i="45"/>
  <c r="P53" i="45"/>
  <c r="AS30" i="45"/>
  <c r="AM30" i="45"/>
  <c r="AS18" i="45"/>
  <c r="AM18" i="45"/>
  <c r="AM7" i="45"/>
  <c r="AS7" i="45"/>
  <c r="AM20" i="45"/>
  <c r="AS3" i="45"/>
  <c r="L53" i="45"/>
  <c r="AM9" i="45"/>
  <c r="AS9" i="45"/>
  <c r="AM25" i="45"/>
  <c r="AS25" i="45"/>
  <c r="AI53" i="45"/>
  <c r="Z53" i="45"/>
  <c r="Q53" i="45"/>
  <c r="AM3" i="45"/>
  <c r="AS31" i="45"/>
  <c r="AM31" i="45"/>
  <c r="AS19" i="45"/>
  <c r="AM19" i="45"/>
  <c r="AS8" i="45"/>
  <c r="AM8" i="45"/>
  <c r="AS17" i="45"/>
  <c r="AM17" i="45"/>
  <c r="AM6" i="45"/>
  <c r="AS6" i="45"/>
  <c r="AM10" i="45"/>
  <c r="AS10" i="45"/>
  <c r="AS13" i="45"/>
  <c r="AS27" i="45"/>
  <c r="AM27" i="45"/>
  <c r="AS15" i="45"/>
  <c r="AM15" i="45"/>
  <c r="AS4" i="45"/>
  <c r="AM4" i="45"/>
  <c r="AL53" i="11"/>
  <c r="AJ53" i="45"/>
  <c r="AA53" i="45"/>
  <c r="AM32" i="45"/>
  <c r="AS32" i="45"/>
  <c r="AS35" i="45"/>
  <c r="AM24" i="45"/>
  <c r="AS24" i="45"/>
  <c r="AS12" i="45"/>
  <c r="AM12" i="45"/>
  <c r="AF53" i="45"/>
  <c r="W53" i="45"/>
  <c r="N53" i="45"/>
  <c r="AS34" i="45"/>
  <c r="AM34" i="45"/>
  <c r="AS22" i="45"/>
  <c r="AM22" i="45"/>
  <c r="AC53" i="14"/>
  <c r="Y53" i="14"/>
  <c r="AJ53" i="14"/>
  <c r="AD53" i="14"/>
  <c r="M53" i="14"/>
  <c r="AK53" i="14"/>
  <c r="W53" i="14"/>
  <c r="S53" i="14"/>
  <c r="AH53" i="14"/>
  <c r="AB53" i="14"/>
  <c r="X53" i="14"/>
  <c r="O53" i="14"/>
  <c r="L53" i="14"/>
  <c r="K53" i="14"/>
  <c r="T53" i="14"/>
  <c r="AI53" i="14"/>
  <c r="AE53" i="14"/>
  <c r="Q53" i="14"/>
  <c r="V53" i="14"/>
  <c r="R53" i="14"/>
  <c r="AG53" i="14"/>
  <c r="Z53" i="14"/>
  <c r="P53" i="14"/>
  <c r="AF53" i="14"/>
  <c r="AA53" i="14"/>
  <c r="U53" i="14"/>
  <c r="N53" i="14"/>
  <c r="AS17" i="15"/>
  <c r="AS19" i="15"/>
  <c r="AS18" i="15"/>
  <c r="AS6" i="15"/>
  <c r="AS30" i="15"/>
  <c r="AS11" i="15"/>
  <c r="AS5" i="15"/>
  <c r="AS22" i="15"/>
  <c r="AS15" i="15"/>
  <c r="AS12" i="15"/>
  <c r="AS33" i="15"/>
  <c r="AS4" i="15"/>
  <c r="AS20" i="15"/>
  <c r="AS25" i="15"/>
  <c r="AS13" i="15"/>
  <c r="AS9" i="15"/>
  <c r="AS16" i="15"/>
  <c r="AS27" i="15"/>
  <c r="AS32" i="15"/>
  <c r="AS26" i="15"/>
  <c r="AS21" i="15"/>
  <c r="AS8" i="15"/>
  <c r="AS10" i="15"/>
  <c r="AS34" i="15"/>
  <c r="AS24" i="15"/>
  <c r="AS28" i="15"/>
  <c r="AS14" i="15"/>
  <c r="AS31" i="15"/>
  <c r="AS35" i="15"/>
  <c r="AS29" i="15"/>
  <c r="AS23" i="15"/>
  <c r="AS7" i="15"/>
  <c r="AG8" i="38"/>
  <c r="X8" i="37"/>
  <c r="AB8" i="37"/>
  <c r="AJ8" i="37"/>
  <c r="AD8" i="37"/>
  <c r="W7" i="32"/>
  <c r="AK7" i="32"/>
  <c r="AG7" i="32"/>
  <c r="Z8" i="37"/>
  <c r="S7" i="31"/>
  <c r="AL7" i="31"/>
  <c r="AL10" i="39"/>
  <c r="AI7" i="32"/>
  <c r="V8" i="37"/>
  <c r="AG10" i="39"/>
  <c r="T6" i="36"/>
  <c r="AE8" i="38"/>
  <c r="Y7" i="31"/>
  <c r="AH7" i="31"/>
  <c r="Z6" i="36"/>
  <c r="AC8" i="37"/>
  <c r="AD6" i="36"/>
  <c r="U7" i="32"/>
  <c r="AE8" i="37"/>
  <c r="W8" i="37"/>
  <c r="AK8" i="37"/>
  <c r="AI8" i="37"/>
  <c r="AC7" i="31"/>
  <c r="AM3" i="34"/>
  <c r="W7" i="34"/>
  <c r="AH6" i="36"/>
  <c r="AI7" i="34"/>
  <c r="AF6" i="36"/>
  <c r="AA8" i="37"/>
  <c r="AI6" i="36"/>
  <c r="AK10" i="39"/>
  <c r="AA7" i="32"/>
  <c r="T10" i="39"/>
  <c r="AM3" i="37"/>
  <c r="Y8" i="37"/>
  <c r="AD10" i="39"/>
  <c r="Z10" i="39"/>
  <c r="Y8" i="38"/>
  <c r="AK7" i="34"/>
  <c r="AF8" i="37"/>
  <c r="AE7" i="31"/>
  <c r="Y7" i="34"/>
  <c r="AH7" i="34"/>
  <c r="Q7" i="31"/>
  <c r="U8" i="38"/>
  <c r="AK8" i="38"/>
  <c r="AB10" i="39"/>
  <c r="AA7" i="34"/>
  <c r="AM5" i="37"/>
  <c r="W8" i="38"/>
  <c r="AC8" i="38"/>
  <c r="R8" i="37"/>
  <c r="V10" i="39"/>
  <c r="AG8" i="37"/>
  <c r="AM5" i="31"/>
  <c r="S7" i="34"/>
  <c r="AM4" i="38"/>
  <c r="AJ8" i="38"/>
  <c r="Y7" i="32"/>
  <c r="U8" i="37"/>
  <c r="AG7" i="34"/>
  <c r="AA8" i="38"/>
  <c r="AM5" i="39"/>
  <c r="AH8" i="37"/>
  <c r="AM6" i="31"/>
  <c r="AM3" i="39"/>
  <c r="AM3" i="36"/>
  <c r="AL8" i="38"/>
  <c r="AE7" i="34"/>
  <c r="AB6" i="36"/>
  <c r="X10" i="39"/>
  <c r="AM6" i="34"/>
  <c r="W7" i="31"/>
  <c r="AL6" i="36"/>
  <c r="AI7" i="31"/>
  <c r="AH10" i="39"/>
  <c r="AE7" i="32"/>
  <c r="AC7" i="34"/>
  <c r="AA7" i="31"/>
  <c r="X6" i="36"/>
  <c r="AM5" i="34"/>
  <c r="AD7" i="31"/>
  <c r="Q7" i="34"/>
  <c r="AL8" i="37"/>
  <c r="AM4" i="36"/>
  <c r="AM5" i="38"/>
  <c r="AM3" i="31"/>
  <c r="AM6" i="39"/>
  <c r="AM4" i="32"/>
  <c r="U7" i="34"/>
  <c r="AM3" i="38"/>
  <c r="AK7" i="31"/>
  <c r="AM4" i="39"/>
  <c r="AI8" i="38"/>
  <c r="AM4" i="34"/>
  <c r="AC7" i="32"/>
  <c r="AH8" i="38"/>
  <c r="AM6" i="37"/>
  <c r="AM4" i="31"/>
  <c r="AF10" i="39"/>
  <c r="V6" i="36"/>
  <c r="AJ10" i="39"/>
  <c r="AJ6" i="36"/>
  <c r="AK6" i="36"/>
  <c r="AM3" i="35"/>
  <c r="AM3" i="33"/>
  <c r="AG7" i="31"/>
  <c r="AM4" i="37"/>
  <c r="R11" i="24"/>
  <c r="O4" i="6"/>
  <c r="R7" i="30"/>
  <c r="AH7" i="30"/>
  <c r="AJ7" i="30"/>
  <c r="X11" i="24"/>
  <c r="AJ11" i="24"/>
  <c r="AB7" i="30"/>
  <c r="K11" i="24"/>
  <c r="AD11" i="24"/>
  <c r="X7" i="30"/>
  <c r="AD7" i="30"/>
  <c r="T7" i="30"/>
  <c r="AF7" i="30"/>
  <c r="M7" i="30"/>
  <c r="Z7" i="30"/>
  <c r="Q7" i="30"/>
  <c r="N11" i="24"/>
  <c r="AL7" i="30"/>
  <c r="L11" i="24"/>
  <c r="J11" i="24"/>
  <c r="T11" i="24"/>
  <c r="O7" i="30"/>
  <c r="Q11" i="24"/>
  <c r="M11" i="24"/>
  <c r="O11" i="24"/>
  <c r="AL11" i="24"/>
  <c r="AF11" i="24"/>
  <c r="AH11" i="24"/>
  <c r="AB11" i="24"/>
  <c r="Z11" i="24"/>
  <c r="S7" i="30"/>
  <c r="AC7" i="30"/>
  <c r="AE11" i="24"/>
  <c r="AA7" i="30"/>
  <c r="AI11" i="24"/>
  <c r="Y7" i="30"/>
  <c r="U7" i="30"/>
  <c r="AG7" i="30"/>
  <c r="W7" i="30"/>
  <c r="Y11" i="24"/>
  <c r="AK7" i="30"/>
  <c r="AI7" i="30"/>
  <c r="AE7" i="30"/>
  <c r="AK11" i="24"/>
  <c r="W11" i="24"/>
  <c r="AG11" i="24"/>
  <c r="AM5" i="30"/>
  <c r="AM5" i="24"/>
  <c r="AC11" i="24"/>
  <c r="S11" i="24"/>
  <c r="V11" i="24"/>
  <c r="AA11" i="24"/>
  <c r="U11" i="24"/>
  <c r="AM6" i="24"/>
  <c r="AM4" i="30"/>
  <c r="AM4" i="24"/>
  <c r="AM9" i="24"/>
  <c r="I11" i="24"/>
  <c r="I12" i="24" s="1"/>
  <c r="P7" i="30"/>
  <c r="P11" i="24"/>
  <c r="V7" i="30"/>
  <c r="AM3" i="30"/>
  <c r="AM3" i="24"/>
  <c r="Q53" i="15"/>
  <c r="AM26" i="15"/>
  <c r="AM4" i="15"/>
  <c r="AM27" i="15"/>
  <c r="AE53" i="15"/>
  <c r="AF53" i="15"/>
  <c r="T53" i="15"/>
  <c r="AM24" i="15"/>
  <c r="U53" i="15"/>
  <c r="AI53" i="15"/>
  <c r="AC53" i="15"/>
  <c r="S53" i="15"/>
  <c r="R53" i="15"/>
  <c r="AM30" i="15"/>
  <c r="AL53" i="15"/>
  <c r="AK53" i="15"/>
  <c r="AD53" i="15"/>
  <c r="Y53" i="15"/>
  <c r="W53" i="15"/>
  <c r="AM8" i="15"/>
  <c r="AM34" i="15"/>
  <c r="AM19" i="15"/>
  <c r="Z53" i="15"/>
  <c r="X53" i="15"/>
  <c r="AM33" i="15"/>
  <c r="AM12" i="15"/>
  <c r="AJ53" i="15"/>
  <c r="AM5" i="15"/>
  <c r="AM29" i="15"/>
  <c r="M53" i="15"/>
  <c r="AM10" i="15"/>
  <c r="AM22" i="15"/>
  <c r="AM13" i="15"/>
  <c r="AM32" i="15"/>
  <c r="AM15" i="15"/>
  <c r="AM9" i="15"/>
  <c r="N53" i="15"/>
  <c r="AM16" i="15"/>
  <c r="AM21" i="15"/>
  <c r="AM35" i="15"/>
  <c r="AM17" i="15"/>
  <c r="L53" i="15"/>
  <c r="AM23" i="15"/>
  <c r="AM20" i="15"/>
  <c r="AM14" i="15"/>
  <c r="AM7" i="15"/>
  <c r="AM25" i="15"/>
  <c r="AM11" i="15"/>
  <c r="AM28" i="15"/>
  <c r="AB53" i="15"/>
  <c r="V53" i="15"/>
  <c r="AG53" i="15"/>
  <c r="AA53" i="15"/>
  <c r="P53" i="15"/>
  <c r="AM31" i="15"/>
  <c r="AM18" i="15"/>
  <c r="AM6" i="15"/>
  <c r="O53" i="15"/>
  <c r="AL24" i="14"/>
  <c r="AL29" i="14"/>
  <c r="AL28" i="14"/>
  <c r="AL22" i="14"/>
  <c r="AL13" i="14"/>
  <c r="AL32" i="14"/>
  <c r="AL15" i="14"/>
  <c r="AL9" i="14"/>
  <c r="AL31" i="14"/>
  <c r="AL25" i="14"/>
  <c r="AH53" i="15"/>
  <c r="AL34" i="14"/>
  <c r="AL11" i="14"/>
  <c r="AL4" i="14"/>
  <c r="AL23" i="14"/>
  <c r="AL20" i="14"/>
  <c r="AL14" i="14"/>
  <c r="AL7" i="14"/>
  <c r="AL8" i="14"/>
  <c r="AL26" i="14"/>
  <c r="AL18" i="14"/>
  <c r="AL12" i="14"/>
  <c r="AL35" i="14"/>
  <c r="AL17" i="14"/>
  <c r="AL6" i="14"/>
  <c r="AL30" i="14"/>
  <c r="AL33" i="14"/>
  <c r="AL16" i="14"/>
  <c r="AL21" i="14"/>
  <c r="AL27" i="14"/>
  <c r="AL19" i="14"/>
  <c r="AL5" i="14"/>
  <c r="AL10" i="14"/>
  <c r="C4" i="6"/>
  <c r="D4" i="6"/>
  <c r="J7" i="36" l="1"/>
  <c r="K7" i="36" s="1"/>
  <c r="J8" i="34"/>
  <c r="K8" i="34" s="1"/>
  <c r="J8" i="31"/>
  <c r="K8" i="31" s="1"/>
  <c r="AM53" i="42"/>
  <c r="R54" i="42"/>
  <c r="S54" i="42" s="1"/>
  <c r="T54" i="42" s="1"/>
  <c r="U54" i="42" s="1"/>
  <c r="V54" i="42" s="1"/>
  <c r="W54" i="42" s="1"/>
  <c r="X54" i="42" s="1"/>
  <c r="Y54" i="42" s="1"/>
  <c r="Z54" i="42" s="1"/>
  <c r="AA54" i="42" s="1"/>
  <c r="AB54" i="42" s="1"/>
  <c r="AC54" i="42" s="1"/>
  <c r="AD54" i="42" s="1"/>
  <c r="AE54" i="42" s="1"/>
  <c r="AF54" i="42" s="1"/>
  <c r="AG54" i="42" s="1"/>
  <c r="AH54" i="42" s="1"/>
  <c r="AI54" i="42" s="1"/>
  <c r="AJ54" i="42" s="1"/>
  <c r="AK54" i="42" s="1"/>
  <c r="AL54" i="42" s="1"/>
  <c r="AM7" i="34"/>
  <c r="AM7" i="31"/>
  <c r="AM6" i="36"/>
  <c r="J12" i="24"/>
  <c r="AM11" i="24"/>
  <c r="O18" i="5"/>
  <c r="O17" i="5"/>
  <c r="O16" i="5"/>
  <c r="O15" i="5"/>
  <c r="O14" i="5"/>
  <c r="O13" i="5"/>
  <c r="O11" i="5"/>
  <c r="O10" i="5"/>
  <c r="O8" i="5"/>
  <c r="O7" i="5"/>
  <c r="O6" i="5"/>
  <c r="O5" i="5"/>
  <c r="O4" i="5"/>
  <c r="K3" i="32"/>
  <c r="K3" i="15"/>
  <c r="I3" i="32"/>
  <c r="J3" i="32"/>
  <c r="I3" i="14"/>
  <c r="I3" i="15"/>
  <c r="J3" i="14"/>
  <c r="I42" i="43" l="1"/>
  <c r="H42" i="43"/>
  <c r="J42" i="43"/>
  <c r="H50" i="43"/>
  <c r="J50" i="43"/>
  <c r="I50" i="43"/>
  <c r="I51" i="43"/>
  <c r="J51" i="43"/>
  <c r="H51" i="43"/>
  <c r="I44" i="43"/>
  <c r="J44" i="43"/>
  <c r="H44" i="43"/>
  <c r="J38" i="43"/>
  <c r="I38" i="43"/>
  <c r="H38" i="43"/>
  <c r="J45" i="43"/>
  <c r="H45" i="43"/>
  <c r="I45" i="43"/>
  <c r="I52" i="43"/>
  <c r="H52" i="43"/>
  <c r="J52" i="43"/>
  <c r="I39" i="43"/>
  <c r="H39" i="43"/>
  <c r="J39" i="43"/>
  <c r="I47" i="43"/>
  <c r="H47" i="43"/>
  <c r="J47" i="43"/>
  <c r="I48" i="43"/>
  <c r="H48" i="43"/>
  <c r="J48" i="43"/>
  <c r="H40" i="43"/>
  <c r="J40" i="43"/>
  <c r="I40" i="43"/>
  <c r="I41" i="43"/>
  <c r="J41" i="43"/>
  <c r="H41" i="43"/>
  <c r="I49" i="43"/>
  <c r="J49" i="43"/>
  <c r="H49" i="43"/>
  <c r="K12" i="24"/>
  <c r="L8" i="31"/>
  <c r="L8" i="34"/>
  <c r="L7" i="36"/>
  <c r="AM3" i="32"/>
  <c r="J3" i="15"/>
  <c r="H3" i="14"/>
  <c r="H40" i="9" l="1"/>
  <c r="AM40" i="43"/>
  <c r="I40" i="45"/>
  <c r="I41" i="9"/>
  <c r="J41" i="45"/>
  <c r="H47" i="9"/>
  <c r="AM47" i="43"/>
  <c r="I47" i="45"/>
  <c r="J52" i="9"/>
  <c r="K52" i="45"/>
  <c r="H38" i="9"/>
  <c r="H53" i="43"/>
  <c r="H54" i="43" s="1"/>
  <c r="AM38" i="43"/>
  <c r="I38" i="45"/>
  <c r="H51" i="9"/>
  <c r="AM51" i="43"/>
  <c r="I51" i="45"/>
  <c r="H50" i="9"/>
  <c r="AM50" i="43"/>
  <c r="I50" i="45"/>
  <c r="I40" i="9"/>
  <c r="J40" i="45"/>
  <c r="I47" i="9"/>
  <c r="J47" i="45"/>
  <c r="H52" i="9"/>
  <c r="AM52" i="43"/>
  <c r="I52" i="45"/>
  <c r="I38" i="9"/>
  <c r="I53" i="43"/>
  <c r="J38" i="45"/>
  <c r="J51" i="9"/>
  <c r="K51" i="45"/>
  <c r="J42" i="9"/>
  <c r="K42" i="45"/>
  <c r="J40" i="9"/>
  <c r="K40" i="45"/>
  <c r="J48" i="9"/>
  <c r="K48" i="45"/>
  <c r="J39" i="9"/>
  <c r="K39" i="45"/>
  <c r="I52" i="9"/>
  <c r="J52" i="45"/>
  <c r="J53" i="43"/>
  <c r="J38" i="9"/>
  <c r="K38" i="45"/>
  <c r="I51" i="9"/>
  <c r="J51" i="45"/>
  <c r="H42" i="9"/>
  <c r="AM42" i="43"/>
  <c r="I42" i="45"/>
  <c r="I49" i="9"/>
  <c r="J49" i="45"/>
  <c r="H39" i="9"/>
  <c r="AM39" i="43"/>
  <c r="I39" i="45"/>
  <c r="I45" i="9"/>
  <c r="J45" i="45"/>
  <c r="H44" i="9"/>
  <c r="AM44" i="43"/>
  <c r="I44" i="45"/>
  <c r="I42" i="9"/>
  <c r="J42" i="45"/>
  <c r="J49" i="9"/>
  <c r="K49" i="45"/>
  <c r="I48" i="9"/>
  <c r="J48" i="45"/>
  <c r="H45" i="9"/>
  <c r="AM45" i="43"/>
  <c r="I45" i="45"/>
  <c r="J44" i="9"/>
  <c r="K44" i="45"/>
  <c r="I50" i="9"/>
  <c r="J50" i="45"/>
  <c r="H49" i="9"/>
  <c r="AM49" i="43"/>
  <c r="I49" i="45"/>
  <c r="H48" i="9"/>
  <c r="AM48" i="43"/>
  <c r="I48" i="45"/>
  <c r="H41" i="9"/>
  <c r="AM41" i="43"/>
  <c r="I41" i="45"/>
  <c r="I39" i="9"/>
  <c r="J39" i="45"/>
  <c r="J41" i="9"/>
  <c r="K41" i="45"/>
  <c r="J47" i="9"/>
  <c r="K47" i="45"/>
  <c r="J45" i="9"/>
  <c r="K45" i="45"/>
  <c r="I44" i="9"/>
  <c r="J44" i="45"/>
  <c r="J50" i="9"/>
  <c r="K50" i="45"/>
  <c r="AL3" i="14"/>
  <c r="AS3" i="15"/>
  <c r="L12" i="24"/>
  <c r="M8" i="31"/>
  <c r="M8" i="34"/>
  <c r="M7" i="36"/>
  <c r="AM3" i="15"/>
  <c r="I54" i="43" l="1"/>
  <c r="I50" i="14"/>
  <c r="J50" i="15"/>
  <c r="J5" i="33" s="1"/>
  <c r="AS41" i="45"/>
  <c r="AM41" i="45"/>
  <c r="AM49" i="45"/>
  <c r="AS49" i="45"/>
  <c r="J44" i="14"/>
  <c r="K44" i="15"/>
  <c r="K4" i="35" s="1"/>
  <c r="AM44" i="9"/>
  <c r="H44" i="14"/>
  <c r="I44" i="15"/>
  <c r="I51" i="14"/>
  <c r="J51" i="15"/>
  <c r="J7" i="38" s="1"/>
  <c r="I53" i="9"/>
  <c r="I38" i="14"/>
  <c r="J38" i="15"/>
  <c r="I41" i="14"/>
  <c r="J41" i="15"/>
  <c r="J8" i="39" s="1"/>
  <c r="J50" i="14"/>
  <c r="K50" i="15"/>
  <c r="K5" i="33" s="1"/>
  <c r="J47" i="14"/>
  <c r="AM45" i="45"/>
  <c r="AS45" i="45"/>
  <c r="J49" i="14"/>
  <c r="K49" i="15"/>
  <c r="K6" i="38" s="1"/>
  <c r="I49" i="14"/>
  <c r="J49" i="15"/>
  <c r="J6" i="38" s="1"/>
  <c r="K53" i="45"/>
  <c r="J39" i="14"/>
  <c r="K39" i="15"/>
  <c r="K7" i="39"/>
  <c r="J42" i="14"/>
  <c r="K42" i="15"/>
  <c r="K6" i="32" s="1"/>
  <c r="AM52" i="45"/>
  <c r="AS52" i="45"/>
  <c r="I40" i="14"/>
  <c r="J40" i="15"/>
  <c r="J4" i="33" s="1"/>
  <c r="AM51" i="9"/>
  <c r="H51" i="14"/>
  <c r="I51" i="15"/>
  <c r="J52" i="14"/>
  <c r="K52" i="15"/>
  <c r="K7" i="37" s="1"/>
  <c r="K8" i="37" s="1"/>
  <c r="AM41" i="9"/>
  <c r="H41" i="14"/>
  <c r="I41" i="15"/>
  <c r="AM49" i="9"/>
  <c r="H49" i="14"/>
  <c r="I49" i="15"/>
  <c r="I45" i="14"/>
  <c r="J45" i="15"/>
  <c r="J5" i="35" s="1"/>
  <c r="AS42" i="45"/>
  <c r="AM42" i="45"/>
  <c r="J53" i="9"/>
  <c r="J38" i="14"/>
  <c r="K38" i="15"/>
  <c r="AM50" i="45"/>
  <c r="AS50" i="45"/>
  <c r="AS38" i="45"/>
  <c r="AM38" i="45"/>
  <c r="I53" i="45"/>
  <c r="AS47" i="45"/>
  <c r="AM47" i="45"/>
  <c r="AS40" i="45"/>
  <c r="AM40" i="45"/>
  <c r="J41" i="14"/>
  <c r="K41" i="15"/>
  <c r="K8" i="39" s="1"/>
  <c r="AS48" i="45"/>
  <c r="AM48" i="45"/>
  <c r="AM45" i="9"/>
  <c r="H45" i="14"/>
  <c r="I45" i="15"/>
  <c r="I42" i="14"/>
  <c r="J42" i="15"/>
  <c r="J6" i="32" s="1"/>
  <c r="AS39" i="45"/>
  <c r="AM39" i="45"/>
  <c r="J48" i="14"/>
  <c r="K48" i="15"/>
  <c r="K9" i="39" s="1"/>
  <c r="J51" i="14"/>
  <c r="K51" i="15"/>
  <c r="K7" i="38" s="1"/>
  <c r="AM52" i="9"/>
  <c r="H52" i="14"/>
  <c r="I52" i="15"/>
  <c r="AM53" i="43"/>
  <c r="I44" i="14"/>
  <c r="J44" i="15"/>
  <c r="J4" i="35" s="1"/>
  <c r="AM42" i="9"/>
  <c r="H42" i="14"/>
  <c r="I42" i="15"/>
  <c r="J53" i="45"/>
  <c r="AM50" i="9"/>
  <c r="H50" i="14"/>
  <c r="I50" i="15"/>
  <c r="J54" i="43"/>
  <c r="K54" i="43" s="1"/>
  <c r="L54" i="43" s="1"/>
  <c r="M54" i="43" s="1"/>
  <c r="N54" i="43" s="1"/>
  <c r="O54" i="43" s="1"/>
  <c r="P54" i="43" s="1"/>
  <c r="Q54" i="43" s="1"/>
  <c r="R54" i="43" s="1"/>
  <c r="S54" i="43" s="1"/>
  <c r="T54" i="43" s="1"/>
  <c r="U54" i="43" s="1"/>
  <c r="V54" i="43" s="1"/>
  <c r="W54" i="43" s="1"/>
  <c r="X54" i="43" s="1"/>
  <c r="Y54" i="43" s="1"/>
  <c r="Z54" i="43" s="1"/>
  <c r="AA54" i="43" s="1"/>
  <c r="AB54" i="43" s="1"/>
  <c r="AC54" i="43" s="1"/>
  <c r="AD54" i="43" s="1"/>
  <c r="AE54" i="43" s="1"/>
  <c r="AF54" i="43" s="1"/>
  <c r="AG54" i="43" s="1"/>
  <c r="AH54" i="43" s="1"/>
  <c r="AI54" i="43" s="1"/>
  <c r="AJ54" i="43" s="1"/>
  <c r="AK54" i="43" s="1"/>
  <c r="AL54" i="43" s="1"/>
  <c r="AM47" i="9"/>
  <c r="H47" i="14"/>
  <c r="AM40" i="9"/>
  <c r="H40" i="14"/>
  <c r="I40" i="15"/>
  <c r="AM44" i="45"/>
  <c r="AS44" i="45"/>
  <c r="J45" i="14"/>
  <c r="K45" i="15"/>
  <c r="K5" i="35" s="1"/>
  <c r="I39" i="14"/>
  <c r="J7" i="39"/>
  <c r="J39" i="15"/>
  <c r="AM48" i="9"/>
  <c r="H48" i="14"/>
  <c r="I48" i="15"/>
  <c r="I48" i="14"/>
  <c r="J48" i="15"/>
  <c r="J9" i="39" s="1"/>
  <c r="AM39" i="9"/>
  <c r="H39" i="14"/>
  <c r="I7" i="39"/>
  <c r="I39" i="15"/>
  <c r="I52" i="14"/>
  <c r="J52" i="15"/>
  <c r="J7" i="37" s="1"/>
  <c r="J8" i="37" s="1"/>
  <c r="J40" i="14"/>
  <c r="K40" i="15"/>
  <c r="K4" i="33" s="1"/>
  <c r="I47" i="14"/>
  <c r="AS51" i="45"/>
  <c r="AM51" i="45"/>
  <c r="H53" i="9"/>
  <c r="AM38" i="9"/>
  <c r="H38" i="14"/>
  <c r="I38" i="15"/>
  <c r="M12" i="24"/>
  <c r="N8" i="31"/>
  <c r="N8" i="34"/>
  <c r="N7" i="36"/>
  <c r="K6" i="33" l="1"/>
  <c r="AL50" i="14"/>
  <c r="J6" i="35"/>
  <c r="J8" i="38"/>
  <c r="AL49" i="14"/>
  <c r="AL42" i="14"/>
  <c r="J6" i="33"/>
  <c r="AL45" i="14"/>
  <c r="I6" i="38"/>
  <c r="AS49" i="15"/>
  <c r="AM49" i="15"/>
  <c r="K6" i="35"/>
  <c r="AM6" i="30"/>
  <c r="AM7" i="30" s="1"/>
  <c r="I7" i="30"/>
  <c r="I8" i="30" s="1"/>
  <c r="K5" i="32"/>
  <c r="K7" i="32" s="1"/>
  <c r="AL48" i="14"/>
  <c r="AL47" i="14"/>
  <c r="I7" i="37"/>
  <c r="AS52" i="15"/>
  <c r="AM52" i="15"/>
  <c r="J53" i="14"/>
  <c r="I7" i="38"/>
  <c r="AM7" i="38" s="1"/>
  <c r="AS51" i="15"/>
  <c r="AM51" i="15"/>
  <c r="I5" i="32"/>
  <c r="AS38" i="15"/>
  <c r="AM38" i="15"/>
  <c r="J53" i="15"/>
  <c r="J7" i="30"/>
  <c r="AM39" i="15"/>
  <c r="AS39" i="15"/>
  <c r="I6" i="32"/>
  <c r="AM6" i="32" s="1"/>
  <c r="AM42" i="15"/>
  <c r="AS42" i="15"/>
  <c r="AL52" i="14"/>
  <c r="I8" i="39"/>
  <c r="AM8" i="39" s="1"/>
  <c r="AS41" i="15"/>
  <c r="AM41" i="15"/>
  <c r="AL51" i="14"/>
  <c r="I4" i="35"/>
  <c r="AS44" i="15"/>
  <c r="AM44" i="15"/>
  <c r="AM7" i="39"/>
  <c r="I4" i="33"/>
  <c r="AS40" i="15"/>
  <c r="AM40" i="15"/>
  <c r="I54" i="45"/>
  <c r="J54" i="45" s="1"/>
  <c r="K54" i="45" s="1"/>
  <c r="L54" i="45" s="1"/>
  <c r="M54" i="45" s="1"/>
  <c r="N54" i="45" s="1"/>
  <c r="O54" i="45" s="1"/>
  <c r="P54" i="45" s="1"/>
  <c r="Q54" i="45" s="1"/>
  <c r="R54" i="45" s="1"/>
  <c r="S54" i="45" s="1"/>
  <c r="T54" i="45" s="1"/>
  <c r="U54" i="45" s="1"/>
  <c r="V54" i="45" s="1"/>
  <c r="W54" i="45" s="1"/>
  <c r="X54" i="45" s="1"/>
  <c r="Y54" i="45" s="1"/>
  <c r="Z54" i="45" s="1"/>
  <c r="AA54" i="45" s="1"/>
  <c r="AB54" i="45" s="1"/>
  <c r="AC54" i="45" s="1"/>
  <c r="AD54" i="45" s="1"/>
  <c r="AE54" i="45" s="1"/>
  <c r="AF54" i="45" s="1"/>
  <c r="AG54" i="45" s="1"/>
  <c r="AH54" i="45" s="1"/>
  <c r="AI54" i="45" s="1"/>
  <c r="AJ54" i="45" s="1"/>
  <c r="AK54" i="45" s="1"/>
  <c r="AL54" i="45" s="1"/>
  <c r="AS53" i="45"/>
  <c r="AL41" i="14"/>
  <c r="J5" i="32"/>
  <c r="J7" i="32" s="1"/>
  <c r="AL44" i="14"/>
  <c r="I9" i="39"/>
  <c r="AM9" i="39" s="1"/>
  <c r="AS48" i="15"/>
  <c r="AM48" i="15"/>
  <c r="AL38" i="14"/>
  <c r="H53" i="14"/>
  <c r="H54" i="14" s="1"/>
  <c r="AM53" i="9"/>
  <c r="AL39" i="14"/>
  <c r="J10" i="39"/>
  <c r="AL40" i="14"/>
  <c r="I5" i="33"/>
  <c r="AM5" i="33" s="1"/>
  <c r="AS50" i="15"/>
  <c r="AM50" i="15"/>
  <c r="I5" i="35"/>
  <c r="AM5" i="35" s="1"/>
  <c r="AS45" i="15"/>
  <c r="AM45" i="15"/>
  <c r="AM53" i="45"/>
  <c r="K10" i="39"/>
  <c r="K8" i="38"/>
  <c r="K53" i="15"/>
  <c r="K7" i="30"/>
  <c r="I53" i="14"/>
  <c r="N12" i="24"/>
  <c r="O8" i="31"/>
  <c r="O8" i="34"/>
  <c r="O7" i="36"/>
  <c r="J8" i="30" l="1"/>
  <c r="K8" i="30" s="1"/>
  <c r="L8" i="30" s="1"/>
  <c r="M8" i="30" s="1"/>
  <c r="N8" i="30" s="1"/>
  <c r="O8" i="30" s="1"/>
  <c r="P8" i="30" s="1"/>
  <c r="AM10" i="39"/>
  <c r="I54" i="14"/>
  <c r="J54" i="14" s="1"/>
  <c r="K54" i="14" s="1"/>
  <c r="L54" i="14" s="1"/>
  <c r="M54" i="14" s="1"/>
  <c r="N54" i="14" s="1"/>
  <c r="O54" i="14" s="1"/>
  <c r="P54" i="14" s="1"/>
  <c r="Q54" i="14" s="1"/>
  <c r="R54" i="14" s="1"/>
  <c r="S54" i="14" s="1"/>
  <c r="T54" i="14" s="1"/>
  <c r="U54" i="14" s="1"/>
  <c r="V54" i="14" s="1"/>
  <c r="W54" i="14" s="1"/>
  <c r="X54" i="14" s="1"/>
  <c r="Y54" i="14" s="1"/>
  <c r="Z54" i="14" s="1"/>
  <c r="AA54" i="14" s="1"/>
  <c r="AB54" i="14" s="1"/>
  <c r="AC54" i="14" s="1"/>
  <c r="AD54" i="14" s="1"/>
  <c r="AE54" i="14" s="1"/>
  <c r="AF54" i="14" s="1"/>
  <c r="AG54" i="14" s="1"/>
  <c r="AH54" i="14" s="1"/>
  <c r="AI54" i="14" s="1"/>
  <c r="AJ54" i="14" s="1"/>
  <c r="AK54" i="14" s="1"/>
  <c r="I10" i="39"/>
  <c r="I11" i="39" s="1"/>
  <c r="J11" i="39" s="1"/>
  <c r="K11" i="39" s="1"/>
  <c r="L11" i="39" s="1"/>
  <c r="M11" i="39" s="1"/>
  <c r="N11" i="39" s="1"/>
  <c r="O11" i="39" s="1"/>
  <c r="P11" i="39" s="1"/>
  <c r="AM6" i="38"/>
  <c r="AM8" i="38" s="1"/>
  <c r="I8" i="38"/>
  <c r="I9" i="38" s="1"/>
  <c r="J9" i="38" s="1"/>
  <c r="K9" i="38" s="1"/>
  <c r="L9" i="38" s="1"/>
  <c r="M9" i="38" s="1"/>
  <c r="N9" i="38" s="1"/>
  <c r="O9" i="38" s="1"/>
  <c r="P9" i="38" s="1"/>
  <c r="AS53" i="15"/>
  <c r="I54" i="15"/>
  <c r="J54" i="15" s="1"/>
  <c r="K54" i="15" s="1"/>
  <c r="L54" i="15" s="1"/>
  <c r="M54" i="15" s="1"/>
  <c r="N54" i="15" s="1"/>
  <c r="O54" i="15" s="1"/>
  <c r="P54" i="15" s="1"/>
  <c r="Q54" i="15" s="1"/>
  <c r="R54" i="15" s="1"/>
  <c r="S54" i="15" s="1"/>
  <c r="T54" i="15" s="1"/>
  <c r="U54" i="15" s="1"/>
  <c r="V54" i="15" s="1"/>
  <c r="W54" i="15" s="1"/>
  <c r="X54" i="15" s="1"/>
  <c r="Y54" i="15" s="1"/>
  <c r="Z54" i="15" s="1"/>
  <c r="AA54" i="15" s="1"/>
  <c r="AB54" i="15" s="1"/>
  <c r="AC54" i="15" s="1"/>
  <c r="AD54" i="15" s="1"/>
  <c r="AE54" i="15" s="1"/>
  <c r="AF54" i="15" s="1"/>
  <c r="AG54" i="15" s="1"/>
  <c r="AH54" i="15" s="1"/>
  <c r="AI54" i="15" s="1"/>
  <c r="AJ54" i="15" s="1"/>
  <c r="AK54" i="15" s="1"/>
  <c r="AL54" i="15" s="1"/>
  <c r="AM4" i="35"/>
  <c r="AM6" i="35" s="1"/>
  <c r="I6" i="35"/>
  <c r="I7" i="35" s="1"/>
  <c r="J7" i="35" s="1"/>
  <c r="K7" i="35" s="1"/>
  <c r="L7" i="35" s="1"/>
  <c r="M7" i="35" s="1"/>
  <c r="N7" i="35" s="1"/>
  <c r="O7" i="35" s="1"/>
  <c r="P7" i="35" s="1"/>
  <c r="Q7" i="35" s="1"/>
  <c r="AM5" i="32"/>
  <c r="AM7" i="32" s="1"/>
  <c r="I7" i="32"/>
  <c r="I8" i="32" s="1"/>
  <c r="J8" i="32" s="1"/>
  <c r="K8" i="32" s="1"/>
  <c r="L8" i="32" s="1"/>
  <c r="M8" i="32" s="1"/>
  <c r="AL53" i="14"/>
  <c r="AM4" i="33"/>
  <c r="AM6" i="33" s="1"/>
  <c r="I6" i="33"/>
  <c r="I7" i="33" s="1"/>
  <c r="J7" i="33" s="1"/>
  <c r="K7" i="33" s="1"/>
  <c r="L7" i="33" s="1"/>
  <c r="M7" i="33" s="1"/>
  <c r="N7" i="33" s="1"/>
  <c r="O7" i="33" s="1"/>
  <c r="P7" i="33" s="1"/>
  <c r="Q7" i="33" s="1"/>
  <c r="AM7" i="37"/>
  <c r="AM8" i="37" s="1"/>
  <c r="I8" i="37"/>
  <c r="I9" i="37" s="1"/>
  <c r="J9" i="37" s="1"/>
  <c r="K9" i="37" s="1"/>
  <c r="L9" i="37" s="1"/>
  <c r="M9" i="37" s="1"/>
  <c r="N9" i="37" s="1"/>
  <c r="O9" i="37" s="1"/>
  <c r="P9" i="37" s="1"/>
  <c r="AM47" i="15"/>
  <c r="AS47" i="15"/>
  <c r="O12" i="24"/>
  <c r="P8" i="31"/>
  <c r="P8" i="34"/>
  <c r="P7" i="36"/>
  <c r="AM53" i="15" l="1"/>
  <c r="P12" i="24"/>
  <c r="Q8" i="30"/>
  <c r="Q8" i="31"/>
  <c r="N8" i="32"/>
  <c r="R7" i="33"/>
  <c r="Q8" i="34"/>
  <c r="R7" i="35"/>
  <c r="Q7" i="36"/>
  <c r="Q9" i="37"/>
  <c r="Q9" i="38"/>
  <c r="Q11" i="39"/>
  <c r="Q12" i="24" l="1"/>
  <c r="R8" i="30"/>
  <c r="R8" i="31"/>
  <c r="O8" i="32"/>
  <c r="S7" i="33"/>
  <c r="R8" i="34"/>
  <c r="S7" i="35"/>
  <c r="R7" i="36"/>
  <c r="R9" i="37"/>
  <c r="R9" i="38"/>
  <c r="R11" i="39"/>
  <c r="R12" i="24" l="1"/>
  <c r="S8" i="30"/>
  <c r="S8" i="31"/>
  <c r="P8" i="32"/>
  <c r="T7" i="33"/>
  <c r="S8" i="34"/>
  <c r="T7" i="35"/>
  <c r="S7" i="36"/>
  <c r="S9" i="37"/>
  <c r="S9" i="38"/>
  <c r="S11" i="39"/>
  <c r="S12" i="24" l="1"/>
  <c r="T8" i="30"/>
  <c r="T8" i="31"/>
  <c r="Q8" i="32"/>
  <c r="U7" i="33"/>
  <c r="T8" i="34"/>
  <c r="U7" i="35"/>
  <c r="T7" i="36"/>
  <c r="T9" i="37"/>
  <c r="T9" i="38"/>
  <c r="T11" i="39"/>
  <c r="T12" i="24" l="1"/>
  <c r="U8" i="30"/>
  <c r="U8" i="31"/>
  <c r="R8" i="32"/>
  <c r="V7" i="33"/>
  <c r="U8" i="34"/>
  <c r="V7" i="35"/>
  <c r="U7" i="36"/>
  <c r="U9" i="37"/>
  <c r="U9" i="38"/>
  <c r="U11" i="39"/>
  <c r="U12" i="24" l="1"/>
  <c r="V8" i="30"/>
  <c r="V8" i="31"/>
  <c r="S8" i="32"/>
  <c r="W7" i="33"/>
  <c r="V8" i="34"/>
  <c r="W7" i="35"/>
  <c r="V7" i="36"/>
  <c r="V9" i="37"/>
  <c r="V9" i="38"/>
  <c r="V11" i="39"/>
  <c r="V12" i="24" l="1"/>
  <c r="W8" i="30"/>
  <c r="W8" i="31"/>
  <c r="T8" i="32"/>
  <c r="X7" i="33"/>
  <c r="W8" i="34"/>
  <c r="X7" i="35"/>
  <c r="W7" i="36"/>
  <c r="W9" i="37"/>
  <c r="W9" i="38"/>
  <c r="W11" i="39"/>
  <c r="W12" i="24" l="1"/>
  <c r="X8" i="30"/>
  <c r="X8" i="31"/>
  <c r="U8" i="32"/>
  <c r="Y7" i="33"/>
  <c r="X8" i="34"/>
  <c r="Y7" i="35"/>
  <c r="X7" i="36"/>
  <c r="X9" i="37"/>
  <c r="X9" i="38"/>
  <c r="X11" i="39"/>
  <c r="X12" i="24" l="1"/>
  <c r="Y8" i="30"/>
  <c r="Y8" i="31"/>
  <c r="V8" i="32"/>
  <c r="Z7" i="33"/>
  <c r="Y8" i="34"/>
  <c r="Z7" i="35"/>
  <c r="Y7" i="36"/>
  <c r="Y9" i="37"/>
  <c r="Y9" i="38"/>
  <c r="Y11" i="39"/>
  <c r="Y12" i="24" l="1"/>
  <c r="Z8" i="30"/>
  <c r="Z8" i="31"/>
  <c r="W8" i="32"/>
  <c r="AA7" i="33"/>
  <c r="Z8" i="34"/>
  <c r="AA7" i="35"/>
  <c r="Z7" i="36"/>
  <c r="Z9" i="37"/>
  <c r="Z9" i="38"/>
  <c r="Z11" i="39"/>
  <c r="Z12" i="24" l="1"/>
  <c r="AA8" i="30"/>
  <c r="AA8" i="31"/>
  <c r="X8" i="32"/>
  <c r="AB7" i="33"/>
  <c r="AA8" i="34"/>
  <c r="AB7" i="35"/>
  <c r="AA7" i="36"/>
  <c r="AA9" i="37"/>
  <c r="AA9" i="38"/>
  <c r="AA11" i="39"/>
  <c r="AA12" i="24" l="1"/>
  <c r="AB8" i="30"/>
  <c r="AB8" i="31"/>
  <c r="Y8" i="32"/>
  <c r="AC7" i="33"/>
  <c r="AB8" i="34"/>
  <c r="AC7" i="35"/>
  <c r="AB7" i="36"/>
  <c r="AB9" i="37"/>
  <c r="AB9" i="38"/>
  <c r="AB11" i="39"/>
  <c r="AB12" i="24" l="1"/>
  <c r="AC8" i="30"/>
  <c r="AC8" i="31"/>
  <c r="Z8" i="32"/>
  <c r="AD7" i="33"/>
  <c r="AC8" i="34"/>
  <c r="AD7" i="35"/>
  <c r="AC7" i="36"/>
  <c r="AC9" i="37"/>
  <c r="AC9" i="38"/>
  <c r="AC11" i="39"/>
  <c r="AC12" i="24" l="1"/>
  <c r="AD8" i="30"/>
  <c r="AD8" i="31"/>
  <c r="AA8" i="32"/>
  <c r="AE7" i="33"/>
  <c r="AD8" i="34"/>
  <c r="AE7" i="35"/>
  <c r="AD7" i="36"/>
  <c r="AD9" i="37"/>
  <c r="AD9" i="38"/>
  <c r="AD11" i="39"/>
  <c r="AD12" i="24" l="1"/>
  <c r="AE8" i="30"/>
  <c r="AE8" i="31"/>
  <c r="AB8" i="32"/>
  <c r="AF7" i="33"/>
  <c r="AE8" i="34"/>
  <c r="AF7" i="35"/>
  <c r="AE7" i="36"/>
  <c r="AE9" i="37"/>
  <c r="AE9" i="38"/>
  <c r="AE11" i="39"/>
  <c r="AE12" i="24" l="1"/>
  <c r="AF8" i="30"/>
  <c r="AF8" i="31"/>
  <c r="AC8" i="32"/>
  <c r="AG7" i="33"/>
  <c r="AF8" i="34"/>
  <c r="AG7" i="35"/>
  <c r="AF7" i="36"/>
  <c r="AF9" i="37"/>
  <c r="AF9" i="38"/>
  <c r="AF11" i="39"/>
  <c r="AF12" i="24" l="1"/>
  <c r="AG8" i="30"/>
  <c r="AG8" i="31"/>
  <c r="AD8" i="32"/>
  <c r="AH7" i="33"/>
  <c r="AG8" i="34"/>
  <c r="AH7" i="35"/>
  <c r="AG7" i="36"/>
  <c r="AG9" i="37"/>
  <c r="AG9" i="38"/>
  <c r="AG11" i="39"/>
  <c r="AG12" i="24" l="1"/>
  <c r="AH8" i="30"/>
  <c r="AH8" i="31"/>
  <c r="AE8" i="32"/>
  <c r="AI7" i="33"/>
  <c r="AH8" i="34"/>
  <c r="AI7" i="35"/>
  <c r="AH7" i="36"/>
  <c r="AH9" i="37"/>
  <c r="AH9" i="38"/>
  <c r="AH11" i="39"/>
  <c r="AH12" i="24" l="1"/>
  <c r="AI8" i="30"/>
  <c r="AI8" i="31"/>
  <c r="AF8" i="32"/>
  <c r="AJ7" i="33"/>
  <c r="AI8" i="34"/>
  <c r="AJ7" i="35"/>
  <c r="AI7" i="36"/>
  <c r="AI9" i="37"/>
  <c r="AI9" i="38"/>
  <c r="AI11" i="39"/>
  <c r="AI12" i="24" l="1"/>
  <c r="AJ8" i="30"/>
  <c r="AJ8" i="31"/>
  <c r="AG8" i="32"/>
  <c r="AK7" i="33"/>
  <c r="AJ8" i="34"/>
  <c r="AK7" i="35"/>
  <c r="AJ7" i="36"/>
  <c r="AJ9" i="37"/>
  <c r="AJ9" i="38"/>
  <c r="AJ11" i="39"/>
  <c r="AJ12" i="24" l="1"/>
  <c r="AK8" i="30"/>
  <c r="AK8" i="31"/>
  <c r="AH8" i="32"/>
  <c r="AL7" i="33"/>
  <c r="AK8" i="34"/>
  <c r="AL7" i="35"/>
  <c r="AK7" i="36"/>
  <c r="AK9" i="37"/>
  <c r="AK9" i="38"/>
  <c r="AK11" i="39"/>
  <c r="AK12" i="24" l="1"/>
  <c r="AL8" i="30"/>
  <c r="AL8" i="31"/>
  <c r="AI8" i="32"/>
  <c r="AL8" i="34"/>
  <c r="AL7" i="36"/>
  <c r="AL9" i="37"/>
  <c r="AL9" i="38"/>
  <c r="AL11" i="39"/>
  <c r="AL12" i="24" l="1"/>
  <c r="AJ8" i="32"/>
  <c r="AK8" i="32" l="1"/>
  <c r="AL8" i="32" l="1"/>
  <c r="AN46" i="43" l="1"/>
  <c r="AN46" i="42"/>
  <c r="AN43" i="42"/>
  <c r="AN43" i="43"/>
  <c r="AN41" i="42"/>
  <c r="AN42" i="43"/>
  <c r="AN48" i="43"/>
  <c r="AN50" i="43"/>
  <c r="AN44" i="43"/>
  <c r="AN44" i="42"/>
  <c r="AN38" i="42"/>
  <c r="AN47" i="42"/>
  <c r="AN45" i="43"/>
  <c r="AN50" i="42"/>
  <c r="AN41" i="43"/>
  <c r="AN51" i="42"/>
  <c r="AN40" i="43"/>
  <c r="AN39" i="43"/>
  <c r="AN39" i="42"/>
  <c r="AN48" i="42"/>
  <c r="AN38" i="43"/>
  <c r="AN49" i="42"/>
  <c r="AN40" i="42"/>
  <c r="AN52" i="43"/>
  <c r="AN45" i="42"/>
  <c r="AN52" i="42"/>
  <c r="AN47" i="43"/>
  <c r="AN42" i="42"/>
  <c r="AN49" i="43"/>
  <c r="AN51" i="43"/>
  <c r="AV35" i="42" l="1"/>
  <c r="AT35" i="15" s="1"/>
  <c r="AV30" i="42"/>
  <c r="AT30" i="15" s="1"/>
  <c r="AV24" i="42"/>
  <c r="AT24" i="15" s="1"/>
  <c r="AV19" i="42"/>
  <c r="AT19" i="15" s="1"/>
  <c r="AV10" i="42"/>
  <c r="AT10" i="15" s="1"/>
  <c r="AV6" i="42"/>
  <c r="AT6" i="15" s="1"/>
  <c r="AV4" i="42"/>
  <c r="AT4" i="15" s="1"/>
  <c r="AV37" i="42"/>
  <c r="AT37" i="15" s="1"/>
  <c r="AV33" i="42"/>
  <c r="AT33" i="15" s="1"/>
  <c r="AV28" i="42"/>
  <c r="AT28" i="15" s="1"/>
  <c r="AV23" i="42"/>
  <c r="AT23" i="15" s="1"/>
  <c r="AV17" i="42"/>
  <c r="AT17" i="15" s="1"/>
  <c r="AV31" i="42"/>
  <c r="AT31" i="15" s="1"/>
  <c r="AV26" i="42"/>
  <c r="AT26" i="15" s="1"/>
  <c r="AV16" i="42"/>
  <c r="AT16" i="15" s="1"/>
  <c r="AV15" i="42"/>
  <c r="AT15" i="15" s="1"/>
  <c r="AV13" i="42"/>
  <c r="AT13" i="15" s="1"/>
  <c r="AV9" i="42"/>
  <c r="AT9" i="15" s="1"/>
  <c r="AV8" i="42"/>
  <c r="AT8" i="15" s="1"/>
  <c r="AV5" i="42"/>
  <c r="AT5" i="15" s="1"/>
  <c r="AV3" i="42"/>
  <c r="AT3" i="15" s="1"/>
  <c r="AV36" i="42"/>
  <c r="AT36" i="15" s="1"/>
  <c r="AV32" i="42"/>
  <c r="AT32" i="15" s="1"/>
  <c r="AV27" i="42"/>
  <c r="AT27" i="15" s="1"/>
  <c r="AV22" i="42"/>
  <c r="AT22" i="15" s="1"/>
  <c r="AV14" i="42"/>
  <c r="AT14" i="15" s="1"/>
  <c r="AV7" i="42"/>
  <c r="AT7" i="15" s="1"/>
  <c r="AV25" i="42"/>
  <c r="AT25" i="15" s="1"/>
  <c r="AV20" i="42"/>
  <c r="AT20" i="15" s="1"/>
  <c r="AV12" i="42"/>
  <c r="AT12" i="15" s="1"/>
  <c r="AV34" i="42"/>
  <c r="AT34" i="15" s="1"/>
  <c r="AV29" i="42"/>
  <c r="AT29" i="15" s="1"/>
  <c r="AV21" i="42"/>
  <c r="AT21" i="15" s="1"/>
  <c r="AV18" i="42"/>
  <c r="AT18" i="15" s="1"/>
  <c r="AV11" i="42"/>
  <c r="AT11" i="15" s="1"/>
  <c r="AV39" i="42" l="1"/>
  <c r="AT39" i="15" s="1"/>
  <c r="AV42" i="42"/>
  <c r="AT42" i="15" s="1"/>
  <c r="AV47" i="42"/>
  <c r="AT47" i="15" s="1"/>
  <c r="AV49" i="42"/>
  <c r="AT49" i="15" s="1"/>
  <c r="AV41" i="42"/>
  <c r="AT41" i="15" s="1"/>
  <c r="AV51" i="42"/>
  <c r="AT51" i="15" s="1"/>
  <c r="AV52" i="42"/>
  <c r="AT52" i="15" s="1"/>
  <c r="AV38" i="42"/>
  <c r="AT38" i="15" s="1"/>
  <c r="AV48" i="42"/>
  <c r="AT48" i="15" s="1"/>
  <c r="AV44" i="42"/>
  <c r="AT44" i="15" s="1"/>
  <c r="AV45" i="42"/>
  <c r="AT45" i="15" s="1"/>
  <c r="AV50" i="42"/>
  <c r="AT50" i="15" s="1"/>
  <c r="AV40" i="42"/>
  <c r="AT40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Cemin da Silva</author>
  </authors>
  <commentList>
    <comment ref="V1" authorId="0" shapeId="0" xr:uid="{45E86886-FA99-4811-B9C0-95283C31D1B5}">
      <text>
        <r>
          <rPr>
            <sz val="9"/>
            <color indexed="81"/>
            <rFont val="Segoe UI"/>
            <family val="2"/>
          </rPr>
          <t>(iii) As luzes devem ser uniformemente espaçadas em fileiras, em intervalos de não mais que 60 m para uma pista para operação por instrumento, e em intervalos de não mais que 100 m para uma pista de não instrumento.</t>
        </r>
      </text>
    </comment>
    <comment ref="W1" authorId="0" shapeId="0" xr:uid="{42F07C2A-B7F5-43C4-9310-14B08E67FA11}">
      <text>
        <r>
          <rPr>
            <sz val="9"/>
            <color indexed="81"/>
            <rFont val="Segoe UI"/>
            <family val="2"/>
          </rPr>
          <t>(iii) As luzes de cabeceira devem consistir:
(A) em uma pista para operação visual ou de aproximação de não-precisão, em, no mínimo, seis luzes;</t>
        </r>
      </text>
    </comment>
  </commentList>
</comments>
</file>

<file path=xl/sharedStrings.xml><?xml version="1.0" encoding="utf-8"?>
<sst xmlns="http://schemas.openxmlformats.org/spreadsheetml/2006/main" count="8815" uniqueCount="398">
  <si>
    <t>ICAO</t>
  </si>
  <si>
    <t>Nome do Aeroporto</t>
  </si>
  <si>
    <t>Chave</t>
  </si>
  <si>
    <t>Município</t>
  </si>
  <si>
    <t>UF</t>
  </si>
  <si>
    <t>Cenário de Simulação</t>
  </si>
  <si>
    <t>Simulação Adequação</t>
  </si>
  <si>
    <t>Simulação Gatilho 1</t>
  </si>
  <si>
    <t>Simulação Gatilho 2</t>
  </si>
  <si>
    <t>Simulação Gatilho 3</t>
  </si>
  <si>
    <t>Custos extras</t>
  </si>
  <si>
    <t>Faixa Atual</t>
  </si>
  <si>
    <t>Ano - Projeção PAX</t>
  </si>
  <si>
    <t>Faixa - Projeção PAX</t>
  </si>
  <si>
    <t>Ano</t>
  </si>
  <si>
    <t>Pista(s) de pouso e decolagem</t>
  </si>
  <si>
    <t>RESA</t>
  </si>
  <si>
    <t>Faixa(s) de pista</t>
  </si>
  <si>
    <t>Pista(s) de táxi</t>
  </si>
  <si>
    <t>Pátio de aeronaves</t>
  </si>
  <si>
    <t>SESCINC</t>
  </si>
  <si>
    <t>TPS</t>
  </si>
  <si>
    <t>Terminal de cargas</t>
  </si>
  <si>
    <t>Estacionamento de veículos</t>
  </si>
  <si>
    <t>Equipamentos de auxílio à navegação aérea</t>
  </si>
  <si>
    <t>Total</t>
  </si>
  <si>
    <t>Gatilho 3</t>
  </si>
  <si>
    <t>Gatilho 2</t>
  </si>
  <si>
    <t>Gatilho 1</t>
  </si>
  <si>
    <t>PA</t>
  </si>
  <si>
    <t>RO</t>
  </si>
  <si>
    <t>MA</t>
  </si>
  <si>
    <t>TO</t>
  </si>
  <si>
    <t>ü</t>
  </si>
  <si>
    <t>Adequação</t>
  </si>
  <si>
    <t>AM</t>
  </si>
  <si>
    <t>PE</t>
  </si>
  <si>
    <t>MT</t>
  </si>
  <si>
    <t>PI</t>
  </si>
  <si>
    <t>AL</t>
  </si>
  <si>
    <t>BA</t>
  </si>
  <si>
    <t>AC</t>
  </si>
  <si>
    <t>CANARANA</t>
  </si>
  <si>
    <t>SBIH</t>
  </si>
  <si>
    <t>ITAITUBA</t>
  </si>
  <si>
    <t>SBIH150360</t>
  </si>
  <si>
    <t>SBLE</t>
  </si>
  <si>
    <t>HORÁCIO DE MATTOS</t>
  </si>
  <si>
    <t>SBLE291930</t>
  </si>
  <si>
    <t>LENÇÓIS</t>
  </si>
  <si>
    <t>SWBC</t>
  </si>
  <si>
    <t>BARCELOS</t>
  </si>
  <si>
    <t>SWBC130040</t>
  </si>
  <si>
    <t>SBEK</t>
  </si>
  <si>
    <t>SBGM</t>
  </si>
  <si>
    <t>GUAJARÁ-MIRIM</t>
  </si>
  <si>
    <t>SBGM110010</t>
  </si>
  <si>
    <t>SBIC</t>
  </si>
  <si>
    <t>ITACOATIARA</t>
  </si>
  <si>
    <t>SBIC130190</t>
  </si>
  <si>
    <t>SBMD</t>
  </si>
  <si>
    <t>MONTE DOURADO</t>
  </si>
  <si>
    <t>SBMD150050</t>
  </si>
  <si>
    <t>ALMEIRIM</t>
  </si>
  <si>
    <t>SBMY</t>
  </si>
  <si>
    <t>MANICORÉ</t>
  </si>
  <si>
    <t>SBMY130270</t>
  </si>
  <si>
    <t>SBTB</t>
  </si>
  <si>
    <t>TROMBETAS</t>
  </si>
  <si>
    <t>SBTB150530</t>
  </si>
  <si>
    <t>ORIXIMINÁ</t>
  </si>
  <si>
    <t>SBTK</t>
  </si>
  <si>
    <t>TARAUACÁ</t>
  </si>
  <si>
    <t>SBTK120060</t>
  </si>
  <si>
    <t>SBTU</t>
  </si>
  <si>
    <t>TUCURUÍ</t>
  </si>
  <si>
    <t>SBTU150810</t>
  </si>
  <si>
    <t>SBUA</t>
  </si>
  <si>
    <t>SÃO GABRIEL DA CACHOEIRA</t>
  </si>
  <si>
    <t>SBUA130380</t>
  </si>
  <si>
    <t>SBUF</t>
  </si>
  <si>
    <t>PAULO AFONSO</t>
  </si>
  <si>
    <t>SBUF292400</t>
  </si>
  <si>
    <t>SBVH</t>
  </si>
  <si>
    <t>VILHENA</t>
  </si>
  <si>
    <t>SBVH110030</t>
  </si>
  <si>
    <t>SDCG</t>
  </si>
  <si>
    <t>SJNP</t>
  </si>
  <si>
    <t>SNBI</t>
  </si>
  <si>
    <t>SNBS</t>
  </si>
  <si>
    <t>SNDC</t>
  </si>
  <si>
    <t>REDENÇÃO</t>
  </si>
  <si>
    <t>SNLC150613</t>
  </si>
  <si>
    <t>SNEB</t>
  </si>
  <si>
    <t>NAGIB DEMACHKI</t>
  </si>
  <si>
    <t>SNEB150550</t>
  </si>
  <si>
    <t>PARAGOMINAS</t>
  </si>
  <si>
    <t>SNFX</t>
  </si>
  <si>
    <t>SÃO FÉLIX DO XINGU</t>
  </si>
  <si>
    <t>SNFX150730</t>
  </si>
  <si>
    <t>SNGI</t>
  </si>
  <si>
    <t>AERÓDROMO DE GUANAMBI</t>
  </si>
  <si>
    <t>SNGI291170</t>
  </si>
  <si>
    <t>GUANAMBI</t>
  </si>
  <si>
    <t>SNHS</t>
  </si>
  <si>
    <t>SANTA MAGALHÃES</t>
  </si>
  <si>
    <t>SNHS261390</t>
  </si>
  <si>
    <t>SERRA TALHADA</t>
  </si>
  <si>
    <t>SNVS</t>
  </si>
  <si>
    <t>BREVES</t>
  </si>
  <si>
    <t>SNVS150180</t>
  </si>
  <si>
    <t>SSKW</t>
  </si>
  <si>
    <t>CACOAL</t>
  </si>
  <si>
    <t>SSKW110004</t>
  </si>
  <si>
    <t>SDP8</t>
  </si>
  <si>
    <t>SSLT</t>
  </si>
  <si>
    <t>SSOU</t>
  </si>
  <si>
    <t>ARIPUANÃ</t>
  </si>
  <si>
    <t>N513510140</t>
  </si>
  <si>
    <t>SWBR</t>
  </si>
  <si>
    <t>BORBA</t>
  </si>
  <si>
    <t>SWBR130080</t>
  </si>
  <si>
    <t>SWCA</t>
  </si>
  <si>
    <t>CARAUARI</t>
  </si>
  <si>
    <t>SWCA130100</t>
  </si>
  <si>
    <t>SWCQ</t>
  </si>
  <si>
    <t>SWEI</t>
  </si>
  <si>
    <t>EIRUNEPÉ</t>
  </si>
  <si>
    <t>SWEI130140</t>
  </si>
  <si>
    <t>SWEK</t>
  </si>
  <si>
    <t>SWEK510270</t>
  </si>
  <si>
    <t>SWGN</t>
  </si>
  <si>
    <t>ARAGUAÍNA</t>
  </si>
  <si>
    <t>SWGN170210</t>
  </si>
  <si>
    <t>SWII</t>
  </si>
  <si>
    <t>SWJN</t>
  </si>
  <si>
    <t>JUÍNA</t>
  </si>
  <si>
    <t>SWJN510515</t>
  </si>
  <si>
    <t>SWKC</t>
  </si>
  <si>
    <t>CÁCERES</t>
  </si>
  <si>
    <t>SWKC510250</t>
  </si>
  <si>
    <t>SWKQ</t>
  </si>
  <si>
    <t>SERRA DA CAPIVARA/SÃO RAIMUNDO NONATO</t>
  </si>
  <si>
    <t>SWKQ221060</t>
  </si>
  <si>
    <t>SÃO RAIMUNDO NONATO</t>
  </si>
  <si>
    <t>SWLB</t>
  </si>
  <si>
    <t>LÁBREA</t>
  </si>
  <si>
    <t>SWLB130240</t>
  </si>
  <si>
    <t>SWMW</t>
  </si>
  <si>
    <t>MAUÉS</t>
  </si>
  <si>
    <t>SWMW130290</t>
  </si>
  <si>
    <t>SWOB</t>
  </si>
  <si>
    <t>SWPI</t>
  </si>
  <si>
    <t>PARINTINS</t>
  </si>
  <si>
    <t>SWPI130340</t>
  </si>
  <si>
    <t>SWPY</t>
  </si>
  <si>
    <t>SWTP</t>
  </si>
  <si>
    <t>SWTS</t>
  </si>
  <si>
    <t>TANGARÁ DA SERRA</t>
  </si>
  <si>
    <t>SWTS510795</t>
  </si>
  <si>
    <t>SWYN</t>
  </si>
  <si>
    <t>SDH2</t>
  </si>
  <si>
    <t>Nome do Aeródromo</t>
  </si>
  <si>
    <t>COD IB</t>
  </si>
  <si>
    <t>Cenário de Simulação - PAN</t>
  </si>
  <si>
    <t>Utilidade e manutenção</t>
  </si>
  <si>
    <t>Mão de obra não qualificada</t>
  </si>
  <si>
    <t>Mão de obra qualificada</t>
  </si>
  <si>
    <t>AEROPORTO DE GUAJARÁ-MIRIM</t>
  </si>
  <si>
    <t>AEROPORTO DE TARAUACÁ</t>
  </si>
  <si>
    <t>AEROPORTO DE VILHENA</t>
  </si>
  <si>
    <t>-</t>
  </si>
  <si>
    <t>AERÓDROMO DE PARAGOMINAS</t>
  </si>
  <si>
    <t>AEROPORTO SANTA MAGALHÃES</t>
  </si>
  <si>
    <t>AEROPORTO DE CACOAL</t>
  </si>
  <si>
    <t>EURINEPÉ</t>
  </si>
  <si>
    <t>AEROPORTO DE ARAGUAÍNA</t>
  </si>
  <si>
    <t>AEROPORTO SERRA DA CAPIVARA</t>
  </si>
  <si>
    <t>Costa Marques</t>
  </si>
  <si>
    <t>Porto Alegre do Norte</t>
  </si>
  <si>
    <t>Receitas</t>
  </si>
  <si>
    <t>Custos</t>
  </si>
  <si>
    <t>Resultado</t>
  </si>
  <si>
    <t>Navegação Aérea</t>
  </si>
  <si>
    <t>Curto Prazo</t>
  </si>
  <si>
    <t>Médio Prazo</t>
  </si>
  <si>
    <t>Longo Prazo</t>
  </si>
  <si>
    <t>Manutenção</t>
  </si>
  <si>
    <t>Desemborrachamento</t>
  </si>
  <si>
    <t>Ano 1</t>
  </si>
  <si>
    <t>Ano 5</t>
  </si>
  <si>
    <t>Ano 8</t>
  </si>
  <si>
    <t>Ano 10</t>
  </si>
  <si>
    <t>Ano 15</t>
  </si>
  <si>
    <t>Ano 18</t>
  </si>
  <si>
    <t>Ano 20</t>
  </si>
  <si>
    <t>Ano 25</t>
  </si>
  <si>
    <t>Ano 28</t>
  </si>
  <si>
    <t>Custo Total</t>
  </si>
  <si>
    <t>Metrópole</t>
  </si>
  <si>
    <t>Treinamento</t>
  </si>
  <si>
    <t>Isolados</t>
  </si>
  <si>
    <t>Voos contínuos</t>
  </si>
  <si>
    <t>Balizamento</t>
  </si>
  <si>
    <t>Farol rotativo</t>
  </si>
  <si>
    <t>Biruta iluminada</t>
  </si>
  <si>
    <t xml:space="preserve"> PAPI
PPD 1
Cab. XX</t>
  </si>
  <si>
    <t>PAPI
PPD 1
Cab. YY</t>
  </si>
  <si>
    <t>Luzes laterais
PPD 1</t>
  </si>
  <si>
    <t>Luzes cab.
PPD 1
Cab. XX</t>
  </si>
  <si>
    <t>Luzes cab.
PPD 1
Cab. YY</t>
  </si>
  <si>
    <t>EMS-3</t>
  </si>
  <si>
    <t>Quant. luzes laterais</t>
  </si>
  <si>
    <t>Quant. luzes cabeceira</t>
  </si>
  <si>
    <t>Operação atual</t>
  </si>
  <si>
    <t>Comp. PPD</t>
  </si>
  <si>
    <t>Larg. PPD</t>
  </si>
  <si>
    <t>Obs.</t>
  </si>
  <si>
    <t>Sim</t>
  </si>
  <si>
    <t>Não possui</t>
  </si>
  <si>
    <t>VFR DIURNA</t>
  </si>
  <si>
    <t>MANUTENÇÃO</t>
  </si>
  <si>
    <t>L21;L26;</t>
  </si>
  <si>
    <t>L15;</t>
  </si>
  <si>
    <t>L14;</t>
  </si>
  <si>
    <t>L12;</t>
  </si>
  <si>
    <t>VFR DIURNA E NOTURNA</t>
  </si>
  <si>
    <t>Não</t>
  </si>
  <si>
    <t>Jacareacanga</t>
  </si>
  <si>
    <t>L23;</t>
  </si>
  <si>
    <t>EMS-A3</t>
  </si>
  <si>
    <t>IFR DIURNA</t>
  </si>
  <si>
    <t>São Paulo de Olivença</t>
  </si>
  <si>
    <t>Novo Progresso</t>
  </si>
  <si>
    <t>Bacabal</t>
  </si>
  <si>
    <t>Balsas</t>
  </si>
  <si>
    <t>Marechal Thaumaturgo</t>
  </si>
  <si>
    <t>Santo Antônio do Içá</t>
  </si>
  <si>
    <t>Fonte Boa</t>
  </si>
  <si>
    <t>Primavera do Leste</t>
  </si>
  <si>
    <t>Santa Isabel do Rio Negro</t>
  </si>
  <si>
    <t>Apuí</t>
  </si>
  <si>
    <t>PRIMAVERA DO LESTE - MT</t>
  </si>
  <si>
    <t>Aeroporto</t>
  </si>
  <si>
    <t>Amazônia Legal</t>
  </si>
  <si>
    <t>PPD-Comprimento</t>
  </si>
  <si>
    <t>Cerca Operacional</t>
  </si>
  <si>
    <t>Custo Unitário</t>
  </si>
  <si>
    <t>VALOR TOTAL (R$)</t>
  </si>
  <si>
    <t>CAPEX</t>
  </si>
  <si>
    <t>TOTAL</t>
  </si>
  <si>
    <t>OPEX</t>
  </si>
  <si>
    <t>RECEITAS</t>
  </si>
  <si>
    <t>FLUXO DE CAIXA</t>
  </si>
  <si>
    <t>WACC</t>
  </si>
  <si>
    <t>fator</t>
  </si>
  <si>
    <t/>
  </si>
  <si>
    <t>CO</t>
  </si>
  <si>
    <t>NE</t>
  </si>
  <si>
    <t>N</t>
  </si>
  <si>
    <t>SNSM</t>
  </si>
  <si>
    <t>SALINÓPOLIS</t>
  </si>
  <si>
    <t>SSRS</t>
  </si>
  <si>
    <t>BARREIRINHAS</t>
  </si>
  <si>
    <t>ESTRATÉGICO 1</t>
  </si>
  <si>
    <t>PRIMAVERA DO LESTE</t>
  </si>
  <si>
    <t>JACAREACANGA</t>
  </si>
  <si>
    <t>ESTRATÉGICO 2</t>
  </si>
  <si>
    <t>SENADORA EUNICE MICHILES</t>
  </si>
  <si>
    <t>PORTO ALEGRE DO NORTE</t>
  </si>
  <si>
    <t>BACABAL</t>
  </si>
  <si>
    <t>BALSAS</t>
  </si>
  <si>
    <t>COSTA MARQUES</t>
  </si>
  <si>
    <t>IPIRANGA</t>
  </si>
  <si>
    <t>FONTE BOA</t>
  </si>
  <si>
    <t>SANTA ISABEL DO RIO NEGRO</t>
  </si>
  <si>
    <t>APUÍ</t>
  </si>
  <si>
    <t>ESTRATÉGICO 2P</t>
  </si>
  <si>
    <t>MARECHAL THAUMATURGO</t>
  </si>
  <si>
    <t>NOVO PROGRESSO</t>
  </si>
  <si>
    <t>Região</t>
  </si>
  <si>
    <t>Lat (dec)</t>
  </si>
  <si>
    <t>Long (dec)</t>
  </si>
  <si>
    <t>RO - 1 - AL</t>
  </si>
  <si>
    <t>VALOR PRESENTE LÍQUIDO (VPL)</t>
  </si>
  <si>
    <t>TOTAL ACUMULADO (VPL)</t>
  </si>
  <si>
    <t>SNSM150620</t>
  </si>
  <si>
    <t>SSRS210170</t>
  </si>
  <si>
    <t>Projeção de Movimentação de PAX (Emb e Des)</t>
  </si>
  <si>
    <t>SBEK150375</t>
  </si>
  <si>
    <t>SDCG130390</t>
  </si>
  <si>
    <t>SJNP150503</t>
  </si>
  <si>
    <t>SNBI210120</t>
  </si>
  <si>
    <t>SNBS210140</t>
  </si>
  <si>
    <t>SSMH120035</t>
  </si>
  <si>
    <t>SWCQ110008</t>
  </si>
  <si>
    <t>SWII130370</t>
  </si>
  <si>
    <t>SWOB130160</t>
  </si>
  <si>
    <t>SWPY510704</t>
  </si>
  <si>
    <t>SWTP130360</t>
  </si>
  <si>
    <t>SWYN130014</t>
  </si>
  <si>
    <t>SDH2510677</t>
  </si>
  <si>
    <t>PAX 2023</t>
  </si>
  <si>
    <t>Cenário - Localização - AL + NE</t>
  </si>
  <si>
    <t>Faixa 1</t>
  </si>
  <si>
    <t>Faixa 2</t>
  </si>
  <si>
    <t>Faixa 3</t>
  </si>
  <si>
    <t>Faixa 0</t>
  </si>
  <si>
    <t>AC + AM - 1 - AL</t>
  </si>
  <si>
    <t>PA - 1 - AL</t>
  </si>
  <si>
    <t>Bloco Nordeste</t>
  </si>
  <si>
    <t>AM - 2 - AL</t>
  </si>
  <si>
    <t>AM - 3 - AL</t>
  </si>
  <si>
    <t>PA - 2 - AL</t>
  </si>
  <si>
    <t>MT - 1 - AL</t>
  </si>
  <si>
    <t>MT - 2 - AL</t>
  </si>
  <si>
    <t>MA + TO - AL</t>
  </si>
  <si>
    <t>PAX 2024</t>
  </si>
  <si>
    <t>Cenário estratégico PAN</t>
  </si>
  <si>
    <t>Movimentação pax comercial</t>
  </si>
  <si>
    <t>Movimentação aeronaves geral</t>
  </si>
  <si>
    <t>Custos estratégico 1</t>
  </si>
  <si>
    <t>SÃO PAULO DE OLIVENÇA</t>
  </si>
  <si>
    <t>SANTO ANTÔNIO DO IÇÁ</t>
  </si>
  <si>
    <t>BLOCO ACRE + AMAZONAS'!A1</t>
  </si>
  <si>
    <t>BLOCO AMAZONAS - 2'!A1</t>
  </si>
  <si>
    <t>BLOCO AMAZONAS - 3'!A1</t>
  </si>
  <si>
    <t>BLOCO AMAPÁ + PARÁ'!A1</t>
  </si>
  <si>
    <t>BLOCO MARANHÃO + TOCANTINS'!A1</t>
  </si>
  <si>
    <t>BLOCO MATO GROSSO - 1'!A1</t>
  </si>
  <si>
    <t>BLOCO MATO GROSSO - 2'!A1</t>
  </si>
  <si>
    <t>BLOCO PARÁ - 1'!A1</t>
  </si>
  <si>
    <t>BLOCO PARÁ - 2'!A1</t>
  </si>
  <si>
    <t>BLOCO RONDÔNIA - 1'!A1</t>
  </si>
  <si>
    <t>BLOCO NORDESTE'!A1</t>
  </si>
  <si>
    <t>ATALHO PARA OS BLOCOS DOS AEROPORTOS REGIONAIS</t>
  </si>
  <si>
    <t>ATALHO PARA AS ABAS DE FLUXO DE CAIXA NOMINAL E COM O CÁLCULO DO VPL</t>
  </si>
  <si>
    <t>FLUXO DE CAIXA - BLOCOS PAN'!A1</t>
  </si>
  <si>
    <t>FLUXO DE CAIXA DESC.-BLOCOS PAN'!A1</t>
  </si>
  <si>
    <t>ATALHO PARA AS ABAS DE RECEITAS, CAPEX E OPEX COMPILADAS</t>
  </si>
  <si>
    <t>RECEITAS - BLOCOS PAN'!A1</t>
  </si>
  <si>
    <t>CAPEX - BLOCOS PAN'!A1</t>
  </si>
  <si>
    <t>OPEX - BLOCOS PAN'!A1</t>
  </si>
  <si>
    <t>ATALHO PARA AS ABAS DA BASE DE DADOS DO PAN QUE FORAM UTILIZADAS PARA O CÁLCULO</t>
  </si>
  <si>
    <t>BASE PAN - CAPEX'!A1</t>
  </si>
  <si>
    <t>BASE PAN - OPEX'!A1</t>
  </si>
  <si>
    <t>BASE PAN - RECEITAS'!A1</t>
  </si>
  <si>
    <t>BASE PAN - CAPEX - 1º ANO'!A1</t>
  </si>
  <si>
    <t>CAPEX Manut. Estr_PPD e Taxiway'!A1</t>
  </si>
  <si>
    <t>CAPEX Manut. Estratégicos_Pátio'!A1</t>
  </si>
  <si>
    <t>CAPEX Manut. Estr_Naveg. Aérea'!A1</t>
  </si>
  <si>
    <t>CAPEX Manut. Estr_Cerca Operac.'!A1</t>
  </si>
  <si>
    <t>Receitas - Aerop. Estratégicos'!A1</t>
  </si>
  <si>
    <t>Projeção - Demanda PAX'!A1</t>
  </si>
  <si>
    <t>Introdução!A1</t>
  </si>
  <si>
    <t>Blocos</t>
  </si>
  <si>
    <t>PRAZO REMANESCENTE DOS CONTRATOS VIGENTES (ANOS)</t>
  </si>
  <si>
    <t>VPL 15 anos</t>
  </si>
  <si>
    <t>OPEX 15 anos</t>
  </si>
  <si>
    <t>RECEITAS 15 anos</t>
  </si>
  <si>
    <t>Estratégia Nova (Aba PAN)</t>
  </si>
  <si>
    <t>Multiplicador</t>
  </si>
  <si>
    <t>NE e CO</t>
  </si>
  <si>
    <t>CAPEX PPP AMAZONAS</t>
  </si>
  <si>
    <t>Multiplicador (Racional)</t>
  </si>
  <si>
    <t>Multiplicador (CO e NE):</t>
  </si>
  <si>
    <t>Multiplicador (AL):</t>
  </si>
  <si>
    <t>Para a elaboração desta planilha foi utilizado o estudo-base do Programa de Investimentos Privados em Aeroportos Regionais, qual seja: o Plano Aeroviário Nacional (PAN), o qual apresenta os aeroportos prioritários para a alocação de recursos, as projeções de demanda, a análise estratégica de investimentos necessários, bem como os custos operacionais e receitas associadas a cada infraestrutura aeroportuária. Após quatro anos de sua primeira edição, o PAN foi revisado e submetido a consulta pública (https://www.gov.br/participamaisbrasil/plano-aeroviario-nacional-2022). Todos os documentos relativos ao PAN são públicos e podem ser acessados e verificados por meio do link acima informado ou por meio de acesso aos processos administrativos específicos autuados no MPOR.
O PAN será utilizado para calcular os valores de referência, incluindo capital expenditure (capex), operational expenditure (opex), receita e o valor presente líquido (VPL) de cada bloco, cujos resultados serão utilizados na definição dos preços-teto para apresentação de propostas no processo competitivo simplificado, sem prejuízo de serem usados outros estudos e conjuntos de dados para aprimorar o certame.
Considerando que as estimativas de precificação do PAN não abrangem todos os investimentos necessários, bem como as particularidades topográficas de cada infraestrutura, o preço-teto para cada bloco de aeroportos será calculado com base no Valor Presente Líquido (VPL) de referência do bloco, estimado conforme o PAN, multiplicado por um fator variável entre 1 e 1,8, conforme indicado na planilha (e nas abas) e fundamentado na nota técnica nº 108/2024/DOPR-SAC-MPOR/SAC-MPOR (SEI nº 8596278). Este multiplicador foi definido a partir de estudos adicionais e informações disponíveis ao poder público, orientado para minimizar as diferenças entre os ativos, a depender da localização e atratividade de mercado, entre outros.
A construção da planilha de precificação foi baseada em informações extraídas do PAN e da sua calculadora, criada e gerida pela Universidade Federal de Santa Catarina (UFSC). A calculadora, na sua versão atualizada, conforme demandado pela Secretaria Nacional de Aviação Civil (SAC/MPOR), forneceu abas com dados de CAPEX, OPEX e receitas, entre outros. Esses dados foram compilados e organizados em abas específicas para os blocos, focando inicialmente na Amazônia Legal e em alguns aeroportos da região Nordeste.
Com a compilação das informações, foi criada a aba "Fluxo de Caixa - Blocos PAN", onde estão consolidados os dados de receitas, CAPEX e OPEX de todos os aeroportos regionais distribuídos nos blocos indicados no edital. A partir dessas informações, foi calculado o fluxo de caixa e o Valor Presente Líquido (VPL) dos blocos, utilizando um WACC de 9,55%, conforme o último contrato de concessão assinado com a Agência Nacional de Aviação Civil (ANAC). Os blocos estão distribuídos em abas próprias para facilitar a visualização e o interesse no Processo Competitivo Simplificado (PCS).
Para garantir equidade e competitividade entre as concessionárias, foi adotada a solução de estabelecer preços-teto proporcionais ao prazo remanescente de cada contrato de concessão. Assim, são apresentados preços-teto específicos a depender do prazo remanescente de cada contrato de concessão (o que varia em função das sete rodadas do programa federal de concessões de aeroportos). Por exemplo, há preços-teto definidos para contratos com prazos remanescentes de 9 anos, 10 anos, 11 anos e assim por diante (até 30 anos). Isso cria uma base equivalente para todas as concessionárias, independentemente da duração restante de seus contratos.
A proposta econômica deverá ser ofertada sobre os valores constantes na planilha de cálculo com os preços-teto para cada bloco (linha "TOTAL ACUMULADO (VPL)" das abas de cada bloco), de acordo com o prazo remanescente da concessão federal vigente. Para fins de reequilíbrio contratual, o prazo remanescente do contrato da concessionária a ser considerado será aquele definido na data da celebração do aditivo contratual, a ser calculado em base mensal, tendo em vista a quantidade de meses completos faltantes para o fim do contrato original.  
A seleção das propostas para cada bloco será baseada no maior deságio percentual em relação ao preço-teto estabelecido para o respectivo bloco, constante na respectiva aba, conforme consta no presente anexo do Edital. Após a seleção, a ANAC calculará o reequilíbrio econômico-financeiro necessário para cada contrato, considerando o deságio proposto e o tempo remanescente no momento da celebração do termo aditivo.</t>
  </si>
  <si>
    <t>PREÇO-TETO</t>
  </si>
  <si>
    <t>SNAB</t>
  </si>
  <si>
    <t>ARARIPINA</t>
  </si>
  <si>
    <t>SNAB260110</t>
  </si>
  <si>
    <t>ESTRATÉGICO 3</t>
  </si>
  <si>
    <t>SNGN</t>
  </si>
  <si>
    <t>GARANHUNS</t>
  </si>
  <si>
    <t>SNGN260600</t>
  </si>
  <si>
    <t>Araripina</t>
  </si>
  <si>
    <t>Garanhuns</t>
  </si>
  <si>
    <t>L26;</t>
  </si>
  <si>
    <t>Privada</t>
  </si>
  <si>
    <t>Blocos PCS - CP</t>
  </si>
  <si>
    <t>Bloco 1 - AC/AM</t>
  </si>
  <si>
    <t>Bloco 2 - AM1</t>
  </si>
  <si>
    <t>Bloco 3 - AM2</t>
  </si>
  <si>
    <t>Bloco 5 - PA1</t>
  </si>
  <si>
    <t>Bloco 6 - PA2</t>
  </si>
  <si>
    <t>Bloco 7 - RO</t>
  </si>
  <si>
    <t>Bloco 8 - Nordeste</t>
  </si>
  <si>
    <t>Bloco 9 - MA/TO</t>
  </si>
  <si>
    <t>Bloco 10 - MT1</t>
  </si>
  <si>
    <t>Bloco 11 - MT2</t>
  </si>
  <si>
    <t>PA 3 - AL</t>
  </si>
  <si>
    <t>ANEXO I - PLANILHA DE CÁLCULO DO PREÇO-TETO - EDITAL AMPLIAR</t>
  </si>
  <si>
    <t>Blocos AMPLIAR - CP</t>
  </si>
  <si>
    <t>VPL 30 anos</t>
  </si>
  <si>
    <t>TOTAL POR BLOCO</t>
  </si>
  <si>
    <t>Bloco 4 - PA3</t>
  </si>
  <si>
    <t>BLOCOS - AMPLIAR'!A1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</si>
</sst>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_-;\-&quot;R$&quot;\ * #,##0_-;_-&quot;R$&quot;\ * &quot;-&quot;??_-;_-@_-"/>
    <numFmt numFmtId="166" formatCode="_-* #,##0_-;\-* #,##0_-;_-* &quot;-&quot;??_-;_-@_-"/>
    <numFmt numFmtId="167" formatCode="[$R$-416]\ #,##0.00;[Red]\-[$R$-416]\ #,##0.00"/>
    <numFmt numFmtId="168" formatCode="&quot;Cenário PAX&quot;\ 0"/>
    <numFmt numFmtId="169" formatCode="&quot;R$&quot;\ #,##0.00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indexed="81"/>
      <name val="Segoe UI"/>
      <family val="2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theme="1"/>
      <name val="Wingdings"/>
      <charset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49B8F"/>
        <bgColor indexed="64"/>
      </patternFill>
    </fill>
    <fill>
      <patternFill patternType="solid">
        <fgColor rgb="FF58700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EC"/>
        <bgColor indexed="64"/>
      </patternFill>
    </fill>
    <fill>
      <patternFill patternType="solid">
        <fgColor rgb="FFDCF59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1B746A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44" fontId="2" fillId="0" borderId="0" xfId="0" applyNumberFormat="1" applyFont="1"/>
    <xf numFmtId="165" fontId="0" fillId="0" borderId="0" xfId="0" applyNumberFormat="1"/>
    <xf numFmtId="0" fontId="3" fillId="0" borderId="0" xfId="0" applyFont="1"/>
    <xf numFmtId="44" fontId="3" fillId="0" borderId="0" xfId="0" applyNumberFormat="1" applyFont="1"/>
    <xf numFmtId="44" fontId="4" fillId="0" borderId="0" xfId="0" applyNumberFormat="1" applyFont="1"/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left"/>
    </xf>
    <xf numFmtId="4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4" borderId="0" xfId="0" applyFill="1"/>
    <xf numFmtId="0" fontId="9" fillId="0" borderId="0" xfId="0" applyFont="1"/>
    <xf numFmtId="3" fontId="0" fillId="0" borderId="0" xfId="0" applyNumberFormat="1"/>
    <xf numFmtId="3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3" fontId="0" fillId="7" borderId="0" xfId="0" applyNumberFormat="1" applyFill="1" applyAlignment="1">
      <alignment horizontal="left"/>
    </xf>
    <xf numFmtId="0" fontId="15" fillId="7" borderId="0" xfId="0" applyFont="1" applyFill="1" applyAlignment="1">
      <alignment horizontal="center" vertical="center"/>
    </xf>
    <xf numFmtId="3" fontId="0" fillId="7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3" fontId="0" fillId="8" borderId="0" xfId="0" applyNumberFormat="1" applyFill="1" applyAlignment="1">
      <alignment horizontal="left"/>
    </xf>
    <xf numFmtId="0" fontId="15" fillId="8" borderId="0" xfId="0" applyFont="1" applyFill="1" applyAlignment="1">
      <alignment horizontal="center" vertical="center"/>
    </xf>
    <xf numFmtId="3" fontId="16" fillId="9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/>
    <xf numFmtId="0" fontId="2" fillId="0" borderId="0" xfId="0" applyFont="1" applyAlignment="1">
      <alignment horizontal="left" vertical="center"/>
    </xf>
    <xf numFmtId="10" fontId="2" fillId="0" borderId="0" xfId="0" applyNumberFormat="1" applyFont="1"/>
    <xf numFmtId="0" fontId="2" fillId="0" borderId="0" xfId="0" applyFont="1" applyAlignment="1">
      <alignment horizontal="right"/>
    </xf>
    <xf numFmtId="166" fontId="0" fillId="0" borderId="0" xfId="1" applyNumberFormat="1" applyFont="1"/>
    <xf numFmtId="0" fontId="16" fillId="0" borderId="0" xfId="0" applyFont="1"/>
    <xf numFmtId="0" fontId="13" fillId="0" borderId="4" xfId="0" applyFont="1" applyBorder="1" applyAlignment="1">
      <alignment horizontal="centerContinuous" vertical="center"/>
    </xf>
    <xf numFmtId="3" fontId="13" fillId="0" borderId="4" xfId="0" applyNumberFormat="1" applyFont="1" applyBorder="1" applyAlignment="1">
      <alignment horizontal="centerContinuous" vertical="center"/>
    </xf>
    <xf numFmtId="168" fontId="0" fillId="0" borderId="0" xfId="0" applyNumberFormat="1"/>
    <xf numFmtId="3" fontId="0" fillId="0" borderId="0" xfId="0" applyNumberFormat="1" applyAlignment="1" applyProtection="1">
      <alignment horizontal="center"/>
      <protection locked="0"/>
    </xf>
    <xf numFmtId="0" fontId="14" fillId="0" borderId="1" xfId="0" applyFont="1" applyBorder="1" applyAlignment="1">
      <alignment horizontal="left" vertical="center"/>
    </xf>
    <xf numFmtId="3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10" borderId="0" xfId="0" applyFill="1"/>
    <xf numFmtId="0" fontId="0" fillId="10" borderId="0" xfId="0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18" fillId="0" borderId="0" xfId="2"/>
    <xf numFmtId="0" fontId="19" fillId="7" borderId="0" xfId="0" applyFont="1" applyFill="1"/>
    <xf numFmtId="166" fontId="2" fillId="0" borderId="0" xfId="1" applyNumberFormat="1" applyFont="1"/>
    <xf numFmtId="166" fontId="2" fillId="0" borderId="0" xfId="0" applyNumberFormat="1" applyFont="1"/>
    <xf numFmtId="164" fontId="1" fillId="0" borderId="0" xfId="0" applyNumberFormat="1" applyFont="1"/>
    <xf numFmtId="0" fontId="11" fillId="0" borderId="0" xfId="0" applyFont="1"/>
    <xf numFmtId="164" fontId="2" fillId="0" borderId="0" xfId="0" applyNumberFormat="1" applyFont="1"/>
    <xf numFmtId="0" fontId="20" fillId="0" borderId="0" xfId="0" applyFont="1" applyAlignment="1">
      <alignment horizontal="center" vertical="center"/>
    </xf>
    <xf numFmtId="169" fontId="0" fillId="0" borderId="0" xfId="0" applyNumberFormat="1"/>
    <xf numFmtId="164" fontId="16" fillId="0" borderId="0" xfId="0" applyNumberFormat="1" applyFont="1"/>
    <xf numFmtId="0" fontId="1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7" fontId="9" fillId="0" borderId="0" xfId="0" applyNumberFormat="1" applyFont="1"/>
    <xf numFmtId="166" fontId="16" fillId="0" borderId="0" xfId="1" applyNumberFormat="1" applyFont="1"/>
    <xf numFmtId="0" fontId="2" fillId="7" borderId="0" xfId="0" applyFont="1" applyFill="1" applyAlignment="1">
      <alignment horizontal="left"/>
    </xf>
    <xf numFmtId="0" fontId="18" fillId="7" borderId="0" xfId="2" quotePrefix="1" applyFill="1"/>
    <xf numFmtId="0" fontId="2" fillId="7" borderId="0" xfId="0" applyFont="1" applyFill="1" applyAlignment="1">
      <alignment vertical="center" wrapText="1"/>
    </xf>
    <xf numFmtId="0" fontId="0" fillId="7" borderId="0" xfId="0" applyFill="1" applyAlignment="1">
      <alignment horizontal="justify" vertical="justify" wrapText="1"/>
    </xf>
    <xf numFmtId="0" fontId="2" fillId="11" borderId="0" xfId="0" applyFont="1" applyFill="1" applyAlignment="1">
      <alignment horizontal="center"/>
    </xf>
    <xf numFmtId="0" fontId="18" fillId="0" borderId="0" xfId="2"/>
    <xf numFmtId="4" fontId="16" fillId="0" borderId="0" xfId="0" applyNumberFormat="1" applyFont="1"/>
    <xf numFmtId="44" fontId="16" fillId="0" borderId="0" xfId="0" applyNumberFormat="1" applyFont="1"/>
    <xf numFmtId="169" fontId="16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37">
    <dxf>
      <font>
        <b/>
        <i val="0"/>
        <color rgb="FF00B050"/>
      </font>
    </dxf>
    <dxf>
      <font>
        <b/>
        <i val="0"/>
        <color rgb="FFFF0000"/>
      </font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7030A0"/>
      </font>
    </dxf>
    <dxf>
      <font>
        <color rgb="FFC0000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ael.ecco\Desktop\SACII%20-%20Simulador%20Investimento_vrs%201.2.4%20-%20Copi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.arruda\AppData\Local\Temp\0e0bf3a9-6b7f-426f-825e-3d875e5a6eab_Entrega%20Item%201_a-b-c_rev.rar.eab\Item1b_SACII_F7-Simula&#231;&#227;o%20em%20rede_v1.1%20ACB_BASE_DESENVOLV1_2_3.xlsm" TargetMode="External"/><Relationship Id="rId1" Type="http://schemas.openxmlformats.org/officeDocument/2006/relationships/externalLinkPath" Target="file:///C:\Users\fabio.arruda\AppData\Local\Temp\0e0bf3a9-6b7f-426f-825e-3d875e5a6eab_Entrega%20Item%201_a-b-c_rev.rar.eab\Item1b_SACII_F7-Simula&#231;&#227;o%20em%20rede_v1.1%20ACB_BASE_DESENVOLV1_2_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.labtrans.ufsc.br\projetos$\Users\vitoria.giordano\Downloads\SACI4-Simulador%20Financeiro_vrs1.3%20(novo%20m&#233;todo%20ATM%20-%20n&#227;o%20aplicado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a%20Estrutura%20Rede\Aerovi&#225;rio\Projeto%20SAC%20II\06-Fase2\4.%20M&#233;todo%20de%20Estimativa\02.%20Parametro_Capacidade%20pista\Capacidade%20Pista%20-%20LabTrans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.arruda\OneDrive%20-%20Minist&#233;rio%20da%20Infraestrutura\Documentos\Processo%20Competitivo%20Simplificado%20-%20PCS%20-%202024\Comparativo%20Aeroportos%20PPP%20x%20Concesso&#771;es%20Federais%20EVTEA%20v4%201.xlsx" TargetMode="External"/><Relationship Id="rId1" Type="http://schemas.openxmlformats.org/officeDocument/2006/relationships/externalLinkPath" Target="file:///C:\Users\fabio.arruda\OneDrive%20-%20Minist&#233;rio%20da%20Infraestrutura\Documentos\Processo%20Competitivo%20Simplificado%20-%20PCS%20-%202024\Comparativo%20Aeroportos%20PPP%20x%20Concesso&#771;es%20Federais%20EVTEA%20v4%201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infraestrutura-my.sharepoint.com/personal/fabio_arruda_mpor_gov_br/Documents/Documentos/Processo%20Competitivo%20Simplificado%20-%20PCS%20-%202024/Processo%20Competitivo%20Simplificado%20-%20Aeroportos%20Regionais%20-%20PAN%20Novo%20-%20Com%20Oiapoque%20-%2005122024.xlsx" TargetMode="External"/><Relationship Id="rId2" Type="http://schemas.microsoft.com/office/2019/04/relationships/externalLinkLongPath" Target="Processo%20Competitivo%20Simplificado%20-%20Aeroportos%20Regionais%20-%20PAN%20Novo%20-%20Com%20Oiapoque%20-%2005122024.xlsx?8722D6BC" TargetMode="External"/><Relationship Id="rId1" Type="http://schemas.openxmlformats.org/officeDocument/2006/relationships/externalLinkPath" Target="file:///\\8722D6BC\Processo%20Competitivo%20Simplificado%20-%20Aeroportos%20Regionais%20-%20PAN%20Novo%20-%20Com%20Oiapoque%20-%2005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  <sheetName val="SACII - Simulador Investimento_"/>
    </sheetNames>
    <sheetDataSet>
      <sheetData sheetId="0" refreshError="1"/>
      <sheetData sheetId="1">
        <row r="5">
          <cell r="B5" t="str">
            <v>AC</v>
          </cell>
          <cell r="C5">
            <v>0.17</v>
          </cell>
        </row>
        <row r="6">
          <cell r="B6" t="str">
            <v>AL</v>
          </cell>
          <cell r="C6">
            <v>0.18</v>
          </cell>
        </row>
        <row r="7">
          <cell r="B7" t="str">
            <v>AM</v>
          </cell>
          <cell r="C7">
            <v>0.18</v>
          </cell>
        </row>
        <row r="8">
          <cell r="B8" t="str">
            <v>AP</v>
          </cell>
          <cell r="C8">
            <v>0.18</v>
          </cell>
        </row>
        <row r="9">
          <cell r="B9" t="str">
            <v>BA</v>
          </cell>
          <cell r="C9">
            <v>0.18</v>
          </cell>
          <cell r="F9">
            <v>6.4999999999999997E-3</v>
          </cell>
        </row>
        <row r="10">
          <cell r="B10" t="str">
            <v>CE</v>
          </cell>
          <cell r="C10">
            <v>0.18</v>
          </cell>
          <cell r="F10">
            <v>0.03</v>
          </cell>
        </row>
        <row r="11">
          <cell r="B11" t="str">
            <v>DF</v>
          </cell>
          <cell r="C11">
            <v>0.18</v>
          </cell>
        </row>
        <row r="12">
          <cell r="B12" t="str">
            <v>ES</v>
          </cell>
          <cell r="C12">
            <v>0.17</v>
          </cell>
          <cell r="G12">
            <v>418.12400000000002</v>
          </cell>
        </row>
        <row r="13">
          <cell r="B13" t="str">
            <v>GO</v>
          </cell>
          <cell r="C13">
            <v>0.17</v>
          </cell>
        </row>
        <row r="14">
          <cell r="B14" t="str">
            <v>MA</v>
          </cell>
          <cell r="C14">
            <v>0.18</v>
          </cell>
        </row>
        <row r="15">
          <cell r="B15" t="str">
            <v>MG</v>
          </cell>
          <cell r="C15">
            <v>0.18</v>
          </cell>
        </row>
        <row r="16">
          <cell r="B16" t="str">
            <v>MS</v>
          </cell>
          <cell r="C16">
            <v>0.17</v>
          </cell>
        </row>
        <row r="17">
          <cell r="B17" t="str">
            <v>MT</v>
          </cell>
          <cell r="C17">
            <v>0.17</v>
          </cell>
        </row>
        <row r="18">
          <cell r="B18" t="str">
            <v>PA</v>
          </cell>
          <cell r="C18">
            <v>0.17</v>
          </cell>
        </row>
        <row r="19">
          <cell r="B19" t="str">
            <v>PB</v>
          </cell>
          <cell r="C19">
            <v>0.18</v>
          </cell>
        </row>
        <row r="20">
          <cell r="B20" t="str">
            <v>PE</v>
          </cell>
          <cell r="C20">
            <v>0.18</v>
          </cell>
        </row>
        <row r="21">
          <cell r="B21" t="str">
            <v>PI</v>
          </cell>
          <cell r="C21">
            <v>0.18</v>
          </cell>
        </row>
        <row r="22">
          <cell r="B22" t="str">
            <v>PR</v>
          </cell>
          <cell r="C22">
            <v>0.18</v>
          </cell>
        </row>
        <row r="23">
          <cell r="B23" t="str">
            <v>RJ</v>
          </cell>
          <cell r="C23">
            <v>0.2</v>
          </cell>
        </row>
        <row r="24">
          <cell r="B24" t="str">
            <v>RN</v>
          </cell>
          <cell r="C24">
            <v>0.18</v>
          </cell>
        </row>
        <row r="25">
          <cell r="B25" t="str">
            <v>RO</v>
          </cell>
          <cell r="C25">
            <v>0.17499999999999999</v>
          </cell>
        </row>
        <row r="26">
          <cell r="B26" t="str">
            <v>RR</v>
          </cell>
          <cell r="C26">
            <v>0.17</v>
          </cell>
        </row>
        <row r="27">
          <cell r="B27" t="str">
            <v>RS</v>
          </cell>
          <cell r="C27">
            <v>0.18</v>
          </cell>
        </row>
        <row r="28">
          <cell r="B28" t="str">
            <v>SC</v>
          </cell>
          <cell r="C28">
            <v>0.17</v>
          </cell>
        </row>
        <row r="29">
          <cell r="B29" t="str">
            <v>SE</v>
          </cell>
          <cell r="C29">
            <v>0.18</v>
          </cell>
        </row>
        <row r="30">
          <cell r="B30" t="str">
            <v>SP</v>
          </cell>
          <cell r="C30">
            <v>0.18</v>
          </cell>
        </row>
        <row r="31">
          <cell r="B31" t="str">
            <v>TO</v>
          </cell>
          <cell r="C31">
            <v>0.18</v>
          </cell>
        </row>
      </sheetData>
      <sheetData sheetId="2">
        <row r="121">
          <cell r="C121" t="str">
            <v>Não</v>
          </cell>
        </row>
        <row r="127">
          <cell r="C127" t="str">
            <v>Não</v>
          </cell>
          <cell r="L127" t="str">
            <v>Não</v>
          </cell>
        </row>
        <row r="134">
          <cell r="C134" t="str">
            <v>Não</v>
          </cell>
          <cell r="L134" t="str">
            <v>Não</v>
          </cell>
        </row>
        <row r="153">
          <cell r="C153" t="str">
            <v>Sugerido</v>
          </cell>
          <cell r="L153" t="str">
            <v>Sugerido</v>
          </cell>
        </row>
      </sheetData>
      <sheetData sheetId="3"/>
      <sheetData sheetId="4" refreshError="1"/>
      <sheetData sheetId="5" refreshError="1"/>
      <sheetData sheetId="6">
        <row r="1">
          <cell r="C1" t="str">
            <v>ICAO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Z5" t="str">
            <v>IFR Precisão</v>
          </cell>
          <cell r="AA5" t="str">
            <v>ü</v>
          </cell>
          <cell r="AB5" t="str">
            <v>ü</v>
          </cell>
          <cell r="AC5" t="str">
            <v>ü</v>
          </cell>
          <cell r="AD5" t="str">
            <v>ü</v>
          </cell>
          <cell r="AE5" t="str">
            <v>ü</v>
          </cell>
          <cell r="AF5" t="str">
            <v>û</v>
          </cell>
          <cell r="AG5" t="str">
            <v>û</v>
          </cell>
          <cell r="AH5" t="str">
            <v>ü</v>
          </cell>
        </row>
        <row r="6">
          <cell r="Q6" t="str">
            <v>Cenário 1</v>
          </cell>
          <cell r="R6" t="str">
            <v>IFR Precisão</v>
          </cell>
          <cell r="S6" t="str">
            <v>EMS-1</v>
          </cell>
          <cell r="T6" t="str">
            <v>û</v>
          </cell>
          <cell r="U6" t="str">
            <v>ü</v>
          </cell>
          <cell r="V6" t="str">
            <v>ü</v>
          </cell>
          <cell r="W6" t="str">
            <v>ü</v>
          </cell>
          <cell r="X6" t="str">
            <v>ü</v>
          </cell>
          <cell r="Z6" t="str">
            <v>IFR Não-Precisão</v>
          </cell>
          <cell r="AA6" t="str">
            <v>ü</v>
          </cell>
          <cell r="AB6" t="str">
            <v>ü</v>
          </cell>
          <cell r="AC6" t="str">
            <v>ü</v>
          </cell>
          <cell r="AD6" t="str">
            <v>ü</v>
          </cell>
          <cell r="AE6" t="str">
            <v>ü</v>
          </cell>
          <cell r="AF6" t="e">
            <v>#N/A</v>
          </cell>
          <cell r="AG6" t="str">
            <v>û</v>
          </cell>
          <cell r="AH6" t="str">
            <v>û</v>
          </cell>
        </row>
        <row r="7">
          <cell r="Q7" t="str">
            <v>Cenário 2</v>
          </cell>
          <cell r="R7" t="str">
            <v>IFR Não-Precisão</v>
          </cell>
          <cell r="S7" t="str">
            <v>EMS-2</v>
          </cell>
          <cell r="T7" t="str">
            <v>û</v>
          </cell>
          <cell r="U7" t="str">
            <v>ü</v>
          </cell>
          <cell r="V7" t="str">
            <v>ü</v>
          </cell>
          <cell r="W7" t="str">
            <v>û</v>
          </cell>
          <cell r="X7" t="str">
            <v>ü</v>
          </cell>
          <cell r="Z7" t="str">
            <v>VFR</v>
          </cell>
          <cell r="AA7" t="str">
            <v>ü</v>
          </cell>
          <cell r="AB7" t="str">
            <v>ü</v>
          </cell>
          <cell r="AC7" t="str">
            <v>ü</v>
          </cell>
          <cell r="AD7" t="str">
            <v>ü</v>
          </cell>
          <cell r="AE7" t="str">
            <v>ü</v>
          </cell>
          <cell r="AF7" t="e">
            <v>#N/A</v>
          </cell>
          <cell r="AG7" t="str">
            <v>û</v>
          </cell>
          <cell r="AH7" t="str">
            <v>û</v>
          </cell>
        </row>
        <row r="8">
          <cell r="Q8" t="str">
            <v>Cenário 3</v>
          </cell>
          <cell r="R8" t="str">
            <v>IFR Não-Precisão</v>
          </cell>
          <cell r="S8" t="str">
            <v>EMS-3</v>
          </cell>
          <cell r="T8" t="str">
            <v>ü</v>
          </cell>
          <cell r="U8" t="str">
            <v>û</v>
          </cell>
          <cell r="V8" t="str">
            <v>ü</v>
          </cell>
          <cell r="W8" t="str">
            <v>û</v>
          </cell>
          <cell r="X8" t="str">
            <v>ü</v>
          </cell>
        </row>
        <row r="9">
          <cell r="Q9" t="str">
            <v>Cenário 4</v>
          </cell>
          <cell r="R9" t="str">
            <v>IFR Não-Precisão</v>
          </cell>
          <cell r="S9" t="str">
            <v>EMS-3</v>
          </cell>
          <cell r="T9" t="str">
            <v>ü</v>
          </cell>
          <cell r="U9" t="str">
            <v>û</v>
          </cell>
          <cell r="V9" t="str">
            <v>û</v>
          </cell>
          <cell r="W9" t="str">
            <v>û</v>
          </cell>
          <cell r="X9" t="str">
            <v>û</v>
          </cell>
        </row>
        <row r="10">
          <cell r="Q10" t="str">
            <v>Cenário 5</v>
          </cell>
          <cell r="R10" t="str">
            <v>IFR Não-Precisão</v>
          </cell>
          <cell r="S10" t="str">
            <v>ERAA</v>
          </cell>
          <cell r="T10" t="str">
            <v>û</v>
          </cell>
          <cell r="U10" t="str">
            <v>û</v>
          </cell>
          <cell r="V10" t="str">
            <v>û</v>
          </cell>
          <cell r="W10" t="str">
            <v>û</v>
          </cell>
          <cell r="X10" t="str">
            <v>û</v>
          </cell>
        </row>
        <row r="11">
          <cell r="Q11" t="str">
            <v>Cenário 6</v>
          </cell>
          <cell r="R11" t="str">
            <v>VFR</v>
          </cell>
          <cell r="S11" t="str">
            <v>Não possui</v>
          </cell>
          <cell r="T11" t="str">
            <v>û</v>
          </cell>
          <cell r="U11" t="str">
            <v>û</v>
          </cell>
          <cell r="V11" t="str">
            <v>û</v>
          </cell>
          <cell r="W11" t="str">
            <v>û</v>
          </cell>
          <cell r="X11" t="str">
            <v>û</v>
          </cell>
        </row>
      </sheetData>
      <sheetData sheetId="14">
        <row r="5">
          <cell r="AD5" t="str">
            <v>A319</v>
          </cell>
          <cell r="AE5" t="str">
            <v>3C</v>
          </cell>
          <cell r="AF5">
            <v>1799</v>
          </cell>
          <cell r="AG5">
            <v>45</v>
          </cell>
          <cell r="AH5">
            <v>158</v>
          </cell>
          <cell r="AI5">
            <v>25</v>
          </cell>
          <cell r="AJ5">
            <v>26</v>
          </cell>
          <cell r="AK5">
            <v>38.5</v>
          </cell>
          <cell r="AS5">
            <v>6</v>
          </cell>
          <cell r="AT5">
            <v>300</v>
          </cell>
          <cell r="CA5">
            <v>5</v>
          </cell>
          <cell r="CB5">
            <v>0</v>
          </cell>
          <cell r="CC5">
            <v>20</v>
          </cell>
          <cell r="DF5">
            <v>2500</v>
          </cell>
          <cell r="IP5" t="str">
            <v>Média 2</v>
          </cell>
        </row>
        <row r="6">
          <cell r="M6" t="str">
            <v>A319</v>
          </cell>
          <cell r="P6">
            <v>1370</v>
          </cell>
          <cell r="Q6">
            <v>1799</v>
          </cell>
          <cell r="R6">
            <v>45</v>
          </cell>
          <cell r="S6">
            <v>45</v>
          </cell>
          <cell r="AD6" t="str">
            <v>A320</v>
          </cell>
          <cell r="AE6" t="str">
            <v>4C</v>
          </cell>
          <cell r="AF6">
            <v>2025</v>
          </cell>
          <cell r="AG6">
            <v>45</v>
          </cell>
          <cell r="AH6">
            <v>158</v>
          </cell>
          <cell r="AI6">
            <v>25</v>
          </cell>
          <cell r="AJ6">
            <v>26</v>
          </cell>
          <cell r="AK6">
            <v>40.5</v>
          </cell>
          <cell r="AS6">
            <v>6</v>
          </cell>
          <cell r="AT6">
            <v>300</v>
          </cell>
          <cell r="IP6" t="str">
            <v>Média 2</v>
          </cell>
        </row>
        <row r="7">
          <cell r="M7" t="str">
            <v>A320</v>
          </cell>
          <cell r="P7">
            <v>1525</v>
          </cell>
          <cell r="Q7">
            <v>2025</v>
          </cell>
          <cell r="R7">
            <v>45</v>
          </cell>
          <cell r="S7">
            <v>45</v>
          </cell>
          <cell r="AD7" t="str">
            <v>A320 NEO</v>
          </cell>
          <cell r="AE7" t="str">
            <v>3C</v>
          </cell>
          <cell r="AF7">
            <v>1775</v>
          </cell>
          <cell r="AG7">
            <v>45</v>
          </cell>
          <cell r="AH7">
            <v>158</v>
          </cell>
          <cell r="AI7">
            <v>25</v>
          </cell>
          <cell r="AJ7">
            <v>26</v>
          </cell>
          <cell r="AK7">
            <v>40.5</v>
          </cell>
          <cell r="AS7">
            <v>6</v>
          </cell>
          <cell r="AT7">
            <v>300</v>
          </cell>
          <cell r="IP7" t="str">
            <v>Média 2</v>
          </cell>
        </row>
        <row r="8">
          <cell r="M8" t="str">
            <v>A320 NEO</v>
          </cell>
          <cell r="P8">
            <v>1440</v>
          </cell>
          <cell r="Q8">
            <v>1775</v>
          </cell>
          <cell r="R8">
            <v>45</v>
          </cell>
          <cell r="S8">
            <v>45</v>
          </cell>
          <cell r="AD8" t="str">
            <v>A321 NEO</v>
          </cell>
          <cell r="AE8" t="str">
            <v>4C</v>
          </cell>
          <cell r="AF8">
            <v>2180</v>
          </cell>
          <cell r="AG8">
            <v>45</v>
          </cell>
          <cell r="AH8">
            <v>158</v>
          </cell>
          <cell r="AI8">
            <v>25</v>
          </cell>
          <cell r="AJ8">
            <v>26</v>
          </cell>
          <cell r="AK8">
            <v>40.5</v>
          </cell>
          <cell r="AS8">
            <v>7</v>
          </cell>
          <cell r="AT8">
            <v>500</v>
          </cell>
          <cell r="IP8" t="str">
            <v>Média 2</v>
          </cell>
        </row>
        <row r="9">
          <cell r="M9" t="str">
            <v>A321 NEO</v>
          </cell>
          <cell r="N9">
            <v>1200</v>
          </cell>
          <cell r="O9">
            <v>1385</v>
          </cell>
          <cell r="P9">
            <v>1720</v>
          </cell>
          <cell r="Q9">
            <v>2180</v>
          </cell>
          <cell r="R9">
            <v>45</v>
          </cell>
          <cell r="S9">
            <v>45</v>
          </cell>
          <cell r="AD9" t="str">
            <v>A330-200</v>
          </cell>
          <cell r="AE9" t="str">
            <v>4E</v>
          </cell>
          <cell r="AF9">
            <v>2520</v>
          </cell>
          <cell r="AG9">
            <v>60</v>
          </cell>
          <cell r="AH9">
            <v>172.5</v>
          </cell>
          <cell r="AI9">
            <v>38</v>
          </cell>
          <cell r="AJ9">
            <v>43.5</v>
          </cell>
          <cell r="AK9">
            <v>67.5</v>
          </cell>
          <cell r="AS9">
            <v>8</v>
          </cell>
          <cell r="AT9">
            <v>500</v>
          </cell>
          <cell r="IP9" t="str">
            <v>Pesada</v>
          </cell>
        </row>
        <row r="10">
          <cell r="M10" t="str">
            <v>A330-200</v>
          </cell>
          <cell r="O10">
            <v>1590</v>
          </cell>
          <cell r="P10">
            <v>1930</v>
          </cell>
          <cell r="Q10">
            <v>2520</v>
          </cell>
          <cell r="R10">
            <v>60</v>
          </cell>
          <cell r="S10">
            <v>45</v>
          </cell>
          <cell r="AD10" t="str">
            <v>A330-900</v>
          </cell>
          <cell r="AE10" t="str">
            <v>4E</v>
          </cell>
          <cell r="AF10">
            <v>2790</v>
          </cell>
          <cell r="AG10">
            <v>60</v>
          </cell>
          <cell r="AH10">
            <v>172.5</v>
          </cell>
          <cell r="AI10">
            <v>38</v>
          </cell>
          <cell r="AJ10">
            <v>43.5</v>
          </cell>
          <cell r="AK10">
            <v>71.5</v>
          </cell>
          <cell r="AS10">
            <v>9</v>
          </cell>
          <cell r="AT10">
            <v>800</v>
          </cell>
          <cell r="IP10" t="str">
            <v>Pesada</v>
          </cell>
        </row>
        <row r="11">
          <cell r="M11" t="str">
            <v>A330-900</v>
          </cell>
          <cell r="O11">
            <v>1840</v>
          </cell>
          <cell r="P11">
            <v>2040</v>
          </cell>
          <cell r="Q11">
            <v>2790</v>
          </cell>
          <cell r="R11">
            <v>60</v>
          </cell>
          <cell r="S11">
            <v>45</v>
          </cell>
          <cell r="AD11" t="str">
            <v>A350-900</v>
          </cell>
          <cell r="AE11" t="str">
            <v>4E</v>
          </cell>
          <cell r="AF11">
            <v>2840</v>
          </cell>
          <cell r="AG11">
            <v>60</v>
          </cell>
          <cell r="AH11">
            <v>172.5</v>
          </cell>
          <cell r="AI11">
            <v>38</v>
          </cell>
          <cell r="AJ11">
            <v>43.5</v>
          </cell>
          <cell r="AK11">
            <v>72.5</v>
          </cell>
          <cell r="AS11">
            <v>9</v>
          </cell>
          <cell r="AT11">
            <v>800</v>
          </cell>
          <cell r="IP11" t="str">
            <v>Pesada</v>
          </cell>
        </row>
        <row r="12">
          <cell r="M12" t="str">
            <v>A350-900</v>
          </cell>
          <cell r="O12">
            <v>1850</v>
          </cell>
          <cell r="P12">
            <v>2200</v>
          </cell>
          <cell r="Q12">
            <v>2840</v>
          </cell>
          <cell r="R12">
            <v>60</v>
          </cell>
          <cell r="S12">
            <v>45</v>
          </cell>
          <cell r="AD12" t="str">
            <v>B737-700</v>
          </cell>
          <cell r="AE12" t="str">
            <v>3C</v>
          </cell>
          <cell r="AF12">
            <v>1610</v>
          </cell>
          <cell r="AG12">
            <v>30</v>
          </cell>
          <cell r="AH12">
            <v>158</v>
          </cell>
          <cell r="AI12">
            <v>25</v>
          </cell>
          <cell r="AJ12">
            <v>26</v>
          </cell>
          <cell r="AK12">
            <v>40.5</v>
          </cell>
          <cell r="AS12">
            <v>6</v>
          </cell>
          <cell r="AT12">
            <v>300</v>
          </cell>
          <cell r="IP12" t="str">
            <v>Média 1</v>
          </cell>
        </row>
        <row r="13">
          <cell r="M13" t="str">
            <v>B737-700</v>
          </cell>
          <cell r="P13">
            <v>1365</v>
          </cell>
          <cell r="Q13">
            <v>1610</v>
          </cell>
          <cell r="R13">
            <v>30</v>
          </cell>
          <cell r="S13">
            <v>30</v>
          </cell>
          <cell r="AD13" t="str">
            <v>B737-800W</v>
          </cell>
          <cell r="AE13" t="str">
            <v>4C</v>
          </cell>
          <cell r="AF13">
            <v>2375</v>
          </cell>
          <cell r="AG13">
            <v>45</v>
          </cell>
          <cell r="AH13">
            <v>158</v>
          </cell>
          <cell r="AI13">
            <v>25</v>
          </cell>
          <cell r="AJ13">
            <v>26</v>
          </cell>
          <cell r="AK13">
            <v>40.5</v>
          </cell>
          <cell r="AS13">
            <v>7</v>
          </cell>
          <cell r="AT13">
            <v>500</v>
          </cell>
          <cell r="IP13" t="str">
            <v>Média 1</v>
          </cell>
        </row>
        <row r="14">
          <cell r="M14" t="str">
            <v>B737-800W</v>
          </cell>
          <cell r="N14">
            <v>1050</v>
          </cell>
          <cell r="O14">
            <v>1350</v>
          </cell>
          <cell r="P14">
            <v>1600</v>
          </cell>
          <cell r="Q14">
            <v>2010</v>
          </cell>
          <cell r="R14">
            <v>45</v>
          </cell>
          <cell r="S14">
            <v>45</v>
          </cell>
          <cell r="AD14" t="str">
            <v>B737-8 MAX</v>
          </cell>
          <cell r="AE14" t="str">
            <v>4C</v>
          </cell>
          <cell r="AF14">
            <v>2040</v>
          </cell>
          <cell r="AG14">
            <v>45</v>
          </cell>
          <cell r="AH14">
            <v>158</v>
          </cell>
          <cell r="AI14">
            <v>25</v>
          </cell>
          <cell r="AJ14">
            <v>26</v>
          </cell>
          <cell r="AK14">
            <v>40.5</v>
          </cell>
          <cell r="AS14">
            <v>7</v>
          </cell>
          <cell r="AT14">
            <v>500</v>
          </cell>
          <cell r="IP14" t="str">
            <v>Média 2</v>
          </cell>
        </row>
        <row r="15">
          <cell r="M15" t="str">
            <v>B737-8 MAX</v>
          </cell>
          <cell r="O15">
            <v>1350</v>
          </cell>
          <cell r="P15">
            <v>1665</v>
          </cell>
          <cell r="Q15">
            <v>2040</v>
          </cell>
          <cell r="R15">
            <v>45</v>
          </cell>
          <cell r="S15">
            <v>45</v>
          </cell>
          <cell r="AD15" t="str">
            <v>B767-300ER</v>
          </cell>
          <cell r="AE15" t="str">
            <v>4D</v>
          </cell>
          <cell r="AF15">
            <v>2600</v>
          </cell>
          <cell r="AG15">
            <v>60</v>
          </cell>
          <cell r="AH15">
            <v>166</v>
          </cell>
          <cell r="AI15">
            <v>34</v>
          </cell>
          <cell r="AJ15">
            <v>37</v>
          </cell>
          <cell r="AK15">
            <v>55.5</v>
          </cell>
          <cell r="AS15">
            <v>8</v>
          </cell>
          <cell r="AT15">
            <v>500</v>
          </cell>
          <cell r="IP15" t="str">
            <v>Média 2</v>
          </cell>
        </row>
        <row r="16">
          <cell r="M16" t="str">
            <v>B767-300ER</v>
          </cell>
          <cell r="N16">
            <v>1350</v>
          </cell>
          <cell r="O16">
            <v>1630</v>
          </cell>
          <cell r="P16">
            <v>2075</v>
          </cell>
          <cell r="Q16">
            <v>2715</v>
          </cell>
          <cell r="R16">
            <v>60</v>
          </cell>
          <cell r="S16">
            <v>45</v>
          </cell>
          <cell r="AD16" t="str">
            <v>B777-300ER</v>
          </cell>
          <cell r="AE16" t="str">
            <v>4E</v>
          </cell>
          <cell r="AF16">
            <v>3060</v>
          </cell>
          <cell r="AG16">
            <v>60</v>
          </cell>
          <cell r="AH16">
            <v>172.5</v>
          </cell>
          <cell r="AI16">
            <v>38</v>
          </cell>
          <cell r="AJ16">
            <v>43.5</v>
          </cell>
          <cell r="AK16">
            <v>72.5</v>
          </cell>
          <cell r="AS16">
            <v>9</v>
          </cell>
          <cell r="AT16">
            <v>800</v>
          </cell>
          <cell r="IP16" t="str">
            <v>Média 2</v>
          </cell>
        </row>
        <row r="17">
          <cell r="M17" t="str">
            <v>B777-300ER</v>
          </cell>
          <cell r="O17">
            <v>1930</v>
          </cell>
          <cell r="P17">
            <v>2450</v>
          </cell>
          <cell r="Q17">
            <v>3060</v>
          </cell>
          <cell r="R17">
            <v>60</v>
          </cell>
          <cell r="S17">
            <v>45</v>
          </cell>
          <cell r="AD17" t="str">
            <v>B787-8 Dreamliner</v>
          </cell>
          <cell r="AE17" t="str">
            <v>4E</v>
          </cell>
          <cell r="AF17">
            <v>3100</v>
          </cell>
          <cell r="AG17">
            <v>60</v>
          </cell>
          <cell r="AH17">
            <v>172.5</v>
          </cell>
          <cell r="AI17">
            <v>38</v>
          </cell>
          <cell r="AJ17">
            <v>43.5</v>
          </cell>
          <cell r="AK17">
            <v>63.5</v>
          </cell>
          <cell r="AS17">
            <v>8</v>
          </cell>
          <cell r="AT17">
            <v>500</v>
          </cell>
          <cell r="IP17" t="str">
            <v>Média 2</v>
          </cell>
        </row>
        <row r="18">
          <cell r="M18" t="str">
            <v>B787-8 Dreamliner</v>
          </cell>
          <cell r="O18">
            <v>1815</v>
          </cell>
          <cell r="P18">
            <v>2300</v>
          </cell>
          <cell r="Q18">
            <v>3100</v>
          </cell>
          <cell r="R18">
            <v>60</v>
          </cell>
          <cell r="S18">
            <v>45</v>
          </cell>
          <cell r="AD18" t="str">
            <v>CRJ200</v>
          </cell>
          <cell r="AE18" t="str">
            <v>4B</v>
          </cell>
          <cell r="AF18">
            <v>1910</v>
          </cell>
          <cell r="AG18">
            <v>45</v>
          </cell>
          <cell r="AH18">
            <v>152</v>
          </cell>
          <cell r="AI18">
            <v>25</v>
          </cell>
          <cell r="AJ18">
            <v>20</v>
          </cell>
          <cell r="AK18">
            <v>24</v>
          </cell>
          <cell r="AS18">
            <v>6</v>
          </cell>
          <cell r="AT18">
            <v>300</v>
          </cell>
          <cell r="IP18" t="str">
            <v>Média 2</v>
          </cell>
        </row>
        <row r="19">
          <cell r="M19" t="str">
            <v>CRJ200</v>
          </cell>
          <cell r="N19">
            <v>950</v>
          </cell>
          <cell r="O19">
            <v>1220</v>
          </cell>
          <cell r="P19">
            <v>1540</v>
          </cell>
          <cell r="Q19">
            <v>1910</v>
          </cell>
          <cell r="R19">
            <v>45</v>
          </cell>
          <cell r="S19">
            <v>45</v>
          </cell>
          <cell r="AD19" t="str">
            <v>C208 Grand Caravan</v>
          </cell>
          <cell r="AE19" t="str">
            <v>1B</v>
          </cell>
          <cell r="AF19">
            <v>658</v>
          </cell>
          <cell r="AG19">
            <v>30</v>
          </cell>
          <cell r="AH19">
            <v>82</v>
          </cell>
          <cell r="AI19">
            <v>8</v>
          </cell>
          <cell r="AJ19">
            <v>20</v>
          </cell>
          <cell r="AK19">
            <v>19</v>
          </cell>
          <cell r="AS19">
            <v>3</v>
          </cell>
          <cell r="AT19">
            <v>100</v>
          </cell>
          <cell r="IP19" t="str">
            <v>Pesada</v>
          </cell>
        </row>
        <row r="20">
          <cell r="M20" t="str">
            <v>C208 Grand Caravan</v>
          </cell>
          <cell r="Q20">
            <v>658</v>
          </cell>
          <cell r="R20">
            <v>30</v>
          </cell>
          <cell r="S20">
            <v>30</v>
          </cell>
          <cell r="AD20" t="str">
            <v>EMB-195</v>
          </cell>
          <cell r="AE20" t="str">
            <v>4C</v>
          </cell>
          <cell r="AF20">
            <v>2092</v>
          </cell>
          <cell r="AG20">
            <v>45</v>
          </cell>
          <cell r="AH20">
            <v>158</v>
          </cell>
          <cell r="AI20">
            <v>25</v>
          </cell>
          <cell r="AJ20">
            <v>26</v>
          </cell>
          <cell r="AK20">
            <v>33.5</v>
          </cell>
          <cell r="AS20">
            <v>6</v>
          </cell>
          <cell r="AT20">
            <v>250</v>
          </cell>
          <cell r="IP20" t="str">
            <v>Pesada</v>
          </cell>
        </row>
        <row r="21">
          <cell r="M21" t="str">
            <v>EMB-195</v>
          </cell>
          <cell r="N21">
            <v>975</v>
          </cell>
          <cell r="O21">
            <v>1235</v>
          </cell>
          <cell r="P21">
            <v>1590</v>
          </cell>
          <cell r="Q21">
            <v>2092</v>
          </cell>
          <cell r="R21">
            <v>45</v>
          </cell>
          <cell r="S21">
            <v>45</v>
          </cell>
          <cell r="AD21" t="str">
            <v>EMB-195 E2</v>
          </cell>
          <cell r="AE21" t="str">
            <v>4C</v>
          </cell>
          <cell r="AF21">
            <v>1740</v>
          </cell>
          <cell r="AG21">
            <v>45</v>
          </cell>
          <cell r="AH21">
            <v>158</v>
          </cell>
          <cell r="AI21">
            <v>25</v>
          </cell>
          <cell r="AJ21">
            <v>26</v>
          </cell>
          <cell r="AK21">
            <v>33.5</v>
          </cell>
          <cell r="AS21">
            <v>6</v>
          </cell>
          <cell r="AT21">
            <v>300</v>
          </cell>
          <cell r="IP21" t="str">
            <v>Média 3</v>
          </cell>
        </row>
        <row r="22">
          <cell r="M22" t="str">
            <v>EMB-195 E2</v>
          </cell>
          <cell r="O22">
            <v>1130</v>
          </cell>
          <cell r="P22">
            <v>1405</v>
          </cell>
          <cell r="Q22">
            <v>1740</v>
          </cell>
          <cell r="R22">
            <v>45</v>
          </cell>
          <cell r="S22">
            <v>45</v>
          </cell>
          <cell r="AD22" t="str">
            <v>SkyCourier</v>
          </cell>
          <cell r="AE22" t="str">
            <v>2B</v>
          </cell>
          <cell r="AF22">
            <v>1006</v>
          </cell>
          <cell r="AG22">
            <v>30</v>
          </cell>
          <cell r="AH22">
            <v>82</v>
          </cell>
          <cell r="AI22">
            <v>8</v>
          </cell>
          <cell r="AJ22">
            <v>20</v>
          </cell>
          <cell r="AK22">
            <v>25</v>
          </cell>
          <cell r="AS22">
            <v>3</v>
          </cell>
          <cell r="AT22">
            <v>150</v>
          </cell>
          <cell r="IP22" t="str">
            <v>Pesada</v>
          </cell>
        </row>
        <row r="23">
          <cell r="M23" t="str">
            <v>SkyCourier</v>
          </cell>
          <cell r="Q23">
            <v>1006</v>
          </cell>
          <cell r="R23">
            <v>30</v>
          </cell>
          <cell r="S23">
            <v>30</v>
          </cell>
          <cell r="AD23" t="str">
            <v>ATR 42</v>
          </cell>
          <cell r="AE23" t="str">
            <v>2C</v>
          </cell>
          <cell r="AF23">
            <v>1165</v>
          </cell>
          <cell r="AG23">
            <v>30</v>
          </cell>
          <cell r="AH23">
            <v>88</v>
          </cell>
          <cell r="AI23">
            <v>25</v>
          </cell>
          <cell r="AJ23">
            <v>26</v>
          </cell>
          <cell r="AK23">
            <v>29.5</v>
          </cell>
          <cell r="AS23">
            <v>5</v>
          </cell>
          <cell r="AT23">
            <v>200</v>
          </cell>
          <cell r="IP23" t="str">
            <v>Pesada</v>
          </cell>
        </row>
        <row r="24">
          <cell r="M24" t="str">
            <v>ATR 42</v>
          </cell>
          <cell r="Q24">
            <v>1165</v>
          </cell>
          <cell r="R24">
            <v>30</v>
          </cell>
          <cell r="S24">
            <v>30</v>
          </cell>
          <cell r="AD24" t="str">
            <v>ATR 72</v>
          </cell>
          <cell r="AE24" t="str">
            <v>3C</v>
          </cell>
          <cell r="AF24">
            <v>1280</v>
          </cell>
          <cell r="AG24">
            <v>30</v>
          </cell>
          <cell r="AH24">
            <v>158</v>
          </cell>
          <cell r="AI24">
            <v>25</v>
          </cell>
          <cell r="AJ24">
            <v>26</v>
          </cell>
          <cell r="AK24">
            <v>31.5</v>
          </cell>
          <cell r="AS24">
            <v>5</v>
          </cell>
          <cell r="AT24">
            <v>250</v>
          </cell>
          <cell r="IP24" t="str">
            <v>Pesada</v>
          </cell>
        </row>
        <row r="25">
          <cell r="M25" t="str">
            <v>ATR 72</v>
          </cell>
          <cell r="N25">
            <v>900</v>
          </cell>
          <cell r="O25">
            <v>930</v>
          </cell>
          <cell r="P25">
            <v>1070</v>
          </cell>
          <cell r="Q25">
            <v>1280</v>
          </cell>
          <cell r="R25">
            <v>30</v>
          </cell>
          <cell r="S25">
            <v>30</v>
          </cell>
          <cell r="AD25" t="str">
            <v>A330-200F</v>
          </cell>
          <cell r="AE25" t="str">
            <v>4E</v>
          </cell>
          <cell r="AF25">
            <v>2520</v>
          </cell>
          <cell r="AG25">
            <v>45</v>
          </cell>
          <cell r="AH25">
            <v>172.5</v>
          </cell>
          <cell r="AI25">
            <v>38</v>
          </cell>
          <cell r="AJ25">
            <v>43.5</v>
          </cell>
          <cell r="AK25">
            <v>67.5</v>
          </cell>
          <cell r="AS25">
            <v>6</v>
          </cell>
          <cell r="AT25">
            <v>800</v>
          </cell>
          <cell r="IP25" t="str">
            <v>Pesada</v>
          </cell>
        </row>
        <row r="26">
          <cell r="M26" t="str">
            <v>A330-200F</v>
          </cell>
          <cell r="O26">
            <v>1540</v>
          </cell>
          <cell r="P26">
            <v>1930</v>
          </cell>
          <cell r="Q26">
            <v>2520</v>
          </cell>
          <cell r="R26">
            <v>45</v>
          </cell>
          <cell r="S26">
            <v>45</v>
          </cell>
          <cell r="AD26" t="str">
            <v>B737-300F</v>
          </cell>
          <cell r="AE26" t="str">
            <v>4C</v>
          </cell>
          <cell r="AF26">
            <v>2210</v>
          </cell>
          <cell r="AG26">
            <v>45</v>
          </cell>
          <cell r="AH26">
            <v>158</v>
          </cell>
          <cell r="AI26">
            <v>25</v>
          </cell>
          <cell r="AJ26">
            <v>26</v>
          </cell>
          <cell r="AK26">
            <v>33.5</v>
          </cell>
          <cell r="AS26">
            <v>5</v>
          </cell>
          <cell r="AT26">
            <v>300</v>
          </cell>
          <cell r="IP26" t="str">
            <v>Média 1</v>
          </cell>
        </row>
        <row r="27">
          <cell r="M27" t="str">
            <v>B737-300F</v>
          </cell>
          <cell r="O27">
            <v>1295</v>
          </cell>
          <cell r="P27">
            <v>1630</v>
          </cell>
          <cell r="Q27">
            <v>2210</v>
          </cell>
          <cell r="R27">
            <v>45</v>
          </cell>
          <cell r="S27">
            <v>45</v>
          </cell>
          <cell r="AD27" t="str">
            <v>B737-400F</v>
          </cell>
          <cell r="AE27" t="str">
            <v>4C</v>
          </cell>
          <cell r="AF27">
            <v>2200</v>
          </cell>
          <cell r="AG27">
            <v>45</v>
          </cell>
          <cell r="AH27">
            <v>158</v>
          </cell>
          <cell r="AI27">
            <v>25</v>
          </cell>
          <cell r="AJ27">
            <v>26</v>
          </cell>
          <cell r="AK27">
            <v>33.5</v>
          </cell>
          <cell r="AS27">
            <v>5</v>
          </cell>
          <cell r="AT27">
            <v>300</v>
          </cell>
          <cell r="IP27" t="str">
            <v>Leve 2</v>
          </cell>
        </row>
        <row r="28">
          <cell r="M28" t="str">
            <v>B737-400F</v>
          </cell>
          <cell r="O28">
            <v>1285</v>
          </cell>
          <cell r="P28">
            <v>1660</v>
          </cell>
          <cell r="Q28">
            <v>2200</v>
          </cell>
          <cell r="R28">
            <v>45</v>
          </cell>
          <cell r="S28">
            <v>45</v>
          </cell>
          <cell r="AD28" t="str">
            <v>B747-400F</v>
          </cell>
          <cell r="AE28" t="str">
            <v>4E</v>
          </cell>
          <cell r="AF28">
            <v>3180</v>
          </cell>
          <cell r="AG28">
            <v>60</v>
          </cell>
          <cell r="AH28">
            <v>172.5</v>
          </cell>
          <cell r="AI28">
            <v>38</v>
          </cell>
          <cell r="AJ28">
            <v>43.5</v>
          </cell>
          <cell r="AK28">
            <v>72.5</v>
          </cell>
          <cell r="AS28">
            <v>7</v>
          </cell>
          <cell r="AT28">
            <v>800</v>
          </cell>
          <cell r="IP28" t="str">
            <v>Leve 2</v>
          </cell>
        </row>
        <row r="29">
          <cell r="M29" t="str">
            <v>B747-400F</v>
          </cell>
          <cell r="O29">
            <v>1975</v>
          </cell>
          <cell r="P29">
            <v>2500</v>
          </cell>
          <cell r="Q29">
            <v>3180</v>
          </cell>
          <cell r="R29">
            <v>60</v>
          </cell>
          <cell r="S29">
            <v>45</v>
          </cell>
          <cell r="AD29" t="str">
            <v>B747-800F</v>
          </cell>
          <cell r="AE29" t="str">
            <v>4F</v>
          </cell>
          <cell r="AF29">
            <v>3100</v>
          </cell>
          <cell r="AG29">
            <v>75</v>
          </cell>
          <cell r="AH29">
            <v>180</v>
          </cell>
          <cell r="AI29">
            <v>44</v>
          </cell>
          <cell r="AJ29">
            <v>51</v>
          </cell>
          <cell r="AK29">
            <v>75.5</v>
          </cell>
          <cell r="AS29">
            <v>9</v>
          </cell>
          <cell r="AT29">
            <v>1200</v>
          </cell>
          <cell r="IP29" t="str">
            <v>Média 2</v>
          </cell>
        </row>
        <row r="30">
          <cell r="M30" t="str">
            <v>B747-800F</v>
          </cell>
          <cell r="O30">
            <v>1950</v>
          </cell>
          <cell r="P30">
            <v>2400</v>
          </cell>
          <cell r="Q30">
            <v>3100</v>
          </cell>
          <cell r="R30">
            <v>45</v>
          </cell>
          <cell r="S30">
            <v>45</v>
          </cell>
          <cell r="AD30" t="str">
            <v>B767-300F</v>
          </cell>
          <cell r="AE30" t="str">
            <v>4D</v>
          </cell>
          <cell r="AF30">
            <v>2715</v>
          </cell>
          <cell r="AG30">
            <v>60</v>
          </cell>
          <cell r="AH30">
            <v>166</v>
          </cell>
          <cell r="AI30">
            <v>34</v>
          </cell>
          <cell r="AJ30">
            <v>37</v>
          </cell>
          <cell r="AK30">
            <v>55.5</v>
          </cell>
          <cell r="AS30">
            <v>6</v>
          </cell>
          <cell r="AT30">
            <v>500</v>
          </cell>
          <cell r="IP30" t="str">
            <v>Média 2</v>
          </cell>
        </row>
        <row r="31">
          <cell r="M31" t="str">
            <v>B767-300F</v>
          </cell>
          <cell r="N31">
            <v>1350</v>
          </cell>
          <cell r="O31">
            <v>1630</v>
          </cell>
          <cell r="P31">
            <v>2075</v>
          </cell>
          <cell r="Q31">
            <v>2715</v>
          </cell>
          <cell r="R31">
            <v>60</v>
          </cell>
          <cell r="S31">
            <v>45</v>
          </cell>
          <cell r="AD31" t="str">
            <v>C208F Grand Caravan</v>
          </cell>
          <cell r="AE31" t="str">
            <v>1B</v>
          </cell>
          <cell r="AF31">
            <v>658</v>
          </cell>
          <cell r="AG31">
            <v>18</v>
          </cell>
          <cell r="AH31">
            <v>152</v>
          </cell>
          <cell r="AI31">
            <v>8</v>
          </cell>
          <cell r="AJ31">
            <v>20</v>
          </cell>
          <cell r="AK31">
            <v>19</v>
          </cell>
          <cell r="AS31">
            <v>3</v>
          </cell>
          <cell r="AT31">
            <v>100</v>
          </cell>
          <cell r="IP31" t="str">
            <v>Média 2</v>
          </cell>
        </row>
        <row r="32">
          <cell r="M32" t="str">
            <v>C208F Grand Caravan</v>
          </cell>
          <cell r="Q32">
            <v>658</v>
          </cell>
          <cell r="R32">
            <v>18</v>
          </cell>
          <cell r="S32">
            <v>18</v>
          </cell>
          <cell r="AD32" t="str">
            <v>A330-300</v>
          </cell>
          <cell r="AE32" t="str">
            <v>4E</v>
          </cell>
          <cell r="AF32">
            <v>2776</v>
          </cell>
          <cell r="AG32">
            <v>60</v>
          </cell>
          <cell r="AH32">
            <v>172.5</v>
          </cell>
          <cell r="AI32">
            <v>38</v>
          </cell>
          <cell r="AJ32">
            <v>43.5</v>
          </cell>
          <cell r="AK32">
            <v>67.5</v>
          </cell>
          <cell r="AS32">
            <v>9</v>
          </cell>
          <cell r="AT32">
            <v>800</v>
          </cell>
          <cell r="IP32" t="str">
            <v>Média 2</v>
          </cell>
        </row>
        <row r="33">
          <cell r="M33" t="str">
            <v>A330-300</v>
          </cell>
          <cell r="O33">
            <v>1650</v>
          </cell>
          <cell r="P33">
            <v>2020</v>
          </cell>
          <cell r="Q33">
            <v>2776</v>
          </cell>
          <cell r="R33">
            <v>60</v>
          </cell>
          <cell r="S33">
            <v>45</v>
          </cell>
          <cell r="IP33" t="str">
            <v>Média 2</v>
          </cell>
        </row>
        <row r="34">
          <cell r="IP34" t="str">
            <v>Pesada</v>
          </cell>
        </row>
        <row r="35">
          <cell r="IP35" t="str">
            <v>Pesada</v>
          </cell>
        </row>
        <row r="36">
          <cell r="IP36" t="str">
            <v>Pesada</v>
          </cell>
        </row>
        <row r="37">
          <cell r="IP37" t="str">
            <v>Leve 1</v>
          </cell>
        </row>
        <row r="38">
          <cell r="IP38" t="str">
            <v>Leve 1</v>
          </cell>
        </row>
        <row r="39">
          <cell r="IP39" t="str">
            <v>Leve 1</v>
          </cell>
        </row>
        <row r="40">
          <cell r="IP40" t="str">
            <v>Leve 1</v>
          </cell>
        </row>
        <row r="41">
          <cell r="IP41" t="str">
            <v>Leve 1</v>
          </cell>
        </row>
        <row r="42">
          <cell r="IP42" t="str">
            <v>Leve 1</v>
          </cell>
        </row>
        <row r="43">
          <cell r="IP43" t="str">
            <v>Leve 1</v>
          </cell>
        </row>
        <row r="44">
          <cell r="IP44" t="str">
            <v>Leve 2</v>
          </cell>
        </row>
        <row r="45">
          <cell r="IP45" t="str">
            <v>Média 1</v>
          </cell>
        </row>
        <row r="46">
          <cell r="IP46" t="str">
            <v>Leve 1</v>
          </cell>
        </row>
        <row r="47">
          <cell r="IP47" t="str">
            <v>Leve 1</v>
          </cell>
        </row>
        <row r="48">
          <cell r="IP48" t="str">
            <v>Leve 2</v>
          </cell>
        </row>
        <row r="49">
          <cell r="IP49" t="str">
            <v>Média 1</v>
          </cell>
        </row>
        <row r="90">
          <cell r="AH90">
            <v>2.4</v>
          </cell>
        </row>
        <row r="91">
          <cell r="AM91" t="str">
            <v>AC</v>
          </cell>
          <cell r="AN91" t="str">
            <v>Acre</v>
          </cell>
          <cell r="AO91" t="str">
            <v>Norte</v>
          </cell>
        </row>
        <row r="92">
          <cell r="AM92" t="str">
            <v>AL</v>
          </cell>
          <cell r="AN92" t="str">
            <v>Alagoas</v>
          </cell>
          <cell r="AO92" t="str">
            <v>Nordeste</v>
          </cell>
        </row>
        <row r="93">
          <cell r="AM93" t="str">
            <v>AM</v>
          </cell>
          <cell r="AN93" t="str">
            <v>Amazonas</v>
          </cell>
          <cell r="AO93" t="str">
            <v>Norte</v>
          </cell>
        </row>
        <row r="94">
          <cell r="AM94" t="str">
            <v>AP</v>
          </cell>
          <cell r="AN94" t="str">
            <v>Amapá</v>
          </cell>
          <cell r="AO94" t="str">
            <v>Norte</v>
          </cell>
        </row>
        <row r="95">
          <cell r="AB95">
            <v>1.25</v>
          </cell>
          <cell r="AM95" t="str">
            <v>BA</v>
          </cell>
          <cell r="AN95" t="str">
            <v>Bahia</v>
          </cell>
          <cell r="AO95" t="str">
            <v>Nordeste</v>
          </cell>
        </row>
        <row r="96">
          <cell r="AM96" t="str">
            <v>CE</v>
          </cell>
          <cell r="AN96" t="str">
            <v>Ceará</v>
          </cell>
          <cell r="AO96" t="str">
            <v>Nordeste</v>
          </cell>
        </row>
        <row r="97">
          <cell r="U97">
            <v>0.2097</v>
          </cell>
          <cell r="AM97" t="str">
            <v>DF</v>
          </cell>
          <cell r="AN97" t="str">
            <v>Distrito Federal</v>
          </cell>
          <cell r="AO97" t="str">
            <v>Centro-Oeste</v>
          </cell>
        </row>
        <row r="98">
          <cell r="U98">
            <v>0.21240000000000001</v>
          </cell>
          <cell r="AM98" t="str">
            <v>ES</v>
          </cell>
          <cell r="AN98" t="str">
            <v>Espírito Santo</v>
          </cell>
          <cell r="AO98" t="str">
            <v>Sudeste</v>
          </cell>
        </row>
        <row r="99">
          <cell r="AM99" t="str">
            <v>GO</v>
          </cell>
          <cell r="AN99" t="str">
            <v>Goiás</v>
          </cell>
          <cell r="AO99" t="str">
            <v>Centro-Oeste</v>
          </cell>
        </row>
        <row r="100">
          <cell r="AM100" t="str">
            <v>MA</v>
          </cell>
          <cell r="AN100" t="str">
            <v>Maranhão</v>
          </cell>
          <cell r="AO100" t="str">
            <v>Nordeste</v>
          </cell>
        </row>
        <row r="101">
          <cell r="AM101" t="str">
            <v>MT</v>
          </cell>
          <cell r="AN101" t="str">
            <v>Mato Grosso</v>
          </cell>
          <cell r="AO101" t="str">
            <v>Centro-Oeste</v>
          </cell>
        </row>
        <row r="102">
          <cell r="U102">
            <v>7.4999999999999997E-2</v>
          </cell>
          <cell r="AM102" t="str">
            <v>MS</v>
          </cell>
          <cell r="AN102" t="str">
            <v>Mato Grosso do Sul</v>
          </cell>
          <cell r="AO102" t="str">
            <v>Centro-Oeste</v>
          </cell>
        </row>
        <row r="103">
          <cell r="AM103" t="str">
            <v>MG</v>
          </cell>
          <cell r="AN103" t="str">
            <v>Minas Gerais</v>
          </cell>
          <cell r="AO103" t="str">
            <v>Sudeste</v>
          </cell>
        </row>
        <row r="104">
          <cell r="AM104" t="str">
            <v>PA</v>
          </cell>
          <cell r="AN104" t="str">
            <v>Pará</v>
          </cell>
          <cell r="AO104" t="str">
            <v>Norte</v>
          </cell>
        </row>
        <row r="105">
          <cell r="AM105" t="str">
            <v>PB</v>
          </cell>
          <cell r="AN105" t="str">
            <v>Paraíba</v>
          </cell>
          <cell r="AO105" t="str">
            <v>Nordeste</v>
          </cell>
        </row>
        <row r="106">
          <cell r="AM106" t="str">
            <v>PR</v>
          </cell>
          <cell r="AN106" t="str">
            <v>Paraná</v>
          </cell>
          <cell r="AO106" t="str">
            <v>Sul</v>
          </cell>
        </row>
        <row r="107">
          <cell r="AM107" t="str">
            <v>PE</v>
          </cell>
          <cell r="AN107" t="str">
            <v>Pernambuco</v>
          </cell>
          <cell r="AO107" t="str">
            <v>Nordeste</v>
          </cell>
        </row>
        <row r="108">
          <cell r="M108" t="str">
            <v>Centro-Oeste</v>
          </cell>
          <cell r="N108">
            <v>5909.7964030058483</v>
          </cell>
          <cell r="Q108" t="str">
            <v>Centro-Oeste</v>
          </cell>
          <cell r="R108">
            <v>2701.7126489641778</v>
          </cell>
          <cell r="AM108" t="str">
            <v>PI</v>
          </cell>
          <cell r="AN108" t="str">
            <v>Piauí</v>
          </cell>
          <cell r="AO108" t="str">
            <v>Nordeste</v>
          </cell>
        </row>
        <row r="109">
          <cell r="M109" t="str">
            <v>Nordeste</v>
          </cell>
          <cell r="N109">
            <v>5668.3085090397053</v>
          </cell>
          <cell r="Q109" t="str">
            <v>Nordeste</v>
          </cell>
          <cell r="R109">
            <v>2482.3857590386724</v>
          </cell>
          <cell r="AM109" t="str">
            <v>RJ</v>
          </cell>
          <cell r="AN109" t="str">
            <v>Rio de Janeiro</v>
          </cell>
          <cell r="AO109" t="str">
            <v>Sudeste</v>
          </cell>
        </row>
        <row r="110">
          <cell r="M110" t="str">
            <v>Norte</v>
          </cell>
          <cell r="N110">
            <v>6191.1196110344981</v>
          </cell>
          <cell r="Q110" t="str">
            <v>Norte</v>
          </cell>
          <cell r="R110">
            <v>3074.6420698452307</v>
          </cell>
          <cell r="AM110" t="str">
            <v>RN</v>
          </cell>
          <cell r="AN110" t="str">
            <v>Rio Grande do Norte</v>
          </cell>
          <cell r="AO110" t="str">
            <v>Nordeste</v>
          </cell>
        </row>
        <row r="111">
          <cell r="M111" t="str">
            <v>Sudeste</v>
          </cell>
          <cell r="N111">
            <v>5712.5896245639506</v>
          </cell>
          <cell r="Q111" t="str">
            <v>Sudeste</v>
          </cell>
          <cell r="R111">
            <v>3026.5795830424859</v>
          </cell>
          <cell r="AM111" t="str">
            <v>RS</v>
          </cell>
          <cell r="AN111" t="str">
            <v>Rio Grande do Sul</v>
          </cell>
          <cell r="AO111" t="str">
            <v>Sul</v>
          </cell>
        </row>
        <row r="112">
          <cell r="M112" t="str">
            <v>Sul</v>
          </cell>
          <cell r="N112">
            <v>5976.2653240786412</v>
          </cell>
          <cell r="Q112" t="str">
            <v>Sul</v>
          </cell>
          <cell r="R112">
            <v>2803.5833234440838</v>
          </cell>
          <cell r="AM112" t="str">
            <v>RO</v>
          </cell>
          <cell r="AN112" t="str">
            <v>Rondônia</v>
          </cell>
          <cell r="AO112" t="str">
            <v>Norte</v>
          </cell>
        </row>
        <row r="113">
          <cell r="AM113" t="str">
            <v>RR</v>
          </cell>
          <cell r="AN113" t="str">
            <v>Roraima</v>
          </cell>
          <cell r="AO113" t="str">
            <v>Norte</v>
          </cell>
        </row>
        <row r="114">
          <cell r="AM114" t="str">
            <v>SC</v>
          </cell>
          <cell r="AN114" t="str">
            <v>Santa Catarina</v>
          </cell>
          <cell r="AO114" t="str">
            <v>Sul</v>
          </cell>
        </row>
        <row r="115">
          <cell r="AM115" t="str">
            <v>SP</v>
          </cell>
          <cell r="AN115" t="str">
            <v>São Paulo</v>
          </cell>
          <cell r="AO115" t="str">
            <v>Sudeste</v>
          </cell>
        </row>
        <row r="116">
          <cell r="AM116" t="str">
            <v>SE</v>
          </cell>
          <cell r="AN116" t="str">
            <v>Sergipe</v>
          </cell>
          <cell r="AO116" t="str">
            <v>Nordeste</v>
          </cell>
        </row>
        <row r="117">
          <cell r="AM117" t="str">
            <v>TO</v>
          </cell>
          <cell r="AN117" t="str">
            <v>Tocantins</v>
          </cell>
          <cell r="AO117" t="str">
            <v>Norte</v>
          </cell>
        </row>
        <row r="148">
          <cell r="M148">
            <v>0</v>
          </cell>
          <cell r="N148">
            <v>9</v>
          </cell>
          <cell r="O148" t="str">
            <v>Ruptura</v>
          </cell>
          <cell r="P148" t="str">
            <v>Cinza Escuro</v>
          </cell>
          <cell r="R148" t="str">
            <v>Manutenção flexível 3</v>
          </cell>
          <cell r="S148" t="str">
            <v>Manutenção rígido 2</v>
          </cell>
        </row>
        <row r="149">
          <cell r="M149">
            <v>10</v>
          </cell>
          <cell r="N149">
            <v>24</v>
          </cell>
          <cell r="O149" t="str">
            <v>Péssimo</v>
          </cell>
          <cell r="P149" t="str">
            <v>Vermelho Escuro</v>
          </cell>
          <cell r="R149" t="str">
            <v>Manutenção flexível 3</v>
          </cell>
          <cell r="S149" t="str">
            <v>Manutenção rígido 2</v>
          </cell>
        </row>
        <row r="150">
          <cell r="M150">
            <v>25</v>
          </cell>
          <cell r="N150">
            <v>39</v>
          </cell>
          <cell r="O150" t="str">
            <v>Muito Ruim</v>
          </cell>
          <cell r="P150" t="str">
            <v>Vermelho</v>
          </cell>
          <cell r="Q150" t="str">
            <v>PCI Crítico de Serviço</v>
          </cell>
          <cell r="R150" t="str">
            <v>Manutenção flexível 3</v>
          </cell>
          <cell r="S150" t="str">
            <v>Manutenção rígido 2</v>
          </cell>
        </row>
        <row r="151">
          <cell r="M151">
            <v>40</v>
          </cell>
          <cell r="N151">
            <v>54</v>
          </cell>
          <cell r="O151" t="str">
            <v>Ruim</v>
          </cell>
          <cell r="P151" t="str">
            <v>Laranja</v>
          </cell>
          <cell r="R151" t="str">
            <v>Manutenção flexível 2</v>
          </cell>
          <cell r="S151" t="str">
            <v>Manutenção rígido 1</v>
          </cell>
        </row>
        <row r="152">
          <cell r="M152">
            <v>55</v>
          </cell>
          <cell r="N152">
            <v>69</v>
          </cell>
          <cell r="O152" t="str">
            <v>Regular</v>
          </cell>
          <cell r="P152" t="str">
            <v>Amarelo</v>
          </cell>
          <cell r="Q152" t="str">
            <v>PCI Crítico de Manutenção</v>
          </cell>
          <cell r="R152" t="str">
            <v>Manutenção flexível 2</v>
          </cell>
          <cell r="S152" t="str">
            <v>Manutenção rígido 1</v>
          </cell>
        </row>
        <row r="153">
          <cell r="M153">
            <v>70</v>
          </cell>
          <cell r="N153">
            <v>84</v>
          </cell>
          <cell r="O153" t="str">
            <v>Bom</v>
          </cell>
          <cell r="P153" t="str">
            <v>Verde Claro</v>
          </cell>
          <cell r="R153" t="str">
            <v>Manutenção flexível 1</v>
          </cell>
          <cell r="S153" t="str">
            <v>Manutenção rígido 1</v>
          </cell>
        </row>
        <row r="154">
          <cell r="M154">
            <v>85</v>
          </cell>
          <cell r="N154">
            <v>100</v>
          </cell>
          <cell r="O154" t="str">
            <v>Excelente</v>
          </cell>
          <cell r="P154" t="str">
            <v>Verde Escuro</v>
          </cell>
          <cell r="R154" t="str">
            <v>Manutenção flexível 1</v>
          </cell>
          <cell r="S154" t="str">
            <v>Manutenção rígido 1</v>
          </cell>
        </row>
      </sheetData>
      <sheetData sheetId="15" refreshError="1"/>
      <sheetData sheetId="16" refreshError="1"/>
      <sheetData sheetId="17" refreshError="1"/>
      <sheetData sheetId="18">
        <row r="6">
          <cell r="GW6">
            <v>0</v>
          </cell>
          <cell r="GX6">
            <v>0</v>
          </cell>
          <cell r="GY6" t="str">
            <v/>
          </cell>
          <cell r="GZ6" t="str">
            <v/>
          </cell>
        </row>
        <row r="10">
          <cell r="AS10">
            <v>0</v>
          </cell>
          <cell r="AT10">
            <v>0</v>
          </cell>
          <cell r="AW10" t="e">
            <v>#VALUE!</v>
          </cell>
          <cell r="AX10" t="e">
            <v>#VALUE!</v>
          </cell>
          <cell r="GT10" t="str">
            <v>û</v>
          </cell>
          <cell r="GZ10" t="str">
            <v>û</v>
          </cell>
          <cell r="HA10" t="str">
            <v>û</v>
          </cell>
          <cell r="HB10" t="str">
            <v>û</v>
          </cell>
          <cell r="HC10" t="str">
            <v>û</v>
          </cell>
          <cell r="HD10" t="str">
            <v>û</v>
          </cell>
          <cell r="HE10" t="str">
            <v>û</v>
          </cell>
          <cell r="HF10" t="str">
            <v>û</v>
          </cell>
          <cell r="HG10" t="str">
            <v>û</v>
          </cell>
          <cell r="HH10" t="str">
            <v>û</v>
          </cell>
          <cell r="HI10" t="str">
            <v>û</v>
          </cell>
          <cell r="HJ10" t="str">
            <v>û</v>
          </cell>
          <cell r="HK10" t="str">
            <v>û</v>
          </cell>
          <cell r="HL10" t="str">
            <v>û</v>
          </cell>
          <cell r="HM10" t="str">
            <v>û</v>
          </cell>
          <cell r="HN10" t="str">
            <v>û</v>
          </cell>
          <cell r="HO10" t="str">
            <v>û</v>
          </cell>
          <cell r="HP10" t="str">
            <v>û</v>
          </cell>
          <cell r="HQ10" t="str">
            <v>û</v>
          </cell>
          <cell r="HR10" t="str">
            <v>û</v>
          </cell>
        </row>
        <row r="12">
          <cell r="BL12" t="e">
            <v>#N/A</v>
          </cell>
        </row>
        <row r="13">
          <cell r="BE13" t="e">
            <v>#N/A</v>
          </cell>
          <cell r="BJ13" t="e">
            <v>#N/A</v>
          </cell>
          <cell r="CH13">
            <v>0</v>
          </cell>
          <cell r="EF13" t="e">
            <v>#N/A</v>
          </cell>
          <cell r="EG13" t="e">
            <v>#N/A</v>
          </cell>
          <cell r="EY13">
            <v>0</v>
          </cell>
          <cell r="EZ13">
            <v>0</v>
          </cell>
          <cell r="FF13">
            <v>0</v>
          </cell>
          <cell r="FG13">
            <v>0</v>
          </cell>
          <cell r="FM13">
            <v>0</v>
          </cell>
          <cell r="FN13" t="e">
            <v>#N/A</v>
          </cell>
          <cell r="FT13">
            <v>0</v>
          </cell>
          <cell r="FU13" t="e">
            <v>#N/A</v>
          </cell>
          <cell r="GA13">
            <v>0</v>
          </cell>
          <cell r="GB13">
            <v>0</v>
          </cell>
          <cell r="GH13">
            <v>0</v>
          </cell>
        </row>
        <row r="15">
          <cell r="AB15">
            <v>0</v>
          </cell>
          <cell r="AC15">
            <v>0</v>
          </cell>
        </row>
        <row r="16">
          <cell r="G16">
            <v>0</v>
          </cell>
          <cell r="H16">
            <v>0</v>
          </cell>
          <cell r="Q16">
            <v>0</v>
          </cell>
          <cell r="R16">
            <v>0</v>
          </cell>
          <cell r="CC16" t="e">
            <v>#N/A</v>
          </cell>
          <cell r="CF16" t="e">
            <v>#N/A</v>
          </cell>
          <cell r="CH16">
            <v>0</v>
          </cell>
          <cell r="CI16" t="e">
            <v>#N/A</v>
          </cell>
        </row>
        <row r="18">
          <cell r="AS18">
            <v>0</v>
          </cell>
          <cell r="AT18" t="e">
            <v>#VALUE!</v>
          </cell>
          <cell r="GH18">
            <v>0</v>
          </cell>
          <cell r="GI18">
            <v>0</v>
          </cell>
        </row>
        <row r="19">
          <cell r="CC19" t="e">
            <v>#N/A</v>
          </cell>
          <cell r="CD19" t="e">
            <v>#N/A</v>
          </cell>
          <cell r="EE19" t="e">
            <v>#N/A</v>
          </cell>
          <cell r="EF19" t="e">
            <v>#N/A</v>
          </cell>
          <cell r="EG19" t="e">
            <v>#N/A</v>
          </cell>
          <cell r="EH19" t="e">
            <v>#N/A</v>
          </cell>
          <cell r="EJ19" t="e">
            <v>#N/A</v>
          </cell>
          <cell r="EY19">
            <v>0</v>
          </cell>
          <cell r="EZ19">
            <v>0</v>
          </cell>
          <cell r="FA19">
            <v>0</v>
          </cell>
          <cell r="FF19">
            <v>0</v>
          </cell>
          <cell r="FG19">
            <v>0</v>
          </cell>
          <cell r="FH19">
            <v>0</v>
          </cell>
          <cell r="FM19">
            <v>0</v>
          </cell>
          <cell r="FN19">
            <v>0</v>
          </cell>
          <cell r="FO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</row>
        <row r="20">
          <cell r="AD20" t="e">
            <v>#N/A</v>
          </cell>
        </row>
        <row r="22">
          <cell r="EY22">
            <v>0</v>
          </cell>
          <cell r="FF22">
            <v>0</v>
          </cell>
          <cell r="FM22">
            <v>0</v>
          </cell>
          <cell r="FT22">
            <v>0</v>
          </cell>
          <cell r="GA22">
            <v>0</v>
          </cell>
          <cell r="GP22" t="str">
            <v>û</v>
          </cell>
          <cell r="GQ22" t="str">
            <v>û</v>
          </cell>
          <cell r="GS22" t="str">
            <v>Não possui</v>
          </cell>
          <cell r="GT22" t="str">
            <v>û</v>
          </cell>
          <cell r="GU22" t="str">
            <v>û</v>
          </cell>
          <cell r="GV22" t="str">
            <v>û</v>
          </cell>
          <cell r="GW22" t="str">
            <v>û</v>
          </cell>
          <cell r="GX22" t="str">
            <v>û</v>
          </cell>
          <cell r="GY22" t="str">
            <v>û</v>
          </cell>
          <cell r="GZ22" t="str">
            <v>û</v>
          </cell>
          <cell r="HA22" t="str">
            <v>û</v>
          </cell>
          <cell r="HB22" t="str">
            <v>û</v>
          </cell>
          <cell r="HC22" t="str">
            <v>û</v>
          </cell>
          <cell r="HD22" t="str">
            <v>û</v>
          </cell>
          <cell r="HE22" t="str">
            <v>û</v>
          </cell>
          <cell r="HF22" t="str">
            <v>û</v>
          </cell>
          <cell r="HG22" t="str">
            <v>û</v>
          </cell>
          <cell r="HH22" t="str">
            <v>û</v>
          </cell>
          <cell r="HI22" t="str">
            <v>û</v>
          </cell>
          <cell r="HJ22" t="str">
            <v>û</v>
          </cell>
          <cell r="HK22" t="str">
            <v>û</v>
          </cell>
          <cell r="HL22" t="str">
            <v>û</v>
          </cell>
          <cell r="HM22" t="str">
            <v>û</v>
          </cell>
          <cell r="HN22" t="str">
            <v>û</v>
          </cell>
          <cell r="HO22" t="str">
            <v>û</v>
          </cell>
          <cell r="HP22" t="str">
            <v>û</v>
          </cell>
          <cell r="HQ22" t="str">
            <v>û</v>
          </cell>
          <cell r="HR22" t="str">
            <v>û</v>
          </cell>
        </row>
        <row r="24">
          <cell r="G24">
            <v>32.289245974397637</v>
          </cell>
          <cell r="H24">
            <v>0</v>
          </cell>
          <cell r="BE24" t="e">
            <v>#N/A</v>
          </cell>
          <cell r="BF24" t="e">
            <v>#N/A</v>
          </cell>
          <cell r="BP24" t="e">
            <v>#N/A</v>
          </cell>
          <cell r="BQ24" t="e">
            <v>#N/A</v>
          </cell>
          <cell r="BW24">
            <v>0</v>
          </cell>
          <cell r="BX24">
            <v>0</v>
          </cell>
        </row>
        <row r="29">
          <cell r="AB29">
            <v>0</v>
          </cell>
          <cell r="AC29">
            <v>0</v>
          </cell>
          <cell r="AI29">
            <v>0</v>
          </cell>
          <cell r="AJ29">
            <v>0</v>
          </cell>
          <cell r="BP29" t="e">
            <v>#VALUE!</v>
          </cell>
          <cell r="BQ29" t="e">
            <v>#N/A</v>
          </cell>
          <cell r="BS29">
            <v>0</v>
          </cell>
          <cell r="BT29">
            <v>0</v>
          </cell>
        </row>
        <row r="30">
          <cell r="I30">
            <v>1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</row>
        <row r="31">
          <cell r="FT31">
            <v>0.1</v>
          </cell>
          <cell r="FU31">
            <v>0</v>
          </cell>
          <cell r="FV31">
            <v>0.2</v>
          </cell>
        </row>
        <row r="35">
          <cell r="G35">
            <v>0</v>
          </cell>
          <cell r="H35">
            <v>0</v>
          </cell>
        </row>
        <row r="37">
          <cell r="AB37" t="e">
            <v>#VALUE!</v>
          </cell>
          <cell r="AC37">
            <v>0</v>
          </cell>
        </row>
        <row r="38">
          <cell r="AS38">
            <v>0</v>
          </cell>
          <cell r="AT38">
            <v>0</v>
          </cell>
        </row>
        <row r="44">
          <cell r="AI44">
            <v>15</v>
          </cell>
          <cell r="AJ44">
            <v>25</v>
          </cell>
        </row>
        <row r="50">
          <cell r="G50">
            <v>30</v>
          </cell>
          <cell r="L50">
            <v>0</v>
          </cell>
        </row>
        <row r="53">
          <cell r="AH53">
            <v>405</v>
          </cell>
          <cell r="AI53">
            <v>675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9">
          <cell r="H59">
            <v>172.5</v>
          </cell>
          <cell r="I59">
            <v>172.5</v>
          </cell>
        </row>
        <row r="68">
          <cell r="AP68">
            <v>0</v>
          </cell>
        </row>
        <row r="76">
          <cell r="AP76">
            <v>0</v>
          </cell>
        </row>
        <row r="84">
          <cell r="AP84" t="str">
            <v/>
          </cell>
        </row>
        <row r="119">
          <cell r="K119" t="e">
            <v>#VALUE!</v>
          </cell>
          <cell r="T119">
            <v>1377.02</v>
          </cell>
          <cell r="AE119" t="e">
            <v>#VALUE!</v>
          </cell>
          <cell r="AF119" t="e">
            <v>#VALUE!</v>
          </cell>
        </row>
        <row r="120">
          <cell r="K120" t="e">
            <v>#VALUE!</v>
          </cell>
          <cell r="AE120" t="e">
            <v>#VALUE!</v>
          </cell>
          <cell r="AF120" t="e">
            <v>#VALUE!</v>
          </cell>
        </row>
        <row r="121">
          <cell r="K121" t="e">
            <v>#VALUE!</v>
          </cell>
        </row>
        <row r="122">
          <cell r="K122" t="e">
            <v>#VALUE!</v>
          </cell>
        </row>
        <row r="123">
          <cell r="K123" t="e">
            <v>#VALUE!</v>
          </cell>
          <cell r="AE123" t="e">
            <v>#N/A</v>
          </cell>
          <cell r="AF123" t="e">
            <v>#N/A</v>
          </cell>
        </row>
        <row r="124">
          <cell r="K124" t="e">
            <v>#VALUE!</v>
          </cell>
          <cell r="N124" t="e">
            <v>#N/A</v>
          </cell>
          <cell r="O124" t="e">
            <v>#N/A</v>
          </cell>
          <cell r="T124">
            <v>5608825.8799999999</v>
          </cell>
          <cell r="AE124" t="e">
            <v>#VALUE!</v>
          </cell>
          <cell r="AF124" t="e">
            <v>#VALUE!</v>
          </cell>
        </row>
        <row r="125">
          <cell r="T125">
            <v>3717000</v>
          </cell>
          <cell r="AE125" t="e">
            <v>#VALUE!</v>
          </cell>
          <cell r="AF125" t="e">
            <v>#VALUE!</v>
          </cell>
        </row>
        <row r="126">
          <cell r="T126">
            <v>619500</v>
          </cell>
        </row>
        <row r="127">
          <cell r="T127">
            <v>2981394.12</v>
          </cell>
          <cell r="AE127" t="e">
            <v>#VALUE!</v>
          </cell>
          <cell r="AF127" t="e">
            <v>#VALUE!</v>
          </cell>
        </row>
        <row r="128">
          <cell r="AE128" t="e">
            <v>#N/A</v>
          </cell>
        </row>
        <row r="129">
          <cell r="AE129" t="e">
            <v>#N/A</v>
          </cell>
          <cell r="AF129" t="e">
            <v>#N/A</v>
          </cell>
        </row>
        <row r="130">
          <cell r="AE130" t="e">
            <v>#VALUE!</v>
          </cell>
          <cell r="AF130" t="e">
            <v>#VALUE!</v>
          </cell>
        </row>
        <row r="131">
          <cell r="AE131" t="e">
            <v>#VALUE!</v>
          </cell>
          <cell r="AF131" t="e">
            <v>#VALUE!</v>
          </cell>
        </row>
        <row r="132">
          <cell r="K132" t="e">
            <v>#N/A</v>
          </cell>
        </row>
        <row r="133">
          <cell r="K133" t="e">
            <v>#N/A</v>
          </cell>
        </row>
        <row r="134">
          <cell r="K134" t="e">
            <v>#N/A</v>
          </cell>
        </row>
        <row r="135">
          <cell r="K135" t="e">
            <v>#N/A</v>
          </cell>
        </row>
        <row r="136">
          <cell r="K136" t="e">
            <v>#N/A</v>
          </cell>
        </row>
        <row r="137">
          <cell r="K137" t="e">
            <v>#N/A</v>
          </cell>
        </row>
        <row r="156">
          <cell r="H156">
            <v>0</v>
          </cell>
          <cell r="I156">
            <v>0</v>
          </cell>
          <cell r="O156">
            <v>0</v>
          </cell>
          <cell r="P156">
            <v>0</v>
          </cell>
          <cell r="U15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Instruções"/>
      <sheetName val="2. Simulador"/>
      <sheetName val="BD"/>
      <sheetName val="2.1 Simulações Salvas"/>
      <sheetName val="3. Simulação em rede"/>
      <sheetName val="3.1 Result. Simul. Rede"/>
      <sheetName val="3.2 Custos para ACB"/>
      <sheetName val="Projeção — Demanda PAX"/>
      <sheetName val="Classificação - Faixas PAN"/>
      <sheetName val="4. Regulamentos"/>
      <sheetName val="aux_codigos"/>
      <sheetName val="5. Relatório"/>
      <sheetName val="6. Referências"/>
      <sheetName val="7. Lista de Siglas"/>
      <sheetName val="Aeronaves"/>
    </sheetNames>
    <sheetDataSet>
      <sheetData sheetId="0"/>
      <sheetData sheetId="1">
        <row r="218">
          <cell r="F218">
            <v>3226160.2342854296</v>
          </cell>
        </row>
        <row r="278">
          <cell r="E278">
            <v>889274.43076092913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Faixa 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dor"/>
      <sheetName val="Método Atual"/>
      <sheetName val="Análise ATM"/>
      <sheetName val="Regulamentos"/>
      <sheetName val="BD"/>
      <sheetName val="Lista de siglas"/>
      <sheetName val="Referências"/>
    </sheetNames>
    <sheetDataSet>
      <sheetData sheetId="0">
        <row r="210">
          <cell r="G210">
            <v>12544875.421607846</v>
          </cell>
        </row>
      </sheetData>
      <sheetData sheetId="1">
        <row r="3">
          <cell r="B3">
            <v>1</v>
          </cell>
          <cell r="C3">
            <v>0.81699999999999995</v>
          </cell>
          <cell r="J3">
            <v>316635</v>
          </cell>
        </row>
        <row r="5">
          <cell r="J5">
            <v>183365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ção"/>
      <sheetName val="Pista de Pouso e Decolagem"/>
      <sheetName val="Dados_Entrada"/>
      <sheetName val="Modelo_Pista_Simples"/>
      <sheetName val="Cálculos_Pista_Simples"/>
      <sheetName val="Gráfico"/>
      <sheetName val="Observações"/>
      <sheetName val="Mix de Aeronaves"/>
      <sheetName val="Valores Padrões"/>
      <sheetName val="Auxílio-Mix"/>
      <sheetName val="Resultados Fin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H2" t="str">
            <v>Figura7</v>
          </cell>
        </row>
        <row r="3">
          <cell r="H3" t="str">
            <v>Figura8</v>
          </cell>
        </row>
        <row r="4">
          <cell r="H4" t="str">
            <v>Figura9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ulação Aeroporto"/>
      <sheetName val="OPEX"/>
      <sheetName val="OPEX - rubrica_v1"/>
      <sheetName val="Planilha1"/>
      <sheetName val="OPEX - rubrica"/>
      <sheetName val="OPEX anual"/>
      <sheetName val="CAPEX"/>
      <sheetName val="CAPEX - rubrica"/>
      <sheetName val="OPEX -Tabela dinâmica"/>
      <sheetName val="CAPEX - Tabela dinâmica"/>
      <sheetName val="OPEX PAV - Tabela dinâmica"/>
      <sheetName val="IP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SBUA</v>
          </cell>
          <cell r="C2">
            <v>103162867.00623943</v>
          </cell>
          <cell r="D2">
            <v>4014023.6587732616</v>
          </cell>
          <cell r="E2">
            <v>19040.05694937033</v>
          </cell>
          <cell r="F2"/>
          <cell r="G2">
            <v>388381.51826118072</v>
          </cell>
          <cell r="H2">
            <v>8998863.3814112935</v>
          </cell>
          <cell r="I2">
            <v>122627997.84597401</v>
          </cell>
        </row>
        <row r="3">
          <cell r="B3" t="str">
            <v>SWBC</v>
          </cell>
          <cell r="C3">
            <v>47389509.755122021</v>
          </cell>
          <cell r="D3">
            <v>3005904.5643054261</v>
          </cell>
          <cell r="E3">
            <v>29721.397261633483</v>
          </cell>
          <cell r="F3">
            <v>1081855.8764793393</v>
          </cell>
          <cell r="G3">
            <v>246005.9743037071</v>
          </cell>
          <cell r="H3">
            <v>7489184.8407711359</v>
          </cell>
          <cell r="I3">
            <v>65287004.632582746</v>
          </cell>
        </row>
        <row r="4">
          <cell r="B4" t="str">
            <v>SWCA</v>
          </cell>
          <cell r="C4">
            <v>10148908.725873593</v>
          </cell>
          <cell r="D4">
            <v>4561383.5130724804</v>
          </cell>
          <cell r="E4">
            <v>25951.363219681018</v>
          </cell>
          <cell r="F4">
            <v>350539.61280437803</v>
          </cell>
          <cell r="G4">
            <v>378583.84504111361</v>
          </cell>
          <cell r="H4">
            <v>5057204.9875817774</v>
          </cell>
          <cell r="I4">
            <v>26567394.271932494</v>
          </cell>
        </row>
        <row r="5">
          <cell r="B5" t="str">
            <v>SWEI</v>
          </cell>
          <cell r="C5">
            <v>143426167.78020999</v>
          </cell>
          <cell r="D5"/>
          <cell r="E5">
            <v>233235.91784697713</v>
          </cell>
          <cell r="F5">
            <v>824660.16772824572</v>
          </cell>
          <cell r="G5">
            <v>441781.2552662107</v>
          </cell>
          <cell r="H5">
            <v>5402500.5345293293</v>
          </cell>
          <cell r="I5">
            <v>156373167.87992024</v>
          </cell>
        </row>
        <row r="6">
          <cell r="B6" t="str">
            <v>SWKO</v>
          </cell>
          <cell r="C6">
            <v>21324463.093238376</v>
          </cell>
          <cell r="D6"/>
          <cell r="E6">
            <v>16854.009190378743</v>
          </cell>
          <cell r="F6"/>
          <cell r="G6"/>
          <cell r="H6">
            <v>5818118.4354515551</v>
          </cell>
          <cell r="I6">
            <v>33204257.762219787</v>
          </cell>
        </row>
        <row r="7">
          <cell r="B7" t="str">
            <v>SWLB</v>
          </cell>
          <cell r="C7">
            <v>19698018.450703789</v>
          </cell>
          <cell r="D7"/>
          <cell r="E7">
            <v>57207.172115491427</v>
          </cell>
          <cell r="F7">
            <v>65257.11782779733</v>
          </cell>
          <cell r="G7"/>
          <cell r="H7">
            <v>5591524.6496367408</v>
          </cell>
          <cell r="I7">
            <v>31456829.614623293</v>
          </cell>
        </row>
        <row r="8">
          <cell r="B8" t="str">
            <v>SWMW</v>
          </cell>
          <cell r="C8">
            <v>30040738.084182099</v>
          </cell>
          <cell r="D8">
            <v>1721662.9409175799</v>
          </cell>
          <cell r="E8">
            <v>31688.164799879498</v>
          </cell>
          <cell r="F8">
            <v>867201.52133027732</v>
          </cell>
          <cell r="G8">
            <v>196323.43148966358</v>
          </cell>
          <cell r="H8">
            <v>5000993.9684941443</v>
          </cell>
          <cell r="I8">
            <v>43903430.335553125</v>
          </cell>
        </row>
        <row r="9">
          <cell r="B9" t="str">
            <v>SWPI</v>
          </cell>
          <cell r="C9">
            <v>18868699.917519342</v>
          </cell>
          <cell r="D9">
            <v>5192374.3565488812</v>
          </cell>
          <cell r="E9">
            <v>111449.56472139133</v>
          </cell>
          <cell r="F9"/>
          <cell r="G9">
            <v>695415.06280580442</v>
          </cell>
          <cell r="H9">
            <v>8732999.6342708245</v>
          </cell>
          <cell r="I9">
            <v>39645760.760205723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N 22"/>
      <sheetName val="FLUXO DE CAIXA DESC.-BLOCOS PAN"/>
      <sheetName val="FLUXO DE CAIXA - BLOCOS PAN"/>
      <sheetName val="CAPEX - BLOCOS PAN"/>
      <sheetName val="CAPEX - BLOCOS PAN S_MULTIP."/>
      <sheetName val="CAPEX - BLOCOS PAN (ANO A ANO)"/>
      <sheetName val="CAPEX - BLOCOS PAN P_ANO S_MULT"/>
      <sheetName val="OPEX - BLOCOS PAN"/>
      <sheetName val="RECEITAS - BLOCOS PAN"/>
      <sheetName val="BASE PAN - CAPEX"/>
      <sheetName val="BASE PAN - OPEX"/>
      <sheetName val="BASE PAN - RECEITAS"/>
      <sheetName val="BASE PAN - CAPEX - 1º ANO"/>
      <sheetName val="CAPEX Manut. Estr_PPD e Taxiway"/>
      <sheetName val="CAPEX Manut. Estratégicos_Pátio"/>
      <sheetName val="CAPEX Manut. Estr_Naveg. Aérea"/>
      <sheetName val="CAPEX Manut. Estr_Cerca Operac."/>
      <sheetName val="Receitas - Aerop. Estratégicos"/>
      <sheetName val="Projeção - Demanda PAX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N603420455</v>
          </cell>
          <cell r="D3" t="str">
            <v>CORREIA PINTO</v>
          </cell>
          <cell r="E3" t="str">
            <v>SC</v>
          </cell>
          <cell r="F3" t="str">
            <v>ü</v>
          </cell>
          <cell r="G3" t="str">
            <v>Adequação</v>
          </cell>
          <cell r="H3">
            <v>36657833.333333336</v>
          </cell>
          <cell r="I3">
            <v>36657833.333333336</v>
          </cell>
          <cell r="J3">
            <v>36657833.333333336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109973500</v>
          </cell>
          <cell r="AN3" t="str">
            <v>S e SE</v>
          </cell>
          <cell r="AO3">
            <v>1</v>
          </cell>
          <cell r="AP3" t="str">
            <v>-</v>
          </cell>
          <cell r="AQ3">
            <v>2031</v>
          </cell>
          <cell r="AR3">
            <v>2025</v>
          </cell>
          <cell r="AS3" t="str">
            <v>-</v>
          </cell>
          <cell r="AT3">
            <v>3</v>
          </cell>
          <cell r="AU3">
            <v>2</v>
          </cell>
          <cell r="AV3" t="str">
            <v>Privada</v>
          </cell>
        </row>
        <row r="4">
          <cell r="C4" t="str">
            <v>N518130030</v>
          </cell>
          <cell r="D4" t="str">
            <v>AUTAZES</v>
          </cell>
          <cell r="E4" t="str">
            <v>AM</v>
          </cell>
          <cell r="F4" t="str">
            <v>ü</v>
          </cell>
          <cell r="G4" t="str">
            <v>Adequação</v>
          </cell>
          <cell r="H4">
            <v>22486375.346666664</v>
          </cell>
          <cell r="I4">
            <v>22486375.346666664</v>
          </cell>
          <cell r="J4">
            <v>22486375.346666664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67459126.039999992</v>
          </cell>
          <cell r="AN4" t="str">
            <v>-</v>
          </cell>
          <cell r="AO4">
            <v>0</v>
          </cell>
          <cell r="AP4" t="str">
            <v>-</v>
          </cell>
          <cell r="AQ4" t="str">
            <v>-</v>
          </cell>
          <cell r="AR4">
            <v>2024</v>
          </cell>
          <cell r="AS4" t="str">
            <v>-</v>
          </cell>
          <cell r="AT4" t="str">
            <v>-</v>
          </cell>
          <cell r="AU4">
            <v>1</v>
          </cell>
          <cell r="AV4" t="str">
            <v>Pública</v>
          </cell>
        </row>
        <row r="5">
          <cell r="C5" t="str">
            <v>N861160070</v>
          </cell>
          <cell r="D5" t="str">
            <v>TARTARUGALZINHO</v>
          </cell>
          <cell r="E5" t="str">
            <v>AP</v>
          </cell>
          <cell r="F5" t="str">
            <v>ü</v>
          </cell>
          <cell r="G5" t="str">
            <v>Adequação</v>
          </cell>
          <cell r="H5">
            <v>34486838.089333333</v>
          </cell>
          <cell r="I5">
            <v>34486838.089333333</v>
          </cell>
          <cell r="J5">
            <v>34486838.089333333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103460514.26800001</v>
          </cell>
          <cell r="AN5" t="str">
            <v>N</v>
          </cell>
          <cell r="AO5">
            <v>1</v>
          </cell>
          <cell r="AP5" t="str">
            <v>-</v>
          </cell>
          <cell r="AQ5" t="str">
            <v>-</v>
          </cell>
          <cell r="AR5">
            <v>2049</v>
          </cell>
          <cell r="AS5" t="str">
            <v>-</v>
          </cell>
          <cell r="AT5" t="str">
            <v>-</v>
          </cell>
          <cell r="AU5">
            <v>2</v>
          </cell>
          <cell r="AV5" t="str">
            <v>Pública</v>
          </cell>
        </row>
        <row r="6">
          <cell r="C6" t="str">
            <v>SBAE350340</v>
          </cell>
          <cell r="D6" t="str">
            <v>AREALVA</v>
          </cell>
          <cell r="E6" t="str">
            <v>SP</v>
          </cell>
          <cell r="F6" t="str">
            <v>ü</v>
          </cell>
          <cell r="G6" t="str">
            <v>Adequação</v>
          </cell>
          <cell r="H6">
            <v>18156666.666666668</v>
          </cell>
          <cell r="I6">
            <v>18156666.666666668</v>
          </cell>
          <cell r="J6">
            <v>18156666.666666668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54470000</v>
          </cell>
          <cell r="AN6" t="str">
            <v>-</v>
          </cell>
          <cell r="AO6">
            <v>3</v>
          </cell>
          <cell r="AP6" t="str">
            <v>-</v>
          </cell>
          <cell r="AQ6" t="str">
            <v>-</v>
          </cell>
          <cell r="AR6">
            <v>2040</v>
          </cell>
          <cell r="AS6" t="str">
            <v>-</v>
          </cell>
          <cell r="AT6" t="str">
            <v>-</v>
          </cell>
          <cell r="AU6">
            <v>4</v>
          </cell>
          <cell r="AV6" t="str">
            <v>Fora - Resolvido</v>
          </cell>
        </row>
        <row r="7">
          <cell r="C7" t="str">
            <v>N218352230</v>
          </cell>
          <cell r="D7" t="str">
            <v>ITAPETININGA</v>
          </cell>
          <cell r="E7" t="str">
            <v>SP</v>
          </cell>
          <cell r="F7" t="str">
            <v>ü</v>
          </cell>
          <cell r="G7" t="str">
            <v>Adequação</v>
          </cell>
          <cell r="H7">
            <v>118890002.35666665</v>
          </cell>
          <cell r="I7">
            <v>118890002.35666665</v>
          </cell>
          <cell r="J7">
            <v>118890002.35666665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356670007.06999993</v>
          </cell>
          <cell r="AN7" t="str">
            <v>S e SE</v>
          </cell>
          <cell r="AO7">
            <v>3</v>
          </cell>
          <cell r="AP7" t="str">
            <v>-</v>
          </cell>
          <cell r="AQ7" t="str">
            <v>-</v>
          </cell>
          <cell r="AR7">
            <v>2044</v>
          </cell>
          <cell r="AS7" t="str">
            <v>-</v>
          </cell>
          <cell r="AT7" t="str">
            <v>-</v>
          </cell>
          <cell r="AU7">
            <v>4</v>
          </cell>
          <cell r="AV7" t="str">
            <v>Pública</v>
          </cell>
        </row>
        <row r="8">
          <cell r="C8" t="str">
            <v>N774150580</v>
          </cell>
          <cell r="D8" t="str">
            <v>PORTEL</v>
          </cell>
          <cell r="E8" t="str">
            <v>PA</v>
          </cell>
          <cell r="F8" t="str">
            <v>ü</v>
          </cell>
          <cell r="G8" t="str">
            <v>Adequação</v>
          </cell>
          <cell r="H8">
            <v>122568102.91333333</v>
          </cell>
          <cell r="I8">
            <v>122568102.91333333</v>
          </cell>
          <cell r="J8">
            <v>122568102.91333333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367704308.74000001</v>
          </cell>
          <cell r="AN8" t="str">
            <v>N</v>
          </cell>
          <cell r="AO8">
            <v>2</v>
          </cell>
          <cell r="AP8" t="str">
            <v>-</v>
          </cell>
          <cell r="AQ8" t="str">
            <v>-</v>
          </cell>
          <cell r="AR8">
            <v>2027</v>
          </cell>
          <cell r="AS8" t="str">
            <v>-</v>
          </cell>
          <cell r="AT8" t="str">
            <v>-</v>
          </cell>
          <cell r="AU8">
            <v>3</v>
          </cell>
          <cell r="AV8" t="str">
            <v>Pública</v>
          </cell>
        </row>
        <row r="9">
          <cell r="C9" t="str">
            <v>N798140047</v>
          </cell>
          <cell r="D9" t="str">
            <v>RORAINÓPOLIS</v>
          </cell>
          <cell r="E9" t="str">
            <v>RR</v>
          </cell>
          <cell r="F9" t="str">
            <v>ü</v>
          </cell>
          <cell r="G9" t="str">
            <v>Adequação</v>
          </cell>
          <cell r="H9">
            <v>37561004.755999997</v>
          </cell>
          <cell r="I9">
            <v>37561004.755999997</v>
          </cell>
          <cell r="J9">
            <v>37561004.755999997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112683014.26799999</v>
          </cell>
          <cell r="AN9" t="str">
            <v>N</v>
          </cell>
          <cell r="AO9">
            <v>0</v>
          </cell>
          <cell r="AP9" t="str">
            <v>-</v>
          </cell>
          <cell r="AQ9" t="str">
            <v>-</v>
          </cell>
          <cell r="AR9">
            <v>2025</v>
          </cell>
          <cell r="AS9" t="str">
            <v>-</v>
          </cell>
          <cell r="AT9" t="str">
            <v>-</v>
          </cell>
          <cell r="AU9">
            <v>1</v>
          </cell>
          <cell r="AV9" t="str">
            <v>Privada</v>
          </cell>
        </row>
        <row r="10">
          <cell r="C10" t="str">
            <v>SBAR280030</v>
          </cell>
          <cell r="D10" t="str">
            <v>ARACAJU</v>
          </cell>
          <cell r="E10" t="str">
            <v>SE</v>
          </cell>
          <cell r="F10" t="str">
            <v>ü</v>
          </cell>
          <cell r="G10" t="str">
            <v>Adequação</v>
          </cell>
          <cell r="H10">
            <v>127570000</v>
          </cell>
          <cell r="I10">
            <v>127570000</v>
          </cell>
          <cell r="J10">
            <v>127570000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382710000</v>
          </cell>
          <cell r="AN10" t="str">
            <v>-</v>
          </cell>
          <cell r="AO10">
            <v>6</v>
          </cell>
          <cell r="AP10" t="str">
            <v>-</v>
          </cell>
          <cell r="AQ10" t="str">
            <v>-</v>
          </cell>
          <cell r="AR10">
            <v>2034</v>
          </cell>
          <cell r="AS10" t="str">
            <v>-</v>
          </cell>
          <cell r="AT10" t="str">
            <v>-</v>
          </cell>
          <cell r="AU10">
            <v>7</v>
          </cell>
          <cell r="AV10" t="str">
            <v>Fora - Resolvido</v>
          </cell>
        </row>
        <row r="11">
          <cell r="C11" t="str">
            <v>SBCA410480</v>
          </cell>
          <cell r="D11" t="str">
            <v>CASCAVEL</v>
          </cell>
          <cell r="E11" t="str">
            <v>PR</v>
          </cell>
          <cell r="F11" t="str">
            <v>ü</v>
          </cell>
          <cell r="G11" t="str">
            <v>Adequação</v>
          </cell>
          <cell r="H11">
            <v>25328333.333333332</v>
          </cell>
          <cell r="I11">
            <v>25328333.333333332</v>
          </cell>
          <cell r="J11">
            <v>25328333.333333332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75985000</v>
          </cell>
          <cell r="AN11" t="str">
            <v>S e SE</v>
          </cell>
          <cell r="AO11">
            <v>4</v>
          </cell>
          <cell r="AP11" t="str">
            <v>-</v>
          </cell>
          <cell r="AQ11" t="str">
            <v>-</v>
          </cell>
          <cell r="AR11">
            <v>2028</v>
          </cell>
          <cell r="AS11" t="str">
            <v>-</v>
          </cell>
          <cell r="AT11" t="str">
            <v>-</v>
          </cell>
          <cell r="AU11">
            <v>5</v>
          </cell>
          <cell r="AV11" t="str">
            <v>Privada</v>
          </cell>
        </row>
        <row r="12">
          <cell r="C12" t="str">
            <v>SBCN520450</v>
          </cell>
          <cell r="D12" t="str">
            <v>CALDAS NOVAS</v>
          </cell>
          <cell r="E12" t="str">
            <v>GO</v>
          </cell>
          <cell r="F12" t="str">
            <v>ü</v>
          </cell>
          <cell r="G12" t="str">
            <v>Adequação</v>
          </cell>
          <cell r="H12">
            <v>31258333.333333332</v>
          </cell>
          <cell r="I12">
            <v>31258333.333333332</v>
          </cell>
          <cell r="J12">
            <v>31258333.333333332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93775000</v>
          </cell>
          <cell r="AN12" t="str">
            <v>-</v>
          </cell>
          <cell r="AO12">
            <v>3</v>
          </cell>
          <cell r="AP12" t="str">
            <v>-</v>
          </cell>
          <cell r="AQ12" t="str">
            <v>-</v>
          </cell>
          <cell r="AR12">
            <v>2033</v>
          </cell>
          <cell r="AS12" t="str">
            <v>-</v>
          </cell>
          <cell r="AT12" t="str">
            <v>-</v>
          </cell>
          <cell r="AU12">
            <v>4</v>
          </cell>
          <cell r="AV12" t="str">
            <v>Fora - Resolvido</v>
          </cell>
        </row>
        <row r="13">
          <cell r="C13" t="str">
            <v>SBFL420540</v>
          </cell>
          <cell r="D13" t="str">
            <v>FLORIANÓPOLIS</v>
          </cell>
          <cell r="E13" t="str">
            <v>SC</v>
          </cell>
          <cell r="F13" t="str">
            <v>ü</v>
          </cell>
          <cell r="G13" t="str">
            <v>Adequação</v>
          </cell>
          <cell r="H13">
            <v>202950000</v>
          </cell>
          <cell r="I13">
            <v>202950000</v>
          </cell>
          <cell r="J13">
            <v>202950000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608850000</v>
          </cell>
          <cell r="AN13" t="str">
            <v>-</v>
          </cell>
          <cell r="AO13">
            <v>7</v>
          </cell>
          <cell r="AP13" t="str">
            <v>-</v>
          </cell>
          <cell r="AQ13">
            <v>2052</v>
          </cell>
          <cell r="AR13">
            <v>2026</v>
          </cell>
          <cell r="AS13" t="str">
            <v>-</v>
          </cell>
          <cell r="AT13">
            <v>9</v>
          </cell>
          <cell r="AU13">
            <v>8</v>
          </cell>
          <cell r="AV13" t="str">
            <v>Fora - Resolvido</v>
          </cell>
        </row>
        <row r="14">
          <cell r="C14" t="str">
            <v>SBGR351880</v>
          </cell>
          <cell r="D14" t="str">
            <v>GUARULHOS</v>
          </cell>
          <cell r="E14" t="str">
            <v>SP</v>
          </cell>
          <cell r="F14" t="str">
            <v>ü</v>
          </cell>
          <cell r="G14" t="str">
            <v>Adequação</v>
          </cell>
          <cell r="H14">
            <v>67126666.666666672</v>
          </cell>
          <cell r="I14">
            <v>67126666.666666672</v>
          </cell>
          <cell r="J14">
            <v>67126666.666666672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201380000</v>
          </cell>
          <cell r="AN14" t="str">
            <v>-</v>
          </cell>
          <cell r="AO14">
            <v>10</v>
          </cell>
          <cell r="AP14" t="str">
            <v>-</v>
          </cell>
          <cell r="AQ14" t="str">
            <v>-</v>
          </cell>
          <cell r="AR14" t="str">
            <v>-</v>
          </cell>
          <cell r="AS14" t="str">
            <v>-</v>
          </cell>
          <cell r="AT14" t="str">
            <v>-</v>
          </cell>
          <cell r="AU14" t="str">
            <v>-</v>
          </cell>
          <cell r="AV14" t="str">
            <v>Fora - Resolvido</v>
          </cell>
        </row>
        <row r="15">
          <cell r="C15" t="str">
            <v>SBGV312770</v>
          </cell>
          <cell r="D15" t="str">
            <v>GOVERNADOR VALADARES</v>
          </cell>
          <cell r="E15" t="str">
            <v>MG</v>
          </cell>
          <cell r="F15" t="str">
            <v>ü</v>
          </cell>
          <cell r="G15" t="str">
            <v>Adequação</v>
          </cell>
          <cell r="H15">
            <v>39385000</v>
          </cell>
          <cell r="I15">
            <v>39385000</v>
          </cell>
          <cell r="J15">
            <v>39385000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118155000</v>
          </cell>
          <cell r="AN15" t="str">
            <v>-</v>
          </cell>
          <cell r="AO15">
            <v>3</v>
          </cell>
          <cell r="AP15" t="str">
            <v>-</v>
          </cell>
          <cell r="AQ15" t="str">
            <v>-</v>
          </cell>
          <cell r="AR15">
            <v>2043</v>
          </cell>
          <cell r="AS15" t="str">
            <v>-</v>
          </cell>
          <cell r="AT15" t="str">
            <v>-</v>
          </cell>
          <cell r="AU15">
            <v>4</v>
          </cell>
          <cell r="AV15" t="str">
            <v>Pública</v>
          </cell>
        </row>
        <row r="16">
          <cell r="C16" t="str">
            <v>SBIH150360</v>
          </cell>
          <cell r="D16" t="str">
            <v>ITAITUBA</v>
          </cell>
          <cell r="E16" t="str">
            <v>PA</v>
          </cell>
          <cell r="F16" t="str">
            <v>ü</v>
          </cell>
          <cell r="G16" t="str">
            <v>Adequação</v>
          </cell>
          <cell r="H16">
            <v>45106666.666666664</v>
          </cell>
          <cell r="I16">
            <v>45106666.666666664</v>
          </cell>
          <cell r="J16">
            <v>45106666.666666664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135320000</v>
          </cell>
          <cell r="AN16" t="str">
            <v>N</v>
          </cell>
          <cell r="AO16">
            <v>1</v>
          </cell>
          <cell r="AP16" t="str">
            <v>-</v>
          </cell>
          <cell r="AQ16">
            <v>2045</v>
          </cell>
          <cell r="AR16">
            <v>2025</v>
          </cell>
          <cell r="AS16" t="str">
            <v>-</v>
          </cell>
          <cell r="AT16">
            <v>3</v>
          </cell>
          <cell r="AU16">
            <v>2</v>
          </cell>
          <cell r="AV16" t="str">
            <v>Privada</v>
          </cell>
        </row>
        <row r="17">
          <cell r="C17" t="str">
            <v>SBIZ210530</v>
          </cell>
          <cell r="D17" t="str">
            <v>IMPERATRIZ</v>
          </cell>
          <cell r="E17" t="str">
            <v>MA</v>
          </cell>
          <cell r="F17" t="str">
            <v>ü</v>
          </cell>
          <cell r="G17" t="str">
            <v>Adequação</v>
          </cell>
          <cell r="H17">
            <v>24928333.333333332</v>
          </cell>
          <cell r="I17">
            <v>24928333.333333332</v>
          </cell>
          <cell r="J17">
            <v>24928333.333333332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74785000</v>
          </cell>
          <cell r="AN17" t="str">
            <v>-</v>
          </cell>
          <cell r="AO17">
            <v>4</v>
          </cell>
          <cell r="AP17" t="str">
            <v>-</v>
          </cell>
          <cell r="AQ17" t="str">
            <v>-</v>
          </cell>
          <cell r="AR17">
            <v>2029</v>
          </cell>
          <cell r="AS17" t="str">
            <v>-</v>
          </cell>
          <cell r="AT17" t="str">
            <v>-</v>
          </cell>
          <cell r="AU17">
            <v>5</v>
          </cell>
          <cell r="AV17" t="str">
            <v>Fora - Resolvido</v>
          </cell>
        </row>
        <row r="18">
          <cell r="C18" t="str">
            <v>SBJA420880</v>
          </cell>
          <cell r="D18" t="str">
            <v>JAGUARUNA</v>
          </cell>
          <cell r="E18" t="str">
            <v>SC</v>
          </cell>
          <cell r="F18" t="str">
            <v>ü</v>
          </cell>
          <cell r="G18" t="str">
            <v>Adequação</v>
          </cell>
          <cell r="H18">
            <v>26281666.666666668</v>
          </cell>
          <cell r="I18">
            <v>26281666.666666668</v>
          </cell>
          <cell r="J18">
            <v>26281666.666666668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78845000</v>
          </cell>
          <cell r="AN18" t="str">
            <v>-</v>
          </cell>
          <cell r="AO18">
            <v>4</v>
          </cell>
          <cell r="AP18" t="str">
            <v>-</v>
          </cell>
          <cell r="AQ18" t="str">
            <v>-</v>
          </cell>
          <cell r="AR18">
            <v>2037</v>
          </cell>
          <cell r="AS18" t="str">
            <v>-</v>
          </cell>
          <cell r="AT18" t="str">
            <v>-</v>
          </cell>
          <cell r="AU18">
            <v>5</v>
          </cell>
          <cell r="AV18" t="str">
            <v>Fora - Resolvido</v>
          </cell>
        </row>
        <row r="19">
          <cell r="C19" t="str">
            <v>SBJU230730</v>
          </cell>
          <cell r="D19" t="str">
            <v>JUAZEIRO DO NORTE</v>
          </cell>
          <cell r="E19" t="str">
            <v>CE</v>
          </cell>
          <cell r="F19" t="str">
            <v>ü</v>
          </cell>
          <cell r="G19" t="str">
            <v>Adequação</v>
          </cell>
          <cell r="H19">
            <v>69830000</v>
          </cell>
          <cell r="I19">
            <v>69830000</v>
          </cell>
          <cell r="J19">
            <v>69830000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209490000</v>
          </cell>
          <cell r="AN19" t="str">
            <v>-</v>
          </cell>
          <cell r="AO19">
            <v>4</v>
          </cell>
          <cell r="AP19" t="str">
            <v>-</v>
          </cell>
          <cell r="AQ19">
            <v>2043</v>
          </cell>
          <cell r="AR19">
            <v>2024</v>
          </cell>
          <cell r="AS19" t="str">
            <v>-</v>
          </cell>
          <cell r="AT19">
            <v>6</v>
          </cell>
          <cell r="AU19">
            <v>5</v>
          </cell>
          <cell r="AV19" t="str">
            <v>Fora - Resolvido</v>
          </cell>
        </row>
        <row r="20">
          <cell r="C20" t="str">
            <v>SBLE291930</v>
          </cell>
          <cell r="D20" t="str">
            <v>LENÇÓIS</v>
          </cell>
          <cell r="E20" t="str">
            <v>BA</v>
          </cell>
          <cell r="F20" t="str">
            <v>ü</v>
          </cell>
          <cell r="G20" t="str">
            <v>Adequação</v>
          </cell>
          <cell r="H20">
            <v>28092500</v>
          </cell>
          <cell r="I20">
            <v>28092500</v>
          </cell>
          <cell r="J20">
            <v>28092500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84277500</v>
          </cell>
          <cell r="AN20" t="str">
            <v>NE e CO</v>
          </cell>
          <cell r="AO20">
            <v>1</v>
          </cell>
          <cell r="AP20" t="str">
            <v>-</v>
          </cell>
          <cell r="AQ20">
            <v>2039</v>
          </cell>
          <cell r="AR20">
            <v>2025</v>
          </cell>
          <cell r="AS20" t="str">
            <v>-</v>
          </cell>
          <cell r="AT20">
            <v>3</v>
          </cell>
          <cell r="AU20">
            <v>2</v>
          </cell>
          <cell r="AV20" t="str">
            <v>Privada</v>
          </cell>
        </row>
        <row r="21">
          <cell r="C21" t="str">
            <v>SBMO270770</v>
          </cell>
          <cell r="D21" t="str">
            <v>RIO LARGO</v>
          </cell>
          <cell r="E21" t="str">
            <v>AL</v>
          </cell>
          <cell r="F21" t="str">
            <v>ü</v>
          </cell>
          <cell r="G21" t="str">
            <v>Adequação</v>
          </cell>
          <cell r="H21">
            <v>176120000</v>
          </cell>
          <cell r="I21">
            <v>176120000</v>
          </cell>
          <cell r="J21">
            <v>176120000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528360000</v>
          </cell>
          <cell r="AN21" t="str">
            <v>-</v>
          </cell>
          <cell r="AO21">
            <v>7</v>
          </cell>
          <cell r="AP21" t="str">
            <v>-</v>
          </cell>
          <cell r="AQ21" t="str">
            <v>-</v>
          </cell>
          <cell r="AR21">
            <v>2043</v>
          </cell>
          <cell r="AS21" t="str">
            <v>-</v>
          </cell>
          <cell r="AT21" t="str">
            <v>-</v>
          </cell>
          <cell r="AU21">
            <v>8</v>
          </cell>
          <cell r="AV21" t="str">
            <v>Fora - Resolvido</v>
          </cell>
        </row>
        <row r="22">
          <cell r="C22" t="str">
            <v>SBMQ160030</v>
          </cell>
          <cell r="D22" t="str">
            <v>MACAPÁ</v>
          </cell>
          <cell r="E22" t="str">
            <v>AP</v>
          </cell>
          <cell r="F22" t="str">
            <v>ü</v>
          </cell>
          <cell r="G22" t="str">
            <v>Adequação</v>
          </cell>
          <cell r="H22">
            <v>50463333.333333336</v>
          </cell>
          <cell r="I22">
            <v>50463333.333333336</v>
          </cell>
          <cell r="J22">
            <v>50463333.333333336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151390000</v>
          </cell>
          <cell r="AN22" t="str">
            <v>-</v>
          </cell>
          <cell r="AO22">
            <v>5</v>
          </cell>
          <cell r="AP22" t="str">
            <v>-</v>
          </cell>
          <cell r="AQ22" t="str">
            <v>-</v>
          </cell>
          <cell r="AR22">
            <v>2031</v>
          </cell>
          <cell r="AS22" t="str">
            <v>-</v>
          </cell>
          <cell r="AT22" t="str">
            <v>-</v>
          </cell>
          <cell r="AU22">
            <v>6</v>
          </cell>
          <cell r="AV22" t="str">
            <v>Fora - Resolvido</v>
          </cell>
        </row>
        <row r="23">
          <cell r="C23" t="str">
            <v>SBSM431690</v>
          </cell>
          <cell r="D23" t="str">
            <v>SANTA MARIA</v>
          </cell>
          <cell r="E23" t="str">
            <v>RS</v>
          </cell>
          <cell r="F23" t="str">
            <v>ü</v>
          </cell>
          <cell r="G23" t="str">
            <v>Adequação</v>
          </cell>
          <cell r="H23">
            <v>35227833.333333336</v>
          </cell>
          <cell r="I23">
            <v>35227833.333333336</v>
          </cell>
          <cell r="J23">
            <v>35227833.333333336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105683500</v>
          </cell>
          <cell r="AN23" t="str">
            <v>S e SE</v>
          </cell>
          <cell r="AO23">
            <v>2</v>
          </cell>
          <cell r="AP23" t="str">
            <v>-</v>
          </cell>
          <cell r="AQ23" t="str">
            <v>-</v>
          </cell>
          <cell r="AR23">
            <v>2024</v>
          </cell>
          <cell r="AS23" t="str">
            <v>-</v>
          </cell>
          <cell r="AT23" t="str">
            <v>-</v>
          </cell>
          <cell r="AU23">
            <v>3</v>
          </cell>
          <cell r="AV23" t="str">
            <v>Privada</v>
          </cell>
        </row>
        <row r="24">
          <cell r="C24" t="str">
            <v>SBSV292740</v>
          </cell>
          <cell r="D24" t="str">
            <v>SALVADOR</v>
          </cell>
          <cell r="E24" t="str">
            <v>BA</v>
          </cell>
          <cell r="F24" t="str">
            <v>ü</v>
          </cell>
          <cell r="G24" t="str">
            <v>Adequação</v>
          </cell>
          <cell r="H24">
            <v>217363333.33333334</v>
          </cell>
          <cell r="I24">
            <v>217363333.33333334</v>
          </cell>
          <cell r="J24">
            <v>217363333.33333334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652090000</v>
          </cell>
          <cell r="AN24" t="str">
            <v>-</v>
          </cell>
          <cell r="AO24">
            <v>8</v>
          </cell>
          <cell r="AP24" t="str">
            <v>-</v>
          </cell>
          <cell r="AQ24">
            <v>2033</v>
          </cell>
          <cell r="AR24">
            <v>2025</v>
          </cell>
          <cell r="AS24" t="str">
            <v>-</v>
          </cell>
          <cell r="AT24">
            <v>10</v>
          </cell>
          <cell r="AU24">
            <v>9</v>
          </cell>
          <cell r="AV24" t="str">
            <v>Fora - Resolvido</v>
          </cell>
        </row>
        <row r="25">
          <cell r="C25" t="str">
            <v>SBTD412770</v>
          </cell>
          <cell r="D25" t="str">
            <v>TOLEDO</v>
          </cell>
          <cell r="E25" t="str">
            <v>PR</v>
          </cell>
          <cell r="F25" t="str">
            <v>ü</v>
          </cell>
          <cell r="G25" t="str">
            <v>Adequação</v>
          </cell>
          <cell r="H25">
            <v>22121666.666666668</v>
          </cell>
          <cell r="I25">
            <v>22121666.666666668</v>
          </cell>
          <cell r="J25">
            <v>22121666.666666668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66365000</v>
          </cell>
          <cell r="AN25" t="str">
            <v>-</v>
          </cell>
          <cell r="AO25">
            <v>2</v>
          </cell>
          <cell r="AP25" t="str">
            <v>-</v>
          </cell>
          <cell r="AQ25" t="str">
            <v>-</v>
          </cell>
          <cell r="AR25">
            <v>2024</v>
          </cell>
          <cell r="AS25" t="str">
            <v>-</v>
          </cell>
          <cell r="AT25" t="str">
            <v>-</v>
          </cell>
          <cell r="AU25">
            <v>3</v>
          </cell>
          <cell r="AV25" t="str">
            <v>Pública</v>
          </cell>
        </row>
        <row r="26">
          <cell r="C26" t="str">
            <v>SBZM312738</v>
          </cell>
          <cell r="D26" t="str">
            <v>GOIANÁ</v>
          </cell>
          <cell r="E26" t="str">
            <v>MG</v>
          </cell>
          <cell r="F26" t="str">
            <v>ü</v>
          </cell>
          <cell r="G26" t="str">
            <v>Adequação</v>
          </cell>
          <cell r="H26">
            <v>23508333.333333332</v>
          </cell>
          <cell r="I26">
            <v>23508333.333333332</v>
          </cell>
          <cell r="J26">
            <v>23508333.333333332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70525000</v>
          </cell>
          <cell r="AN26" t="str">
            <v>-</v>
          </cell>
          <cell r="AO26">
            <v>4</v>
          </cell>
          <cell r="AP26" t="str">
            <v>-</v>
          </cell>
          <cell r="AQ26" t="str">
            <v>-</v>
          </cell>
          <cell r="AR26" t="str">
            <v>-</v>
          </cell>
          <cell r="AS26" t="str">
            <v>-</v>
          </cell>
          <cell r="AT26" t="str">
            <v>-</v>
          </cell>
          <cell r="AU26" t="str">
            <v>-</v>
          </cell>
          <cell r="AV26" t="str">
            <v>Fora - Resolvido</v>
          </cell>
        </row>
        <row r="27">
          <cell r="C27" t="str">
            <v>SDRK354390</v>
          </cell>
          <cell r="D27" t="str">
            <v>RIO CLARO</v>
          </cell>
          <cell r="E27" t="str">
            <v>SP</v>
          </cell>
          <cell r="F27" t="str">
            <v>ü</v>
          </cell>
          <cell r="G27" t="str">
            <v>Adequação</v>
          </cell>
          <cell r="H27">
            <v>91453847.966666654</v>
          </cell>
          <cell r="I27">
            <v>91453847.966666654</v>
          </cell>
          <cell r="J27">
            <v>91453847.966666654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274361543.89999998</v>
          </cell>
          <cell r="AN27" t="str">
            <v>-</v>
          </cell>
          <cell r="AO27">
            <v>3</v>
          </cell>
          <cell r="AP27" t="str">
            <v>-</v>
          </cell>
          <cell r="AQ27" t="str">
            <v>-</v>
          </cell>
          <cell r="AR27">
            <v>2027</v>
          </cell>
          <cell r="AS27" t="str">
            <v>-</v>
          </cell>
          <cell r="AT27" t="str">
            <v>-</v>
          </cell>
          <cell r="AU27">
            <v>4</v>
          </cell>
          <cell r="AV27" t="str">
            <v>Pública</v>
          </cell>
        </row>
        <row r="28">
          <cell r="C28" t="str">
            <v>SWBC130040</v>
          </cell>
          <cell r="D28" t="str">
            <v>BARCELOS</v>
          </cell>
          <cell r="E28" t="str">
            <v>AM</v>
          </cell>
          <cell r="F28" t="str">
            <v>ü</v>
          </cell>
          <cell r="G28" t="str">
            <v>Adequação</v>
          </cell>
          <cell r="H28">
            <v>21471000</v>
          </cell>
          <cell r="I28">
            <v>21471000</v>
          </cell>
          <cell r="J28">
            <v>21471000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64413000</v>
          </cell>
          <cell r="AN28" t="str">
            <v>N</v>
          </cell>
          <cell r="AO28">
            <v>0</v>
          </cell>
          <cell r="AP28" t="str">
            <v>-</v>
          </cell>
          <cell r="AQ28" t="str">
            <v>-</v>
          </cell>
          <cell r="AR28">
            <v>2026</v>
          </cell>
          <cell r="AS28" t="str">
            <v>-</v>
          </cell>
          <cell r="AT28" t="str">
            <v>-</v>
          </cell>
          <cell r="AU28">
            <v>1</v>
          </cell>
          <cell r="AV28" t="str">
            <v>Privada</v>
          </cell>
        </row>
        <row r="29">
          <cell r="C29" t="str">
            <v>SNAT230110</v>
          </cell>
          <cell r="D29" t="str">
            <v>ARACATI</v>
          </cell>
          <cell r="E29" t="str">
            <v>CE</v>
          </cell>
          <cell r="F29" t="str">
            <v>ü</v>
          </cell>
          <cell r="G29" t="str">
            <v>Adequação</v>
          </cell>
          <cell r="H29">
            <v>4803333.333333333</v>
          </cell>
          <cell r="I29">
            <v>4803333.333333333</v>
          </cell>
          <cell r="J29">
            <v>4803333.333333333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14410000</v>
          </cell>
          <cell r="AN29" t="str">
            <v>-</v>
          </cell>
          <cell r="AO29">
            <v>1</v>
          </cell>
          <cell r="AP29" t="str">
            <v>-</v>
          </cell>
          <cell r="AQ29" t="str">
            <v>-</v>
          </cell>
          <cell r="AR29">
            <v>2030</v>
          </cell>
          <cell r="AS29" t="str">
            <v>-</v>
          </cell>
          <cell r="AT29" t="str">
            <v>-</v>
          </cell>
          <cell r="AU29">
            <v>2</v>
          </cell>
          <cell r="AV29" t="str">
            <v>Pública</v>
          </cell>
        </row>
        <row r="30">
          <cell r="C30" t="str">
            <v>SBAT510025</v>
          </cell>
          <cell r="D30" t="str">
            <v>ALTA FLORESTA</v>
          </cell>
          <cell r="E30" t="str">
            <v>MT</v>
          </cell>
          <cell r="F30" t="str">
            <v>ü</v>
          </cell>
          <cell r="G30" t="str">
            <v>Adequação</v>
          </cell>
          <cell r="H30">
            <v>16420000</v>
          </cell>
          <cell r="I30">
            <v>16420000</v>
          </cell>
          <cell r="J30">
            <v>16420000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49260000</v>
          </cell>
          <cell r="AN30" t="str">
            <v>-</v>
          </cell>
          <cell r="AO30">
            <v>3</v>
          </cell>
          <cell r="AP30" t="str">
            <v>-</v>
          </cell>
          <cell r="AQ30" t="str">
            <v>-</v>
          </cell>
          <cell r="AR30" t="str">
            <v>-</v>
          </cell>
          <cell r="AS30" t="str">
            <v>-</v>
          </cell>
          <cell r="AT30" t="str">
            <v>-</v>
          </cell>
          <cell r="AU30" t="str">
            <v>-</v>
          </cell>
          <cell r="AV30" t="str">
            <v>Fora - Resolvido</v>
          </cell>
        </row>
        <row r="31">
          <cell r="C31" t="str">
            <v>SBAU350280</v>
          </cell>
          <cell r="D31" t="str">
            <v>ARAÇATUBA</v>
          </cell>
          <cell r="E31" t="str">
            <v>SP</v>
          </cell>
          <cell r="F31" t="str">
            <v>ü</v>
          </cell>
          <cell r="G31" t="str">
            <v>Adequação</v>
          </cell>
          <cell r="H31">
            <v>25400000</v>
          </cell>
          <cell r="I31">
            <v>25400000</v>
          </cell>
          <cell r="J31">
            <v>25400000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76200000</v>
          </cell>
          <cell r="AN31" t="str">
            <v>-</v>
          </cell>
          <cell r="AO31">
            <v>3</v>
          </cell>
          <cell r="AP31" t="str">
            <v>-</v>
          </cell>
          <cell r="AQ31" t="str">
            <v>-</v>
          </cell>
          <cell r="AR31">
            <v>2045</v>
          </cell>
          <cell r="AS31" t="str">
            <v>-</v>
          </cell>
          <cell r="AT31" t="str">
            <v>-</v>
          </cell>
          <cell r="AU31">
            <v>4</v>
          </cell>
          <cell r="AV31" t="str">
            <v>Fora - Resolvido</v>
          </cell>
        </row>
        <row r="32">
          <cell r="C32" t="str">
            <v>SBAX310400</v>
          </cell>
          <cell r="D32" t="str">
            <v>ARAXÁ</v>
          </cell>
          <cell r="E32" t="str">
            <v>MG</v>
          </cell>
          <cell r="F32" t="str">
            <v>ü</v>
          </cell>
          <cell r="G32" t="str">
            <v>Adequação</v>
          </cell>
          <cell r="H32">
            <v>32853333.333333332</v>
          </cell>
          <cell r="I32">
            <v>32853333.333333332</v>
          </cell>
          <cell r="J32">
            <v>32853333.333333332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98560000</v>
          </cell>
          <cell r="AN32" t="str">
            <v>-</v>
          </cell>
          <cell r="AO32">
            <v>3</v>
          </cell>
          <cell r="AP32" t="str">
            <v>-</v>
          </cell>
          <cell r="AQ32" t="str">
            <v>-</v>
          </cell>
          <cell r="AR32">
            <v>2049</v>
          </cell>
          <cell r="AS32" t="str">
            <v>-</v>
          </cell>
          <cell r="AT32" t="str">
            <v>-</v>
          </cell>
          <cell r="AU32">
            <v>4</v>
          </cell>
          <cell r="AV32" t="str">
            <v>Pública</v>
          </cell>
        </row>
        <row r="33">
          <cell r="C33" t="str">
            <v>SBBE150140</v>
          </cell>
          <cell r="D33" t="str">
            <v>BELÉM</v>
          </cell>
          <cell r="E33" t="str">
            <v>PA</v>
          </cell>
          <cell r="F33" t="str">
            <v>ü</v>
          </cell>
          <cell r="G33" t="str">
            <v>Adequação</v>
          </cell>
          <cell r="H33">
            <v>200155000</v>
          </cell>
          <cell r="I33">
            <v>200155000</v>
          </cell>
          <cell r="J33">
            <v>200155000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600465000</v>
          </cell>
          <cell r="AN33" t="str">
            <v>-</v>
          </cell>
          <cell r="AO33">
            <v>7</v>
          </cell>
          <cell r="AP33" t="str">
            <v>-</v>
          </cell>
          <cell r="AQ33" t="str">
            <v>-</v>
          </cell>
          <cell r="AR33">
            <v>2029</v>
          </cell>
          <cell r="AS33" t="str">
            <v>-</v>
          </cell>
          <cell r="AT33" t="str">
            <v>-</v>
          </cell>
          <cell r="AU33">
            <v>8</v>
          </cell>
          <cell r="AV33" t="str">
            <v>Fora - Resolvido</v>
          </cell>
        </row>
        <row r="34">
          <cell r="C34" t="str">
            <v>SBBG430160</v>
          </cell>
          <cell r="D34" t="str">
            <v>BAGÉ</v>
          </cell>
          <cell r="E34" t="str">
            <v>RS</v>
          </cell>
          <cell r="F34" t="str">
            <v>ü</v>
          </cell>
          <cell r="G34" t="str">
            <v>Adequação</v>
          </cell>
          <cell r="H34">
            <v>5791666.666666667</v>
          </cell>
          <cell r="I34">
            <v>5791666.666666667</v>
          </cell>
          <cell r="J34">
            <v>5791666.666666667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17375000</v>
          </cell>
          <cell r="AN34" t="str">
            <v>-</v>
          </cell>
          <cell r="AO34">
            <v>1</v>
          </cell>
          <cell r="AP34" t="str">
            <v>-</v>
          </cell>
          <cell r="AQ34" t="str">
            <v>-</v>
          </cell>
          <cell r="AR34" t="str">
            <v>-</v>
          </cell>
          <cell r="AS34" t="str">
            <v>-</v>
          </cell>
          <cell r="AT34" t="str">
            <v>-</v>
          </cell>
          <cell r="AU34" t="str">
            <v>-</v>
          </cell>
          <cell r="AV34" t="str">
            <v>Fora - Resolvido</v>
          </cell>
        </row>
        <row r="35">
          <cell r="C35" t="str">
            <v>SBBR530010</v>
          </cell>
          <cell r="D35" t="str">
            <v>BRASÍLIA</v>
          </cell>
          <cell r="E35" t="str">
            <v>DF</v>
          </cell>
          <cell r="F35" t="str">
            <v>ü</v>
          </cell>
          <cell r="G35" t="str">
            <v>Adequação</v>
          </cell>
          <cell r="H35">
            <v>76293333.333333328</v>
          </cell>
          <cell r="I35">
            <v>76293333.333333328</v>
          </cell>
          <cell r="J35">
            <v>76293333.333333328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228880000</v>
          </cell>
          <cell r="AN35" t="str">
            <v>-</v>
          </cell>
          <cell r="AO35">
            <v>10</v>
          </cell>
          <cell r="AP35" t="str">
            <v>-</v>
          </cell>
          <cell r="AQ35" t="str">
            <v>-</v>
          </cell>
          <cell r="AR35" t="str">
            <v>-</v>
          </cell>
          <cell r="AS35" t="str">
            <v>-</v>
          </cell>
          <cell r="AT35" t="str">
            <v>-</v>
          </cell>
          <cell r="AU35" t="str">
            <v>-</v>
          </cell>
          <cell r="AV35" t="str">
            <v>Fora - Resolvido</v>
          </cell>
        </row>
        <row r="36">
          <cell r="C36" t="str">
            <v>SBBV140010</v>
          </cell>
          <cell r="D36" t="str">
            <v>BOA VISTA</v>
          </cell>
          <cell r="E36" t="str">
            <v>RR</v>
          </cell>
          <cell r="F36" t="str">
            <v>ü</v>
          </cell>
          <cell r="G36" t="str">
            <v>Adequação</v>
          </cell>
          <cell r="H36">
            <v>60590000</v>
          </cell>
          <cell r="I36">
            <v>60590000</v>
          </cell>
          <cell r="J36">
            <v>60590000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181770000</v>
          </cell>
          <cell r="AN36" t="str">
            <v>-</v>
          </cell>
          <cell r="AO36">
            <v>4</v>
          </cell>
          <cell r="AP36" t="str">
            <v>-</v>
          </cell>
          <cell r="AQ36">
            <v>2049</v>
          </cell>
          <cell r="AR36">
            <v>2026</v>
          </cell>
          <cell r="AS36" t="str">
            <v>-</v>
          </cell>
          <cell r="AT36">
            <v>6</v>
          </cell>
          <cell r="AU36">
            <v>5</v>
          </cell>
          <cell r="AV36" t="str">
            <v>Fora - Resolvido</v>
          </cell>
        </row>
        <row r="37">
          <cell r="C37" t="str">
            <v>SBBW510180</v>
          </cell>
          <cell r="D37" t="str">
            <v>BARRA DO GARÇAS</v>
          </cell>
          <cell r="E37" t="str">
            <v>MT</v>
          </cell>
          <cell r="F37" t="str">
            <v>ü</v>
          </cell>
          <cell r="G37" t="str">
            <v>Adequação</v>
          </cell>
          <cell r="H37">
            <v>5458333.333333333</v>
          </cell>
          <cell r="I37">
            <v>5458333.333333333</v>
          </cell>
          <cell r="J37">
            <v>5458333.333333333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16375000</v>
          </cell>
          <cell r="AN37" t="str">
            <v>-</v>
          </cell>
          <cell r="AO37">
            <v>1</v>
          </cell>
          <cell r="AP37" t="str">
            <v>-</v>
          </cell>
          <cell r="AQ37" t="str">
            <v>-</v>
          </cell>
          <cell r="AR37" t="str">
            <v>-</v>
          </cell>
          <cell r="AS37" t="str">
            <v>-</v>
          </cell>
          <cell r="AT37" t="str">
            <v>-</v>
          </cell>
          <cell r="AU37" t="str">
            <v>-</v>
          </cell>
          <cell r="AV37" t="str">
            <v>Pública</v>
          </cell>
        </row>
        <row r="38">
          <cell r="C38" t="str">
            <v>SBCB330070</v>
          </cell>
          <cell r="D38" t="str">
            <v>CABO FRIO</v>
          </cell>
          <cell r="E38" t="str">
            <v>RJ</v>
          </cell>
          <cell r="F38" t="str">
            <v>ü</v>
          </cell>
          <cell r="G38" t="str">
            <v>Adequação</v>
          </cell>
          <cell r="H38">
            <v>23870000</v>
          </cell>
          <cell r="I38">
            <v>23870000</v>
          </cell>
          <cell r="J38">
            <v>23870000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71610000</v>
          </cell>
          <cell r="AN38" t="str">
            <v>-</v>
          </cell>
          <cell r="AO38">
            <v>3</v>
          </cell>
          <cell r="AP38" t="str">
            <v>-</v>
          </cell>
          <cell r="AQ38" t="str">
            <v>-</v>
          </cell>
          <cell r="AR38">
            <v>2043</v>
          </cell>
          <cell r="AS38" t="str">
            <v>-</v>
          </cell>
          <cell r="AT38" t="str">
            <v>-</v>
          </cell>
          <cell r="AU38">
            <v>4</v>
          </cell>
          <cell r="AV38" t="str">
            <v>Fora - Resolvido</v>
          </cell>
        </row>
        <row r="39">
          <cell r="C39" t="str">
            <v>SBCF311787</v>
          </cell>
          <cell r="D39" t="str">
            <v>CONFINS</v>
          </cell>
          <cell r="E39" t="str">
            <v>MG</v>
          </cell>
          <cell r="F39" t="str">
            <v>ü</v>
          </cell>
          <cell r="G39" t="str">
            <v>Adequação</v>
          </cell>
          <cell r="H39">
            <v>154206666.66666666</v>
          </cell>
          <cell r="I39">
            <v>154206666.66666666</v>
          </cell>
          <cell r="J39">
            <v>154206666.66666666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462620000</v>
          </cell>
          <cell r="AN39" t="str">
            <v>-</v>
          </cell>
          <cell r="AO39">
            <v>9</v>
          </cell>
          <cell r="AP39" t="str">
            <v>-</v>
          </cell>
          <cell r="AQ39" t="str">
            <v>-</v>
          </cell>
          <cell r="AR39">
            <v>2029</v>
          </cell>
          <cell r="AS39" t="str">
            <v>-</v>
          </cell>
          <cell r="AT39" t="str">
            <v>-</v>
          </cell>
          <cell r="AU39">
            <v>10</v>
          </cell>
          <cell r="AV39" t="str">
            <v>Fora - Resolvido</v>
          </cell>
        </row>
        <row r="40">
          <cell r="C40" t="str">
            <v>SBCG500270</v>
          </cell>
          <cell r="D40" t="str">
            <v>CAMPO GRANDE</v>
          </cell>
          <cell r="E40" t="str">
            <v>MS</v>
          </cell>
          <cell r="F40" t="str">
            <v>ü</v>
          </cell>
          <cell r="G40" t="str">
            <v>Adequação</v>
          </cell>
          <cell r="H40">
            <v>116790000</v>
          </cell>
          <cell r="I40">
            <v>116790000</v>
          </cell>
          <cell r="J40">
            <v>116790000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350370000</v>
          </cell>
          <cell r="AN40" t="str">
            <v>-</v>
          </cell>
          <cell r="AO40">
            <v>6</v>
          </cell>
          <cell r="AP40" t="str">
            <v>-</v>
          </cell>
          <cell r="AQ40" t="str">
            <v>-</v>
          </cell>
          <cell r="AR40">
            <v>2027</v>
          </cell>
          <cell r="AS40" t="str">
            <v>-</v>
          </cell>
          <cell r="AT40" t="str">
            <v>-</v>
          </cell>
          <cell r="AU40">
            <v>7</v>
          </cell>
          <cell r="AV40" t="str">
            <v>Fora - Resolvido</v>
          </cell>
        </row>
        <row r="41">
          <cell r="C41" t="str">
            <v>SBCH420420</v>
          </cell>
          <cell r="D41" t="str">
            <v>CHAPECÓ</v>
          </cell>
          <cell r="E41" t="str">
            <v>SC</v>
          </cell>
          <cell r="F41" t="str">
            <v>ü</v>
          </cell>
          <cell r="G41" t="str">
            <v>Adequação</v>
          </cell>
          <cell r="H41">
            <v>69065000</v>
          </cell>
          <cell r="I41">
            <v>69065000</v>
          </cell>
          <cell r="J41">
            <v>69065000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207195000</v>
          </cell>
          <cell r="AN41" t="str">
            <v>-</v>
          </cell>
          <cell r="AO41">
            <v>5</v>
          </cell>
          <cell r="AP41" t="str">
            <v>-</v>
          </cell>
          <cell r="AQ41" t="str">
            <v>-</v>
          </cell>
          <cell r="AR41">
            <v>2034</v>
          </cell>
          <cell r="AS41" t="str">
            <v>-</v>
          </cell>
          <cell r="AT41" t="str">
            <v>-</v>
          </cell>
          <cell r="AU41">
            <v>6</v>
          </cell>
          <cell r="AV41" t="str">
            <v>Fora - Resolvido</v>
          </cell>
        </row>
        <row r="42">
          <cell r="C42" t="str">
            <v>SBCJ150553</v>
          </cell>
          <cell r="D42" t="str">
            <v>PARAUAPEBAS</v>
          </cell>
          <cell r="E42" t="str">
            <v>PA</v>
          </cell>
          <cell r="F42" t="str">
            <v>ü</v>
          </cell>
          <cell r="G42" t="str">
            <v>Adequação</v>
          </cell>
          <cell r="H42">
            <v>30930000</v>
          </cell>
          <cell r="I42">
            <v>30930000</v>
          </cell>
          <cell r="J42">
            <v>30930000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92790000</v>
          </cell>
          <cell r="AN42" t="str">
            <v>-</v>
          </cell>
          <cell r="AO42">
            <v>3</v>
          </cell>
          <cell r="AP42" t="str">
            <v>-</v>
          </cell>
          <cell r="AQ42" t="str">
            <v>-</v>
          </cell>
          <cell r="AR42">
            <v>2026</v>
          </cell>
          <cell r="AS42" t="str">
            <v>-</v>
          </cell>
          <cell r="AT42" t="str">
            <v>-</v>
          </cell>
          <cell r="AU42">
            <v>4</v>
          </cell>
          <cell r="AV42" t="str">
            <v>Fora - Resolvido</v>
          </cell>
        </row>
        <row r="43">
          <cell r="C43" t="str">
            <v>SBCP330100</v>
          </cell>
          <cell r="D43" t="str">
            <v>CAMPOS DOS GOYTACAZES</v>
          </cell>
          <cell r="E43" t="str">
            <v>RJ</v>
          </cell>
          <cell r="F43" t="str">
            <v>ü</v>
          </cell>
          <cell r="G43" t="str">
            <v>Adequação</v>
          </cell>
          <cell r="H43">
            <v>20253333.333333332</v>
          </cell>
          <cell r="I43">
            <v>20253333.333333332</v>
          </cell>
          <cell r="J43">
            <v>20253333.333333332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60760000</v>
          </cell>
          <cell r="AN43" t="str">
            <v>-</v>
          </cell>
          <cell r="AO43">
            <v>1</v>
          </cell>
          <cell r="AP43" t="str">
            <v>-</v>
          </cell>
          <cell r="AQ43">
            <v>2029</v>
          </cell>
          <cell r="AR43">
            <v>2024</v>
          </cell>
          <cell r="AS43" t="str">
            <v>-</v>
          </cell>
          <cell r="AT43">
            <v>3</v>
          </cell>
          <cell r="AU43">
            <v>2</v>
          </cell>
          <cell r="AV43" t="str">
            <v>Fora - Resolvido</v>
          </cell>
        </row>
        <row r="44">
          <cell r="C44" t="str">
            <v>SBCR500320</v>
          </cell>
          <cell r="D44" t="str">
            <v>CORUMBÁ</v>
          </cell>
          <cell r="E44" t="str">
            <v>MS</v>
          </cell>
          <cell r="F44" t="str">
            <v>ü</v>
          </cell>
          <cell r="G44" t="str">
            <v>Adequação</v>
          </cell>
          <cell r="H44">
            <v>17651666.666666668</v>
          </cell>
          <cell r="I44">
            <v>17651666.666666668</v>
          </cell>
          <cell r="J44">
            <v>17651666.666666668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52955000</v>
          </cell>
          <cell r="AN44" t="str">
            <v>-</v>
          </cell>
          <cell r="AO44">
            <v>1</v>
          </cell>
          <cell r="AP44" t="str">
            <v>-</v>
          </cell>
          <cell r="AQ44">
            <v>2039</v>
          </cell>
          <cell r="AR44">
            <v>2024</v>
          </cell>
          <cell r="AS44" t="str">
            <v>-</v>
          </cell>
          <cell r="AT44">
            <v>3</v>
          </cell>
          <cell r="AU44">
            <v>2</v>
          </cell>
          <cell r="AV44" t="str">
            <v>Fora - Resolvido</v>
          </cell>
        </row>
        <row r="45">
          <cell r="C45" t="str">
            <v>SBCT412550</v>
          </cell>
          <cell r="D45" t="str">
            <v>SÃO JOSÉ DOS PINHAIS</v>
          </cell>
          <cell r="E45" t="str">
            <v>PR</v>
          </cell>
          <cell r="F45" t="str">
            <v>ü</v>
          </cell>
          <cell r="G45" t="str">
            <v>Adequação</v>
          </cell>
          <cell r="H45">
            <v>165205000</v>
          </cell>
          <cell r="I45">
            <v>165205000</v>
          </cell>
          <cell r="J45">
            <v>165205000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495615000</v>
          </cell>
          <cell r="AN45" t="str">
            <v>-</v>
          </cell>
          <cell r="AO45">
            <v>8</v>
          </cell>
          <cell r="AP45" t="str">
            <v>-</v>
          </cell>
          <cell r="AQ45" t="str">
            <v>-</v>
          </cell>
          <cell r="AR45">
            <v>2036</v>
          </cell>
          <cell r="AS45" t="str">
            <v>-</v>
          </cell>
          <cell r="AT45" t="str">
            <v>-</v>
          </cell>
          <cell r="AU45">
            <v>9</v>
          </cell>
          <cell r="AV45" t="str">
            <v>Fora - Resolvido</v>
          </cell>
        </row>
        <row r="46">
          <cell r="C46" t="str">
            <v>SBCX430510</v>
          </cell>
          <cell r="D46" t="str">
            <v>CAXIAS DO SUL</v>
          </cell>
          <cell r="E46" t="str">
            <v>RS</v>
          </cell>
          <cell r="F46" t="str">
            <v>ü</v>
          </cell>
          <cell r="G46" t="str">
            <v>Adequação</v>
          </cell>
          <cell r="H46">
            <v>18561833.333333336</v>
          </cell>
          <cell r="I46">
            <v>18561833.333333336</v>
          </cell>
          <cell r="J46">
            <v>18561833.333333336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55685500.000000007</v>
          </cell>
          <cell r="AN46" t="str">
            <v>S e SE</v>
          </cell>
          <cell r="AO46">
            <v>4</v>
          </cell>
          <cell r="AP46" t="str">
            <v>-</v>
          </cell>
          <cell r="AQ46" t="str">
            <v>-</v>
          </cell>
          <cell r="AR46">
            <v>2032</v>
          </cell>
          <cell r="AS46" t="str">
            <v>-</v>
          </cell>
          <cell r="AT46" t="str">
            <v>-</v>
          </cell>
          <cell r="AU46">
            <v>5</v>
          </cell>
          <cell r="AV46" t="str">
            <v>Pública</v>
          </cell>
        </row>
        <row r="47">
          <cell r="C47" t="str">
            <v>SBCY510840</v>
          </cell>
          <cell r="D47" t="str">
            <v>VÁRZEA GRANDE</v>
          </cell>
          <cell r="E47" t="str">
            <v>MT</v>
          </cell>
          <cell r="F47" t="str">
            <v>ü</v>
          </cell>
          <cell r="G47" t="str">
            <v>Adequação</v>
          </cell>
          <cell r="H47">
            <v>236893333.33333334</v>
          </cell>
          <cell r="I47">
            <v>236893333.33333334</v>
          </cell>
          <cell r="J47">
            <v>236893333.33333334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710680000</v>
          </cell>
          <cell r="AN47" t="str">
            <v>-</v>
          </cell>
          <cell r="AO47">
            <v>7</v>
          </cell>
          <cell r="AP47" t="str">
            <v>-</v>
          </cell>
          <cell r="AQ47" t="str">
            <v>-</v>
          </cell>
          <cell r="AR47">
            <v>2034</v>
          </cell>
          <cell r="AS47" t="str">
            <v>-</v>
          </cell>
          <cell r="AT47" t="str">
            <v>-</v>
          </cell>
          <cell r="AU47">
            <v>8</v>
          </cell>
          <cell r="AV47" t="str">
            <v>Fora - Resolvido</v>
          </cell>
        </row>
        <row r="48">
          <cell r="C48" t="str">
            <v>SBCZ120020</v>
          </cell>
          <cell r="D48" t="str">
            <v>CRUZEIRO DO SUL</v>
          </cell>
          <cell r="E48" t="str">
            <v>AC</v>
          </cell>
          <cell r="F48" t="str">
            <v>ü</v>
          </cell>
          <cell r="G48" t="str">
            <v>Adequação</v>
          </cell>
          <cell r="H48">
            <v>7205000</v>
          </cell>
          <cell r="I48">
            <v>7205000</v>
          </cell>
          <cell r="J48">
            <v>7205000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21615000</v>
          </cell>
          <cell r="AN48" t="str">
            <v>-</v>
          </cell>
          <cell r="AO48">
            <v>3</v>
          </cell>
          <cell r="AP48" t="str">
            <v>-</v>
          </cell>
          <cell r="AQ48" t="str">
            <v>-</v>
          </cell>
          <cell r="AR48" t="str">
            <v>-</v>
          </cell>
          <cell r="AS48" t="str">
            <v>-</v>
          </cell>
          <cell r="AT48" t="str">
            <v>-</v>
          </cell>
          <cell r="AU48" t="str">
            <v>-</v>
          </cell>
          <cell r="AV48" t="str">
            <v>Fora - Resolvido</v>
          </cell>
        </row>
        <row r="49">
          <cell r="C49" t="str">
            <v>SBDB500220</v>
          </cell>
          <cell r="D49" t="str">
            <v>BONITO</v>
          </cell>
          <cell r="E49" t="str">
            <v>MS</v>
          </cell>
          <cell r="F49" t="str">
            <v>ü</v>
          </cell>
          <cell r="G49" t="str">
            <v>Adequação</v>
          </cell>
          <cell r="H49">
            <v>31357500</v>
          </cell>
          <cell r="I49">
            <v>31357500</v>
          </cell>
          <cell r="J49">
            <v>31357500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94072500</v>
          </cell>
          <cell r="AN49" t="str">
            <v>NE e CO</v>
          </cell>
          <cell r="AO49">
            <v>2</v>
          </cell>
          <cell r="AP49" t="str">
            <v>-</v>
          </cell>
          <cell r="AQ49" t="str">
            <v>-</v>
          </cell>
          <cell r="AR49">
            <v>2024</v>
          </cell>
          <cell r="AS49" t="str">
            <v>-</v>
          </cell>
          <cell r="AT49" t="str">
            <v>-</v>
          </cell>
          <cell r="AU49">
            <v>3</v>
          </cell>
          <cell r="AV49" t="str">
            <v>Privada</v>
          </cell>
        </row>
        <row r="50">
          <cell r="C50" t="str">
            <v>SBDN354140</v>
          </cell>
          <cell r="D50" t="str">
            <v>PRESIDENTE PRUDENTE</v>
          </cell>
          <cell r="E50" t="str">
            <v>SP</v>
          </cell>
          <cell r="F50" t="str">
            <v>ü</v>
          </cell>
          <cell r="G50" t="str">
            <v>Adequação</v>
          </cell>
          <cell r="H50">
            <v>27811666.666666668</v>
          </cell>
          <cell r="I50">
            <v>27811666.666666668</v>
          </cell>
          <cell r="J50">
            <v>27811666.666666668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83435000</v>
          </cell>
          <cell r="AN50" t="str">
            <v>-</v>
          </cell>
          <cell r="AO50">
            <v>4</v>
          </cell>
          <cell r="AP50" t="str">
            <v>-</v>
          </cell>
          <cell r="AQ50" t="str">
            <v>-</v>
          </cell>
          <cell r="AR50">
            <v>2036</v>
          </cell>
          <cell r="AS50" t="str">
            <v>-</v>
          </cell>
          <cell r="AT50" t="str">
            <v>-</v>
          </cell>
          <cell r="AU50">
            <v>5</v>
          </cell>
          <cell r="AV50" t="str">
            <v>Fora - Resolvido</v>
          </cell>
        </row>
        <row r="51">
          <cell r="C51" t="str">
            <v>SBDO500370</v>
          </cell>
          <cell r="D51" t="str">
            <v>DOURADOS</v>
          </cell>
          <cell r="E51" t="str">
            <v>MS</v>
          </cell>
          <cell r="F51" t="str">
            <v>ü</v>
          </cell>
          <cell r="G51" t="str">
            <v>Adequação</v>
          </cell>
          <cell r="H51">
            <v>26410000</v>
          </cell>
          <cell r="I51">
            <v>26410000</v>
          </cell>
          <cell r="J51">
            <v>26410000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79230000</v>
          </cell>
          <cell r="AN51" t="str">
            <v>NE e CO</v>
          </cell>
          <cell r="AO51">
            <v>3</v>
          </cell>
          <cell r="AP51" t="str">
            <v>-</v>
          </cell>
          <cell r="AQ51" t="str">
            <v>-</v>
          </cell>
          <cell r="AR51" t="str">
            <v>-</v>
          </cell>
          <cell r="AS51" t="str">
            <v>-</v>
          </cell>
          <cell r="AT51" t="str">
            <v>-</v>
          </cell>
          <cell r="AU51" t="str">
            <v>-</v>
          </cell>
          <cell r="AV51" t="str">
            <v>Privada</v>
          </cell>
        </row>
        <row r="52">
          <cell r="C52" t="str">
            <v>SBEG130260</v>
          </cell>
          <cell r="D52" t="str">
            <v>MANAUS</v>
          </cell>
          <cell r="E52" t="str">
            <v>AM</v>
          </cell>
          <cell r="F52" t="str">
            <v>ü</v>
          </cell>
          <cell r="G52" t="str">
            <v>Adequação</v>
          </cell>
          <cell r="H52">
            <v>160238333.33333334</v>
          </cell>
          <cell r="I52">
            <v>160238333.33333334</v>
          </cell>
          <cell r="J52">
            <v>160238333.33333334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480715000</v>
          </cell>
          <cell r="AN52" t="str">
            <v>-</v>
          </cell>
          <cell r="AO52">
            <v>7</v>
          </cell>
          <cell r="AP52" t="str">
            <v>-</v>
          </cell>
          <cell r="AQ52" t="str">
            <v>-</v>
          </cell>
          <cell r="AR52">
            <v>2032</v>
          </cell>
          <cell r="AS52" t="str">
            <v>-</v>
          </cell>
          <cell r="AT52" t="str">
            <v>-</v>
          </cell>
          <cell r="AU52">
            <v>8</v>
          </cell>
          <cell r="AV52" t="str">
            <v>Fora - Resolvido</v>
          </cell>
        </row>
        <row r="53">
          <cell r="C53" t="str">
            <v>SBFI410830</v>
          </cell>
          <cell r="D53" t="str">
            <v>FOZ DO IGUAÇU</v>
          </cell>
          <cell r="E53" t="str">
            <v>PR</v>
          </cell>
          <cell r="F53" t="str">
            <v>ü</v>
          </cell>
          <cell r="G53" t="str">
            <v>Adequação</v>
          </cell>
          <cell r="H53">
            <v>71703333.333333328</v>
          </cell>
          <cell r="I53">
            <v>71703333.333333328</v>
          </cell>
          <cell r="J53">
            <v>71703333.333333328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215110000</v>
          </cell>
          <cell r="AN53" t="str">
            <v>-</v>
          </cell>
          <cell r="AO53">
            <v>7</v>
          </cell>
          <cell r="AP53" t="str">
            <v>-</v>
          </cell>
          <cell r="AQ53" t="str">
            <v>-</v>
          </cell>
          <cell r="AR53" t="str">
            <v>-</v>
          </cell>
          <cell r="AS53" t="str">
            <v>-</v>
          </cell>
          <cell r="AT53" t="str">
            <v>-</v>
          </cell>
          <cell r="AU53" t="str">
            <v>-</v>
          </cell>
          <cell r="AV53" t="str">
            <v>Fora - Resolvido</v>
          </cell>
        </row>
        <row r="54">
          <cell r="C54" t="str">
            <v>SBFN260545</v>
          </cell>
          <cell r="D54" t="str">
            <v>FERNANDO DE NORONHA</v>
          </cell>
          <cell r="E54" t="str">
            <v>PE</v>
          </cell>
          <cell r="F54" t="str">
            <v>ü</v>
          </cell>
          <cell r="G54" t="str">
            <v>Adequação</v>
          </cell>
          <cell r="H54">
            <v>34021666.666666664</v>
          </cell>
          <cell r="I54">
            <v>34021666.666666664</v>
          </cell>
          <cell r="J54">
            <v>34021666.666666664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102065000</v>
          </cell>
          <cell r="AN54" t="str">
            <v>-</v>
          </cell>
          <cell r="AO54">
            <v>4</v>
          </cell>
          <cell r="AP54" t="str">
            <v>-</v>
          </cell>
          <cell r="AQ54" t="str">
            <v>-</v>
          </cell>
          <cell r="AR54">
            <v>2031</v>
          </cell>
          <cell r="AS54" t="str">
            <v>-</v>
          </cell>
          <cell r="AT54" t="str">
            <v>-</v>
          </cell>
          <cell r="AU54">
            <v>5</v>
          </cell>
          <cell r="AV54" t="str">
            <v>Fora - Resolvido</v>
          </cell>
        </row>
        <row r="55">
          <cell r="C55" t="str">
            <v>SBFZ230440</v>
          </cell>
          <cell r="D55" t="str">
            <v>FORTALEZA</v>
          </cell>
          <cell r="E55" t="str">
            <v>CE</v>
          </cell>
          <cell r="F55" t="str">
            <v>ü</v>
          </cell>
          <cell r="G55" t="str">
            <v>Adequação</v>
          </cell>
          <cell r="H55">
            <v>241185000</v>
          </cell>
          <cell r="I55">
            <v>241185000</v>
          </cell>
          <cell r="J55">
            <v>241185000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723555000</v>
          </cell>
          <cell r="AN55" t="str">
            <v>-</v>
          </cell>
          <cell r="AO55">
            <v>8</v>
          </cell>
          <cell r="AP55" t="str">
            <v>-</v>
          </cell>
          <cell r="AQ55">
            <v>2049</v>
          </cell>
          <cell r="AR55">
            <v>2032</v>
          </cell>
          <cell r="AS55" t="str">
            <v>-</v>
          </cell>
          <cell r="AT55">
            <v>10</v>
          </cell>
          <cell r="AU55">
            <v>9</v>
          </cell>
          <cell r="AV55" t="str">
            <v>Fora - Resolvido</v>
          </cell>
        </row>
        <row r="56">
          <cell r="C56" t="str">
            <v>SBGL330455</v>
          </cell>
          <cell r="D56" t="str">
            <v>RIO DE JANEIRO</v>
          </cell>
          <cell r="E56" t="str">
            <v>RJ</v>
          </cell>
          <cell r="F56" t="str">
            <v>ü</v>
          </cell>
          <cell r="G56" t="str">
            <v>Adequação</v>
          </cell>
          <cell r="H56">
            <v>207908333.33333334</v>
          </cell>
          <cell r="I56">
            <v>207908333.33333334</v>
          </cell>
          <cell r="J56">
            <v>207908333.33333334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623725000</v>
          </cell>
          <cell r="AN56" t="str">
            <v>-</v>
          </cell>
          <cell r="AO56">
            <v>9</v>
          </cell>
          <cell r="AP56" t="str">
            <v>-</v>
          </cell>
          <cell r="AQ56" t="str">
            <v>-</v>
          </cell>
          <cell r="AR56">
            <v>2024</v>
          </cell>
          <cell r="AS56" t="str">
            <v>-</v>
          </cell>
          <cell r="AT56" t="str">
            <v>-</v>
          </cell>
          <cell r="AU56">
            <v>10</v>
          </cell>
          <cell r="AV56" t="str">
            <v>Fora - Resolvido</v>
          </cell>
        </row>
        <row r="57">
          <cell r="C57" t="str">
            <v>SBGM110010</v>
          </cell>
          <cell r="D57" t="str">
            <v>GUAJARÁ-MIRIM</v>
          </cell>
          <cell r="E57" t="str">
            <v>RO</v>
          </cell>
          <cell r="F57" t="str">
            <v>ü</v>
          </cell>
          <cell r="G57" t="str">
            <v>Adequação</v>
          </cell>
          <cell r="H57">
            <v>23681000</v>
          </cell>
          <cell r="I57">
            <v>23681000</v>
          </cell>
          <cell r="J57">
            <v>23681000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71043000</v>
          </cell>
          <cell r="AN57" t="str">
            <v>N</v>
          </cell>
          <cell r="AO57">
            <v>1</v>
          </cell>
          <cell r="AP57" t="str">
            <v>-</v>
          </cell>
          <cell r="AQ57" t="str">
            <v>-</v>
          </cell>
          <cell r="AR57">
            <v>2038</v>
          </cell>
          <cell r="AS57" t="str">
            <v>-</v>
          </cell>
          <cell r="AT57" t="str">
            <v>-</v>
          </cell>
          <cell r="AU57">
            <v>2</v>
          </cell>
          <cell r="AV57" t="str">
            <v>Privada</v>
          </cell>
        </row>
        <row r="58">
          <cell r="C58" t="str">
            <v>SBGO520870</v>
          </cell>
          <cell r="D58" t="str">
            <v>GOIÂNIA</v>
          </cell>
          <cell r="E58" t="str">
            <v>GO</v>
          </cell>
          <cell r="F58" t="str">
            <v>ü</v>
          </cell>
          <cell r="G58" t="str">
            <v>Adequação</v>
          </cell>
          <cell r="H58">
            <v>227858333.33333334</v>
          </cell>
          <cell r="I58">
            <v>227858333.33333334</v>
          </cell>
          <cell r="J58">
            <v>227858333.33333334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683575000</v>
          </cell>
          <cell r="AN58" t="str">
            <v>-</v>
          </cell>
          <cell r="AO58">
            <v>7</v>
          </cell>
          <cell r="AP58" t="str">
            <v>-</v>
          </cell>
          <cell r="AQ58" t="str">
            <v>-</v>
          </cell>
          <cell r="AR58">
            <v>2029</v>
          </cell>
          <cell r="AS58" t="str">
            <v>-</v>
          </cell>
          <cell r="AT58" t="str">
            <v>-</v>
          </cell>
          <cell r="AU58">
            <v>8</v>
          </cell>
          <cell r="AV58" t="str">
            <v>Fora - Resolvido</v>
          </cell>
        </row>
        <row r="59">
          <cell r="C59" t="str">
            <v>SBHT150060</v>
          </cell>
          <cell r="D59" t="str">
            <v>ALTAMIRA</v>
          </cell>
          <cell r="E59" t="str">
            <v>PA</v>
          </cell>
          <cell r="F59" t="str">
            <v>ü</v>
          </cell>
          <cell r="G59" t="str">
            <v>Adequação</v>
          </cell>
          <cell r="H59">
            <v>40188333.333333336</v>
          </cell>
          <cell r="I59">
            <v>40188333.333333336</v>
          </cell>
          <cell r="J59">
            <v>40188333.333333336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120565000</v>
          </cell>
          <cell r="AN59" t="str">
            <v>-</v>
          </cell>
          <cell r="AO59">
            <v>3</v>
          </cell>
          <cell r="AP59" t="str">
            <v>-</v>
          </cell>
          <cell r="AQ59" t="str">
            <v>-</v>
          </cell>
          <cell r="AR59">
            <v>2043</v>
          </cell>
          <cell r="AS59" t="str">
            <v>-</v>
          </cell>
          <cell r="AT59" t="str">
            <v>-</v>
          </cell>
          <cell r="AU59">
            <v>4</v>
          </cell>
          <cell r="AV59" t="str">
            <v>Fora - Resolvido</v>
          </cell>
        </row>
        <row r="60">
          <cell r="C60" t="str">
            <v>SBIC130190</v>
          </cell>
          <cell r="D60" t="str">
            <v>ITACOATIARA</v>
          </cell>
          <cell r="E60" t="str">
            <v>AM</v>
          </cell>
          <cell r="F60" t="str">
            <v>ü</v>
          </cell>
          <cell r="G60" t="str">
            <v>Adequação</v>
          </cell>
          <cell r="H60">
            <v>42925000</v>
          </cell>
          <cell r="I60">
            <v>42925000</v>
          </cell>
          <cell r="J60">
            <v>42925000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128775000</v>
          </cell>
          <cell r="AN60" t="str">
            <v>N</v>
          </cell>
          <cell r="AO60">
            <v>3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Privada</v>
          </cell>
        </row>
        <row r="61">
          <cell r="C61" t="str">
            <v>SBIL291360</v>
          </cell>
          <cell r="D61" t="str">
            <v>ILHÉUS</v>
          </cell>
          <cell r="E61" t="str">
            <v>BA</v>
          </cell>
          <cell r="F61" t="str">
            <v>ü</v>
          </cell>
          <cell r="G61" t="str">
            <v>Adequação</v>
          </cell>
          <cell r="H61">
            <v>81508333.333333328</v>
          </cell>
          <cell r="I61">
            <v>81508333.333333328</v>
          </cell>
          <cell r="J61">
            <v>81508333.333333328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244525000</v>
          </cell>
          <cell r="AN61" t="str">
            <v>-</v>
          </cell>
          <cell r="AO61">
            <v>5</v>
          </cell>
          <cell r="AP61" t="str">
            <v>-</v>
          </cell>
          <cell r="AQ61" t="str">
            <v>-</v>
          </cell>
          <cell r="AR61">
            <v>2031</v>
          </cell>
          <cell r="AS61" t="str">
            <v>-</v>
          </cell>
          <cell r="AT61" t="str">
            <v>-</v>
          </cell>
          <cell r="AU61">
            <v>6</v>
          </cell>
          <cell r="AV61" t="str">
            <v>Fora - Resolvido</v>
          </cell>
        </row>
        <row r="62">
          <cell r="C62" t="str">
            <v>SBIP315895</v>
          </cell>
          <cell r="D62" t="str">
            <v>SANTANA DO PARAÍSO</v>
          </cell>
          <cell r="E62" t="str">
            <v>MG</v>
          </cell>
          <cell r="F62" t="str">
            <v>ü</v>
          </cell>
          <cell r="G62" t="str">
            <v>Adequação</v>
          </cell>
          <cell r="H62">
            <v>34790000</v>
          </cell>
          <cell r="I62">
            <v>34790000</v>
          </cell>
          <cell r="J62">
            <v>34790000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104370000</v>
          </cell>
          <cell r="AN62" t="str">
            <v>-</v>
          </cell>
          <cell r="AO62">
            <v>3</v>
          </cell>
          <cell r="AP62" t="str">
            <v>-</v>
          </cell>
          <cell r="AQ62">
            <v>2051</v>
          </cell>
          <cell r="AR62">
            <v>2024</v>
          </cell>
          <cell r="AS62" t="str">
            <v>-</v>
          </cell>
          <cell r="AT62">
            <v>5</v>
          </cell>
          <cell r="AU62">
            <v>4</v>
          </cell>
          <cell r="AV62" t="str">
            <v>Pública</v>
          </cell>
        </row>
        <row r="63">
          <cell r="C63" t="str">
            <v>SBJE230425</v>
          </cell>
          <cell r="D63" t="str">
            <v>CRUZ</v>
          </cell>
          <cell r="E63" t="str">
            <v>CE</v>
          </cell>
          <cell r="F63" t="str">
            <v>ü</v>
          </cell>
          <cell r="G63" t="str">
            <v>Adequação</v>
          </cell>
          <cell r="H63">
            <v>24155000</v>
          </cell>
          <cell r="I63">
            <v>24155000</v>
          </cell>
          <cell r="J63">
            <v>24155000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72465000</v>
          </cell>
          <cell r="AN63" t="str">
            <v>-</v>
          </cell>
          <cell r="AO63">
            <v>4</v>
          </cell>
          <cell r="AP63" t="str">
            <v>-</v>
          </cell>
          <cell r="AQ63" t="str">
            <v>-</v>
          </cell>
          <cell r="AR63" t="str">
            <v>-</v>
          </cell>
          <cell r="AS63" t="str">
            <v>-</v>
          </cell>
          <cell r="AT63" t="str">
            <v>-</v>
          </cell>
          <cell r="AU63" t="str">
            <v>-</v>
          </cell>
          <cell r="AV63" t="str">
            <v>Pública</v>
          </cell>
        </row>
        <row r="64">
          <cell r="C64" t="str">
            <v>SBJI110012</v>
          </cell>
          <cell r="D64" t="str">
            <v>JI-PARANÁ</v>
          </cell>
          <cell r="E64" t="str">
            <v>RO</v>
          </cell>
          <cell r="F64" t="str">
            <v>ü</v>
          </cell>
          <cell r="G64" t="str">
            <v>Adequação</v>
          </cell>
          <cell r="H64">
            <v>19385000</v>
          </cell>
          <cell r="I64">
            <v>19385000</v>
          </cell>
          <cell r="J64">
            <v>19385000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58155000</v>
          </cell>
          <cell r="AN64" t="str">
            <v>-</v>
          </cell>
          <cell r="AO64">
            <v>3</v>
          </cell>
          <cell r="AP64" t="str">
            <v>-</v>
          </cell>
          <cell r="AQ64" t="str">
            <v>-</v>
          </cell>
          <cell r="AR64" t="str">
            <v>-</v>
          </cell>
          <cell r="AS64" t="str">
            <v>-</v>
          </cell>
          <cell r="AT64" t="str">
            <v>-</v>
          </cell>
          <cell r="AU64" t="str">
            <v>-</v>
          </cell>
          <cell r="AV64" t="str">
            <v>Pública</v>
          </cell>
        </row>
        <row r="65">
          <cell r="C65" t="str">
            <v>SBJP250180</v>
          </cell>
          <cell r="D65" t="str">
            <v>BAYEUX</v>
          </cell>
          <cell r="E65" t="str">
            <v>PB</v>
          </cell>
          <cell r="F65" t="str">
            <v>ü</v>
          </cell>
          <cell r="G65" t="str">
            <v>Adequação</v>
          </cell>
          <cell r="H65">
            <v>139831666.66666666</v>
          </cell>
          <cell r="I65">
            <v>139831666.66666666</v>
          </cell>
          <cell r="J65">
            <v>139831666.66666666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419495000</v>
          </cell>
          <cell r="AN65" t="str">
            <v>-</v>
          </cell>
          <cell r="AO65">
            <v>6</v>
          </cell>
          <cell r="AP65" t="str">
            <v>-</v>
          </cell>
          <cell r="AQ65" t="str">
            <v>-</v>
          </cell>
          <cell r="AR65">
            <v>2028</v>
          </cell>
          <cell r="AS65" t="str">
            <v>-</v>
          </cell>
          <cell r="AT65" t="str">
            <v>-</v>
          </cell>
          <cell r="AU65">
            <v>7</v>
          </cell>
          <cell r="AV65" t="str">
            <v>Fora - Resolvido</v>
          </cell>
        </row>
        <row r="66">
          <cell r="C66" t="str">
            <v>SBJV420910</v>
          </cell>
          <cell r="D66" t="str">
            <v>JOINVILLE</v>
          </cell>
          <cell r="E66" t="str">
            <v>SC</v>
          </cell>
          <cell r="F66" t="str">
            <v>ü</v>
          </cell>
          <cell r="G66" t="str">
            <v>Adequação</v>
          </cell>
          <cell r="H66">
            <v>65680000</v>
          </cell>
          <cell r="I66">
            <v>65680000</v>
          </cell>
          <cell r="J66">
            <v>65680000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197040000</v>
          </cell>
          <cell r="AN66" t="str">
            <v>-</v>
          </cell>
          <cell r="AO66">
            <v>5</v>
          </cell>
          <cell r="AP66" t="str">
            <v>-</v>
          </cell>
          <cell r="AQ66" t="str">
            <v>-</v>
          </cell>
          <cell r="AR66">
            <v>2030</v>
          </cell>
          <cell r="AS66" t="str">
            <v>-</v>
          </cell>
          <cell r="AT66" t="str">
            <v>-</v>
          </cell>
          <cell r="AU66">
            <v>6</v>
          </cell>
          <cell r="AV66" t="str">
            <v>Fora - Resolvido</v>
          </cell>
        </row>
        <row r="67">
          <cell r="C67" t="str">
            <v>SBKG250400</v>
          </cell>
          <cell r="D67" t="str">
            <v>CAMPINA GRANDE</v>
          </cell>
          <cell r="E67" t="str">
            <v>PB</v>
          </cell>
          <cell r="F67" t="str">
            <v>ü</v>
          </cell>
          <cell r="G67" t="str">
            <v>Adequação</v>
          </cell>
          <cell r="H67">
            <v>31806666.666666668</v>
          </cell>
          <cell r="I67">
            <v>31806666.666666668</v>
          </cell>
          <cell r="J67">
            <v>31806666.666666668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95420000</v>
          </cell>
          <cell r="AN67" t="str">
            <v>-</v>
          </cell>
          <cell r="AO67">
            <v>4</v>
          </cell>
          <cell r="AP67" t="str">
            <v>-</v>
          </cell>
          <cell r="AQ67" t="str">
            <v>-</v>
          </cell>
          <cell r="AR67">
            <v>2047</v>
          </cell>
          <cell r="AS67" t="str">
            <v>-</v>
          </cell>
          <cell r="AT67" t="str">
            <v>-</v>
          </cell>
          <cell r="AU67">
            <v>5</v>
          </cell>
          <cell r="AV67" t="str">
            <v>Fora - Resolvido</v>
          </cell>
        </row>
        <row r="68">
          <cell r="C68" t="str">
            <v>SBKP350950</v>
          </cell>
          <cell r="D68" t="str">
            <v>CAMPINAS</v>
          </cell>
          <cell r="E68" t="str">
            <v>SP</v>
          </cell>
          <cell r="F68" t="str">
            <v>ü</v>
          </cell>
          <cell r="G68" t="str">
            <v>Adequação</v>
          </cell>
          <cell r="H68">
            <v>170203333.33333334</v>
          </cell>
          <cell r="I68">
            <v>170203333.33333334</v>
          </cell>
          <cell r="J68">
            <v>170203333.33333334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510610000</v>
          </cell>
          <cell r="AN68" t="str">
            <v>-</v>
          </cell>
          <cell r="AO68">
            <v>9</v>
          </cell>
          <cell r="AP68" t="str">
            <v>-</v>
          </cell>
          <cell r="AQ68" t="str">
            <v>-</v>
          </cell>
          <cell r="AR68">
            <v>2024</v>
          </cell>
          <cell r="AS68" t="str">
            <v>-</v>
          </cell>
          <cell r="AT68" t="str">
            <v>-</v>
          </cell>
          <cell r="AU68">
            <v>10</v>
          </cell>
          <cell r="AV68" t="str">
            <v>Fora - Resolvido</v>
          </cell>
        </row>
        <row r="69">
          <cell r="C69" t="str">
            <v>SBLO411370</v>
          </cell>
          <cell r="D69" t="str">
            <v>LONDRINA</v>
          </cell>
          <cell r="E69" t="str">
            <v>PR</v>
          </cell>
          <cell r="F69" t="str">
            <v>ü</v>
          </cell>
          <cell r="G69" t="str">
            <v>Adequação</v>
          </cell>
          <cell r="H69">
            <v>158611666.66666666</v>
          </cell>
          <cell r="I69">
            <v>158611666.66666666</v>
          </cell>
          <cell r="J69">
            <v>158611666.66666666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475835000</v>
          </cell>
          <cell r="AN69" t="str">
            <v>-</v>
          </cell>
          <cell r="AO69">
            <v>5</v>
          </cell>
          <cell r="AP69" t="str">
            <v>-</v>
          </cell>
          <cell r="AQ69">
            <v>2044</v>
          </cell>
          <cell r="AR69">
            <v>2025</v>
          </cell>
          <cell r="AS69" t="str">
            <v>-</v>
          </cell>
          <cell r="AT69">
            <v>7</v>
          </cell>
          <cell r="AU69">
            <v>6</v>
          </cell>
          <cell r="AV69" t="str">
            <v>Fora - Resolvido</v>
          </cell>
        </row>
        <row r="70">
          <cell r="C70" t="str">
            <v>SBMA150420</v>
          </cell>
          <cell r="D70" t="str">
            <v>MARABÁ</v>
          </cell>
          <cell r="E70" t="str">
            <v>PA</v>
          </cell>
          <cell r="F70" t="str">
            <v>ü</v>
          </cell>
          <cell r="G70" t="str">
            <v>Adequação</v>
          </cell>
          <cell r="H70">
            <v>88273333.333333328</v>
          </cell>
          <cell r="I70">
            <v>88273333.333333328</v>
          </cell>
          <cell r="J70">
            <v>88273333.333333328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264820000</v>
          </cell>
          <cell r="AN70" t="str">
            <v>-</v>
          </cell>
          <cell r="AO70">
            <v>4</v>
          </cell>
          <cell r="AP70" t="str">
            <v>-</v>
          </cell>
          <cell r="AQ70">
            <v>2046</v>
          </cell>
          <cell r="AR70">
            <v>2029</v>
          </cell>
          <cell r="AS70" t="str">
            <v>-</v>
          </cell>
          <cell r="AT70">
            <v>6</v>
          </cell>
          <cell r="AU70">
            <v>5</v>
          </cell>
          <cell r="AV70" t="str">
            <v>Fora - Resolvido</v>
          </cell>
        </row>
        <row r="71">
          <cell r="C71" t="str">
            <v>SBMD150050</v>
          </cell>
          <cell r="D71" t="str">
            <v>ALMEIRIM</v>
          </cell>
          <cell r="E71" t="str">
            <v>PA</v>
          </cell>
          <cell r="F71" t="str">
            <v>ü</v>
          </cell>
          <cell r="G71" t="str">
            <v>Adequação</v>
          </cell>
          <cell r="H71">
            <v>46812333.333333336</v>
          </cell>
          <cell r="I71">
            <v>46812333.333333336</v>
          </cell>
          <cell r="J71">
            <v>46812333.333333336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140437000</v>
          </cell>
          <cell r="AN71" t="str">
            <v>N</v>
          </cell>
          <cell r="AO71">
            <v>1</v>
          </cell>
          <cell r="AP71" t="str">
            <v>-</v>
          </cell>
          <cell r="AQ71">
            <v>2042</v>
          </cell>
          <cell r="AR71">
            <v>2029</v>
          </cell>
          <cell r="AS71" t="str">
            <v>-</v>
          </cell>
          <cell r="AT71">
            <v>3</v>
          </cell>
          <cell r="AU71">
            <v>2</v>
          </cell>
          <cell r="AV71" t="str">
            <v>Privada</v>
          </cell>
        </row>
        <row r="72">
          <cell r="C72" t="str">
            <v>SBME330240</v>
          </cell>
          <cell r="D72" t="str">
            <v>MACAÉ</v>
          </cell>
          <cell r="E72" t="str">
            <v>RJ</v>
          </cell>
          <cell r="F72" t="str">
            <v>ü</v>
          </cell>
          <cell r="G72" t="str">
            <v>Adequação</v>
          </cell>
          <cell r="H72">
            <v>9940000</v>
          </cell>
          <cell r="I72">
            <v>9940000</v>
          </cell>
          <cell r="J72">
            <v>9940000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29820000</v>
          </cell>
          <cell r="AN72" t="str">
            <v>-</v>
          </cell>
          <cell r="AO72">
            <v>1</v>
          </cell>
          <cell r="AP72" t="str">
            <v>-</v>
          </cell>
          <cell r="AQ72" t="str">
            <v>-</v>
          </cell>
          <cell r="AR72">
            <v>2050</v>
          </cell>
          <cell r="AS72" t="str">
            <v>-</v>
          </cell>
          <cell r="AT72" t="str">
            <v>-</v>
          </cell>
          <cell r="AU72">
            <v>2</v>
          </cell>
          <cell r="AV72" t="str">
            <v>Fora - Resolvido</v>
          </cell>
        </row>
        <row r="73">
          <cell r="C73" t="str">
            <v>SBMG411520</v>
          </cell>
          <cell r="D73" t="str">
            <v>MARINGÁ</v>
          </cell>
          <cell r="E73" t="str">
            <v>PR</v>
          </cell>
          <cell r="F73" t="str">
            <v>ü</v>
          </cell>
          <cell r="G73" t="str">
            <v>Adequação</v>
          </cell>
          <cell r="H73">
            <v>63763333.333333336</v>
          </cell>
          <cell r="I73">
            <v>63763333.333333336</v>
          </cell>
          <cell r="J73">
            <v>63763333.333333336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191290000</v>
          </cell>
          <cell r="AN73" t="str">
            <v>-</v>
          </cell>
          <cell r="AO73">
            <v>5</v>
          </cell>
          <cell r="AP73" t="str">
            <v>-</v>
          </cell>
          <cell r="AQ73" t="str">
            <v>-</v>
          </cell>
          <cell r="AR73">
            <v>2030</v>
          </cell>
          <cell r="AS73" t="str">
            <v>-</v>
          </cell>
          <cell r="AT73" t="str">
            <v>-</v>
          </cell>
          <cell r="AU73">
            <v>6</v>
          </cell>
          <cell r="AV73" t="str">
            <v>Pública</v>
          </cell>
        </row>
        <row r="74">
          <cell r="C74" t="str">
            <v>SBMK314330</v>
          </cell>
          <cell r="D74" t="str">
            <v>MONTES CLAROS</v>
          </cell>
          <cell r="E74" t="str">
            <v>MG</v>
          </cell>
          <cell r="F74" t="str">
            <v>ü</v>
          </cell>
          <cell r="G74" t="str">
            <v>Adequação</v>
          </cell>
          <cell r="H74">
            <v>30856666.666666668</v>
          </cell>
          <cell r="I74">
            <v>30856666.666666668</v>
          </cell>
          <cell r="J74">
            <v>30856666.666666668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92570000</v>
          </cell>
          <cell r="AN74" t="str">
            <v>-</v>
          </cell>
          <cell r="AO74">
            <v>4</v>
          </cell>
          <cell r="AP74" t="str">
            <v>-</v>
          </cell>
          <cell r="AQ74" t="str">
            <v>-</v>
          </cell>
          <cell r="AR74">
            <v>2028</v>
          </cell>
          <cell r="AS74" t="str">
            <v>-</v>
          </cell>
          <cell r="AT74" t="str">
            <v>-</v>
          </cell>
          <cell r="AU74">
            <v>5</v>
          </cell>
          <cell r="AV74" t="str">
            <v>Fora - Resolvido</v>
          </cell>
        </row>
        <row r="75">
          <cell r="C75" t="str">
            <v>SBML352900</v>
          </cell>
          <cell r="D75" t="str">
            <v>MARÍLIA</v>
          </cell>
          <cell r="E75" t="str">
            <v>SP</v>
          </cell>
          <cell r="F75" t="str">
            <v>ü</v>
          </cell>
          <cell r="G75" t="str">
            <v>Adequação</v>
          </cell>
          <cell r="H75">
            <v>18510000</v>
          </cell>
          <cell r="I75">
            <v>18510000</v>
          </cell>
          <cell r="J75">
            <v>18510000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55530000</v>
          </cell>
          <cell r="AN75" t="str">
            <v>-</v>
          </cell>
          <cell r="AO75">
            <v>3</v>
          </cell>
          <cell r="AP75" t="str">
            <v>-</v>
          </cell>
          <cell r="AQ75" t="str">
            <v>-</v>
          </cell>
          <cell r="AR75" t="str">
            <v>-</v>
          </cell>
          <cell r="AS75" t="str">
            <v>-</v>
          </cell>
          <cell r="AT75" t="str">
            <v>-</v>
          </cell>
          <cell r="AU75" t="str">
            <v>-</v>
          </cell>
          <cell r="AV75" t="str">
            <v>Fora - Resolvido</v>
          </cell>
        </row>
        <row r="76">
          <cell r="C76" t="str">
            <v>SBMS240800</v>
          </cell>
          <cell r="D76" t="str">
            <v>MOSSORÓ</v>
          </cell>
          <cell r="E76" t="str">
            <v>RN</v>
          </cell>
          <cell r="F76" t="str">
            <v>ü</v>
          </cell>
          <cell r="G76" t="str">
            <v>Adequação</v>
          </cell>
          <cell r="H76">
            <v>22053333.333333332</v>
          </cell>
          <cell r="I76">
            <v>22053333.333333332</v>
          </cell>
          <cell r="J76">
            <v>22053333.333333332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66160000</v>
          </cell>
          <cell r="AN76" t="str">
            <v>-</v>
          </cell>
          <cell r="AO76">
            <v>2</v>
          </cell>
          <cell r="AP76" t="str">
            <v>-</v>
          </cell>
          <cell r="AQ76" t="str">
            <v>-</v>
          </cell>
          <cell r="AR76">
            <v>2032</v>
          </cell>
          <cell r="AS76" t="str">
            <v>-</v>
          </cell>
          <cell r="AT76" t="str">
            <v>-</v>
          </cell>
          <cell r="AU76">
            <v>3</v>
          </cell>
          <cell r="AV76" t="str">
            <v>Pública</v>
          </cell>
        </row>
        <row r="77">
          <cell r="C77" t="str">
            <v>SBMY130270</v>
          </cell>
          <cell r="D77" t="str">
            <v>MANICORÉ</v>
          </cell>
          <cell r="E77" t="str">
            <v>AM</v>
          </cell>
          <cell r="F77" t="str">
            <v>ü</v>
          </cell>
          <cell r="G77" t="str">
            <v>Adequação</v>
          </cell>
          <cell r="H77">
            <v>11628000</v>
          </cell>
          <cell r="I77">
            <v>11628000</v>
          </cell>
          <cell r="J77">
            <v>11628000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34884000</v>
          </cell>
          <cell r="AN77" t="str">
            <v>N</v>
          </cell>
          <cell r="AO77">
            <v>1</v>
          </cell>
          <cell r="AP77" t="str">
            <v>-</v>
          </cell>
          <cell r="AQ77" t="str">
            <v>-</v>
          </cell>
          <cell r="AR77">
            <v>2045</v>
          </cell>
          <cell r="AS77" t="str">
            <v>-</v>
          </cell>
          <cell r="AT77" t="str">
            <v>-</v>
          </cell>
          <cell r="AU77">
            <v>2</v>
          </cell>
          <cell r="AV77" t="str">
            <v>Privada</v>
          </cell>
        </row>
        <row r="78">
          <cell r="C78" t="str">
            <v>SBNF421130</v>
          </cell>
          <cell r="D78" t="str">
            <v>NAVEGANTES</v>
          </cell>
          <cell r="E78" t="str">
            <v>SC</v>
          </cell>
          <cell r="F78" t="str">
            <v>ü</v>
          </cell>
          <cell r="G78" t="str">
            <v>Adequação</v>
          </cell>
          <cell r="H78">
            <v>239351666.66666666</v>
          </cell>
          <cell r="I78">
            <v>239351666.66666666</v>
          </cell>
          <cell r="J78">
            <v>239351666.66666666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718055000</v>
          </cell>
          <cell r="AN78" t="str">
            <v>-</v>
          </cell>
          <cell r="AO78">
            <v>7</v>
          </cell>
          <cell r="AP78" t="str">
            <v>-</v>
          </cell>
          <cell r="AQ78" t="str">
            <v>-</v>
          </cell>
          <cell r="AR78">
            <v>2047</v>
          </cell>
          <cell r="AS78" t="str">
            <v>-</v>
          </cell>
          <cell r="AT78" t="str">
            <v>-</v>
          </cell>
          <cell r="AU78">
            <v>8</v>
          </cell>
          <cell r="AV78" t="str">
            <v>Fora - Resolvido</v>
          </cell>
        </row>
        <row r="79">
          <cell r="C79" t="str">
            <v>SBNM431750</v>
          </cell>
          <cell r="D79" t="str">
            <v>SANTO ÂNGELO</v>
          </cell>
          <cell r="E79" t="str">
            <v>RS</v>
          </cell>
          <cell r="F79" t="str">
            <v>ü</v>
          </cell>
          <cell r="G79" t="str">
            <v>Adequação</v>
          </cell>
          <cell r="H79">
            <v>18120000</v>
          </cell>
          <cell r="I79">
            <v>18120000</v>
          </cell>
          <cell r="J79">
            <v>18120000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54360000</v>
          </cell>
          <cell r="AN79" t="str">
            <v>-</v>
          </cell>
          <cell r="AO79">
            <v>3</v>
          </cell>
          <cell r="AP79" t="str">
            <v>-</v>
          </cell>
          <cell r="AQ79" t="str">
            <v>-</v>
          </cell>
          <cell r="AR79" t="str">
            <v>-</v>
          </cell>
          <cell r="AS79" t="str">
            <v>-</v>
          </cell>
          <cell r="AT79" t="str">
            <v>-</v>
          </cell>
          <cell r="AU79" t="str">
            <v>-</v>
          </cell>
          <cell r="AV79" t="str">
            <v>Fora - Resolvido</v>
          </cell>
        </row>
        <row r="80">
          <cell r="C80" t="str">
            <v>SBOI160050</v>
          </cell>
          <cell r="D80" t="str">
            <v>OIAPOQUE</v>
          </cell>
          <cell r="E80" t="str">
            <v>AP</v>
          </cell>
          <cell r="F80" t="str">
            <v>ü</v>
          </cell>
          <cell r="G80" t="str">
            <v>Adequação</v>
          </cell>
          <cell r="H80">
            <v>17708333.333333332</v>
          </cell>
          <cell r="I80">
            <v>17708333.333333332</v>
          </cell>
          <cell r="J80">
            <v>17708333.333333332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53125000</v>
          </cell>
          <cell r="AN80" t="str">
            <v>N</v>
          </cell>
          <cell r="AO80">
            <v>1</v>
          </cell>
          <cell r="AP80" t="str">
            <v>-</v>
          </cell>
          <cell r="AQ80" t="str">
            <v>-</v>
          </cell>
          <cell r="AR80">
            <v>2046</v>
          </cell>
          <cell r="AS80" t="str">
            <v>-</v>
          </cell>
          <cell r="AT80" t="str">
            <v>-</v>
          </cell>
          <cell r="AU80">
            <v>2</v>
          </cell>
          <cell r="AV80" t="str">
            <v>Privada</v>
          </cell>
        </row>
        <row r="81">
          <cell r="C81" t="str">
            <v>SBPA431490</v>
          </cell>
          <cell r="D81" t="str">
            <v>PORTO ALEGRE</v>
          </cell>
          <cell r="E81" t="str">
            <v>RS</v>
          </cell>
          <cell r="F81" t="str">
            <v>ü</v>
          </cell>
          <cell r="G81" t="str">
            <v>Adequação</v>
          </cell>
          <cell r="H81">
            <v>301028333.33333331</v>
          </cell>
          <cell r="I81">
            <v>301028333.33333331</v>
          </cell>
          <cell r="J81">
            <v>301028333.33333331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903085000</v>
          </cell>
          <cell r="AN81" t="str">
            <v>-</v>
          </cell>
          <cell r="AO81">
            <v>8</v>
          </cell>
          <cell r="AP81" t="str">
            <v>-</v>
          </cell>
          <cell r="AQ81">
            <v>2042</v>
          </cell>
          <cell r="AR81">
            <v>2027</v>
          </cell>
          <cell r="AS81" t="str">
            <v>-</v>
          </cell>
          <cell r="AT81">
            <v>10</v>
          </cell>
          <cell r="AU81">
            <v>9</v>
          </cell>
          <cell r="AV81" t="str">
            <v>Fora - Resolvido</v>
          </cell>
        </row>
        <row r="82">
          <cell r="C82" t="str">
            <v>SBPB220770</v>
          </cell>
          <cell r="D82" t="str">
            <v>PARNAÍBA</v>
          </cell>
          <cell r="E82" t="str">
            <v>PI</v>
          </cell>
          <cell r="F82" t="str">
            <v>ü</v>
          </cell>
          <cell r="G82" t="str">
            <v>Adequação</v>
          </cell>
          <cell r="H82">
            <v>30666666.666666668</v>
          </cell>
          <cell r="I82">
            <v>30666666.666666668</v>
          </cell>
          <cell r="J82">
            <v>30666666.666666668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92000000</v>
          </cell>
          <cell r="AN82" t="str">
            <v>-</v>
          </cell>
          <cell r="AO82">
            <v>3</v>
          </cell>
          <cell r="AP82" t="str">
            <v>-</v>
          </cell>
          <cell r="AQ82">
            <v>2052</v>
          </cell>
          <cell r="AR82">
            <v>2032</v>
          </cell>
          <cell r="AS82" t="str">
            <v>-</v>
          </cell>
          <cell r="AT82">
            <v>5</v>
          </cell>
          <cell r="AU82">
            <v>4</v>
          </cell>
          <cell r="AV82" t="str">
            <v>Fora - Resolvido</v>
          </cell>
        </row>
        <row r="83">
          <cell r="C83" t="str">
            <v>SBPF431410</v>
          </cell>
          <cell r="D83" t="str">
            <v>PASSO FUNDO</v>
          </cell>
          <cell r="E83" t="str">
            <v>RS</v>
          </cell>
          <cell r="F83" t="str">
            <v>ü</v>
          </cell>
          <cell r="G83" t="str">
            <v>Adequação</v>
          </cell>
          <cell r="H83">
            <v>34981666.666666664</v>
          </cell>
          <cell r="I83">
            <v>34981666.666666664</v>
          </cell>
          <cell r="J83">
            <v>34981666.666666664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104945000</v>
          </cell>
          <cell r="AN83" t="str">
            <v>-</v>
          </cell>
          <cell r="AO83">
            <v>4</v>
          </cell>
          <cell r="AP83" t="str">
            <v>-</v>
          </cell>
          <cell r="AQ83" t="str">
            <v>-</v>
          </cell>
          <cell r="AR83">
            <v>2046</v>
          </cell>
          <cell r="AS83" t="str">
            <v>-</v>
          </cell>
          <cell r="AT83" t="str">
            <v>-</v>
          </cell>
          <cell r="AU83">
            <v>5</v>
          </cell>
          <cell r="AV83" t="str">
            <v>Fora - Resolvido</v>
          </cell>
        </row>
        <row r="84">
          <cell r="C84" t="str">
            <v>SSZW411990</v>
          </cell>
          <cell r="D84" t="str">
            <v>PONTA GROSSA</v>
          </cell>
          <cell r="E84" t="str">
            <v>PR</v>
          </cell>
          <cell r="F84" t="str">
            <v>ü</v>
          </cell>
          <cell r="G84" t="str">
            <v>Adequação</v>
          </cell>
          <cell r="H84">
            <v>27293500</v>
          </cell>
          <cell r="I84">
            <v>27293500</v>
          </cell>
          <cell r="J84">
            <v>27293500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81880500</v>
          </cell>
          <cell r="AN84" t="str">
            <v>S e SE</v>
          </cell>
          <cell r="AO84">
            <v>2</v>
          </cell>
          <cell r="AP84" t="str">
            <v>-</v>
          </cell>
          <cell r="AQ84" t="str">
            <v>-</v>
          </cell>
          <cell r="AR84">
            <v>2038</v>
          </cell>
          <cell r="AS84" t="str">
            <v>-</v>
          </cell>
          <cell r="AT84" t="str">
            <v>-</v>
          </cell>
          <cell r="AU84">
            <v>3</v>
          </cell>
          <cell r="AV84" t="str">
            <v>Privada</v>
          </cell>
        </row>
        <row r="85">
          <cell r="C85" t="str">
            <v>SBPJ172100</v>
          </cell>
          <cell r="D85" t="str">
            <v>PALMAS</v>
          </cell>
          <cell r="E85" t="str">
            <v>TO</v>
          </cell>
          <cell r="F85" t="str">
            <v>ü</v>
          </cell>
          <cell r="G85" t="str">
            <v>Adequação</v>
          </cell>
          <cell r="H85">
            <v>155176666.66666666</v>
          </cell>
          <cell r="I85">
            <v>155176666.66666666</v>
          </cell>
          <cell r="J85">
            <v>155176666.66666666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465530000</v>
          </cell>
          <cell r="AN85" t="str">
            <v>-</v>
          </cell>
          <cell r="AO85">
            <v>5</v>
          </cell>
          <cell r="AP85" t="str">
            <v>-</v>
          </cell>
          <cell r="AQ85">
            <v>2046</v>
          </cell>
          <cell r="AR85">
            <v>2027</v>
          </cell>
          <cell r="AS85" t="str">
            <v>-</v>
          </cell>
          <cell r="AT85">
            <v>7</v>
          </cell>
          <cell r="AU85">
            <v>6</v>
          </cell>
          <cell r="AV85" t="str">
            <v>Fora - Resolvido</v>
          </cell>
        </row>
        <row r="86">
          <cell r="C86" t="str">
            <v>SBPK431440</v>
          </cell>
          <cell r="D86" t="str">
            <v>PELOTAS</v>
          </cell>
          <cell r="E86" t="str">
            <v>RS</v>
          </cell>
          <cell r="F86" t="str">
            <v>ü</v>
          </cell>
          <cell r="G86" t="str">
            <v>Adequação</v>
          </cell>
          <cell r="H86">
            <v>10111666.666666666</v>
          </cell>
          <cell r="I86">
            <v>10111666.666666666</v>
          </cell>
          <cell r="J86">
            <v>10111666.666666666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30335000</v>
          </cell>
          <cell r="AN86" t="str">
            <v>-</v>
          </cell>
          <cell r="AO86">
            <v>3</v>
          </cell>
          <cell r="AP86" t="str">
            <v>-</v>
          </cell>
          <cell r="AQ86" t="str">
            <v>-</v>
          </cell>
          <cell r="AR86" t="str">
            <v>-</v>
          </cell>
          <cell r="AS86" t="str">
            <v>-</v>
          </cell>
          <cell r="AT86" t="str">
            <v>-</v>
          </cell>
          <cell r="AU86" t="str">
            <v>-</v>
          </cell>
          <cell r="AV86" t="str">
            <v>Fora - Resolvido</v>
          </cell>
        </row>
        <row r="87">
          <cell r="C87" t="str">
            <v>SBPL261110</v>
          </cell>
          <cell r="D87" t="str">
            <v>PETROLINA</v>
          </cell>
          <cell r="E87" t="str">
            <v>PE</v>
          </cell>
          <cell r="F87" t="str">
            <v>ü</v>
          </cell>
          <cell r="G87" t="str">
            <v>Adequação</v>
          </cell>
          <cell r="H87">
            <v>62670000</v>
          </cell>
          <cell r="I87">
            <v>62670000</v>
          </cell>
          <cell r="J87">
            <v>62670000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188010000</v>
          </cell>
          <cell r="AN87" t="str">
            <v>-</v>
          </cell>
          <cell r="AO87">
            <v>4</v>
          </cell>
          <cell r="AP87" t="str">
            <v>-</v>
          </cell>
          <cell r="AQ87">
            <v>2040</v>
          </cell>
          <cell r="AR87">
            <v>2024</v>
          </cell>
          <cell r="AS87" t="str">
            <v>-</v>
          </cell>
          <cell r="AT87">
            <v>6</v>
          </cell>
          <cell r="AU87">
            <v>5</v>
          </cell>
          <cell r="AV87" t="str">
            <v>Fora - Resolvido</v>
          </cell>
        </row>
        <row r="88">
          <cell r="C88" t="str">
            <v>SSPB411850</v>
          </cell>
          <cell r="D88" t="str">
            <v>PATO BRANCO</v>
          </cell>
          <cell r="E88" t="str">
            <v>PR</v>
          </cell>
          <cell r="F88" t="str">
            <v>ü</v>
          </cell>
          <cell r="G88" t="str">
            <v>Adequação</v>
          </cell>
          <cell r="H88">
            <v>26734500</v>
          </cell>
          <cell r="I88">
            <v>26734500</v>
          </cell>
          <cell r="J88">
            <v>26734500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80203500</v>
          </cell>
          <cell r="AN88" t="str">
            <v>S e SE</v>
          </cell>
          <cell r="AO88">
            <v>1</v>
          </cell>
          <cell r="AP88" t="str">
            <v>-</v>
          </cell>
          <cell r="AQ88">
            <v>2041</v>
          </cell>
          <cell r="AR88">
            <v>2025</v>
          </cell>
          <cell r="AS88" t="str">
            <v>-</v>
          </cell>
          <cell r="AT88">
            <v>3</v>
          </cell>
          <cell r="AU88">
            <v>2</v>
          </cell>
          <cell r="AV88" t="str">
            <v>Privada</v>
          </cell>
        </row>
        <row r="89">
          <cell r="C89" t="str">
            <v>SBPP500660</v>
          </cell>
          <cell r="D89" t="str">
            <v>PONTA PORÃ</v>
          </cell>
          <cell r="E89" t="str">
            <v>MS</v>
          </cell>
          <cell r="F89" t="str">
            <v>ü</v>
          </cell>
          <cell r="G89" t="str">
            <v>Adequação</v>
          </cell>
          <cell r="H89">
            <v>16655000</v>
          </cell>
          <cell r="I89">
            <v>16655000</v>
          </cell>
          <cell r="J89">
            <v>16655000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49965000</v>
          </cell>
          <cell r="AN89" t="str">
            <v>-</v>
          </cell>
          <cell r="AO89">
            <v>3</v>
          </cell>
          <cell r="AP89" t="str">
            <v>-</v>
          </cell>
          <cell r="AQ89" t="str">
            <v>-</v>
          </cell>
          <cell r="AR89" t="str">
            <v>-</v>
          </cell>
          <cell r="AS89" t="str">
            <v>-</v>
          </cell>
          <cell r="AT89" t="str">
            <v>-</v>
          </cell>
          <cell r="AU89" t="str">
            <v>-</v>
          </cell>
          <cell r="AV89" t="str">
            <v>Fora - Resolvido</v>
          </cell>
        </row>
        <row r="90">
          <cell r="C90" t="str">
            <v>SBPS292530</v>
          </cell>
          <cell r="D90" t="str">
            <v>PORTO SEGURO</v>
          </cell>
          <cell r="E90" t="str">
            <v>BA</v>
          </cell>
          <cell r="F90" t="str">
            <v>ü</v>
          </cell>
          <cell r="G90" t="str">
            <v>Adequação</v>
          </cell>
          <cell r="H90">
            <v>259943333.33333334</v>
          </cell>
          <cell r="I90">
            <v>259943333.33333334</v>
          </cell>
          <cell r="J90">
            <v>259943333.33333334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779830000</v>
          </cell>
          <cell r="AN90" t="str">
            <v>-</v>
          </cell>
          <cell r="AO90">
            <v>7</v>
          </cell>
          <cell r="AP90" t="str">
            <v>-</v>
          </cell>
          <cell r="AQ90" t="str">
            <v>-</v>
          </cell>
          <cell r="AR90">
            <v>2050</v>
          </cell>
          <cell r="AS90" t="str">
            <v>-</v>
          </cell>
          <cell r="AT90" t="str">
            <v>-</v>
          </cell>
          <cell r="AU90">
            <v>8</v>
          </cell>
          <cell r="AV90" t="str">
            <v>Fora - Resolvido</v>
          </cell>
        </row>
        <row r="91">
          <cell r="C91" t="str">
            <v>SBPV110020</v>
          </cell>
          <cell r="D91" t="str">
            <v>PORTO VELHO</v>
          </cell>
          <cell r="E91" t="str">
            <v>RO</v>
          </cell>
          <cell r="F91" t="str">
            <v>ü</v>
          </cell>
          <cell r="G91" t="str">
            <v>Adequação</v>
          </cell>
          <cell r="H91">
            <v>168275000</v>
          </cell>
          <cell r="I91">
            <v>168275000</v>
          </cell>
          <cell r="J91">
            <v>168275000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504825000</v>
          </cell>
          <cell r="AN91" t="str">
            <v>-</v>
          </cell>
          <cell r="AO91">
            <v>5</v>
          </cell>
          <cell r="AP91" t="str">
            <v>-</v>
          </cell>
          <cell r="AQ91">
            <v>2045</v>
          </cell>
          <cell r="AR91">
            <v>2026</v>
          </cell>
          <cell r="AS91" t="str">
            <v>-</v>
          </cell>
          <cell r="AT91">
            <v>7</v>
          </cell>
          <cell r="AU91">
            <v>6</v>
          </cell>
          <cell r="AV91" t="str">
            <v>Fora - Resolvido</v>
          </cell>
        </row>
        <row r="92">
          <cell r="C92" t="str">
            <v>SBRB120040</v>
          </cell>
          <cell r="D92" t="str">
            <v>RIO BRANCO</v>
          </cell>
          <cell r="E92" t="str">
            <v>AC</v>
          </cell>
          <cell r="F92" t="str">
            <v>ü</v>
          </cell>
          <cell r="G92" t="str">
            <v>Adequação</v>
          </cell>
          <cell r="H92">
            <v>37615000</v>
          </cell>
          <cell r="I92">
            <v>37615000</v>
          </cell>
          <cell r="J92">
            <v>37615000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112845000</v>
          </cell>
          <cell r="AN92" t="str">
            <v>-</v>
          </cell>
          <cell r="AO92">
            <v>4</v>
          </cell>
          <cell r="AP92" t="str">
            <v>-</v>
          </cell>
          <cell r="AQ92" t="str">
            <v>-</v>
          </cell>
          <cell r="AR92">
            <v>2032</v>
          </cell>
          <cell r="AS92" t="str">
            <v>-</v>
          </cell>
          <cell r="AT92" t="str">
            <v>-</v>
          </cell>
          <cell r="AU92">
            <v>5</v>
          </cell>
          <cell r="AV92" t="str">
            <v>Fora - Resolvido</v>
          </cell>
        </row>
        <row r="93">
          <cell r="C93" t="str">
            <v>SBRD510760</v>
          </cell>
          <cell r="D93" t="str">
            <v>RONDONÓPOLIS</v>
          </cell>
          <cell r="E93" t="str">
            <v>MT</v>
          </cell>
          <cell r="F93" t="str">
            <v>ü</v>
          </cell>
          <cell r="G93" t="str">
            <v>Adequação</v>
          </cell>
          <cell r="H93">
            <v>20638333.333333332</v>
          </cell>
          <cell r="I93">
            <v>20638333.333333332</v>
          </cell>
          <cell r="J93">
            <v>20638333.333333332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61915000</v>
          </cell>
          <cell r="AN93" t="str">
            <v>-</v>
          </cell>
          <cell r="AO93">
            <v>3</v>
          </cell>
          <cell r="AP93" t="str">
            <v>-</v>
          </cell>
          <cell r="AQ93" t="str">
            <v>-</v>
          </cell>
          <cell r="AR93" t="str">
            <v>-</v>
          </cell>
          <cell r="AS93" t="str">
            <v>-</v>
          </cell>
          <cell r="AT93" t="str">
            <v>-</v>
          </cell>
          <cell r="AU93" t="str">
            <v>-</v>
          </cell>
          <cell r="AV93" t="str">
            <v>Fora - Resolvido</v>
          </cell>
        </row>
        <row r="94">
          <cell r="C94" t="str">
            <v>SBRF261160</v>
          </cell>
          <cell r="D94" t="str">
            <v>RECIFE</v>
          </cell>
          <cell r="E94" t="str">
            <v>PE</v>
          </cell>
          <cell r="F94" t="str">
            <v>ü</v>
          </cell>
          <cell r="G94" t="str">
            <v>Adequação</v>
          </cell>
          <cell r="H94">
            <v>351431666.66666669</v>
          </cell>
          <cell r="I94">
            <v>351431666.66666669</v>
          </cell>
          <cell r="J94">
            <v>351431666.66666669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1054295000</v>
          </cell>
          <cell r="AN94" t="str">
            <v>-</v>
          </cell>
          <cell r="AO94">
            <v>8</v>
          </cell>
          <cell r="AP94" t="str">
            <v>-</v>
          </cell>
          <cell r="AQ94">
            <v>2031</v>
          </cell>
          <cell r="AR94">
            <v>2024</v>
          </cell>
          <cell r="AS94" t="str">
            <v>-</v>
          </cell>
          <cell r="AT94">
            <v>10</v>
          </cell>
          <cell r="AU94">
            <v>9</v>
          </cell>
          <cell r="AV94" t="str">
            <v>Fora - Resolvido</v>
          </cell>
        </row>
        <row r="95">
          <cell r="C95" t="str">
            <v>SBRJ330455</v>
          </cell>
          <cell r="D95" t="str">
            <v>RIO DE JANEIRO</v>
          </cell>
          <cell r="E95" t="str">
            <v>RJ</v>
          </cell>
          <cell r="F95" t="str">
            <v>ü</v>
          </cell>
          <cell r="G95" t="str">
            <v>Adequação</v>
          </cell>
          <cell r="H95">
            <v>240240000</v>
          </cell>
          <cell r="I95">
            <v>240240000</v>
          </cell>
          <cell r="J95">
            <v>240240000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720720000</v>
          </cell>
          <cell r="AN95" t="str">
            <v>-</v>
          </cell>
          <cell r="AO95">
            <v>9</v>
          </cell>
          <cell r="AP95" t="str">
            <v>-</v>
          </cell>
          <cell r="AQ95" t="str">
            <v>-</v>
          </cell>
          <cell r="AR95">
            <v>2026</v>
          </cell>
          <cell r="AS95" t="str">
            <v>-</v>
          </cell>
          <cell r="AT95" t="str">
            <v>-</v>
          </cell>
          <cell r="AU95">
            <v>10</v>
          </cell>
          <cell r="AV95" t="str">
            <v>Fora - Resolvido</v>
          </cell>
        </row>
        <row r="96">
          <cell r="C96" t="str">
            <v>SBRP354340</v>
          </cell>
          <cell r="D96" t="str">
            <v>RIBEIRÃO PRETO</v>
          </cell>
          <cell r="E96" t="str">
            <v>SP</v>
          </cell>
          <cell r="F96" t="str">
            <v>ü</v>
          </cell>
          <cell r="G96" t="str">
            <v>Adequação</v>
          </cell>
          <cell r="H96">
            <v>181991666.66666666</v>
          </cell>
          <cell r="I96">
            <v>181991666.66666666</v>
          </cell>
          <cell r="J96">
            <v>181991666.66666666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545975000</v>
          </cell>
          <cell r="AN96" t="str">
            <v>-</v>
          </cell>
          <cell r="AO96">
            <v>5</v>
          </cell>
          <cell r="AP96" t="str">
            <v>-</v>
          </cell>
          <cell r="AQ96">
            <v>2051</v>
          </cell>
          <cell r="AR96">
            <v>2025</v>
          </cell>
          <cell r="AS96" t="str">
            <v>-</v>
          </cell>
          <cell r="AT96">
            <v>7</v>
          </cell>
          <cell r="AU96">
            <v>6</v>
          </cell>
          <cell r="AV96" t="str">
            <v>Fora - Resolvido</v>
          </cell>
        </row>
        <row r="97">
          <cell r="C97" t="str">
            <v>SBSG241200</v>
          </cell>
          <cell r="D97" t="str">
            <v>SÃO GONÇALO DO AMARANTE</v>
          </cell>
          <cell r="E97" t="str">
            <v>RN</v>
          </cell>
          <cell r="F97" t="str">
            <v>ü</v>
          </cell>
          <cell r="G97" t="str">
            <v>Adequação</v>
          </cell>
          <cell r="H97">
            <v>111166666.66666667</v>
          </cell>
          <cell r="I97">
            <v>111166666.66666667</v>
          </cell>
          <cell r="J97">
            <v>111166666.66666667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333500000</v>
          </cell>
          <cell r="AN97" t="str">
            <v>-</v>
          </cell>
          <cell r="AO97">
            <v>7</v>
          </cell>
          <cell r="AP97" t="str">
            <v>-</v>
          </cell>
          <cell r="AQ97" t="str">
            <v>-</v>
          </cell>
          <cell r="AR97">
            <v>2046</v>
          </cell>
          <cell r="AS97" t="str">
            <v>-</v>
          </cell>
          <cell r="AT97" t="str">
            <v>-</v>
          </cell>
          <cell r="AU97">
            <v>8</v>
          </cell>
          <cell r="AV97" t="str">
            <v>Fora - Resolvido</v>
          </cell>
        </row>
        <row r="98">
          <cell r="C98" t="str">
            <v>SWSI510790</v>
          </cell>
          <cell r="D98" t="str">
            <v>SINOP</v>
          </cell>
          <cell r="E98" t="str">
            <v>MT</v>
          </cell>
          <cell r="F98" t="str">
            <v>ü</v>
          </cell>
          <cell r="G98" t="str">
            <v>Adequação</v>
          </cell>
          <cell r="H98">
            <v>37291666.666666664</v>
          </cell>
          <cell r="I98">
            <v>37291666.666666664</v>
          </cell>
          <cell r="J98">
            <v>37291666.666666664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111875000</v>
          </cell>
          <cell r="AN98" t="str">
            <v>-</v>
          </cell>
          <cell r="AO98">
            <v>4</v>
          </cell>
          <cell r="AP98" t="str">
            <v>-</v>
          </cell>
          <cell r="AQ98" t="str">
            <v>-</v>
          </cell>
          <cell r="AR98">
            <v>2029</v>
          </cell>
          <cell r="AS98" t="str">
            <v>-</v>
          </cell>
          <cell r="AT98" t="str">
            <v>-</v>
          </cell>
          <cell r="AU98">
            <v>5</v>
          </cell>
          <cell r="AV98" t="str">
            <v>Fora - Resolvido</v>
          </cell>
        </row>
        <row r="99">
          <cell r="C99" t="str">
            <v>SBSJ354990</v>
          </cell>
          <cell r="D99" t="str">
            <v>SÃO JOSÉ DOS CAMPOS</v>
          </cell>
          <cell r="E99" t="str">
            <v>SP</v>
          </cell>
          <cell r="F99" t="str">
            <v>ü</v>
          </cell>
          <cell r="G99" t="str">
            <v>Adequação</v>
          </cell>
          <cell r="H99">
            <v>13001666.666666666</v>
          </cell>
          <cell r="I99">
            <v>13001666.666666666</v>
          </cell>
          <cell r="J99">
            <v>13001666.666666666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39005000</v>
          </cell>
          <cell r="AN99" t="str">
            <v>-</v>
          </cell>
          <cell r="AO99">
            <v>4</v>
          </cell>
          <cell r="AP99" t="str">
            <v>-</v>
          </cell>
          <cell r="AQ99" t="str">
            <v>-</v>
          </cell>
          <cell r="AR99">
            <v>2037</v>
          </cell>
          <cell r="AS99" t="str">
            <v>-</v>
          </cell>
          <cell r="AT99" t="str">
            <v>-</v>
          </cell>
          <cell r="AU99">
            <v>5</v>
          </cell>
          <cell r="AV99" t="str">
            <v>Fora - Resolvido</v>
          </cell>
        </row>
        <row r="100">
          <cell r="C100" t="str">
            <v>SBSL211130</v>
          </cell>
          <cell r="D100" t="str">
            <v>SÃO LUÍS</v>
          </cell>
          <cell r="E100" t="str">
            <v>MA</v>
          </cell>
          <cell r="F100" t="str">
            <v>ü</v>
          </cell>
          <cell r="G100" t="str">
            <v>Adequação</v>
          </cell>
          <cell r="H100">
            <v>138076666.66666666</v>
          </cell>
          <cell r="I100">
            <v>138076666.66666666</v>
          </cell>
          <cell r="J100">
            <v>138076666.66666666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414230000</v>
          </cell>
          <cell r="AN100" t="str">
            <v>-</v>
          </cell>
          <cell r="AO100">
            <v>6</v>
          </cell>
          <cell r="AP100" t="str">
            <v>-</v>
          </cell>
          <cell r="AQ100" t="str">
            <v>-</v>
          </cell>
          <cell r="AR100">
            <v>2026</v>
          </cell>
          <cell r="AS100" t="str">
            <v>-</v>
          </cell>
          <cell r="AT100" t="str">
            <v>-</v>
          </cell>
          <cell r="AU100">
            <v>7</v>
          </cell>
          <cell r="AV100" t="str">
            <v>Fora - Resolvido</v>
          </cell>
        </row>
        <row r="101">
          <cell r="C101" t="str">
            <v>SBSN150680</v>
          </cell>
          <cell r="D101" t="str">
            <v>SANTARÉM</v>
          </cell>
          <cell r="E101" t="str">
            <v>PA</v>
          </cell>
          <cell r="F101" t="str">
            <v>ü</v>
          </cell>
          <cell r="G101" t="str">
            <v>Adequação</v>
          </cell>
          <cell r="H101">
            <v>189243333.33333334</v>
          </cell>
          <cell r="I101">
            <v>189243333.33333334</v>
          </cell>
          <cell r="J101">
            <v>189243333.33333334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567730000</v>
          </cell>
          <cell r="AN101" t="str">
            <v>-</v>
          </cell>
          <cell r="AO101">
            <v>4</v>
          </cell>
          <cell r="AP101">
            <v>2052</v>
          </cell>
          <cell r="AQ101">
            <v>2036</v>
          </cell>
          <cell r="AR101">
            <v>2025</v>
          </cell>
          <cell r="AS101">
            <v>7</v>
          </cell>
          <cell r="AT101">
            <v>6</v>
          </cell>
          <cell r="AU101">
            <v>5</v>
          </cell>
          <cell r="AV101" t="str">
            <v>Fora - Resolvido</v>
          </cell>
        </row>
        <row r="102">
          <cell r="C102" t="str">
            <v>SBSO510792</v>
          </cell>
          <cell r="D102" t="str">
            <v>SORRISO</v>
          </cell>
          <cell r="E102" t="str">
            <v>MT</v>
          </cell>
          <cell r="F102" t="str">
            <v>ü</v>
          </cell>
          <cell r="G102" t="str">
            <v>Adequação</v>
          </cell>
          <cell r="H102">
            <v>22875000</v>
          </cell>
          <cell r="I102">
            <v>22875000</v>
          </cell>
          <cell r="J102">
            <v>22875000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68625000</v>
          </cell>
          <cell r="AN102" t="str">
            <v>-</v>
          </cell>
          <cell r="AO102">
            <v>2</v>
          </cell>
          <cell r="AP102" t="str">
            <v>-</v>
          </cell>
          <cell r="AQ102" t="str">
            <v>-</v>
          </cell>
          <cell r="AR102">
            <v>2024</v>
          </cell>
          <cell r="AS102" t="str">
            <v>-</v>
          </cell>
          <cell r="AT102" t="str">
            <v>-</v>
          </cell>
          <cell r="AU102">
            <v>3</v>
          </cell>
          <cell r="AV102" t="str">
            <v>Pública</v>
          </cell>
        </row>
        <row r="103">
          <cell r="C103" t="str">
            <v>SBSP355030</v>
          </cell>
          <cell r="D103" t="str">
            <v>SÃO PAULO</v>
          </cell>
          <cell r="E103" t="str">
            <v>SP</v>
          </cell>
          <cell r="F103" t="str">
            <v>ü</v>
          </cell>
          <cell r="G103" t="str">
            <v>Adequação</v>
          </cell>
          <cell r="H103">
            <v>201861666.66666666</v>
          </cell>
          <cell r="I103">
            <v>201861666.66666666</v>
          </cell>
          <cell r="J103">
            <v>201861666.66666666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605585000</v>
          </cell>
          <cell r="AN103" t="str">
            <v>-</v>
          </cell>
          <cell r="AO103">
            <v>10</v>
          </cell>
          <cell r="AP103" t="str">
            <v>-</v>
          </cell>
          <cell r="AQ103" t="str">
            <v>-</v>
          </cell>
          <cell r="AR103" t="str">
            <v>-</v>
          </cell>
          <cell r="AS103" t="str">
            <v>-</v>
          </cell>
          <cell r="AT103" t="str">
            <v>-</v>
          </cell>
          <cell r="AU103" t="str">
            <v>-</v>
          </cell>
          <cell r="AV103" t="str">
            <v>Fora - Resolvido</v>
          </cell>
        </row>
        <row r="104">
          <cell r="C104" t="str">
            <v>SBSR354980</v>
          </cell>
          <cell r="D104" t="str">
            <v>SÃO JOSÉ DO RIO PRETO</v>
          </cell>
          <cell r="E104" t="str">
            <v>SP</v>
          </cell>
          <cell r="F104" t="str">
            <v>ü</v>
          </cell>
          <cell r="G104" t="str">
            <v>Adequação</v>
          </cell>
          <cell r="H104">
            <v>75140000</v>
          </cell>
          <cell r="I104">
            <v>75140000</v>
          </cell>
          <cell r="J104">
            <v>75140000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225420000</v>
          </cell>
          <cell r="AN104" t="str">
            <v>-</v>
          </cell>
          <cell r="AO104">
            <v>5</v>
          </cell>
          <cell r="AP104" t="str">
            <v>-</v>
          </cell>
          <cell r="AQ104" t="str">
            <v>-</v>
          </cell>
          <cell r="AR104">
            <v>2028</v>
          </cell>
          <cell r="AS104" t="str">
            <v>-</v>
          </cell>
          <cell r="AT104" t="str">
            <v>-</v>
          </cell>
          <cell r="AU104">
            <v>6</v>
          </cell>
          <cell r="AV104" t="str">
            <v>Fora - Resolvido</v>
          </cell>
        </row>
        <row r="105">
          <cell r="C105" t="str">
            <v>SBTB150530</v>
          </cell>
          <cell r="D105" t="str">
            <v>ORIXIMINÁ</v>
          </cell>
          <cell r="E105" t="str">
            <v>PA</v>
          </cell>
          <cell r="F105" t="str">
            <v>ü</v>
          </cell>
          <cell r="G105" t="str">
            <v>Adequação</v>
          </cell>
          <cell r="H105">
            <v>42460333.333333336</v>
          </cell>
          <cell r="I105">
            <v>42460333.333333336</v>
          </cell>
          <cell r="J105">
            <v>42460333.333333336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127381000</v>
          </cell>
          <cell r="AN105" t="str">
            <v>N</v>
          </cell>
          <cell r="AO105">
            <v>1</v>
          </cell>
          <cell r="AP105" t="str">
            <v>-</v>
          </cell>
          <cell r="AQ105">
            <v>2049</v>
          </cell>
          <cell r="AR105">
            <v>2034</v>
          </cell>
          <cell r="AS105" t="str">
            <v>-</v>
          </cell>
          <cell r="AT105">
            <v>3</v>
          </cell>
          <cell r="AU105">
            <v>2</v>
          </cell>
          <cell r="AV105" t="str">
            <v>Privada</v>
          </cell>
        </row>
        <row r="106">
          <cell r="C106" t="str">
            <v>SBTC293250</v>
          </cell>
          <cell r="D106" t="str">
            <v>UNA</v>
          </cell>
          <cell r="E106" t="str">
            <v>BA</v>
          </cell>
          <cell r="F106" t="str">
            <v>ü</v>
          </cell>
          <cell r="G106" t="str">
            <v>Adequação</v>
          </cell>
          <cell r="H106">
            <v>24173333.333333332</v>
          </cell>
          <cell r="I106">
            <v>24173333.333333332</v>
          </cell>
          <cell r="J106">
            <v>24173333.333333332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72520000</v>
          </cell>
          <cell r="AN106" t="str">
            <v>-</v>
          </cell>
          <cell r="AO106">
            <v>2</v>
          </cell>
          <cell r="AP106" t="str">
            <v>-</v>
          </cell>
          <cell r="AQ106" t="str">
            <v>-</v>
          </cell>
          <cell r="AR106">
            <v>2024</v>
          </cell>
          <cell r="AS106" t="str">
            <v>-</v>
          </cell>
          <cell r="AT106" t="str">
            <v>-</v>
          </cell>
          <cell r="AU106">
            <v>3</v>
          </cell>
          <cell r="AV106" t="str">
            <v>Fora - Resolvido</v>
          </cell>
        </row>
        <row r="107">
          <cell r="C107" t="str">
            <v>SBTE221100</v>
          </cell>
          <cell r="D107" t="str">
            <v>TERESINA</v>
          </cell>
          <cell r="E107" t="str">
            <v>PI</v>
          </cell>
          <cell r="F107" t="str">
            <v>ü</v>
          </cell>
          <cell r="G107" t="str">
            <v>Adequação</v>
          </cell>
          <cell r="H107">
            <v>147531666.66666666</v>
          </cell>
          <cell r="I107">
            <v>147531666.66666666</v>
          </cell>
          <cell r="J107">
            <v>147531666.66666666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442595000</v>
          </cell>
          <cell r="AN107" t="str">
            <v>-</v>
          </cell>
          <cell r="AO107">
            <v>6</v>
          </cell>
          <cell r="AP107" t="str">
            <v>-</v>
          </cell>
          <cell r="AQ107" t="str">
            <v>-</v>
          </cell>
          <cell r="AR107">
            <v>2036</v>
          </cell>
          <cell r="AS107" t="str">
            <v>-</v>
          </cell>
          <cell r="AT107" t="str">
            <v>-</v>
          </cell>
          <cell r="AU107">
            <v>7</v>
          </cell>
          <cell r="AV107" t="str">
            <v>Fora - Resolvido</v>
          </cell>
        </row>
        <row r="108">
          <cell r="C108" t="str">
            <v>SBTF130420</v>
          </cell>
          <cell r="D108" t="str">
            <v>TEFÉ</v>
          </cell>
          <cell r="E108" t="str">
            <v>AM</v>
          </cell>
          <cell r="F108" t="str">
            <v>ü</v>
          </cell>
          <cell r="G108" t="str">
            <v>Adequação</v>
          </cell>
          <cell r="H108">
            <v>22373333.333333332</v>
          </cell>
          <cell r="I108">
            <v>22373333.333333332</v>
          </cell>
          <cell r="J108">
            <v>22373333.333333332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67120000</v>
          </cell>
          <cell r="AN108" t="str">
            <v>-</v>
          </cell>
          <cell r="AO108">
            <v>2</v>
          </cell>
          <cell r="AP108" t="str">
            <v>-</v>
          </cell>
          <cell r="AQ108" t="str">
            <v>-</v>
          </cell>
          <cell r="AR108">
            <v>2024</v>
          </cell>
          <cell r="AS108" t="str">
            <v>-</v>
          </cell>
          <cell r="AT108" t="str">
            <v>-</v>
          </cell>
          <cell r="AU108">
            <v>3</v>
          </cell>
          <cell r="AV108" t="str">
            <v>Fora - Resolvido</v>
          </cell>
        </row>
        <row r="109">
          <cell r="C109" t="str">
            <v>SBTG500830</v>
          </cell>
          <cell r="D109" t="str">
            <v>TRÊS LAGOAS</v>
          </cell>
          <cell r="E109" t="str">
            <v>MS</v>
          </cell>
          <cell r="F109" t="str">
            <v>ü</v>
          </cell>
          <cell r="G109" t="str">
            <v>Adequação</v>
          </cell>
          <cell r="H109">
            <v>29817500</v>
          </cell>
          <cell r="I109">
            <v>29817500</v>
          </cell>
          <cell r="J109">
            <v>29817500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89452500</v>
          </cell>
          <cell r="AN109" t="str">
            <v>NE e CO</v>
          </cell>
          <cell r="AO109">
            <v>1</v>
          </cell>
          <cell r="AP109" t="str">
            <v>-</v>
          </cell>
          <cell r="AQ109">
            <v>2033</v>
          </cell>
          <cell r="AR109">
            <v>2024</v>
          </cell>
          <cell r="AS109" t="str">
            <v>-</v>
          </cell>
          <cell r="AT109">
            <v>3</v>
          </cell>
          <cell r="AU109">
            <v>2</v>
          </cell>
          <cell r="AV109" t="str">
            <v>Privada</v>
          </cell>
        </row>
        <row r="110">
          <cell r="C110" t="str">
            <v>SBTK120060</v>
          </cell>
          <cell r="D110" t="str">
            <v>TARAUACÁ</v>
          </cell>
          <cell r="E110" t="str">
            <v>AC</v>
          </cell>
          <cell r="F110" t="str">
            <v>ü</v>
          </cell>
          <cell r="G110" t="str">
            <v>Adequação</v>
          </cell>
          <cell r="H110">
            <v>21405833.333333332</v>
          </cell>
          <cell r="I110">
            <v>21405833.333333332</v>
          </cell>
          <cell r="J110">
            <v>21405833.333333332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64217500</v>
          </cell>
          <cell r="AN110" t="str">
            <v>N</v>
          </cell>
          <cell r="AO110">
            <v>1</v>
          </cell>
          <cell r="AP110" t="str">
            <v>-</v>
          </cell>
          <cell r="AQ110" t="str">
            <v>-</v>
          </cell>
          <cell r="AR110" t="str">
            <v>-</v>
          </cell>
          <cell r="AS110" t="str">
            <v>-</v>
          </cell>
          <cell r="AT110" t="str">
            <v>-</v>
          </cell>
          <cell r="AU110" t="str">
            <v>-</v>
          </cell>
          <cell r="AV110" t="str">
            <v>Privada</v>
          </cell>
        </row>
        <row r="111">
          <cell r="C111" t="str">
            <v>SBTT130406</v>
          </cell>
          <cell r="D111" t="str">
            <v>TABATINGA</v>
          </cell>
          <cell r="E111" t="str">
            <v>AM</v>
          </cell>
          <cell r="F111" t="str">
            <v>ü</v>
          </cell>
          <cell r="G111" t="str">
            <v>Adequação</v>
          </cell>
          <cell r="H111">
            <v>13106666.666666666</v>
          </cell>
          <cell r="I111">
            <v>13106666.666666666</v>
          </cell>
          <cell r="J111">
            <v>13106666.666666666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39320000</v>
          </cell>
          <cell r="AN111" t="str">
            <v>-</v>
          </cell>
          <cell r="AO111">
            <v>3</v>
          </cell>
          <cell r="AP111" t="str">
            <v>-</v>
          </cell>
          <cell r="AQ111" t="str">
            <v>-</v>
          </cell>
          <cell r="AR111" t="str">
            <v>-</v>
          </cell>
          <cell r="AS111" t="str">
            <v>-</v>
          </cell>
          <cell r="AT111" t="str">
            <v>-</v>
          </cell>
          <cell r="AU111" t="str">
            <v>-</v>
          </cell>
          <cell r="AV111" t="str">
            <v>Fora - Resolvido</v>
          </cell>
        </row>
        <row r="112">
          <cell r="C112" t="str">
            <v>SBTU150810</v>
          </cell>
          <cell r="D112" t="str">
            <v>TUCURUÍ</v>
          </cell>
          <cell r="E112" t="str">
            <v>PA</v>
          </cell>
          <cell r="F112" t="str">
            <v>ü</v>
          </cell>
          <cell r="G112" t="str">
            <v>Adequação</v>
          </cell>
          <cell r="H112">
            <v>54805166.666666664</v>
          </cell>
          <cell r="I112">
            <v>54805166.666666664</v>
          </cell>
          <cell r="J112">
            <v>54805166.666666664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164415500</v>
          </cell>
          <cell r="AN112" t="str">
            <v>N</v>
          </cell>
          <cell r="AO112">
            <v>1</v>
          </cell>
          <cell r="AP112" t="str">
            <v>-</v>
          </cell>
          <cell r="AQ112">
            <v>2049</v>
          </cell>
          <cell r="AR112">
            <v>2026</v>
          </cell>
          <cell r="AS112" t="str">
            <v>-</v>
          </cell>
          <cell r="AT112">
            <v>3</v>
          </cell>
          <cell r="AU112">
            <v>2</v>
          </cell>
          <cell r="AV112" t="str">
            <v>Privada</v>
          </cell>
        </row>
        <row r="113">
          <cell r="C113" t="str">
            <v>SBUA130380</v>
          </cell>
          <cell r="D113" t="str">
            <v>SÃO GABRIEL DA CACHOEIRA</v>
          </cell>
          <cell r="E113" t="str">
            <v>AM</v>
          </cell>
          <cell r="F113" t="str">
            <v>ü</v>
          </cell>
          <cell r="G113" t="str">
            <v>Adequação</v>
          </cell>
          <cell r="H113">
            <v>47523500</v>
          </cell>
          <cell r="I113">
            <v>47523500</v>
          </cell>
          <cell r="J113">
            <v>47523500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142570500</v>
          </cell>
          <cell r="AN113" t="str">
            <v>N</v>
          </cell>
          <cell r="AO113">
            <v>1</v>
          </cell>
          <cell r="AP113" t="str">
            <v>-</v>
          </cell>
          <cell r="AQ113">
            <v>2052</v>
          </cell>
          <cell r="AR113">
            <v>2024</v>
          </cell>
          <cell r="AS113" t="str">
            <v>-</v>
          </cell>
          <cell r="AT113">
            <v>3</v>
          </cell>
          <cell r="AU113">
            <v>2</v>
          </cell>
          <cell r="AV113" t="str">
            <v>Privada</v>
          </cell>
        </row>
        <row r="114">
          <cell r="C114" t="str">
            <v>SBUF292400</v>
          </cell>
          <cell r="D114" t="str">
            <v>PAULO AFONSO</v>
          </cell>
          <cell r="E114" t="str">
            <v>BA</v>
          </cell>
          <cell r="F114" t="str">
            <v>ü</v>
          </cell>
          <cell r="G114" t="str">
            <v>Adequação</v>
          </cell>
          <cell r="H114">
            <v>22530000</v>
          </cell>
          <cell r="I114">
            <v>22530000</v>
          </cell>
          <cell r="J114">
            <v>22530000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67590000</v>
          </cell>
          <cell r="AN114" t="str">
            <v>NE e CO</v>
          </cell>
          <cell r="AO114">
            <v>1</v>
          </cell>
          <cell r="AP114" t="str">
            <v>-</v>
          </cell>
          <cell r="AQ114">
            <v>2048</v>
          </cell>
          <cell r="AR114">
            <v>2032</v>
          </cell>
          <cell r="AS114" t="str">
            <v>-</v>
          </cell>
          <cell r="AT114">
            <v>3</v>
          </cell>
          <cell r="AU114">
            <v>2</v>
          </cell>
          <cell r="AV114" t="str">
            <v>Privada</v>
          </cell>
        </row>
        <row r="115">
          <cell r="C115" t="str">
            <v>SBUG432240</v>
          </cell>
          <cell r="D115" t="str">
            <v>URUGUAIANA</v>
          </cell>
          <cell r="E115" t="str">
            <v>RS</v>
          </cell>
          <cell r="F115" t="str">
            <v>ü</v>
          </cell>
          <cell r="G115" t="str">
            <v>Adequação</v>
          </cell>
          <cell r="H115">
            <v>22771666.666666668</v>
          </cell>
          <cell r="I115">
            <v>22771666.666666668</v>
          </cell>
          <cell r="J115">
            <v>22771666.666666668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68315000</v>
          </cell>
          <cell r="AN115" t="str">
            <v>-</v>
          </cell>
          <cell r="AO115">
            <v>2</v>
          </cell>
          <cell r="AP115" t="str">
            <v>-</v>
          </cell>
          <cell r="AQ115" t="str">
            <v>-</v>
          </cell>
          <cell r="AR115">
            <v>2025</v>
          </cell>
          <cell r="AS115" t="str">
            <v>-</v>
          </cell>
          <cell r="AT115" t="str">
            <v>-</v>
          </cell>
          <cell r="AU115">
            <v>3</v>
          </cell>
          <cell r="AV115" t="str">
            <v>Fora - Resolvido</v>
          </cell>
        </row>
        <row r="116">
          <cell r="C116" t="str">
            <v>SBUL317020</v>
          </cell>
          <cell r="D116" t="str">
            <v>UBERLÂNDIA</v>
          </cell>
          <cell r="E116" t="str">
            <v>MG</v>
          </cell>
          <cell r="F116" t="str">
            <v>ü</v>
          </cell>
          <cell r="G116" t="str">
            <v>Adequação</v>
          </cell>
          <cell r="H116">
            <v>157275000</v>
          </cell>
          <cell r="I116">
            <v>157275000</v>
          </cell>
          <cell r="J116">
            <v>157275000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471825000</v>
          </cell>
          <cell r="AN116" t="str">
            <v>-</v>
          </cell>
          <cell r="AO116">
            <v>6</v>
          </cell>
          <cell r="AP116" t="str">
            <v>-</v>
          </cell>
          <cell r="AQ116" t="str">
            <v>-</v>
          </cell>
          <cell r="AR116">
            <v>2038</v>
          </cell>
          <cell r="AS116" t="str">
            <v>-</v>
          </cell>
          <cell r="AT116" t="str">
            <v>-</v>
          </cell>
          <cell r="AU116">
            <v>7</v>
          </cell>
          <cell r="AV116" t="str">
            <v>Fora - Resolvido</v>
          </cell>
        </row>
        <row r="117">
          <cell r="C117" t="str">
            <v>SBUR317010</v>
          </cell>
          <cell r="D117" t="str">
            <v>UBERABA</v>
          </cell>
          <cell r="E117" t="str">
            <v>MG</v>
          </cell>
          <cell r="F117" t="str">
            <v>ü</v>
          </cell>
          <cell r="G117" t="str">
            <v>Adequação</v>
          </cell>
          <cell r="H117">
            <v>25498333.333333332</v>
          </cell>
          <cell r="I117">
            <v>25498333.333333332</v>
          </cell>
          <cell r="J117">
            <v>25498333.333333332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76495000</v>
          </cell>
          <cell r="AN117" t="str">
            <v>-</v>
          </cell>
          <cell r="AO117">
            <v>3</v>
          </cell>
          <cell r="AP117" t="str">
            <v>-</v>
          </cell>
          <cell r="AQ117" t="str">
            <v>-</v>
          </cell>
          <cell r="AR117">
            <v>2050</v>
          </cell>
          <cell r="AS117" t="str">
            <v>-</v>
          </cell>
          <cell r="AT117" t="str">
            <v>-</v>
          </cell>
          <cell r="AU117">
            <v>4</v>
          </cell>
          <cell r="AV117" t="str">
            <v>Fora - Resolvido</v>
          </cell>
        </row>
        <row r="118">
          <cell r="C118" t="str">
            <v>SBVG317070</v>
          </cell>
          <cell r="D118" t="str">
            <v>VARGINHA</v>
          </cell>
          <cell r="E118" t="str">
            <v>MG</v>
          </cell>
          <cell r="F118" t="str">
            <v>ü</v>
          </cell>
          <cell r="G118" t="str">
            <v>Adequação</v>
          </cell>
          <cell r="H118">
            <v>41047500</v>
          </cell>
          <cell r="I118">
            <v>41047500</v>
          </cell>
          <cell r="J118">
            <v>41047500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123142500</v>
          </cell>
          <cell r="AN118" t="str">
            <v>S e SE</v>
          </cell>
          <cell r="AO118">
            <v>3</v>
          </cell>
          <cell r="AP118" t="str">
            <v>-</v>
          </cell>
          <cell r="AQ118" t="str">
            <v>-</v>
          </cell>
          <cell r="AR118">
            <v>2050</v>
          </cell>
          <cell r="AS118" t="str">
            <v>-</v>
          </cell>
          <cell r="AT118" t="str">
            <v>-</v>
          </cell>
          <cell r="AU118">
            <v>4</v>
          </cell>
          <cell r="AV118" t="str">
            <v>Privada</v>
          </cell>
        </row>
        <row r="119">
          <cell r="C119" t="str">
            <v>SBVH110030</v>
          </cell>
          <cell r="D119" t="str">
            <v>VILHENA</v>
          </cell>
          <cell r="E119" t="str">
            <v>RO</v>
          </cell>
          <cell r="F119" t="str">
            <v>ü</v>
          </cell>
          <cell r="G119" t="str">
            <v>Adequação</v>
          </cell>
          <cell r="H119">
            <v>54402833.333333336</v>
          </cell>
          <cell r="I119">
            <v>54402833.333333336</v>
          </cell>
          <cell r="J119">
            <v>54402833.333333336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163208500</v>
          </cell>
          <cell r="AN119" t="str">
            <v>N</v>
          </cell>
          <cell r="AO119">
            <v>2</v>
          </cell>
          <cell r="AP119" t="str">
            <v>-</v>
          </cell>
          <cell r="AQ119" t="str">
            <v>-</v>
          </cell>
          <cell r="AR119">
            <v>2027</v>
          </cell>
          <cell r="AS119" t="str">
            <v>-</v>
          </cell>
          <cell r="AT119" t="str">
            <v>-</v>
          </cell>
          <cell r="AU119">
            <v>3</v>
          </cell>
          <cell r="AV119" t="str">
            <v>Privada</v>
          </cell>
        </row>
        <row r="120">
          <cell r="C120" t="str">
            <v>SBVT320530</v>
          </cell>
          <cell r="D120" t="str">
            <v>VITÓRIA</v>
          </cell>
          <cell r="E120" t="str">
            <v>ES</v>
          </cell>
          <cell r="F120" t="str">
            <v>ü</v>
          </cell>
          <cell r="G120" t="str">
            <v>Adequação</v>
          </cell>
          <cell r="H120">
            <v>177481666.66666666</v>
          </cell>
          <cell r="I120">
            <v>177481666.66666666</v>
          </cell>
          <cell r="J120">
            <v>177481666.66666666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532445000</v>
          </cell>
          <cell r="AN120" t="str">
            <v>-</v>
          </cell>
          <cell r="AO120">
            <v>7</v>
          </cell>
          <cell r="AP120" t="str">
            <v>-</v>
          </cell>
          <cell r="AQ120" t="str">
            <v>-</v>
          </cell>
          <cell r="AR120">
            <v>2034</v>
          </cell>
          <cell r="AS120" t="str">
            <v>-</v>
          </cell>
          <cell r="AT120" t="str">
            <v>-</v>
          </cell>
          <cell r="AU120">
            <v>8</v>
          </cell>
          <cell r="AV120" t="str">
            <v>Fora - Resolvido</v>
          </cell>
        </row>
        <row r="121">
          <cell r="C121" t="str">
            <v>SBFE291080</v>
          </cell>
          <cell r="D121" t="str">
            <v>FEIRA DE SANTANA</v>
          </cell>
          <cell r="E121" t="str">
            <v>BA</v>
          </cell>
          <cell r="F121" t="str">
            <v>ü</v>
          </cell>
          <cell r="G121" t="str">
            <v>Adequação</v>
          </cell>
          <cell r="H121">
            <v>37425000</v>
          </cell>
          <cell r="I121">
            <v>37425000</v>
          </cell>
          <cell r="J121">
            <v>37425000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112275000</v>
          </cell>
          <cell r="AN121" t="str">
            <v>-</v>
          </cell>
          <cell r="AO121">
            <v>4</v>
          </cell>
          <cell r="AP121" t="str">
            <v>-</v>
          </cell>
          <cell r="AQ121" t="str">
            <v>-</v>
          </cell>
          <cell r="AR121">
            <v>2026</v>
          </cell>
          <cell r="AS121" t="str">
            <v>-</v>
          </cell>
          <cell r="AT121" t="str">
            <v>-</v>
          </cell>
          <cell r="AU121">
            <v>5</v>
          </cell>
          <cell r="AV121" t="str">
            <v>Fora - Resolvido</v>
          </cell>
        </row>
        <row r="122">
          <cell r="C122" t="str">
            <v>SJOG110002</v>
          </cell>
          <cell r="D122" t="str">
            <v>ARIQUEMES</v>
          </cell>
          <cell r="E122" t="str">
            <v>RO</v>
          </cell>
          <cell r="F122" t="str">
            <v>ü</v>
          </cell>
          <cell r="G122" t="str">
            <v>Adequação</v>
          </cell>
          <cell r="H122">
            <v>35301666.666666664</v>
          </cell>
          <cell r="I122">
            <v>35301666.666666664</v>
          </cell>
          <cell r="J122">
            <v>35301666.666666664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105905000</v>
          </cell>
          <cell r="AN122" t="str">
            <v>-</v>
          </cell>
          <cell r="AO122">
            <v>2</v>
          </cell>
          <cell r="AP122" t="str">
            <v>-</v>
          </cell>
          <cell r="AQ122" t="str">
            <v>-</v>
          </cell>
          <cell r="AR122">
            <v>2024</v>
          </cell>
          <cell r="AS122" t="str">
            <v>-</v>
          </cell>
          <cell r="AT122" t="str">
            <v>-</v>
          </cell>
          <cell r="AU122">
            <v>3</v>
          </cell>
          <cell r="AV122" t="str">
            <v>Pública</v>
          </cell>
        </row>
        <row r="123">
          <cell r="C123" t="str">
            <v>SNBN150170</v>
          </cell>
          <cell r="D123" t="str">
            <v>BRAGANÇA</v>
          </cell>
          <cell r="E123" t="str">
            <v>PA</v>
          </cell>
          <cell r="F123" t="str">
            <v>ü</v>
          </cell>
          <cell r="G123" t="str">
            <v>Adequação</v>
          </cell>
          <cell r="H123">
            <v>119927436.24666667</v>
          </cell>
          <cell r="I123">
            <v>119927436.24666667</v>
          </cell>
          <cell r="J123">
            <v>119927436.24666667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359782308.74000001</v>
          </cell>
          <cell r="AN123" t="str">
            <v>N</v>
          </cell>
          <cell r="AO123">
            <v>1</v>
          </cell>
          <cell r="AP123" t="str">
            <v>-</v>
          </cell>
          <cell r="AQ123">
            <v>2037</v>
          </cell>
          <cell r="AR123">
            <v>2027</v>
          </cell>
          <cell r="AS123" t="str">
            <v>-</v>
          </cell>
          <cell r="AT123">
            <v>3</v>
          </cell>
          <cell r="AU123">
            <v>2</v>
          </cell>
          <cell r="AV123" t="str">
            <v>Pública</v>
          </cell>
        </row>
        <row r="124">
          <cell r="C124" t="str">
            <v>SNBR290320</v>
          </cell>
          <cell r="D124" t="str">
            <v>BARREIRAS</v>
          </cell>
          <cell r="E124" t="str">
            <v>BA</v>
          </cell>
          <cell r="F124" t="str">
            <v>ü</v>
          </cell>
          <cell r="G124" t="str">
            <v>Adequação</v>
          </cell>
          <cell r="H124">
            <v>46155000</v>
          </cell>
          <cell r="I124">
            <v>46155000</v>
          </cell>
          <cell r="J124">
            <v>46155000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138465000</v>
          </cell>
          <cell r="AN124" t="str">
            <v>-</v>
          </cell>
          <cell r="AO124">
            <v>3</v>
          </cell>
          <cell r="AP124" t="str">
            <v>-</v>
          </cell>
          <cell r="AQ124" t="str">
            <v>-</v>
          </cell>
          <cell r="AR124">
            <v>2038</v>
          </cell>
          <cell r="AS124" t="str">
            <v>-</v>
          </cell>
          <cell r="AT124" t="str">
            <v>-</v>
          </cell>
          <cell r="AU124">
            <v>4</v>
          </cell>
          <cell r="AV124" t="str">
            <v>Pública</v>
          </cell>
        </row>
        <row r="125">
          <cell r="C125" t="str">
            <v>SNDB150619</v>
          </cell>
          <cell r="D125" t="str">
            <v>RURÓPOLIS</v>
          </cell>
          <cell r="E125" t="str">
            <v>PA</v>
          </cell>
          <cell r="F125" t="str">
            <v>ü</v>
          </cell>
          <cell r="G125" t="str">
            <v>Adequação</v>
          </cell>
          <cell r="H125">
            <v>122556769.57999998</v>
          </cell>
          <cell r="I125">
            <v>122556769.57999998</v>
          </cell>
          <cell r="J125">
            <v>122556769.57999998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367670308.73999995</v>
          </cell>
          <cell r="AN125" t="str">
            <v>N</v>
          </cell>
          <cell r="AO125">
            <v>1</v>
          </cell>
          <cell r="AP125" t="str">
            <v>-</v>
          </cell>
          <cell r="AQ125">
            <v>2034</v>
          </cell>
          <cell r="AR125">
            <v>2025</v>
          </cell>
          <cell r="AS125" t="str">
            <v>-</v>
          </cell>
          <cell r="AT125">
            <v>3</v>
          </cell>
          <cell r="AU125">
            <v>2</v>
          </cell>
          <cell r="AV125" t="str">
            <v>Pública</v>
          </cell>
        </row>
        <row r="126">
          <cell r="C126" t="str">
            <v>SNCZ315210</v>
          </cell>
          <cell r="D126" t="str">
            <v>PONTE NOVA</v>
          </cell>
          <cell r="E126" t="str">
            <v>MG</v>
          </cell>
          <cell r="F126" t="str">
            <v>ü</v>
          </cell>
          <cell r="G126" t="str">
            <v>Adequação</v>
          </cell>
          <cell r="H126">
            <v>31418333.333333332</v>
          </cell>
          <cell r="I126">
            <v>31418333.333333332</v>
          </cell>
          <cell r="J126">
            <v>31418333.333333332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94255000</v>
          </cell>
          <cell r="AN126" t="str">
            <v>-</v>
          </cell>
          <cell r="AO126">
            <v>2</v>
          </cell>
          <cell r="AP126" t="str">
            <v>-</v>
          </cell>
          <cell r="AQ126" t="str">
            <v>-</v>
          </cell>
          <cell r="AR126">
            <v>2024</v>
          </cell>
          <cell r="AS126" t="str">
            <v>-</v>
          </cell>
          <cell r="AT126" t="str">
            <v>-</v>
          </cell>
          <cell r="AU126">
            <v>3</v>
          </cell>
          <cell r="AV126" t="str">
            <v>Pública</v>
          </cell>
        </row>
        <row r="127">
          <cell r="C127" t="str">
            <v>SNLC150613</v>
          </cell>
          <cell r="D127" t="str">
            <v>REDENÇÃO</v>
          </cell>
          <cell r="E127" t="str">
            <v>PA</v>
          </cell>
          <cell r="F127" t="str">
            <v>ü</v>
          </cell>
          <cell r="G127" t="str">
            <v>Adequação</v>
          </cell>
          <cell r="H127">
            <v>14739000</v>
          </cell>
          <cell r="I127">
            <v>14739000</v>
          </cell>
          <cell r="J127">
            <v>14739000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44217000</v>
          </cell>
          <cell r="AN127" t="str">
            <v>N</v>
          </cell>
          <cell r="AO127">
            <v>1</v>
          </cell>
          <cell r="AP127" t="str">
            <v>-</v>
          </cell>
          <cell r="AQ127" t="str">
            <v>-</v>
          </cell>
          <cell r="AR127" t="str">
            <v>-</v>
          </cell>
          <cell r="AS127" t="str">
            <v>-</v>
          </cell>
          <cell r="AT127" t="str">
            <v>-</v>
          </cell>
          <cell r="AU127" t="str">
            <v>-</v>
          </cell>
          <cell r="AV127" t="str">
            <v>Privada</v>
          </cell>
        </row>
        <row r="128">
          <cell r="C128" t="str">
            <v>SNDV312230</v>
          </cell>
          <cell r="D128" t="str">
            <v>DIVINÓPOLIS</v>
          </cell>
          <cell r="E128" t="str">
            <v>MG</v>
          </cell>
          <cell r="F128" t="str">
            <v>ü</v>
          </cell>
          <cell r="G128" t="str">
            <v>Adequação</v>
          </cell>
          <cell r="H128">
            <v>40020000</v>
          </cell>
          <cell r="I128">
            <v>40020000</v>
          </cell>
          <cell r="J128">
            <v>40020000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120060000</v>
          </cell>
          <cell r="AN128" t="str">
            <v>-</v>
          </cell>
          <cell r="AO128">
            <v>3</v>
          </cell>
          <cell r="AP128" t="str">
            <v>-</v>
          </cell>
          <cell r="AQ128" t="str">
            <v>-</v>
          </cell>
          <cell r="AR128">
            <v>2050</v>
          </cell>
          <cell r="AS128" t="str">
            <v>-</v>
          </cell>
          <cell r="AT128" t="str">
            <v>-</v>
          </cell>
          <cell r="AU128">
            <v>4</v>
          </cell>
          <cell r="AV128" t="str">
            <v>Pública</v>
          </cell>
        </row>
        <row r="129">
          <cell r="C129" t="str">
            <v>SNEB150550</v>
          </cell>
          <cell r="D129" t="str">
            <v>PARAGOMINAS</v>
          </cell>
          <cell r="E129" t="str">
            <v>PA</v>
          </cell>
          <cell r="F129" t="str">
            <v>ü</v>
          </cell>
          <cell r="G129" t="str">
            <v>Adequação</v>
          </cell>
          <cell r="H129">
            <v>59995833.333333328</v>
          </cell>
          <cell r="I129">
            <v>59995833.333333328</v>
          </cell>
          <cell r="J129">
            <v>59995833.333333328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179987500</v>
          </cell>
          <cell r="AN129" t="str">
            <v>N</v>
          </cell>
          <cell r="AO129">
            <v>1</v>
          </cell>
          <cell r="AP129" t="str">
            <v>-</v>
          </cell>
          <cell r="AQ129">
            <v>2049</v>
          </cell>
          <cell r="AR129">
            <v>2034</v>
          </cell>
          <cell r="AS129" t="str">
            <v>-</v>
          </cell>
          <cell r="AT129">
            <v>3</v>
          </cell>
          <cell r="AU129">
            <v>2</v>
          </cell>
          <cell r="AV129" t="str">
            <v>Privada</v>
          </cell>
        </row>
        <row r="130">
          <cell r="C130" t="str">
            <v>SNFX150730</v>
          </cell>
          <cell r="D130" t="str">
            <v>SÃO FÉLIX DO XINGU</v>
          </cell>
          <cell r="E130" t="str">
            <v>PA</v>
          </cell>
          <cell r="F130" t="str">
            <v>ü</v>
          </cell>
          <cell r="G130" t="str">
            <v>Adequação</v>
          </cell>
          <cell r="H130">
            <v>15648500</v>
          </cell>
          <cell r="I130">
            <v>15648500</v>
          </cell>
          <cell r="J130">
            <v>15648500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46945500</v>
          </cell>
          <cell r="AN130" t="str">
            <v>N</v>
          </cell>
          <cell r="AO130">
            <v>1</v>
          </cell>
          <cell r="AP130" t="str">
            <v>-</v>
          </cell>
          <cell r="AQ130" t="str">
            <v>-</v>
          </cell>
          <cell r="AR130" t="str">
            <v>-</v>
          </cell>
          <cell r="AS130" t="str">
            <v>-</v>
          </cell>
          <cell r="AT130" t="str">
            <v>-</v>
          </cell>
          <cell r="AU130" t="str">
            <v>-</v>
          </cell>
          <cell r="AV130" t="str">
            <v>Privada</v>
          </cell>
        </row>
        <row r="131">
          <cell r="C131" t="str">
            <v>SNGI291170</v>
          </cell>
          <cell r="D131" t="str">
            <v>GUANAMBI</v>
          </cell>
          <cell r="E131" t="str">
            <v>BA</v>
          </cell>
          <cell r="F131" t="str">
            <v>ü</v>
          </cell>
          <cell r="G131" t="str">
            <v>Adequação</v>
          </cell>
          <cell r="H131">
            <v>34962500</v>
          </cell>
          <cell r="I131">
            <v>34962500</v>
          </cell>
          <cell r="J131">
            <v>34962500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104887500</v>
          </cell>
          <cell r="AN131" t="str">
            <v>NE e CO</v>
          </cell>
          <cell r="AO131">
            <v>2</v>
          </cell>
          <cell r="AP131" t="str">
            <v>-</v>
          </cell>
          <cell r="AQ131" t="str">
            <v>-</v>
          </cell>
          <cell r="AR131">
            <v>2027</v>
          </cell>
          <cell r="AS131" t="str">
            <v>-</v>
          </cell>
          <cell r="AT131" t="str">
            <v>-</v>
          </cell>
          <cell r="AU131">
            <v>3</v>
          </cell>
          <cell r="AV131" t="str">
            <v>Privada</v>
          </cell>
        </row>
        <row r="132">
          <cell r="C132" t="str">
            <v>SNHS261390</v>
          </cell>
          <cell r="D132" t="str">
            <v>SERRA TALHADA</v>
          </cell>
          <cell r="E132" t="str">
            <v>PE</v>
          </cell>
          <cell r="F132" t="str">
            <v>ü</v>
          </cell>
          <cell r="G132" t="str">
            <v>Adequação</v>
          </cell>
          <cell r="H132">
            <v>13805000</v>
          </cell>
          <cell r="I132">
            <v>13805000</v>
          </cell>
          <cell r="J132">
            <v>13805000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41415000</v>
          </cell>
          <cell r="AN132" t="str">
            <v>NE e CO</v>
          </cell>
          <cell r="AO132">
            <v>1</v>
          </cell>
          <cell r="AP132" t="str">
            <v>-</v>
          </cell>
          <cell r="AQ132" t="str">
            <v>-</v>
          </cell>
          <cell r="AR132" t="str">
            <v>-</v>
          </cell>
          <cell r="AS132" t="str">
            <v>-</v>
          </cell>
          <cell r="AT132" t="str">
            <v>-</v>
          </cell>
          <cell r="AU132" t="str">
            <v>-</v>
          </cell>
          <cell r="AV132" t="str">
            <v>Privada</v>
          </cell>
        </row>
        <row r="133">
          <cell r="C133" t="str">
            <v>SNIN150600</v>
          </cell>
          <cell r="D133" t="str">
            <v>PRAINHA</v>
          </cell>
          <cell r="E133" t="str">
            <v>PA</v>
          </cell>
          <cell r="F133" t="str">
            <v>ü</v>
          </cell>
          <cell r="G133" t="str">
            <v>Adequação</v>
          </cell>
          <cell r="H133">
            <v>72092217.399999991</v>
          </cell>
          <cell r="I133">
            <v>72092217.399999991</v>
          </cell>
          <cell r="J133">
            <v>72092217.399999991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216276652.19999999</v>
          </cell>
          <cell r="AN133" t="str">
            <v>-</v>
          </cell>
          <cell r="AO133">
            <v>1</v>
          </cell>
          <cell r="AP133" t="str">
            <v>-</v>
          </cell>
          <cell r="AQ133">
            <v>2041</v>
          </cell>
          <cell r="AR133">
            <v>2030</v>
          </cell>
          <cell r="AS133" t="str">
            <v>-</v>
          </cell>
          <cell r="AT133">
            <v>3</v>
          </cell>
          <cell r="AU133">
            <v>2</v>
          </cell>
          <cell r="AV133" t="str">
            <v>Pública</v>
          </cell>
        </row>
        <row r="134">
          <cell r="C134" t="str">
            <v>SNIG230550</v>
          </cell>
          <cell r="D134" t="str">
            <v>IGUATU</v>
          </cell>
          <cell r="E134" t="str">
            <v>CE</v>
          </cell>
          <cell r="F134" t="str">
            <v>ü</v>
          </cell>
          <cell r="G134" t="str">
            <v>Adequação</v>
          </cell>
          <cell r="H134">
            <v>44886666.666666664</v>
          </cell>
          <cell r="I134">
            <v>44886666.666666664</v>
          </cell>
          <cell r="J134">
            <v>44886666.666666664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134660000</v>
          </cell>
          <cell r="AN134" t="str">
            <v>-</v>
          </cell>
          <cell r="AO134">
            <v>3</v>
          </cell>
          <cell r="AP134" t="str">
            <v>-</v>
          </cell>
          <cell r="AQ134" t="str">
            <v>-</v>
          </cell>
          <cell r="AR134">
            <v>2044</v>
          </cell>
          <cell r="AS134" t="str">
            <v>-</v>
          </cell>
          <cell r="AT134" t="str">
            <v>-</v>
          </cell>
          <cell r="AU134">
            <v>4</v>
          </cell>
          <cell r="AV134" t="str">
            <v>Pública</v>
          </cell>
        </row>
        <row r="135">
          <cell r="C135" t="str">
            <v>SNLN320320</v>
          </cell>
          <cell r="D135" t="str">
            <v>LINHARES</v>
          </cell>
          <cell r="E135" t="str">
            <v>ES</v>
          </cell>
          <cell r="F135" t="str">
            <v>ü</v>
          </cell>
          <cell r="G135" t="str">
            <v>Adequação</v>
          </cell>
          <cell r="H135">
            <v>25001666.666666668</v>
          </cell>
          <cell r="I135">
            <v>25001666.666666668</v>
          </cell>
          <cell r="J135">
            <v>25001666.666666668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75005000</v>
          </cell>
          <cell r="AN135" t="str">
            <v>-</v>
          </cell>
          <cell r="AO135">
            <v>3</v>
          </cell>
          <cell r="AP135" t="str">
            <v>-</v>
          </cell>
          <cell r="AQ135" t="str">
            <v>-</v>
          </cell>
          <cell r="AR135" t="str">
            <v>-</v>
          </cell>
          <cell r="AS135" t="str">
            <v>-</v>
          </cell>
          <cell r="AT135" t="str">
            <v>-</v>
          </cell>
          <cell r="AU135" t="str">
            <v>-</v>
          </cell>
          <cell r="AV135" t="str">
            <v>Pública</v>
          </cell>
        </row>
        <row r="136">
          <cell r="C136" t="str">
            <v>SNMA150480</v>
          </cell>
          <cell r="D136" t="str">
            <v>MONTE ALEGRE</v>
          </cell>
          <cell r="E136" t="str">
            <v>PA</v>
          </cell>
          <cell r="F136" t="str">
            <v>ü</v>
          </cell>
          <cell r="G136" t="str">
            <v>Adequação</v>
          </cell>
          <cell r="H136">
            <v>10645000</v>
          </cell>
          <cell r="I136">
            <v>10645000</v>
          </cell>
          <cell r="J136">
            <v>10645000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31935000</v>
          </cell>
          <cell r="AN136" t="str">
            <v>-</v>
          </cell>
          <cell r="AO136">
            <v>1</v>
          </cell>
          <cell r="AP136" t="str">
            <v>-</v>
          </cell>
          <cell r="AQ136" t="str">
            <v>-</v>
          </cell>
          <cell r="AR136">
            <v>2042</v>
          </cell>
          <cell r="AS136" t="str">
            <v>-</v>
          </cell>
          <cell r="AT136" t="str">
            <v>-</v>
          </cell>
          <cell r="AU136">
            <v>2</v>
          </cell>
          <cell r="AV136" t="str">
            <v>Pública</v>
          </cell>
        </row>
        <row r="137">
          <cell r="C137" t="str">
            <v>SNOB231290</v>
          </cell>
          <cell r="D137" t="str">
            <v>SOBRAL</v>
          </cell>
          <cell r="E137" t="str">
            <v>CE</v>
          </cell>
          <cell r="F137" t="str">
            <v>ü</v>
          </cell>
          <cell r="G137" t="str">
            <v>Adequação</v>
          </cell>
          <cell r="H137">
            <v>30588333.333333332</v>
          </cell>
          <cell r="I137">
            <v>30588333.333333332</v>
          </cell>
          <cell r="J137">
            <v>30588333.333333332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91765000</v>
          </cell>
          <cell r="AN137" t="str">
            <v>-</v>
          </cell>
          <cell r="AO137">
            <v>4</v>
          </cell>
          <cell r="AP137" t="str">
            <v>-</v>
          </cell>
          <cell r="AQ137" t="str">
            <v>-</v>
          </cell>
          <cell r="AR137">
            <v>2038</v>
          </cell>
          <cell r="AS137" t="str">
            <v>-</v>
          </cell>
          <cell r="AT137" t="str">
            <v>-</v>
          </cell>
          <cell r="AU137">
            <v>5</v>
          </cell>
          <cell r="AV137" t="str">
            <v>Pública</v>
          </cell>
        </row>
        <row r="138">
          <cell r="C138" t="str">
            <v>SNPC220800</v>
          </cell>
          <cell r="D138" t="str">
            <v>PICOS</v>
          </cell>
          <cell r="E138" t="str">
            <v>PI</v>
          </cell>
          <cell r="F138" t="str">
            <v>ü</v>
          </cell>
          <cell r="G138" t="str">
            <v>Adequação</v>
          </cell>
          <cell r="H138">
            <v>12713333.333333334</v>
          </cell>
          <cell r="I138">
            <v>12713333.333333334</v>
          </cell>
          <cell r="J138">
            <v>12713333.333333334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38140000</v>
          </cell>
          <cell r="AN138" t="str">
            <v>-</v>
          </cell>
          <cell r="AO138">
            <v>1</v>
          </cell>
          <cell r="AP138" t="str">
            <v>-</v>
          </cell>
          <cell r="AQ138" t="str">
            <v>-</v>
          </cell>
          <cell r="AR138">
            <v>2035</v>
          </cell>
          <cell r="AS138" t="str">
            <v>-</v>
          </cell>
          <cell r="AT138" t="str">
            <v>-</v>
          </cell>
          <cell r="AU138">
            <v>2</v>
          </cell>
          <cell r="AV138" t="str">
            <v>Pública</v>
          </cell>
        </row>
        <row r="139">
          <cell r="C139" t="str">
            <v>SNRU260410</v>
          </cell>
          <cell r="D139" t="str">
            <v>CARUARU</v>
          </cell>
          <cell r="E139" t="str">
            <v>PE</v>
          </cell>
          <cell r="F139" t="str">
            <v>ü</v>
          </cell>
          <cell r="G139" t="str">
            <v>Adequação</v>
          </cell>
          <cell r="H139">
            <v>22506666.666666668</v>
          </cell>
          <cell r="I139">
            <v>22506666.666666668</v>
          </cell>
          <cell r="J139">
            <v>22506666.666666668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67520000</v>
          </cell>
          <cell r="AN139" t="str">
            <v>NE e CO</v>
          </cell>
          <cell r="AO139">
            <v>1</v>
          </cell>
          <cell r="AP139" t="str">
            <v>-</v>
          </cell>
          <cell r="AQ139">
            <v>2037</v>
          </cell>
          <cell r="AR139">
            <v>2024</v>
          </cell>
          <cell r="AS139" t="str">
            <v>-</v>
          </cell>
          <cell r="AT139">
            <v>3</v>
          </cell>
          <cell r="AU139">
            <v>2</v>
          </cell>
          <cell r="AV139" t="str">
            <v>Pública</v>
          </cell>
        </row>
        <row r="140">
          <cell r="C140" t="str">
            <v>SNSS315700</v>
          </cell>
          <cell r="D140" t="str">
            <v>SALINAS</v>
          </cell>
          <cell r="E140" t="str">
            <v>MG</v>
          </cell>
          <cell r="F140" t="str">
            <v>ü</v>
          </cell>
          <cell r="G140" t="str">
            <v>Adequação</v>
          </cell>
          <cell r="H140">
            <v>29686666.666666668</v>
          </cell>
          <cell r="I140">
            <v>29686666.666666668</v>
          </cell>
          <cell r="J140">
            <v>29686666.666666668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89060000</v>
          </cell>
          <cell r="AN140" t="str">
            <v>-</v>
          </cell>
          <cell r="AO140">
            <v>1</v>
          </cell>
          <cell r="AP140" t="str">
            <v>-</v>
          </cell>
          <cell r="AQ140">
            <v>2050</v>
          </cell>
          <cell r="AR140">
            <v>2029</v>
          </cell>
          <cell r="AS140" t="str">
            <v>-</v>
          </cell>
          <cell r="AT140">
            <v>3</v>
          </cell>
          <cell r="AU140">
            <v>2</v>
          </cell>
          <cell r="AV140" t="str">
            <v>Pública</v>
          </cell>
        </row>
        <row r="141">
          <cell r="C141" t="str">
            <v>SNTF293135</v>
          </cell>
          <cell r="D141" t="str">
            <v>TEIXEIRA DE FREITAS</v>
          </cell>
          <cell r="E141" t="str">
            <v>BA</v>
          </cell>
          <cell r="F141" t="str">
            <v>ü</v>
          </cell>
          <cell r="G141" t="str">
            <v>Adequação</v>
          </cell>
          <cell r="H141">
            <v>25400000</v>
          </cell>
          <cell r="I141">
            <v>25400000</v>
          </cell>
          <cell r="J141">
            <v>25400000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76200000</v>
          </cell>
          <cell r="AN141" t="str">
            <v>-</v>
          </cell>
          <cell r="AO141">
            <v>2</v>
          </cell>
          <cell r="AP141" t="str">
            <v>-</v>
          </cell>
          <cell r="AQ141" t="str">
            <v>-</v>
          </cell>
          <cell r="AR141">
            <v>2028</v>
          </cell>
          <cell r="AS141" t="str">
            <v>-</v>
          </cell>
          <cell r="AT141" t="str">
            <v>-</v>
          </cell>
          <cell r="AU141">
            <v>3</v>
          </cell>
          <cell r="AV141" t="str">
            <v>Pública</v>
          </cell>
        </row>
        <row r="142">
          <cell r="C142" t="str">
            <v>SNTI150510</v>
          </cell>
          <cell r="D142" t="str">
            <v>ÓBIDOS</v>
          </cell>
          <cell r="E142" t="str">
            <v>PA</v>
          </cell>
          <cell r="F142" t="str">
            <v>ü</v>
          </cell>
          <cell r="G142" t="str">
            <v>Adequação</v>
          </cell>
          <cell r="H142">
            <v>36660000</v>
          </cell>
          <cell r="I142">
            <v>36660000</v>
          </cell>
          <cell r="J142">
            <v>36660000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109980000</v>
          </cell>
          <cell r="AN142" t="str">
            <v>-</v>
          </cell>
          <cell r="AO142">
            <v>1</v>
          </cell>
          <cell r="AP142" t="str">
            <v>-</v>
          </cell>
          <cell r="AQ142">
            <v>2032</v>
          </cell>
          <cell r="AR142">
            <v>2024</v>
          </cell>
          <cell r="AS142" t="str">
            <v>-</v>
          </cell>
          <cell r="AT142">
            <v>3</v>
          </cell>
          <cell r="AU142">
            <v>2</v>
          </cell>
          <cell r="AV142" t="str">
            <v>Pública</v>
          </cell>
        </row>
        <row r="143">
          <cell r="C143" t="str">
            <v>SNTS251080</v>
          </cell>
          <cell r="D143" t="str">
            <v>PATOS</v>
          </cell>
          <cell r="E143" t="str">
            <v>PB</v>
          </cell>
          <cell r="F143" t="str">
            <v>ü</v>
          </cell>
          <cell r="G143" t="str">
            <v>Adequação</v>
          </cell>
          <cell r="H143">
            <v>44383333.333333336</v>
          </cell>
          <cell r="I143">
            <v>44383333.333333336</v>
          </cell>
          <cell r="J143">
            <v>44383333.333333336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133150000</v>
          </cell>
          <cell r="AN143" t="str">
            <v>-</v>
          </cell>
          <cell r="AO143">
            <v>3</v>
          </cell>
          <cell r="AP143" t="str">
            <v>-</v>
          </cell>
          <cell r="AQ143" t="str">
            <v>-</v>
          </cell>
          <cell r="AR143">
            <v>2052</v>
          </cell>
          <cell r="AS143" t="str">
            <v>-</v>
          </cell>
          <cell r="AT143" t="str">
            <v>-</v>
          </cell>
          <cell r="AU143">
            <v>4</v>
          </cell>
          <cell r="AV143" t="str">
            <v>Pública</v>
          </cell>
        </row>
        <row r="144">
          <cell r="C144" t="str">
            <v>SNVS150180</v>
          </cell>
          <cell r="D144" t="str">
            <v>BREVES</v>
          </cell>
          <cell r="E144" t="str">
            <v>PA</v>
          </cell>
          <cell r="F144" t="str">
            <v>ü</v>
          </cell>
          <cell r="G144" t="str">
            <v>Adequação</v>
          </cell>
          <cell r="H144">
            <v>17269166.666666668</v>
          </cell>
          <cell r="I144">
            <v>17269166.666666668</v>
          </cell>
          <cell r="J144">
            <v>17269166.666666668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51807500</v>
          </cell>
          <cell r="AN144" t="str">
            <v>N</v>
          </cell>
          <cell r="AO144">
            <v>1</v>
          </cell>
          <cell r="AP144" t="str">
            <v>-</v>
          </cell>
          <cell r="AQ144" t="str">
            <v>-</v>
          </cell>
          <cell r="AR144">
            <v>2032</v>
          </cell>
          <cell r="AS144" t="str">
            <v>-</v>
          </cell>
          <cell r="AT144" t="str">
            <v>-</v>
          </cell>
          <cell r="AU144">
            <v>2</v>
          </cell>
          <cell r="AV144" t="str">
            <v>Privada</v>
          </cell>
        </row>
        <row r="145">
          <cell r="C145" t="str">
            <v>SNXW150250</v>
          </cell>
          <cell r="D145" t="str">
            <v>CHAVES</v>
          </cell>
          <cell r="E145" t="str">
            <v>PA</v>
          </cell>
          <cell r="F145" t="str">
            <v>ü</v>
          </cell>
          <cell r="G145" t="str">
            <v>Adequação</v>
          </cell>
          <cell r="H145">
            <v>122556769.57999998</v>
          </cell>
          <cell r="I145">
            <v>122556769.57999998</v>
          </cell>
          <cell r="J145">
            <v>122556769.57999998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367670308.73999995</v>
          </cell>
          <cell r="AN145" t="str">
            <v>N</v>
          </cell>
          <cell r="AO145">
            <v>1</v>
          </cell>
          <cell r="AP145" t="str">
            <v>-</v>
          </cell>
          <cell r="AQ145">
            <v>2048</v>
          </cell>
          <cell r="AR145">
            <v>2031</v>
          </cell>
          <cell r="AS145" t="str">
            <v>-</v>
          </cell>
          <cell r="AT145">
            <v>3</v>
          </cell>
          <cell r="AU145">
            <v>2</v>
          </cell>
          <cell r="AV145" t="str">
            <v>Pública</v>
          </cell>
        </row>
        <row r="146">
          <cell r="C146" t="str">
            <v>SNZA315250</v>
          </cell>
          <cell r="D146" t="str">
            <v>POUSO ALEGRE</v>
          </cell>
          <cell r="E146" t="str">
            <v>MG</v>
          </cell>
          <cell r="F146" t="str">
            <v>ü</v>
          </cell>
          <cell r="G146" t="str">
            <v>Adequação</v>
          </cell>
          <cell r="H146">
            <v>38809333.333333336</v>
          </cell>
          <cell r="I146">
            <v>38809333.333333336</v>
          </cell>
          <cell r="J146">
            <v>38809333.333333336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116428000</v>
          </cell>
          <cell r="AN146" t="str">
            <v>S e SE</v>
          </cell>
          <cell r="AO146">
            <v>2</v>
          </cell>
          <cell r="AP146" t="str">
            <v>-</v>
          </cell>
          <cell r="AQ146" t="str">
            <v>-</v>
          </cell>
          <cell r="AR146">
            <v>2029</v>
          </cell>
          <cell r="AS146" t="str">
            <v>-</v>
          </cell>
          <cell r="AT146" t="str">
            <v>-</v>
          </cell>
          <cell r="AU146">
            <v>3</v>
          </cell>
          <cell r="AV146" t="str">
            <v>A definir</v>
          </cell>
        </row>
        <row r="147">
          <cell r="C147" t="str">
            <v>SNZR314700</v>
          </cell>
          <cell r="D147" t="str">
            <v>PARACATU</v>
          </cell>
          <cell r="E147" t="str">
            <v>MG</v>
          </cell>
          <cell r="F147" t="str">
            <v>ü</v>
          </cell>
          <cell r="G147" t="str">
            <v>Adequação</v>
          </cell>
          <cell r="H147">
            <v>12365000</v>
          </cell>
          <cell r="I147">
            <v>12365000</v>
          </cell>
          <cell r="J147">
            <v>12365000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37095000</v>
          </cell>
          <cell r="AN147" t="str">
            <v>-</v>
          </cell>
          <cell r="AO147">
            <v>1</v>
          </cell>
          <cell r="AP147" t="str">
            <v>-</v>
          </cell>
          <cell r="AQ147" t="str">
            <v>-</v>
          </cell>
          <cell r="AR147" t="str">
            <v>-</v>
          </cell>
          <cell r="AS147" t="str">
            <v>-</v>
          </cell>
          <cell r="AT147" t="str">
            <v>-</v>
          </cell>
          <cell r="AU147" t="str">
            <v>-</v>
          </cell>
          <cell r="AV147" t="str">
            <v>Fora - Resolvido</v>
          </cell>
        </row>
        <row r="148">
          <cell r="C148" t="str">
            <v>SBGU410940</v>
          </cell>
          <cell r="D148" t="str">
            <v>GUARAPUAVA</v>
          </cell>
          <cell r="E148" t="str">
            <v>PR</v>
          </cell>
          <cell r="F148" t="str">
            <v>ü</v>
          </cell>
          <cell r="G148" t="str">
            <v>Adequação</v>
          </cell>
          <cell r="H148">
            <v>31371166.666666668</v>
          </cell>
          <cell r="I148">
            <v>31371166.666666668</v>
          </cell>
          <cell r="J148">
            <v>31371166.666666668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94113500</v>
          </cell>
          <cell r="AN148" t="str">
            <v>S e SE</v>
          </cell>
          <cell r="AO148">
            <v>1</v>
          </cell>
          <cell r="AP148" t="str">
            <v>-</v>
          </cell>
          <cell r="AQ148">
            <v>2040</v>
          </cell>
          <cell r="AR148">
            <v>2025</v>
          </cell>
          <cell r="AS148" t="str">
            <v>-</v>
          </cell>
          <cell r="AT148">
            <v>3</v>
          </cell>
          <cell r="AU148">
            <v>2</v>
          </cell>
          <cell r="AV148" t="str">
            <v>Privada</v>
          </cell>
        </row>
        <row r="149">
          <cell r="C149" t="str">
            <v>SSKW110004</v>
          </cell>
          <cell r="D149" t="str">
            <v>CACOAL</v>
          </cell>
          <cell r="E149" t="str">
            <v>RO</v>
          </cell>
          <cell r="F149" t="str">
            <v>ü</v>
          </cell>
          <cell r="G149" t="str">
            <v>Adequação</v>
          </cell>
          <cell r="H149">
            <v>39879166.666666664</v>
          </cell>
          <cell r="I149">
            <v>39879166.666666664</v>
          </cell>
          <cell r="J149">
            <v>39879166.666666664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119637500</v>
          </cell>
          <cell r="AN149" t="str">
            <v>N</v>
          </cell>
          <cell r="AO149">
            <v>2</v>
          </cell>
          <cell r="AP149" t="str">
            <v>-</v>
          </cell>
          <cell r="AQ149" t="str">
            <v>-</v>
          </cell>
          <cell r="AR149">
            <v>2025</v>
          </cell>
          <cell r="AS149" t="str">
            <v>-</v>
          </cell>
          <cell r="AT149" t="str">
            <v>-</v>
          </cell>
          <cell r="AU149">
            <v>3</v>
          </cell>
          <cell r="AV149" t="str">
            <v>Privada</v>
          </cell>
        </row>
        <row r="150">
          <cell r="C150" t="str">
            <v>N513510140</v>
          </cell>
          <cell r="D150" t="str">
            <v>ARIPUANÃ</v>
          </cell>
          <cell r="E150" t="str">
            <v>MT</v>
          </cell>
          <cell r="F150" t="str">
            <v>ü</v>
          </cell>
          <cell r="G150" t="str">
            <v>Adequação</v>
          </cell>
          <cell r="H150">
            <v>20622500</v>
          </cell>
          <cell r="I150">
            <v>20622500</v>
          </cell>
          <cell r="J150">
            <v>20622500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61867500</v>
          </cell>
          <cell r="AN150" t="str">
            <v>NE e CO</v>
          </cell>
          <cell r="AO150">
            <v>1</v>
          </cell>
          <cell r="AP150" t="str">
            <v>-</v>
          </cell>
          <cell r="AQ150" t="str">
            <v>-</v>
          </cell>
          <cell r="AR150" t="str">
            <v>-</v>
          </cell>
          <cell r="AS150" t="str">
            <v>-</v>
          </cell>
          <cell r="AT150" t="str">
            <v>-</v>
          </cell>
          <cell r="AU150" t="str">
            <v>-</v>
          </cell>
          <cell r="AV150" t="str">
            <v>Privada</v>
          </cell>
        </row>
        <row r="151">
          <cell r="C151" t="str">
            <v>SBVC293330</v>
          </cell>
          <cell r="D151" t="str">
            <v>VITÓRIA DA CONQUISTA</v>
          </cell>
          <cell r="E151" t="str">
            <v>BA</v>
          </cell>
          <cell r="F151" t="str">
            <v>ü</v>
          </cell>
          <cell r="G151" t="str">
            <v>Adequação</v>
          </cell>
          <cell r="H151">
            <v>79121666.666666672</v>
          </cell>
          <cell r="I151">
            <v>79121666.666666672</v>
          </cell>
          <cell r="J151">
            <v>79121666.666666672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237365000</v>
          </cell>
          <cell r="AN151" t="str">
            <v>-</v>
          </cell>
          <cell r="AO151">
            <v>4</v>
          </cell>
          <cell r="AP151" t="str">
            <v>-</v>
          </cell>
          <cell r="AQ151">
            <v>2052</v>
          </cell>
          <cell r="AR151">
            <v>2024</v>
          </cell>
          <cell r="AS151" t="str">
            <v>-</v>
          </cell>
          <cell r="AT151">
            <v>6</v>
          </cell>
          <cell r="AU151">
            <v>5</v>
          </cell>
          <cell r="AV151" t="str">
            <v>Fora - Resolvido</v>
          </cell>
        </row>
        <row r="152">
          <cell r="C152" t="str">
            <v>SWBR130080</v>
          </cell>
          <cell r="D152" t="str">
            <v>BORBA</v>
          </cell>
          <cell r="E152" t="str">
            <v>AM</v>
          </cell>
          <cell r="F152" t="str">
            <v>ü</v>
          </cell>
          <cell r="G152" t="str">
            <v>Adequação</v>
          </cell>
          <cell r="H152">
            <v>18025666.666666668</v>
          </cell>
          <cell r="I152">
            <v>18025666.666666668</v>
          </cell>
          <cell r="J152">
            <v>18025666.666666668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54077000</v>
          </cell>
          <cell r="AN152" t="str">
            <v>N</v>
          </cell>
          <cell r="AO152">
            <v>1</v>
          </cell>
          <cell r="AP152" t="str">
            <v>-</v>
          </cell>
          <cell r="AQ152" t="str">
            <v>-</v>
          </cell>
          <cell r="AR152" t="str">
            <v>-</v>
          </cell>
          <cell r="AS152" t="str">
            <v>-</v>
          </cell>
          <cell r="AT152" t="str">
            <v>-</v>
          </cell>
          <cell r="AU152" t="str">
            <v>-</v>
          </cell>
          <cell r="AV152" t="str">
            <v>Privada</v>
          </cell>
        </row>
        <row r="153">
          <cell r="C153" t="str">
            <v>SWCA130100</v>
          </cell>
          <cell r="D153" t="str">
            <v>CARAUARI</v>
          </cell>
          <cell r="E153" t="str">
            <v>AM</v>
          </cell>
          <cell r="F153" t="str">
            <v>ü</v>
          </cell>
          <cell r="G153" t="str">
            <v>Adequação</v>
          </cell>
          <cell r="H153">
            <v>21907333.333333332</v>
          </cell>
          <cell r="I153">
            <v>21907333.333333332</v>
          </cell>
          <cell r="J153">
            <v>21907333.333333332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65722000</v>
          </cell>
          <cell r="AN153" t="str">
            <v>N</v>
          </cell>
          <cell r="AO153">
            <v>1</v>
          </cell>
          <cell r="AP153" t="str">
            <v>-</v>
          </cell>
          <cell r="AQ153" t="str">
            <v>-</v>
          </cell>
          <cell r="AR153">
            <v>2029</v>
          </cell>
          <cell r="AS153" t="str">
            <v>-</v>
          </cell>
          <cell r="AT153" t="str">
            <v>-</v>
          </cell>
          <cell r="AU153">
            <v>2</v>
          </cell>
          <cell r="AV153" t="str">
            <v>Privada</v>
          </cell>
        </row>
        <row r="154">
          <cell r="C154" t="str">
            <v>SWEI130140</v>
          </cell>
          <cell r="D154" t="str">
            <v>EIRUNEPÉ</v>
          </cell>
          <cell r="E154" t="str">
            <v>AM</v>
          </cell>
          <cell r="F154" t="str">
            <v>ü</v>
          </cell>
          <cell r="G154" t="str">
            <v>Adequação</v>
          </cell>
          <cell r="H154">
            <v>12367500</v>
          </cell>
          <cell r="I154">
            <v>12367500</v>
          </cell>
          <cell r="J154">
            <v>12367500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37102500</v>
          </cell>
          <cell r="AN154" t="str">
            <v>N</v>
          </cell>
          <cell r="AO154">
            <v>1</v>
          </cell>
          <cell r="AP154" t="str">
            <v>-</v>
          </cell>
          <cell r="AQ154" t="str">
            <v>-</v>
          </cell>
          <cell r="AR154">
            <v>2051</v>
          </cell>
          <cell r="AS154" t="str">
            <v>-</v>
          </cell>
          <cell r="AT154" t="str">
            <v>-</v>
          </cell>
          <cell r="AU154">
            <v>2</v>
          </cell>
          <cell r="AV154" t="str">
            <v>Privada</v>
          </cell>
        </row>
        <row r="155">
          <cell r="C155" t="str">
            <v>SWEK510270</v>
          </cell>
          <cell r="D155" t="str">
            <v>CANARANA</v>
          </cell>
          <cell r="E155" t="str">
            <v>MT</v>
          </cell>
          <cell r="F155" t="str">
            <v>ü</v>
          </cell>
          <cell r="G155" t="str">
            <v>Adequação</v>
          </cell>
          <cell r="H155">
            <v>29264563.02</v>
          </cell>
          <cell r="I155">
            <v>29264563.02</v>
          </cell>
          <cell r="J155">
            <v>29264563.02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87793689.060000002</v>
          </cell>
          <cell r="AN155" t="str">
            <v>NE e CO</v>
          </cell>
          <cell r="AO155">
            <v>1</v>
          </cell>
          <cell r="AP155" t="str">
            <v>-</v>
          </cell>
          <cell r="AQ155" t="str">
            <v>-</v>
          </cell>
          <cell r="AR155">
            <v>2030</v>
          </cell>
          <cell r="AS155" t="str">
            <v>-</v>
          </cell>
          <cell r="AT155" t="str">
            <v>-</v>
          </cell>
          <cell r="AU155">
            <v>2</v>
          </cell>
          <cell r="AV155" t="str">
            <v>Privada</v>
          </cell>
        </row>
        <row r="156">
          <cell r="C156" t="str">
            <v>SWGN170210</v>
          </cell>
          <cell r="D156" t="str">
            <v>ARAGUAÍNA</v>
          </cell>
          <cell r="E156" t="str">
            <v>TO</v>
          </cell>
          <cell r="F156" t="str">
            <v>ü</v>
          </cell>
          <cell r="G156" t="str">
            <v>Adequação</v>
          </cell>
          <cell r="H156">
            <v>32387500</v>
          </cell>
          <cell r="I156">
            <v>32387500</v>
          </cell>
          <cell r="J156">
            <v>32387500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97162500</v>
          </cell>
          <cell r="AN156" t="str">
            <v>NE e CO</v>
          </cell>
          <cell r="AO156">
            <v>1</v>
          </cell>
          <cell r="AP156" t="str">
            <v>-</v>
          </cell>
          <cell r="AQ156">
            <v>2038</v>
          </cell>
          <cell r="AR156">
            <v>2024</v>
          </cell>
          <cell r="AS156" t="str">
            <v>-</v>
          </cell>
          <cell r="AT156">
            <v>3</v>
          </cell>
          <cell r="AU156">
            <v>2</v>
          </cell>
          <cell r="AV156" t="str">
            <v>Privada</v>
          </cell>
        </row>
        <row r="157">
          <cell r="C157" t="str">
            <v>SWJN510515</v>
          </cell>
          <cell r="D157" t="str">
            <v>JUÍNA</v>
          </cell>
          <cell r="E157" t="str">
            <v>MT</v>
          </cell>
          <cell r="F157" t="str">
            <v>ü</v>
          </cell>
          <cell r="G157" t="str">
            <v>Adequação</v>
          </cell>
          <cell r="H157">
            <v>3517500</v>
          </cell>
          <cell r="I157">
            <v>3517500</v>
          </cell>
          <cell r="J157">
            <v>3517500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10552500</v>
          </cell>
          <cell r="AN157" t="str">
            <v>NE e CO</v>
          </cell>
          <cell r="AO157">
            <v>0</v>
          </cell>
          <cell r="AP157" t="str">
            <v>-</v>
          </cell>
          <cell r="AQ157" t="str">
            <v>-</v>
          </cell>
          <cell r="AR157" t="str">
            <v>-</v>
          </cell>
          <cell r="AS157" t="str">
            <v>-</v>
          </cell>
          <cell r="AT157" t="str">
            <v>-</v>
          </cell>
          <cell r="AU157" t="str">
            <v>-</v>
          </cell>
          <cell r="AV157" t="str">
            <v>Privada</v>
          </cell>
        </row>
        <row r="158">
          <cell r="C158" t="str">
            <v>SWKC510250</v>
          </cell>
          <cell r="D158" t="str">
            <v>CÁCERES</v>
          </cell>
          <cell r="E158" t="str">
            <v>MT</v>
          </cell>
          <cell r="F158" t="str">
            <v>ü</v>
          </cell>
          <cell r="G158" t="str">
            <v>Adequação</v>
          </cell>
          <cell r="H158">
            <v>9862500</v>
          </cell>
          <cell r="I158">
            <v>9862500</v>
          </cell>
          <cell r="J158">
            <v>9862500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29587500</v>
          </cell>
          <cell r="AN158" t="str">
            <v>NE e CO</v>
          </cell>
          <cell r="AO158">
            <v>1</v>
          </cell>
          <cell r="AP158" t="str">
            <v>-</v>
          </cell>
          <cell r="AQ158" t="str">
            <v>-</v>
          </cell>
          <cell r="AR158" t="str">
            <v>-</v>
          </cell>
          <cell r="AS158" t="str">
            <v>-</v>
          </cell>
          <cell r="AT158" t="str">
            <v>-</v>
          </cell>
          <cell r="AU158" t="str">
            <v>-</v>
          </cell>
          <cell r="AV158" t="str">
            <v>Privada</v>
          </cell>
        </row>
        <row r="159">
          <cell r="C159" t="str">
            <v>SWKO130120</v>
          </cell>
          <cell r="D159" t="str">
            <v>COARI</v>
          </cell>
          <cell r="E159" t="str">
            <v>AM</v>
          </cell>
          <cell r="F159" t="str">
            <v>ü</v>
          </cell>
          <cell r="G159" t="str">
            <v>Adequação</v>
          </cell>
          <cell r="H159">
            <v>17558333.333333332</v>
          </cell>
          <cell r="I159">
            <v>17558333.333333332</v>
          </cell>
          <cell r="J159">
            <v>17558333.333333332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52675000</v>
          </cell>
          <cell r="AN159" t="str">
            <v>-</v>
          </cell>
          <cell r="AO159">
            <v>3</v>
          </cell>
          <cell r="AP159" t="str">
            <v>-</v>
          </cell>
          <cell r="AQ159" t="str">
            <v>-</v>
          </cell>
          <cell r="AR159" t="str">
            <v>-</v>
          </cell>
          <cell r="AS159" t="str">
            <v>-</v>
          </cell>
          <cell r="AT159" t="str">
            <v>-</v>
          </cell>
          <cell r="AU159" t="str">
            <v>-</v>
          </cell>
          <cell r="AV159" t="str">
            <v>Pública</v>
          </cell>
        </row>
        <row r="160">
          <cell r="C160" t="str">
            <v>SWKQ221060</v>
          </cell>
          <cell r="D160" t="str">
            <v>SÃO RAIMUNDO NONATO</v>
          </cell>
          <cell r="E160" t="str">
            <v>PI</v>
          </cell>
          <cell r="F160" t="str">
            <v>ü</v>
          </cell>
          <cell r="G160" t="str">
            <v>Adequação</v>
          </cell>
          <cell r="H160">
            <v>4842500</v>
          </cell>
          <cell r="I160">
            <v>4842500</v>
          </cell>
          <cell r="J160">
            <v>4842500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14527500</v>
          </cell>
          <cell r="AN160" t="str">
            <v>NE e CO</v>
          </cell>
          <cell r="AO160">
            <v>1</v>
          </cell>
          <cell r="AP160" t="str">
            <v>-</v>
          </cell>
          <cell r="AQ160" t="str">
            <v>-</v>
          </cell>
          <cell r="AR160">
            <v>2029</v>
          </cell>
          <cell r="AS160" t="str">
            <v>-</v>
          </cell>
          <cell r="AT160" t="str">
            <v>-</v>
          </cell>
          <cell r="AU160">
            <v>2</v>
          </cell>
          <cell r="AV160" t="str">
            <v>Privada</v>
          </cell>
        </row>
        <row r="161">
          <cell r="C161" t="str">
            <v>SWLB130240</v>
          </cell>
          <cell r="D161" t="str">
            <v>LÁBREA</v>
          </cell>
          <cell r="E161" t="str">
            <v>AM</v>
          </cell>
          <cell r="F161" t="str">
            <v>ü</v>
          </cell>
          <cell r="G161" t="str">
            <v>Adequação</v>
          </cell>
          <cell r="H161">
            <v>18762333.333333332</v>
          </cell>
          <cell r="I161">
            <v>18762333.333333332</v>
          </cell>
          <cell r="J161">
            <v>18762333.333333332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56287000</v>
          </cell>
          <cell r="AN161" t="str">
            <v>N</v>
          </cell>
          <cell r="AO161">
            <v>1</v>
          </cell>
          <cell r="AP161" t="str">
            <v>-</v>
          </cell>
          <cell r="AQ161" t="str">
            <v>-</v>
          </cell>
          <cell r="AR161" t="str">
            <v>-</v>
          </cell>
          <cell r="AS161" t="str">
            <v>-</v>
          </cell>
          <cell r="AT161" t="str">
            <v>-</v>
          </cell>
          <cell r="AU161" t="str">
            <v>-</v>
          </cell>
          <cell r="AV161" t="str">
            <v>Privada</v>
          </cell>
        </row>
        <row r="162">
          <cell r="C162" t="str">
            <v>SWLC521880</v>
          </cell>
          <cell r="D162" t="str">
            <v>RIO VERDE</v>
          </cell>
          <cell r="E162" t="str">
            <v>GO</v>
          </cell>
          <cell r="F162" t="str">
            <v>ü</v>
          </cell>
          <cell r="G162" t="str">
            <v>Adequação</v>
          </cell>
          <cell r="H162">
            <v>39932500</v>
          </cell>
          <cell r="I162">
            <v>39932500</v>
          </cell>
          <cell r="J162">
            <v>39932500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119797500</v>
          </cell>
          <cell r="AN162" t="str">
            <v>NE e CO</v>
          </cell>
          <cell r="AO162">
            <v>2</v>
          </cell>
          <cell r="AP162" t="str">
            <v>-</v>
          </cell>
          <cell r="AQ162" t="str">
            <v>-</v>
          </cell>
          <cell r="AR162">
            <v>2026</v>
          </cell>
          <cell r="AS162" t="str">
            <v>-</v>
          </cell>
          <cell r="AT162" t="str">
            <v>-</v>
          </cell>
          <cell r="AU162">
            <v>3</v>
          </cell>
          <cell r="AV162" t="str">
            <v>Pública</v>
          </cell>
        </row>
        <row r="163">
          <cell r="C163" t="str">
            <v>SWMW130290</v>
          </cell>
          <cell r="D163" t="str">
            <v>MAUÉS</v>
          </cell>
          <cell r="E163" t="str">
            <v>AM</v>
          </cell>
          <cell r="F163" t="str">
            <v>ü</v>
          </cell>
          <cell r="G163" t="str">
            <v>Adequação</v>
          </cell>
          <cell r="H163">
            <v>4737333.333333333</v>
          </cell>
          <cell r="I163">
            <v>4737333.333333333</v>
          </cell>
          <cell r="J163">
            <v>4737333.333333333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14212000</v>
          </cell>
          <cell r="AN163" t="str">
            <v>N</v>
          </cell>
          <cell r="AO163">
            <v>0</v>
          </cell>
          <cell r="AP163" t="str">
            <v>-</v>
          </cell>
          <cell r="AQ163" t="str">
            <v>-</v>
          </cell>
          <cell r="AR163" t="str">
            <v>-</v>
          </cell>
          <cell r="AS163" t="str">
            <v>-</v>
          </cell>
          <cell r="AT163" t="str">
            <v>-</v>
          </cell>
          <cell r="AU163" t="str">
            <v>-</v>
          </cell>
          <cell r="AV163" t="str">
            <v>Privada</v>
          </cell>
        </row>
        <row r="164">
          <cell r="C164" t="str">
            <v>SWPI130340</v>
          </cell>
          <cell r="D164" t="str">
            <v>PARINTINS</v>
          </cell>
          <cell r="E164" t="str">
            <v>AM</v>
          </cell>
          <cell r="F164" t="str">
            <v>ü</v>
          </cell>
          <cell r="G164" t="str">
            <v>Adequação</v>
          </cell>
          <cell r="H164">
            <v>38207500</v>
          </cell>
          <cell r="I164">
            <v>38207500</v>
          </cell>
          <cell r="J164">
            <v>38207500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114622500</v>
          </cell>
          <cell r="AN164" t="str">
            <v>N</v>
          </cell>
          <cell r="AO164">
            <v>3</v>
          </cell>
          <cell r="AP164" t="str">
            <v>-</v>
          </cell>
          <cell r="AQ164" t="str">
            <v>-</v>
          </cell>
          <cell r="AR164" t="str">
            <v>-</v>
          </cell>
          <cell r="AS164" t="str">
            <v>-</v>
          </cell>
          <cell r="AT164" t="str">
            <v>-</v>
          </cell>
          <cell r="AU164" t="str">
            <v>-</v>
          </cell>
          <cell r="AV164" t="str">
            <v>Privada</v>
          </cell>
        </row>
        <row r="165">
          <cell r="C165" t="str">
            <v>SWTS510795</v>
          </cell>
          <cell r="D165" t="str">
            <v>TANGARÁ DA SERRA</v>
          </cell>
          <cell r="E165" t="str">
            <v>MT</v>
          </cell>
          <cell r="F165" t="str">
            <v>ü</v>
          </cell>
          <cell r="G165" t="str">
            <v>Adequação</v>
          </cell>
          <cell r="H165">
            <v>18640000</v>
          </cell>
          <cell r="I165">
            <v>18640000</v>
          </cell>
          <cell r="J165">
            <v>18640000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55920000</v>
          </cell>
          <cell r="AN165" t="str">
            <v>NE e CO</v>
          </cell>
          <cell r="AO165">
            <v>1</v>
          </cell>
          <cell r="AP165" t="str">
            <v>-</v>
          </cell>
          <cell r="AQ165" t="str">
            <v>-</v>
          </cell>
          <cell r="AR165">
            <v>2032</v>
          </cell>
          <cell r="AS165" t="str">
            <v>-</v>
          </cell>
          <cell r="AT165" t="str">
            <v>-</v>
          </cell>
          <cell r="AU165">
            <v>2</v>
          </cell>
          <cell r="AV165" t="str">
            <v>Privada</v>
          </cell>
        </row>
        <row r="166">
          <cell r="C166" t="str">
            <v>SWUA522020</v>
          </cell>
          <cell r="D166" t="str">
            <v>SÃO MIGUEL DO ARAGUAIA</v>
          </cell>
          <cell r="E166" t="str">
            <v>GO</v>
          </cell>
          <cell r="F166" t="str">
            <v>ü</v>
          </cell>
          <cell r="G166" t="str">
            <v>Adequação</v>
          </cell>
          <cell r="H166">
            <v>18342500</v>
          </cell>
          <cell r="I166">
            <v>18342500</v>
          </cell>
          <cell r="J166">
            <v>18342500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55027500</v>
          </cell>
          <cell r="AN166" t="str">
            <v>NE e CO</v>
          </cell>
          <cell r="AO166">
            <v>1</v>
          </cell>
          <cell r="AP166" t="str">
            <v>-</v>
          </cell>
          <cell r="AQ166" t="str">
            <v>-</v>
          </cell>
          <cell r="AR166" t="str">
            <v>-</v>
          </cell>
          <cell r="AS166" t="str">
            <v>-</v>
          </cell>
          <cell r="AT166" t="str">
            <v>-</v>
          </cell>
          <cell r="AU166" t="str">
            <v>-</v>
          </cell>
          <cell r="AV166" t="str">
            <v>Privada</v>
          </cell>
        </row>
        <row r="167">
          <cell r="C167" t="str">
            <v>SWWK130430</v>
          </cell>
          <cell r="D167" t="str">
            <v>URUCARÁ</v>
          </cell>
          <cell r="E167" t="str">
            <v>AM</v>
          </cell>
          <cell r="F167" t="str">
            <v>ü</v>
          </cell>
          <cell r="G167" t="str">
            <v>Adequação</v>
          </cell>
          <cell r="H167">
            <v>34495338.089333333</v>
          </cell>
          <cell r="I167">
            <v>34495338.089333333</v>
          </cell>
          <cell r="J167">
            <v>34495338.089333333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103486014.26800001</v>
          </cell>
          <cell r="AN167" t="str">
            <v>N</v>
          </cell>
          <cell r="AO167">
            <v>1</v>
          </cell>
          <cell r="AP167" t="str">
            <v>-</v>
          </cell>
          <cell r="AQ167" t="str">
            <v>-</v>
          </cell>
          <cell r="AR167" t="str">
            <v>-</v>
          </cell>
          <cell r="AS167" t="str">
            <v>-</v>
          </cell>
          <cell r="AT167" t="str">
            <v>-</v>
          </cell>
          <cell r="AU167" t="str">
            <v>-</v>
          </cell>
          <cell r="AV167" t="str">
            <v>Pública</v>
          </cell>
        </row>
        <row r="168">
          <cell r="C168" t="str">
            <v>N275270450</v>
          </cell>
          <cell r="D168" t="str">
            <v>MARAGOGI</v>
          </cell>
          <cell r="E168" t="str">
            <v>AL</v>
          </cell>
          <cell r="F168" t="str">
            <v>ü</v>
          </cell>
          <cell r="G168" t="str">
            <v>Adequação</v>
          </cell>
          <cell r="H168">
            <v>141265771.94999999</v>
          </cell>
          <cell r="I168">
            <v>141265771.94999999</v>
          </cell>
          <cell r="J168">
            <v>141265771.94999999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423797315.84999996</v>
          </cell>
          <cell r="AN168" t="str">
            <v>NE e CO</v>
          </cell>
          <cell r="AO168">
            <v>3</v>
          </cell>
          <cell r="AP168" t="str">
            <v>-</v>
          </cell>
          <cell r="AQ168" t="str">
            <v>-</v>
          </cell>
          <cell r="AR168">
            <v>2032</v>
          </cell>
          <cell r="AS168" t="str">
            <v>-</v>
          </cell>
          <cell r="AT168" t="str">
            <v>-</v>
          </cell>
          <cell r="AU168">
            <v>4</v>
          </cell>
          <cell r="AV168" t="str">
            <v>Pública</v>
          </cell>
        </row>
        <row r="169">
          <cell r="C169" t="str">
            <v>N707171270</v>
          </cell>
          <cell r="D169" t="str">
            <v>MATEIROS</v>
          </cell>
          <cell r="E169" t="str">
            <v>TO</v>
          </cell>
          <cell r="F169" t="str">
            <v>ü</v>
          </cell>
          <cell r="G169" t="str">
            <v>Adequação</v>
          </cell>
          <cell r="H169">
            <v>101518326.09999999</v>
          </cell>
          <cell r="I169">
            <v>101518326.09999999</v>
          </cell>
          <cell r="J169">
            <v>101518326.09999999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304554978.29999995</v>
          </cell>
          <cell r="AN169" t="str">
            <v>NE e CO</v>
          </cell>
          <cell r="AO169">
            <v>1</v>
          </cell>
          <cell r="AP169" t="str">
            <v>-</v>
          </cell>
          <cell r="AQ169">
            <v>2046</v>
          </cell>
          <cell r="AR169">
            <v>2031</v>
          </cell>
          <cell r="AS169" t="str">
            <v>-</v>
          </cell>
          <cell r="AT169">
            <v>3</v>
          </cell>
          <cell r="AU169">
            <v>2</v>
          </cell>
          <cell r="AV169" t="str">
            <v>Pública</v>
          </cell>
        </row>
        <row r="170">
          <cell r="C170" t="str">
            <v>SDXF520060</v>
          </cell>
          <cell r="D170" t="str">
            <v>ALTO PARAÍSO DE GOIÁS</v>
          </cell>
          <cell r="E170" t="str">
            <v>GO</v>
          </cell>
          <cell r="F170" t="str">
            <v>ü</v>
          </cell>
          <cell r="G170" t="str">
            <v>Adequação</v>
          </cell>
          <cell r="H170">
            <v>18147500</v>
          </cell>
          <cell r="I170">
            <v>18147500</v>
          </cell>
          <cell r="J170">
            <v>18147500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54442500</v>
          </cell>
          <cell r="AN170" t="str">
            <v>NE e CO</v>
          </cell>
          <cell r="AO170">
            <v>1</v>
          </cell>
          <cell r="AP170" t="str">
            <v>-</v>
          </cell>
          <cell r="AQ170" t="str">
            <v>-</v>
          </cell>
          <cell r="AR170" t="str">
            <v>-</v>
          </cell>
          <cell r="AS170" t="str">
            <v>-</v>
          </cell>
          <cell r="AT170" t="str">
            <v>-</v>
          </cell>
          <cell r="AU170" t="str">
            <v>-</v>
          </cell>
          <cell r="AV170" t="str">
            <v>Privada</v>
          </cell>
        </row>
        <row r="171">
          <cell r="C171" t="str">
            <v>SBST351870</v>
          </cell>
          <cell r="D171" t="str">
            <v>GUARUJÁ</v>
          </cell>
          <cell r="E171" t="str">
            <v>SP</v>
          </cell>
          <cell r="F171" t="str">
            <v>ü</v>
          </cell>
          <cell r="G171" t="str">
            <v>Adequação</v>
          </cell>
          <cell r="H171">
            <v>48115166.666666664</v>
          </cell>
          <cell r="I171">
            <v>48115166.666666664</v>
          </cell>
          <cell r="J171">
            <v>48115166.666666664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144345500</v>
          </cell>
          <cell r="AN171" t="str">
            <v>S e SE</v>
          </cell>
          <cell r="AO171">
            <v>3</v>
          </cell>
          <cell r="AP171" t="str">
            <v>-</v>
          </cell>
          <cell r="AQ171" t="str">
            <v>-</v>
          </cell>
          <cell r="AR171">
            <v>2041</v>
          </cell>
          <cell r="AS171" t="str">
            <v>-</v>
          </cell>
          <cell r="AT171" t="str">
            <v>-</v>
          </cell>
          <cell r="AU171">
            <v>4</v>
          </cell>
          <cell r="AV171" t="str">
            <v>Privada</v>
          </cell>
        </row>
        <row r="172">
          <cell r="C172" t="str">
            <v>SDAG330010</v>
          </cell>
          <cell r="D172" t="str">
            <v>ANGRA DOS REIS</v>
          </cell>
          <cell r="E172" t="str">
            <v>RJ</v>
          </cell>
          <cell r="F172" t="str">
            <v>ü</v>
          </cell>
          <cell r="G172" t="str">
            <v>Adequação</v>
          </cell>
          <cell r="H172">
            <v>22730000</v>
          </cell>
          <cell r="I172">
            <v>22730000</v>
          </cell>
          <cell r="J172">
            <v>22730000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68190000</v>
          </cell>
          <cell r="AN172" t="str">
            <v>-</v>
          </cell>
          <cell r="AO172">
            <v>3</v>
          </cell>
          <cell r="AP172" t="str">
            <v>-</v>
          </cell>
          <cell r="AQ172" t="str">
            <v>-</v>
          </cell>
          <cell r="AR172" t="str">
            <v>-</v>
          </cell>
          <cell r="AS172" t="str">
            <v>-</v>
          </cell>
          <cell r="AT172" t="str">
            <v>-</v>
          </cell>
          <cell r="AU172" t="str">
            <v>-</v>
          </cell>
          <cell r="AV172" t="str">
            <v>Fora - Resolvido</v>
          </cell>
        </row>
        <row r="173">
          <cell r="C173" t="str">
            <v>SDUB355540</v>
          </cell>
          <cell r="D173" t="str">
            <v>UBATUBA</v>
          </cell>
          <cell r="E173" t="str">
            <v>SP</v>
          </cell>
          <cell r="F173" t="str">
            <v>ü</v>
          </cell>
          <cell r="G173" t="str">
            <v>Adequação</v>
          </cell>
          <cell r="H173">
            <v>24455000</v>
          </cell>
          <cell r="I173">
            <v>24455000</v>
          </cell>
          <cell r="J173">
            <v>24455000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73365000</v>
          </cell>
          <cell r="AN173" t="str">
            <v>-</v>
          </cell>
          <cell r="AO173">
            <v>3</v>
          </cell>
          <cell r="AP173" t="str">
            <v>-</v>
          </cell>
          <cell r="AQ173" t="str">
            <v>-</v>
          </cell>
          <cell r="AR173" t="str">
            <v>-</v>
          </cell>
          <cell r="AS173" t="str">
            <v>-</v>
          </cell>
          <cell r="AT173" t="str">
            <v>-</v>
          </cell>
          <cell r="AU173" t="str">
            <v>-</v>
          </cell>
          <cell r="AV173" t="str">
            <v>Fora - Resolvido</v>
          </cell>
        </row>
        <row r="174">
          <cell r="C174" t="str">
            <v>SNOS314790</v>
          </cell>
          <cell r="D174" t="str">
            <v>PASSOS</v>
          </cell>
          <cell r="E174" t="str">
            <v>MG</v>
          </cell>
          <cell r="F174" t="str">
            <v>ü</v>
          </cell>
          <cell r="G174" t="str">
            <v>Adequação</v>
          </cell>
          <cell r="H174">
            <v>29480000</v>
          </cell>
          <cell r="I174">
            <v>29480000</v>
          </cell>
          <cell r="J174">
            <v>29480000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88440000</v>
          </cell>
          <cell r="AN174" t="str">
            <v>-</v>
          </cell>
          <cell r="AO174">
            <v>2</v>
          </cell>
          <cell r="AP174" t="str">
            <v>-</v>
          </cell>
          <cell r="AQ174" t="str">
            <v>-</v>
          </cell>
          <cell r="AR174">
            <v>2026</v>
          </cell>
          <cell r="AS174" t="str">
            <v>-</v>
          </cell>
          <cell r="AT174" t="str">
            <v>-</v>
          </cell>
          <cell r="AU174">
            <v>3</v>
          </cell>
          <cell r="AV174" t="str">
            <v>Pública</v>
          </cell>
        </row>
        <row r="175">
          <cell r="C175" t="str">
            <v>SNSM150620</v>
          </cell>
          <cell r="D175" t="str">
            <v>SALINÓPOLIS</v>
          </cell>
          <cell r="E175" t="str">
            <v>PA</v>
          </cell>
          <cell r="F175" t="str">
            <v>ü</v>
          </cell>
          <cell r="G175" t="str">
            <v>Adequação</v>
          </cell>
          <cell r="H175">
            <v>51626166.666666664</v>
          </cell>
          <cell r="I175">
            <v>51626166.666666664</v>
          </cell>
          <cell r="J175">
            <v>51626166.666666664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154878500</v>
          </cell>
          <cell r="AN175" t="str">
            <v>N</v>
          </cell>
          <cell r="AO175">
            <v>2</v>
          </cell>
          <cell r="AP175" t="str">
            <v>-</v>
          </cell>
          <cell r="AQ175" t="str">
            <v>-</v>
          </cell>
          <cell r="AR175">
            <v>2025</v>
          </cell>
          <cell r="AS175" t="str">
            <v>-</v>
          </cell>
          <cell r="AT175" t="str">
            <v>-</v>
          </cell>
          <cell r="AU175">
            <v>3</v>
          </cell>
          <cell r="AV175" t="str">
            <v>Privada</v>
          </cell>
        </row>
        <row r="176">
          <cell r="C176" t="str">
            <v>SSRS210170</v>
          </cell>
          <cell r="D176" t="str">
            <v>BARREIRINHAS</v>
          </cell>
          <cell r="E176" t="str">
            <v>MA</v>
          </cell>
          <cell r="F176" t="str">
            <v>ü</v>
          </cell>
          <cell r="G176" t="str">
            <v>Adequação</v>
          </cell>
          <cell r="H176">
            <v>26945000</v>
          </cell>
          <cell r="I176">
            <v>26945000</v>
          </cell>
          <cell r="J176">
            <v>26945000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80835000</v>
          </cell>
          <cell r="AN176" t="str">
            <v>NE e CO</v>
          </cell>
          <cell r="AO176">
            <v>3</v>
          </cell>
          <cell r="AP176" t="str">
            <v>-</v>
          </cell>
          <cell r="AQ176" t="str">
            <v>-</v>
          </cell>
          <cell r="AR176" t="str">
            <v>-</v>
          </cell>
          <cell r="AS176" t="str">
            <v>-</v>
          </cell>
          <cell r="AT176" t="str">
            <v>-</v>
          </cell>
          <cell r="AU176" t="str">
            <v>-</v>
          </cell>
          <cell r="AV176" t="str">
            <v>Privada</v>
          </cell>
        </row>
        <row r="177">
          <cell r="C177" t="str">
            <v>N920290860</v>
          </cell>
          <cell r="D177" t="str">
            <v>CONDE</v>
          </cell>
          <cell r="E177" t="str">
            <v>BA</v>
          </cell>
          <cell r="F177" t="str">
            <v>ü</v>
          </cell>
          <cell r="G177" t="str">
            <v>Adequação</v>
          </cell>
          <cell r="H177">
            <v>29117063.020000003</v>
          </cell>
          <cell r="I177">
            <v>29117063.020000003</v>
          </cell>
          <cell r="J177">
            <v>29117063.020000003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87351189.060000002</v>
          </cell>
          <cell r="AN177" t="str">
            <v>NE e CO</v>
          </cell>
          <cell r="AO177">
            <v>1</v>
          </cell>
          <cell r="AP177" t="str">
            <v>-</v>
          </cell>
          <cell r="AQ177" t="str">
            <v>-</v>
          </cell>
          <cell r="AR177">
            <v>2036</v>
          </cell>
          <cell r="AS177" t="str">
            <v>-</v>
          </cell>
          <cell r="AT177" t="str">
            <v>-</v>
          </cell>
          <cell r="AU177">
            <v>2</v>
          </cell>
          <cell r="AV177" t="str">
            <v>Privada</v>
          </cell>
        </row>
        <row r="178">
          <cell r="C178" t="str">
            <v>SBBH310620</v>
          </cell>
          <cell r="D178" t="str">
            <v>Belo Horizonte - Pampulha</v>
          </cell>
          <cell r="E178" t="str">
            <v>MG</v>
          </cell>
          <cell r="F178" t="str">
            <v>ü</v>
          </cell>
          <cell r="G178" t="str">
            <v>Adequação</v>
          </cell>
          <cell r="H178">
            <v>15575601.304385141</v>
          </cell>
          <cell r="I178">
            <v>15575601.304385141</v>
          </cell>
          <cell r="J178">
            <v>15575601.304385141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46726803.913155422</v>
          </cell>
          <cell r="AN178" t="str">
            <v>-</v>
          </cell>
          <cell r="AO178">
            <v>0</v>
          </cell>
          <cell r="AP178" t="str">
            <v>-</v>
          </cell>
          <cell r="AQ178" t="str">
            <v>-</v>
          </cell>
          <cell r="AR178" t="str">
            <v>-</v>
          </cell>
          <cell r="AS178" t="str">
            <v>-</v>
          </cell>
          <cell r="AT178" t="str">
            <v>-</v>
          </cell>
          <cell r="AU178" t="str">
            <v>-</v>
          </cell>
          <cell r="AV178" t="str">
            <v>Fora - Resolvido</v>
          </cell>
        </row>
        <row r="179">
          <cell r="C179" t="str">
            <v>SBBI410690</v>
          </cell>
          <cell r="D179" t="str">
            <v>Curitiba - Bacacheri</v>
          </cell>
          <cell r="E179" t="str">
            <v>PR</v>
          </cell>
          <cell r="F179" t="str">
            <v>ü</v>
          </cell>
          <cell r="G179" t="str">
            <v>Adequação</v>
          </cell>
          <cell r="H179">
            <v>5730944.2025315305</v>
          </cell>
          <cell r="I179">
            <v>5730944.2025315305</v>
          </cell>
          <cell r="J179">
            <v>5730944.2025315305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17192832.607594591</v>
          </cell>
          <cell r="AN179" t="str">
            <v>-</v>
          </cell>
          <cell r="AO179">
            <v>0</v>
          </cell>
          <cell r="AP179" t="str">
            <v>-</v>
          </cell>
          <cell r="AQ179" t="str">
            <v>-</v>
          </cell>
          <cell r="AR179" t="str">
            <v>-</v>
          </cell>
          <cell r="AS179" t="str">
            <v>-</v>
          </cell>
          <cell r="AT179" t="str">
            <v>-</v>
          </cell>
          <cell r="AU179" t="str">
            <v>-</v>
          </cell>
          <cell r="AV179" t="str">
            <v>Fora - Resolvido</v>
          </cell>
        </row>
        <row r="180">
          <cell r="C180" t="str">
            <v>SBBP350760</v>
          </cell>
          <cell r="D180" t="str">
            <v>Bragança Paulista</v>
          </cell>
          <cell r="E180" t="str">
            <v>SP</v>
          </cell>
          <cell r="F180" t="str">
            <v>ü</v>
          </cell>
          <cell r="G180" t="str">
            <v>Adequação</v>
          </cell>
          <cell r="H180">
            <v>6382391.8220995283</v>
          </cell>
          <cell r="I180">
            <v>6382391.8220995283</v>
          </cell>
          <cell r="J180">
            <v>6382391.8220995283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19147175.466298584</v>
          </cell>
          <cell r="AN180" t="str">
            <v>-</v>
          </cell>
          <cell r="AO180">
            <v>0</v>
          </cell>
          <cell r="AP180" t="str">
            <v>-</v>
          </cell>
          <cell r="AQ180" t="str">
            <v>-</v>
          </cell>
          <cell r="AR180" t="str">
            <v>-</v>
          </cell>
          <cell r="AS180" t="str">
            <v>-</v>
          </cell>
          <cell r="AT180" t="str">
            <v>-</v>
          </cell>
          <cell r="AU180" t="str">
            <v>-</v>
          </cell>
          <cell r="AV180" t="str">
            <v>Fora - Resolvido</v>
          </cell>
        </row>
        <row r="181">
          <cell r="C181" t="str">
            <v>SBEK150375</v>
          </cell>
          <cell r="D181" t="str">
            <v>Jacareacanga</v>
          </cell>
          <cell r="E181" t="str">
            <v>PA</v>
          </cell>
          <cell r="F181" t="str">
            <v>ü</v>
          </cell>
          <cell r="G181" t="str">
            <v>Adequação</v>
          </cell>
          <cell r="H181">
            <v>15768954.419660168</v>
          </cell>
          <cell r="I181">
            <v>15768954.419660168</v>
          </cell>
          <cell r="J181">
            <v>15768954.419660168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47306863.258980505</v>
          </cell>
          <cell r="AN181" t="str">
            <v>N</v>
          </cell>
          <cell r="AO181">
            <v>0</v>
          </cell>
          <cell r="AP181" t="str">
            <v>-</v>
          </cell>
          <cell r="AQ181" t="str">
            <v>-</v>
          </cell>
          <cell r="AR181" t="str">
            <v>-</v>
          </cell>
          <cell r="AS181" t="str">
            <v>-</v>
          </cell>
          <cell r="AT181" t="str">
            <v>-</v>
          </cell>
          <cell r="AU181" t="str">
            <v>-</v>
          </cell>
          <cell r="AV181" t="str">
            <v>Privada</v>
          </cell>
        </row>
        <row r="182">
          <cell r="C182" t="str">
            <v>SBJD352590</v>
          </cell>
          <cell r="D182" t="str">
            <v>Jundiaí</v>
          </cell>
          <cell r="E182" t="str">
            <v>SP</v>
          </cell>
          <cell r="F182" t="str">
            <v>ü</v>
          </cell>
          <cell r="G182" t="str">
            <v>Adequação</v>
          </cell>
          <cell r="H182">
            <v>7025823.2855860004</v>
          </cell>
          <cell r="I182">
            <v>7025823.2855860004</v>
          </cell>
          <cell r="J182">
            <v>7025823.2855860004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21077469.856758002</v>
          </cell>
          <cell r="AN182" t="str">
            <v>-</v>
          </cell>
          <cell r="AO182">
            <v>0</v>
          </cell>
          <cell r="AP182" t="str">
            <v>-</v>
          </cell>
          <cell r="AQ182" t="str">
            <v>-</v>
          </cell>
          <cell r="AR182" t="str">
            <v>-</v>
          </cell>
          <cell r="AS182" t="str">
            <v>-</v>
          </cell>
          <cell r="AT182" t="str">
            <v>-</v>
          </cell>
          <cell r="AU182" t="str">
            <v>-</v>
          </cell>
          <cell r="AV182" t="str">
            <v>Fora - Resolvido</v>
          </cell>
        </row>
        <row r="183">
          <cell r="C183" t="str">
            <v>SBJH355060</v>
          </cell>
          <cell r="D183" t="str">
            <v>São Roque</v>
          </cell>
          <cell r="E183" t="str">
            <v>SP</v>
          </cell>
          <cell r="F183" t="str">
            <v>ü</v>
          </cell>
          <cell r="G183" t="str">
            <v>Adequação</v>
          </cell>
          <cell r="H183">
            <v>9776051.911691511</v>
          </cell>
          <cell r="I183">
            <v>9776051.911691511</v>
          </cell>
          <cell r="J183">
            <v>9776051.911691511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29328155.735074535</v>
          </cell>
          <cell r="AN183" t="str">
            <v>-</v>
          </cell>
          <cell r="AO183">
            <v>0</v>
          </cell>
          <cell r="AP183" t="str">
            <v>-</v>
          </cell>
          <cell r="AQ183" t="str">
            <v>-</v>
          </cell>
          <cell r="AR183" t="str">
            <v>-</v>
          </cell>
          <cell r="AS183" t="str">
            <v>-</v>
          </cell>
          <cell r="AT183" t="str">
            <v>-</v>
          </cell>
          <cell r="AU183" t="str">
            <v>-</v>
          </cell>
          <cell r="AV183" t="str">
            <v>Fora - Resolvido</v>
          </cell>
        </row>
        <row r="184">
          <cell r="C184" t="str">
            <v>SDMC330270</v>
          </cell>
          <cell r="D184" t="str">
            <v>Maricá</v>
          </cell>
          <cell r="E184" t="str">
            <v>RJ</v>
          </cell>
          <cell r="F184" t="str">
            <v>ü</v>
          </cell>
          <cell r="G184" t="str">
            <v>Adequação</v>
          </cell>
          <cell r="H184">
            <v>4686321.0225514742</v>
          </cell>
          <cell r="I184">
            <v>4686321.0225514742</v>
          </cell>
          <cell r="J184">
            <v>4686321.0225514742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14058963.067654423</v>
          </cell>
          <cell r="AN184" t="str">
            <v>-</v>
          </cell>
          <cell r="AO184">
            <v>0</v>
          </cell>
          <cell r="AP184" t="str">
            <v>-</v>
          </cell>
          <cell r="AQ184" t="str">
            <v>-</v>
          </cell>
          <cell r="AR184" t="str">
            <v>-</v>
          </cell>
          <cell r="AS184" t="str">
            <v>-</v>
          </cell>
          <cell r="AT184" t="str">
            <v>-</v>
          </cell>
          <cell r="AU184" t="str">
            <v>-</v>
          </cell>
          <cell r="AV184" t="str">
            <v>Auxílios</v>
          </cell>
        </row>
        <row r="185">
          <cell r="C185" t="str">
            <v>SWNV520870</v>
          </cell>
          <cell r="D185" t="str">
            <v>Goiânia - Nacional de Aviação</v>
          </cell>
          <cell r="E185" t="str">
            <v>GO</v>
          </cell>
          <cell r="F185" t="str">
            <v>ü</v>
          </cell>
          <cell r="G185" t="str">
            <v>Adequação</v>
          </cell>
          <cell r="H185">
            <v>5385494.5541005554</v>
          </cell>
          <cell r="I185">
            <v>5385494.5541005554</v>
          </cell>
          <cell r="J185">
            <v>5385494.5541005554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16156483.662301667</v>
          </cell>
          <cell r="AN185" t="str">
            <v>-</v>
          </cell>
          <cell r="AO185">
            <v>0</v>
          </cell>
          <cell r="AP185" t="str">
            <v>-</v>
          </cell>
          <cell r="AQ185" t="str">
            <v>-</v>
          </cell>
          <cell r="AR185" t="str">
            <v>-</v>
          </cell>
          <cell r="AS185" t="str">
            <v>-</v>
          </cell>
          <cell r="AT185" t="str">
            <v>-</v>
          </cell>
          <cell r="AU185" t="str">
            <v>-</v>
          </cell>
          <cell r="AV185" t="str">
            <v>Auxílios</v>
          </cell>
        </row>
        <row r="186">
          <cell r="C186" t="str">
            <v>SD8C130180</v>
          </cell>
          <cell r="D186" t="str">
            <v>Ipixuna</v>
          </cell>
          <cell r="E186" t="str">
            <v>AM</v>
          </cell>
          <cell r="F186" t="str">
            <v>ü</v>
          </cell>
          <cell r="G186" t="str">
            <v>Adequação</v>
          </cell>
          <cell r="H186">
            <v>6118385.4881545892</v>
          </cell>
          <cell r="I186">
            <v>6118385.4881545892</v>
          </cell>
          <cell r="J186">
            <v>6118385.4881545892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18355156.464463767</v>
          </cell>
          <cell r="AN186" t="str">
            <v>N</v>
          </cell>
          <cell r="AO186">
            <v>0</v>
          </cell>
          <cell r="AP186" t="str">
            <v>-</v>
          </cell>
          <cell r="AQ186" t="str">
            <v>-</v>
          </cell>
          <cell r="AR186" t="str">
            <v>-</v>
          </cell>
          <cell r="AS186" t="str">
            <v>-</v>
          </cell>
          <cell r="AT186" t="str">
            <v>-</v>
          </cell>
          <cell r="AU186" t="str">
            <v>-</v>
          </cell>
          <cell r="AV186" t="str">
            <v>Aeroporto Privado</v>
          </cell>
        </row>
        <row r="187">
          <cell r="C187" t="str">
            <v>SDAI350160</v>
          </cell>
          <cell r="D187" t="str">
            <v>Americana</v>
          </cell>
          <cell r="E187" t="str">
            <v>SP</v>
          </cell>
          <cell r="F187" t="str">
            <v>ü</v>
          </cell>
          <cell r="G187" t="str">
            <v>Adequação</v>
          </cell>
          <cell r="H187">
            <v>6573315.8281181771</v>
          </cell>
          <cell r="I187">
            <v>6573315.8281181771</v>
          </cell>
          <cell r="J187">
            <v>6573315.8281181771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19719947.484354533</v>
          </cell>
          <cell r="AN187" t="str">
            <v>S e SE</v>
          </cell>
          <cell r="AO187">
            <v>0</v>
          </cell>
          <cell r="AP187" t="str">
            <v>-</v>
          </cell>
          <cell r="AQ187" t="str">
            <v>-</v>
          </cell>
          <cell r="AR187" t="str">
            <v>-</v>
          </cell>
          <cell r="AS187" t="str">
            <v>-</v>
          </cell>
          <cell r="AT187" t="str">
            <v>-</v>
          </cell>
          <cell r="AU187" t="str">
            <v>-</v>
          </cell>
          <cell r="AV187" t="str">
            <v>Privada</v>
          </cell>
        </row>
        <row r="188">
          <cell r="C188" t="str">
            <v>SDAM350950</v>
          </cell>
          <cell r="D188" t="str">
            <v>Campinas - Amarais</v>
          </cell>
          <cell r="E188" t="str">
            <v>SP</v>
          </cell>
          <cell r="F188" t="str">
            <v>ü</v>
          </cell>
          <cell r="G188" t="str">
            <v>Adequação</v>
          </cell>
          <cell r="H188">
            <v>9846523.5225631986</v>
          </cell>
          <cell r="I188">
            <v>9846523.5225631986</v>
          </cell>
          <cell r="J188">
            <v>9846523.5225631986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29539570.567689598</v>
          </cell>
          <cell r="AN188" t="str">
            <v>-</v>
          </cell>
          <cell r="AO188">
            <v>0</v>
          </cell>
          <cell r="AP188" t="str">
            <v>-</v>
          </cell>
          <cell r="AQ188" t="str">
            <v>-</v>
          </cell>
          <cell r="AR188" t="str">
            <v>-</v>
          </cell>
          <cell r="AS188" t="str">
            <v>-</v>
          </cell>
          <cell r="AT188" t="str">
            <v>-</v>
          </cell>
          <cell r="AU188" t="str">
            <v>-</v>
          </cell>
          <cell r="AV188" t="str">
            <v>Fora - Resolvido</v>
          </cell>
        </row>
        <row r="189">
          <cell r="C189" t="str">
            <v>SDC8130210</v>
          </cell>
          <cell r="D189" t="str">
            <v>Japurá</v>
          </cell>
          <cell r="E189" t="str">
            <v>AM</v>
          </cell>
          <cell r="F189" t="str">
            <v>ü</v>
          </cell>
          <cell r="G189" t="str">
            <v>Adequação</v>
          </cell>
          <cell r="H189">
            <v>9317734.2331545874</v>
          </cell>
          <cell r="I189">
            <v>9317734.2331545874</v>
          </cell>
          <cell r="J189">
            <v>9317734.2331545874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27953202.699463762</v>
          </cell>
          <cell r="AN189" t="str">
            <v>N</v>
          </cell>
          <cell r="AO189">
            <v>0</v>
          </cell>
          <cell r="AP189" t="str">
            <v>-</v>
          </cell>
          <cell r="AQ189" t="str">
            <v>-</v>
          </cell>
          <cell r="AR189" t="str">
            <v>-</v>
          </cell>
          <cell r="AS189" t="str">
            <v>-</v>
          </cell>
          <cell r="AT189" t="str">
            <v>-</v>
          </cell>
          <cell r="AU189" t="str">
            <v>-</v>
          </cell>
          <cell r="AV189" t="str">
            <v>Aeroporto Privado</v>
          </cell>
        </row>
        <row r="190">
          <cell r="C190" t="str">
            <v>SDCG130390</v>
          </cell>
          <cell r="D190" t="str">
            <v>São Paulo de Olivença</v>
          </cell>
          <cell r="E190" t="str">
            <v>AM</v>
          </cell>
          <cell r="F190" t="str">
            <v>ü</v>
          </cell>
          <cell r="G190" t="str">
            <v>Adequação</v>
          </cell>
          <cell r="H190">
            <v>8658015.3578212559</v>
          </cell>
          <cell r="I190">
            <v>8658015.3578212559</v>
          </cell>
          <cell r="J190">
            <v>8658015.3578212559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25974046.073463768</v>
          </cell>
          <cell r="AN190" t="str">
            <v>N</v>
          </cell>
          <cell r="AO190">
            <v>0</v>
          </cell>
          <cell r="AP190" t="str">
            <v>-</v>
          </cell>
          <cell r="AQ190" t="str">
            <v>-</v>
          </cell>
          <cell r="AR190" t="str">
            <v>-</v>
          </cell>
          <cell r="AS190" t="str">
            <v>-</v>
          </cell>
          <cell r="AT190" t="str">
            <v>-</v>
          </cell>
          <cell r="AU190" t="str">
            <v>-</v>
          </cell>
          <cell r="AV190" t="str">
            <v>Privada</v>
          </cell>
        </row>
        <row r="191">
          <cell r="C191" t="str">
            <v>SDCO355220</v>
          </cell>
          <cell r="D191" t="str">
            <v>Sorocaba</v>
          </cell>
          <cell r="E191" t="str">
            <v>SP</v>
          </cell>
          <cell r="F191" t="str">
            <v>ü</v>
          </cell>
          <cell r="G191" t="str">
            <v>Adequação</v>
          </cell>
          <cell r="H191">
            <v>13045442.266365595</v>
          </cell>
          <cell r="I191">
            <v>13045442.266365595</v>
          </cell>
          <cell r="J191">
            <v>13045442.266365595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39136326.799096785</v>
          </cell>
          <cell r="AN191" t="str">
            <v>-</v>
          </cell>
          <cell r="AO191">
            <v>0</v>
          </cell>
          <cell r="AP191" t="str">
            <v>-</v>
          </cell>
          <cell r="AQ191" t="str">
            <v>-</v>
          </cell>
          <cell r="AR191" t="str">
            <v>-</v>
          </cell>
          <cell r="AS191" t="str">
            <v>-</v>
          </cell>
          <cell r="AT191" t="str">
            <v>-</v>
          </cell>
          <cell r="AU191" t="str">
            <v>-</v>
          </cell>
          <cell r="AV191" t="str">
            <v>Fora - Resolvido</v>
          </cell>
        </row>
        <row r="192">
          <cell r="C192" t="str">
            <v>SDFD351550</v>
          </cell>
          <cell r="D192" t="str">
            <v>Fernandópolis</v>
          </cell>
          <cell r="E192" t="str">
            <v>SP</v>
          </cell>
          <cell r="F192" t="str">
            <v>ü</v>
          </cell>
          <cell r="G192" t="str">
            <v>Adequação</v>
          </cell>
          <cell r="H192">
            <v>4650173.2664184375</v>
          </cell>
          <cell r="I192">
            <v>4650173.2664184375</v>
          </cell>
          <cell r="J192">
            <v>4650173.2664184375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13950519.799255311</v>
          </cell>
          <cell r="AN192" t="str">
            <v>-</v>
          </cell>
          <cell r="AO192">
            <v>0</v>
          </cell>
          <cell r="AP192" t="str">
            <v>-</v>
          </cell>
          <cell r="AQ192" t="str">
            <v>-</v>
          </cell>
          <cell r="AR192" t="str">
            <v>-</v>
          </cell>
          <cell r="AS192" t="str">
            <v>-</v>
          </cell>
          <cell r="AT192" t="str">
            <v>-</v>
          </cell>
          <cell r="AU192" t="str">
            <v>-</v>
          </cell>
          <cell r="AV192" t="str">
            <v>Auxílios</v>
          </cell>
        </row>
        <row r="193">
          <cell r="C193" t="str">
            <v>SDH2510677</v>
          </cell>
          <cell r="D193" t="str">
            <v>Porto Alegre do Norte</v>
          </cell>
          <cell r="E193" t="str">
            <v>MT</v>
          </cell>
          <cell r="F193" t="str">
            <v>ü</v>
          </cell>
          <cell r="G193" t="str">
            <v>Adequação</v>
          </cell>
          <cell r="H193">
            <v>8093097.0999957174</v>
          </cell>
          <cell r="I193">
            <v>8093097.0999957174</v>
          </cell>
          <cell r="J193">
            <v>8093097.0999957174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24279291.299987152</v>
          </cell>
          <cell r="AN193" t="str">
            <v>NE e CO</v>
          </cell>
          <cell r="AO193">
            <v>0</v>
          </cell>
          <cell r="AP193" t="str">
            <v>-</v>
          </cell>
          <cell r="AQ193" t="str">
            <v>-</v>
          </cell>
          <cell r="AR193" t="str">
            <v>-</v>
          </cell>
          <cell r="AS193" t="str">
            <v>-</v>
          </cell>
          <cell r="AT193" t="str">
            <v>-</v>
          </cell>
          <cell r="AU193" t="str">
            <v>-</v>
          </cell>
          <cell r="AV193" t="str">
            <v>Privada</v>
          </cell>
        </row>
        <row r="194">
          <cell r="C194" t="str">
            <v>SDIG351960</v>
          </cell>
          <cell r="D194" t="str">
            <v>Ibitinga</v>
          </cell>
          <cell r="E194" t="str">
            <v>SP</v>
          </cell>
          <cell r="F194" t="str">
            <v>ü</v>
          </cell>
          <cell r="G194" t="str">
            <v>Adequação</v>
          </cell>
          <cell r="H194">
            <v>6525760.4572733482</v>
          </cell>
          <cell r="I194">
            <v>6525760.4572733482</v>
          </cell>
          <cell r="J194">
            <v>6525760.4572733482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19577281.371820044</v>
          </cell>
          <cell r="AN194" t="str">
            <v>S e SE</v>
          </cell>
          <cell r="AO194">
            <v>0</v>
          </cell>
          <cell r="AP194" t="str">
            <v>-</v>
          </cell>
          <cell r="AQ194" t="str">
            <v>-</v>
          </cell>
          <cell r="AR194" t="str">
            <v>-</v>
          </cell>
          <cell r="AS194" t="str">
            <v>-</v>
          </cell>
          <cell r="AT194" t="str">
            <v>-</v>
          </cell>
          <cell r="AU194" t="str">
            <v>-</v>
          </cell>
          <cell r="AV194" t="str">
            <v>Privada</v>
          </cell>
        </row>
        <row r="195">
          <cell r="C195" t="str">
            <v>SDJO354940</v>
          </cell>
          <cell r="D195" t="str">
            <v>São Joaquim da Barra</v>
          </cell>
          <cell r="E195" t="str">
            <v>SP</v>
          </cell>
          <cell r="F195" t="str">
            <v>ü</v>
          </cell>
          <cell r="G195" t="str">
            <v>Adequação</v>
          </cell>
          <cell r="H195">
            <v>5708529.997865364</v>
          </cell>
          <cell r="I195">
            <v>5708529.997865364</v>
          </cell>
          <cell r="J195">
            <v>5708529.997865364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17125589.993596092</v>
          </cell>
          <cell r="AN195" t="str">
            <v>-</v>
          </cell>
          <cell r="AO195">
            <v>0</v>
          </cell>
          <cell r="AP195" t="str">
            <v>-</v>
          </cell>
          <cell r="AQ195" t="str">
            <v>-</v>
          </cell>
          <cell r="AR195" t="str">
            <v>-</v>
          </cell>
          <cell r="AS195" t="str">
            <v>-</v>
          </cell>
          <cell r="AT195" t="str">
            <v>-</v>
          </cell>
          <cell r="AU195" t="str">
            <v>-</v>
          </cell>
          <cell r="AV195" t="str">
            <v>Auxílios</v>
          </cell>
        </row>
        <row r="196">
          <cell r="C196" t="str">
            <v>SDLR130410</v>
          </cell>
          <cell r="D196" t="str">
            <v>Tapauá</v>
          </cell>
          <cell r="E196" t="str">
            <v>AM</v>
          </cell>
          <cell r="F196" t="str">
            <v>ü</v>
          </cell>
          <cell r="G196" t="str">
            <v>Adequação</v>
          </cell>
          <cell r="H196">
            <v>8333790.5531545905</v>
          </cell>
          <cell r="I196">
            <v>8333790.5531545905</v>
          </cell>
          <cell r="J196">
            <v>8333790.5531545905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25001371.659463771</v>
          </cell>
          <cell r="AN196" t="str">
            <v>N</v>
          </cell>
          <cell r="AO196">
            <v>0</v>
          </cell>
          <cell r="AP196" t="str">
            <v>-</v>
          </cell>
          <cell r="AQ196" t="str">
            <v>-</v>
          </cell>
          <cell r="AR196" t="str">
            <v>-</v>
          </cell>
          <cell r="AS196" t="str">
            <v>-</v>
          </cell>
          <cell r="AT196" t="str">
            <v>-</v>
          </cell>
          <cell r="AU196" t="str">
            <v>-</v>
          </cell>
          <cell r="AV196" t="str">
            <v>Aeroporto Privado</v>
          </cell>
        </row>
        <row r="197">
          <cell r="C197" t="str">
            <v>SDMJ353080</v>
          </cell>
          <cell r="D197" t="str">
            <v>Mogi Mirim</v>
          </cell>
          <cell r="E197" t="str">
            <v>SP</v>
          </cell>
          <cell r="F197" t="str">
            <v>ü</v>
          </cell>
          <cell r="G197" t="str">
            <v>Adequação</v>
          </cell>
          <cell r="H197">
            <v>8627597.2905599959</v>
          </cell>
          <cell r="I197">
            <v>8627597.2905599959</v>
          </cell>
          <cell r="J197">
            <v>8627597.2905599959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25882791.871679988</v>
          </cell>
          <cell r="AN197" t="str">
            <v>S e SE</v>
          </cell>
          <cell r="AO197">
            <v>0</v>
          </cell>
          <cell r="AP197" t="str">
            <v>-</v>
          </cell>
          <cell r="AQ197" t="str">
            <v>-</v>
          </cell>
          <cell r="AR197" t="str">
            <v>-</v>
          </cell>
          <cell r="AS197" t="str">
            <v>-</v>
          </cell>
          <cell r="AT197" t="str">
            <v>-</v>
          </cell>
          <cell r="AU197" t="str">
            <v>-</v>
          </cell>
          <cell r="AV197" t="str">
            <v>Privada</v>
          </cell>
        </row>
        <row r="198">
          <cell r="C198" t="str">
            <v>SSMH120035</v>
          </cell>
          <cell r="D198" t="str">
            <v>Marechal Thaumaturgo</v>
          </cell>
          <cell r="E198" t="str">
            <v>AC</v>
          </cell>
          <cell r="F198" t="str">
            <v>ü</v>
          </cell>
          <cell r="G198" t="str">
            <v>Adequação</v>
          </cell>
          <cell r="H198">
            <v>7049628.1529999999</v>
          </cell>
          <cell r="I198">
            <v>7049628.1529999999</v>
          </cell>
          <cell r="J198">
            <v>7049628.1529999999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21148884.458999999</v>
          </cell>
          <cell r="AN198" t="str">
            <v>N</v>
          </cell>
          <cell r="AO198">
            <v>0</v>
          </cell>
          <cell r="AP198" t="str">
            <v>-</v>
          </cell>
          <cell r="AQ198" t="str">
            <v>-</v>
          </cell>
          <cell r="AR198" t="str">
            <v>-</v>
          </cell>
          <cell r="AS198" t="str">
            <v>-</v>
          </cell>
          <cell r="AT198" t="str">
            <v>-</v>
          </cell>
          <cell r="AU198" t="str">
            <v>-</v>
          </cell>
          <cell r="AV198" t="str">
            <v>Privada</v>
          </cell>
        </row>
        <row r="199">
          <cell r="C199" t="str">
            <v>SDPW353870</v>
          </cell>
          <cell r="D199" t="str">
            <v>Piracicaba</v>
          </cell>
          <cell r="E199" t="str">
            <v>SP</v>
          </cell>
          <cell r="F199" t="str">
            <v>ü</v>
          </cell>
          <cell r="G199" t="str">
            <v>Adequação</v>
          </cell>
          <cell r="H199">
            <v>8783733.3499441873</v>
          </cell>
          <cell r="I199">
            <v>8783733.3499441873</v>
          </cell>
          <cell r="J199">
            <v>8783733.3499441873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26351200.04983256</v>
          </cell>
          <cell r="AN199" t="str">
            <v>S e SE</v>
          </cell>
          <cell r="AO199">
            <v>0</v>
          </cell>
          <cell r="AP199" t="str">
            <v>-</v>
          </cell>
          <cell r="AQ199" t="str">
            <v>-</v>
          </cell>
          <cell r="AR199" t="str">
            <v>-</v>
          </cell>
          <cell r="AS199" t="str">
            <v>-</v>
          </cell>
          <cell r="AT199" t="str">
            <v>-</v>
          </cell>
          <cell r="AU199" t="str">
            <v>-</v>
          </cell>
          <cell r="AV199" t="str">
            <v>Privada</v>
          </cell>
        </row>
        <row r="200">
          <cell r="C200" t="str">
            <v>SDTB350410</v>
          </cell>
          <cell r="D200" t="str">
            <v>Atibaia</v>
          </cell>
          <cell r="E200" t="str">
            <v>SP</v>
          </cell>
          <cell r="F200" t="str">
            <v>ü</v>
          </cell>
          <cell r="G200" t="str">
            <v>Adequação</v>
          </cell>
          <cell r="H200">
            <v>5141357.8197324788</v>
          </cell>
          <cell r="I200">
            <v>5141357.8197324788</v>
          </cell>
          <cell r="J200">
            <v>5141357.8197324788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15424073.459197436</v>
          </cell>
          <cell r="AN200" t="str">
            <v>-</v>
          </cell>
          <cell r="AO200">
            <v>0</v>
          </cell>
          <cell r="AP200" t="str">
            <v>-</v>
          </cell>
          <cell r="AQ200" t="str">
            <v>-</v>
          </cell>
          <cell r="AR200" t="str">
            <v>-</v>
          </cell>
          <cell r="AS200" t="str">
            <v>-</v>
          </cell>
          <cell r="AT200" t="str">
            <v>-</v>
          </cell>
          <cell r="AU200" t="str">
            <v>-</v>
          </cell>
          <cell r="AV200" t="str">
            <v>Auxílios</v>
          </cell>
        </row>
        <row r="201">
          <cell r="C201" t="str">
            <v>SDVG355710</v>
          </cell>
          <cell r="D201" t="str">
            <v>Votuporanga</v>
          </cell>
          <cell r="E201" t="str">
            <v>SP</v>
          </cell>
          <cell r="F201" t="str">
            <v>ü</v>
          </cell>
          <cell r="G201" t="str">
            <v>Adequação</v>
          </cell>
          <cell r="H201">
            <v>7270661.0710819988</v>
          </cell>
          <cell r="I201">
            <v>7270661.0710819988</v>
          </cell>
          <cell r="J201">
            <v>7270661.0710819988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21811983.213245995</v>
          </cell>
          <cell r="AN201" t="str">
            <v>-</v>
          </cell>
          <cell r="AO201">
            <v>0</v>
          </cell>
          <cell r="AP201" t="str">
            <v>-</v>
          </cell>
          <cell r="AQ201" t="str">
            <v>-</v>
          </cell>
          <cell r="AR201" t="str">
            <v>-</v>
          </cell>
          <cell r="AS201" t="str">
            <v>-</v>
          </cell>
          <cell r="AT201" t="str">
            <v>-</v>
          </cell>
          <cell r="AU201" t="str">
            <v>-</v>
          </cell>
          <cell r="AV201" t="str">
            <v>Fora - Resolvido</v>
          </cell>
        </row>
        <row r="202">
          <cell r="C202" t="str">
            <v>SJNP150503</v>
          </cell>
          <cell r="D202" t="str">
            <v>Novo Progresso</v>
          </cell>
          <cell r="E202" t="str">
            <v>PA</v>
          </cell>
          <cell r="F202" t="str">
            <v>ü</v>
          </cell>
          <cell r="G202" t="str">
            <v>Adequação</v>
          </cell>
          <cell r="H202">
            <v>14261496.532715702</v>
          </cell>
          <cell r="I202">
            <v>14261496.532715702</v>
          </cell>
          <cell r="J202">
            <v>14261496.532715702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42784489.598147109</v>
          </cell>
          <cell r="AN202" t="str">
            <v>N</v>
          </cell>
          <cell r="AO202">
            <v>0</v>
          </cell>
          <cell r="AP202" t="str">
            <v>-</v>
          </cell>
          <cell r="AQ202" t="str">
            <v>-</v>
          </cell>
          <cell r="AR202" t="str">
            <v>-</v>
          </cell>
          <cell r="AS202" t="str">
            <v>-</v>
          </cell>
          <cell r="AT202" t="str">
            <v>-</v>
          </cell>
          <cell r="AU202" t="str">
            <v>-</v>
          </cell>
          <cell r="AV202" t="str">
            <v>Privada</v>
          </cell>
        </row>
        <row r="203">
          <cell r="C203" t="str">
            <v>SJOD120032</v>
          </cell>
          <cell r="D203" t="str">
            <v>Jordão</v>
          </cell>
          <cell r="E203" t="str">
            <v>AC</v>
          </cell>
          <cell r="F203" t="str">
            <v>ü</v>
          </cell>
          <cell r="G203" t="str">
            <v>Adequação</v>
          </cell>
          <cell r="H203">
            <v>6784944.9651545882</v>
          </cell>
          <cell r="I203">
            <v>6784944.9651545882</v>
          </cell>
          <cell r="J203">
            <v>6784944.9651545882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20354834.895463765</v>
          </cell>
          <cell r="AN203" t="str">
            <v>N</v>
          </cell>
          <cell r="AO203">
            <v>0</v>
          </cell>
          <cell r="AP203" t="str">
            <v>-</v>
          </cell>
          <cell r="AQ203" t="str">
            <v>-</v>
          </cell>
          <cell r="AR203" t="str">
            <v>-</v>
          </cell>
          <cell r="AS203" t="str">
            <v>-</v>
          </cell>
          <cell r="AT203" t="str">
            <v>-</v>
          </cell>
          <cell r="AU203" t="str">
            <v>-</v>
          </cell>
          <cell r="AV203" t="str">
            <v>Aeroporto Privado</v>
          </cell>
        </row>
        <row r="204">
          <cell r="C204" t="str">
            <v>SNAB260110</v>
          </cell>
          <cell r="D204" t="str">
            <v>Araripina</v>
          </cell>
          <cell r="E204" t="str">
            <v>PE</v>
          </cell>
          <cell r="F204" t="str">
            <v>ü</v>
          </cell>
          <cell r="G204" t="str">
            <v>Adequação</v>
          </cell>
          <cell r="H204">
            <v>8477489.6469364166</v>
          </cell>
          <cell r="I204">
            <v>8477489.6469364166</v>
          </cell>
          <cell r="J204">
            <v>8477489.6469364166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25432468.94080925</v>
          </cell>
          <cell r="AN204" t="str">
            <v>NE e CO</v>
          </cell>
          <cell r="AO204">
            <v>0</v>
          </cell>
          <cell r="AP204" t="str">
            <v>-</v>
          </cell>
          <cell r="AQ204" t="str">
            <v>-</v>
          </cell>
          <cell r="AR204" t="str">
            <v>-</v>
          </cell>
          <cell r="AS204" t="str">
            <v>-</v>
          </cell>
          <cell r="AT204" t="str">
            <v>-</v>
          </cell>
          <cell r="AU204" t="str">
            <v>-</v>
          </cell>
          <cell r="AV204" t="str">
            <v>A definir</v>
          </cell>
        </row>
        <row r="205">
          <cell r="C205" t="str">
            <v>SNAG310350</v>
          </cell>
          <cell r="D205" t="str">
            <v>Araguari</v>
          </cell>
          <cell r="E205" t="str">
            <v>MG</v>
          </cell>
          <cell r="F205" t="str">
            <v>ü</v>
          </cell>
          <cell r="G205" t="str">
            <v>Adequação</v>
          </cell>
          <cell r="H205">
            <v>7249935.3388828905</v>
          </cell>
          <cell r="I205">
            <v>7249935.3388828905</v>
          </cell>
          <cell r="J205">
            <v>7249935.3388828905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21749806.016648673</v>
          </cell>
          <cell r="AN205" t="str">
            <v>-</v>
          </cell>
          <cell r="AO205">
            <v>0</v>
          </cell>
          <cell r="AP205" t="str">
            <v>-</v>
          </cell>
          <cell r="AQ205" t="str">
            <v>-</v>
          </cell>
          <cell r="AR205" t="str">
            <v>-</v>
          </cell>
          <cell r="AS205" t="str">
            <v>-</v>
          </cell>
          <cell r="AT205" t="str">
            <v>-</v>
          </cell>
          <cell r="AU205" t="str">
            <v>-</v>
          </cell>
          <cell r="AV205" t="str">
            <v>Pública</v>
          </cell>
        </row>
        <row r="206">
          <cell r="C206" t="str">
            <v>SNBC210160</v>
          </cell>
          <cell r="D206" t="str">
            <v>Barra do Corda</v>
          </cell>
          <cell r="E206" t="str">
            <v>MA</v>
          </cell>
          <cell r="F206" t="str">
            <v>ü</v>
          </cell>
          <cell r="G206" t="str">
            <v>Adequação</v>
          </cell>
          <cell r="H206">
            <v>6421686.3672469808</v>
          </cell>
          <cell r="I206">
            <v>6421686.3672469808</v>
          </cell>
          <cell r="J206">
            <v>6421686.3672469808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19265059.101740941</v>
          </cell>
          <cell r="AN206" t="str">
            <v>-</v>
          </cell>
          <cell r="AO206">
            <v>0</v>
          </cell>
          <cell r="AP206" t="str">
            <v>-</v>
          </cell>
          <cell r="AQ206" t="str">
            <v>-</v>
          </cell>
          <cell r="AR206" t="str">
            <v>-</v>
          </cell>
          <cell r="AS206" t="str">
            <v>-</v>
          </cell>
          <cell r="AT206" t="str">
            <v>-</v>
          </cell>
          <cell r="AU206" t="str">
            <v>-</v>
          </cell>
          <cell r="AV206" t="str">
            <v>Pública</v>
          </cell>
        </row>
        <row r="207">
          <cell r="C207" t="str">
            <v>SNBI210120</v>
          </cell>
          <cell r="D207" t="str">
            <v>Bacabal</v>
          </cell>
          <cell r="E207" t="str">
            <v>MA</v>
          </cell>
          <cell r="F207" t="str">
            <v>ü</v>
          </cell>
          <cell r="G207" t="str">
            <v>Adequação</v>
          </cell>
          <cell r="H207">
            <v>13311873.64624523</v>
          </cell>
          <cell r="I207">
            <v>13311873.64624523</v>
          </cell>
          <cell r="J207">
            <v>13311873.64624523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39935620.938735694</v>
          </cell>
          <cell r="AN207" t="str">
            <v>NE e CO</v>
          </cell>
          <cell r="AO207">
            <v>0</v>
          </cell>
          <cell r="AP207" t="str">
            <v>-</v>
          </cell>
          <cell r="AQ207" t="str">
            <v>-</v>
          </cell>
          <cell r="AR207" t="str">
            <v>-</v>
          </cell>
          <cell r="AS207" t="str">
            <v>-</v>
          </cell>
          <cell r="AT207" t="str">
            <v>-</v>
          </cell>
          <cell r="AU207" t="str">
            <v>-</v>
          </cell>
          <cell r="AV207" t="str">
            <v>Privada</v>
          </cell>
        </row>
        <row r="208">
          <cell r="C208" t="str">
            <v>SNBS210140</v>
          </cell>
          <cell r="D208" t="str">
            <v>Balsas</v>
          </cell>
          <cell r="E208" t="str">
            <v>MA</v>
          </cell>
          <cell r="F208" t="str">
            <v>ü</v>
          </cell>
          <cell r="G208" t="str">
            <v>Adequação</v>
          </cell>
          <cell r="H208">
            <v>9720393.1727319174</v>
          </cell>
          <cell r="I208">
            <v>9720393.1727319174</v>
          </cell>
          <cell r="J208">
            <v>9720393.1727319174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29161179.518195752</v>
          </cell>
          <cell r="AN208" t="str">
            <v>NE e CO</v>
          </cell>
          <cell r="AO208">
            <v>0</v>
          </cell>
          <cell r="AP208" t="str">
            <v>-</v>
          </cell>
          <cell r="AQ208" t="str">
            <v>-</v>
          </cell>
          <cell r="AR208" t="str">
            <v>-</v>
          </cell>
          <cell r="AS208" t="str">
            <v>-</v>
          </cell>
          <cell r="AT208" t="str">
            <v>-</v>
          </cell>
          <cell r="AU208" t="str">
            <v>-</v>
          </cell>
          <cell r="AV208" t="str">
            <v>Privada</v>
          </cell>
        </row>
        <row r="209">
          <cell r="C209" t="str">
            <v>SNGA320240</v>
          </cell>
          <cell r="D209" t="str">
            <v>Guarapari</v>
          </cell>
          <cell r="E209" t="str">
            <v>ES</v>
          </cell>
          <cell r="F209" t="str">
            <v>ü</v>
          </cell>
          <cell r="G209" t="str">
            <v>Adequação</v>
          </cell>
          <cell r="H209">
            <v>5301139.4174192306</v>
          </cell>
          <cell r="I209">
            <v>5301139.4174192306</v>
          </cell>
          <cell r="J209">
            <v>5301139.4174192306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15903418.252257692</v>
          </cell>
          <cell r="AN209" t="str">
            <v>-</v>
          </cell>
          <cell r="AO209">
            <v>0</v>
          </cell>
          <cell r="AP209" t="str">
            <v>-</v>
          </cell>
          <cell r="AQ209" t="str">
            <v>-</v>
          </cell>
          <cell r="AR209" t="str">
            <v>-</v>
          </cell>
          <cell r="AS209" t="str">
            <v>-</v>
          </cell>
          <cell r="AT209" t="str">
            <v>-</v>
          </cell>
          <cell r="AU209" t="str">
            <v>-</v>
          </cell>
          <cell r="AV209" t="str">
            <v>Auxílios</v>
          </cell>
        </row>
        <row r="210">
          <cell r="C210" t="str">
            <v>SNGG220190</v>
          </cell>
          <cell r="D210" t="str">
            <v>Bom Jesus</v>
          </cell>
          <cell r="E210" t="str">
            <v>PI</v>
          </cell>
          <cell r="F210" t="str">
            <v>ü</v>
          </cell>
          <cell r="G210" t="str">
            <v>Adequação</v>
          </cell>
          <cell r="H210">
            <v>4807669.4633151405</v>
          </cell>
          <cell r="I210">
            <v>4807669.4633151405</v>
          </cell>
          <cell r="J210">
            <v>4807669.4633151405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14423008.389945421</v>
          </cell>
          <cell r="AN210" t="str">
            <v>-</v>
          </cell>
          <cell r="AO210">
            <v>0</v>
          </cell>
          <cell r="AP210" t="str">
            <v>-</v>
          </cell>
          <cell r="AQ210" t="str">
            <v>-</v>
          </cell>
          <cell r="AR210" t="str">
            <v>-</v>
          </cell>
          <cell r="AS210" t="str">
            <v>-</v>
          </cell>
          <cell r="AT210" t="str">
            <v>-</v>
          </cell>
          <cell r="AU210" t="str">
            <v>-</v>
          </cell>
          <cell r="AV210" t="str">
            <v>Pública</v>
          </cell>
        </row>
        <row r="211">
          <cell r="C211" t="str">
            <v>SNGN260600</v>
          </cell>
          <cell r="D211" t="str">
            <v>Garanhuns</v>
          </cell>
          <cell r="E211" t="str">
            <v>PE</v>
          </cell>
          <cell r="F211" t="str">
            <v>ü</v>
          </cell>
          <cell r="G211" t="str">
            <v>Adequação</v>
          </cell>
          <cell r="H211">
            <v>8890881.0359826591</v>
          </cell>
          <cell r="I211">
            <v>8890881.0359826591</v>
          </cell>
          <cell r="J211">
            <v>8890881.0359826591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26672643.107947975</v>
          </cell>
          <cell r="AN211" t="str">
            <v>NE e CO</v>
          </cell>
          <cell r="AO211">
            <v>0</v>
          </cell>
          <cell r="AP211" t="str">
            <v>-</v>
          </cell>
          <cell r="AQ211" t="str">
            <v>-</v>
          </cell>
          <cell r="AR211" t="str">
            <v>-</v>
          </cell>
          <cell r="AS211" t="str">
            <v>-</v>
          </cell>
          <cell r="AT211" t="str">
            <v>-</v>
          </cell>
          <cell r="AU211" t="str">
            <v>-</v>
          </cell>
          <cell r="AV211" t="str">
            <v>A definir</v>
          </cell>
        </row>
        <row r="212">
          <cell r="C212" t="str">
            <v>SNMZ150590</v>
          </cell>
          <cell r="D212" t="str">
            <v>Porto de Moz</v>
          </cell>
          <cell r="E212" t="str">
            <v>PA</v>
          </cell>
          <cell r="F212" t="str">
            <v>ü</v>
          </cell>
          <cell r="G212" t="str">
            <v>Adequação</v>
          </cell>
          <cell r="H212">
            <v>10295771.540000001</v>
          </cell>
          <cell r="I212">
            <v>10295771.540000001</v>
          </cell>
          <cell r="J212">
            <v>10295771.540000001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30887314.620000005</v>
          </cell>
          <cell r="AN212" t="str">
            <v>N</v>
          </cell>
          <cell r="AO212">
            <v>0</v>
          </cell>
          <cell r="AP212" t="str">
            <v>-</v>
          </cell>
          <cell r="AQ212" t="str">
            <v>-</v>
          </cell>
          <cell r="AR212" t="str">
            <v>-</v>
          </cell>
          <cell r="AS212" t="str">
            <v>-</v>
          </cell>
          <cell r="AT212" t="str">
            <v>-</v>
          </cell>
          <cell r="AU212" t="str">
            <v>-</v>
          </cell>
          <cell r="AV212" t="str">
            <v>A definir</v>
          </cell>
        </row>
        <row r="213">
          <cell r="C213" t="str">
            <v>SNOX150530</v>
          </cell>
          <cell r="D213" t="str">
            <v>Oriximiná</v>
          </cell>
          <cell r="E213" t="str">
            <v>PA</v>
          </cell>
          <cell r="F213" t="str">
            <v>ü</v>
          </cell>
          <cell r="G213" t="str">
            <v>Adequação</v>
          </cell>
          <cell r="H213">
            <v>13497472.779000001</v>
          </cell>
          <cell r="I213">
            <v>13497472.779000001</v>
          </cell>
          <cell r="J213">
            <v>13497472.779000001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40492418.337000005</v>
          </cell>
          <cell r="AN213" t="str">
            <v>N</v>
          </cell>
          <cell r="AO213">
            <v>0</v>
          </cell>
          <cell r="AP213" t="str">
            <v>-</v>
          </cell>
          <cell r="AQ213" t="str">
            <v>-</v>
          </cell>
          <cell r="AR213" t="str">
            <v>-</v>
          </cell>
          <cell r="AS213" t="str">
            <v>-</v>
          </cell>
          <cell r="AT213" t="str">
            <v>-</v>
          </cell>
          <cell r="AU213" t="str">
            <v>-</v>
          </cell>
          <cell r="AV213" t="str">
            <v>A definir</v>
          </cell>
        </row>
        <row r="214">
          <cell r="C214" t="str">
            <v>SNPA314710</v>
          </cell>
          <cell r="D214" t="str">
            <v>Pará de Minas</v>
          </cell>
          <cell r="E214" t="str">
            <v>MG</v>
          </cell>
          <cell r="F214" t="str">
            <v>ü</v>
          </cell>
          <cell r="G214" t="str">
            <v>Adequação</v>
          </cell>
          <cell r="H214">
            <v>6785322.3128527291</v>
          </cell>
          <cell r="I214">
            <v>6785322.3128527291</v>
          </cell>
          <cell r="J214">
            <v>6785322.3128527291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20355966.938558187</v>
          </cell>
          <cell r="AN214" t="str">
            <v>-</v>
          </cell>
          <cell r="AO214">
            <v>0</v>
          </cell>
          <cell r="AP214" t="str">
            <v>-</v>
          </cell>
          <cell r="AQ214" t="str">
            <v>-</v>
          </cell>
          <cell r="AR214" t="str">
            <v>-</v>
          </cell>
          <cell r="AS214" t="str">
            <v>-</v>
          </cell>
          <cell r="AT214" t="str">
            <v>-</v>
          </cell>
          <cell r="AU214" t="str">
            <v>-</v>
          </cell>
          <cell r="AV214" t="str">
            <v>Auxílios</v>
          </cell>
        </row>
        <row r="215">
          <cell r="C215" t="str">
            <v>SNPD314800</v>
          </cell>
          <cell r="D215" t="str">
            <v>Patos de Minas</v>
          </cell>
          <cell r="E215" t="str">
            <v>MG</v>
          </cell>
          <cell r="F215" t="str">
            <v>ü</v>
          </cell>
          <cell r="G215" t="str">
            <v>Adequação</v>
          </cell>
          <cell r="H215">
            <v>8891466.7404508647</v>
          </cell>
          <cell r="I215">
            <v>8891466.7404508647</v>
          </cell>
          <cell r="J215">
            <v>8891466.7404508647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26674400.221352592</v>
          </cell>
          <cell r="AN215" t="str">
            <v>S e SE</v>
          </cell>
          <cell r="AO215">
            <v>0</v>
          </cell>
          <cell r="AP215" t="str">
            <v>-</v>
          </cell>
          <cell r="AQ215" t="str">
            <v>-</v>
          </cell>
          <cell r="AR215" t="str">
            <v>-</v>
          </cell>
          <cell r="AS215" t="str">
            <v>-</v>
          </cell>
          <cell r="AT215" t="str">
            <v>-</v>
          </cell>
          <cell r="AU215" t="str">
            <v>-</v>
          </cell>
          <cell r="AV215" t="str">
            <v>A definir</v>
          </cell>
        </row>
        <row r="216">
          <cell r="C216" t="str">
            <v>SNRH130150</v>
          </cell>
          <cell r="D216" t="str">
            <v>Envira</v>
          </cell>
          <cell r="E216" t="str">
            <v>AM</v>
          </cell>
          <cell r="F216" t="str">
            <v>ü</v>
          </cell>
          <cell r="G216" t="str">
            <v>Adequação</v>
          </cell>
          <cell r="H216">
            <v>8820763.254154589</v>
          </cell>
          <cell r="I216">
            <v>8820763.254154589</v>
          </cell>
          <cell r="J216">
            <v>8820763.254154589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26462289.762463767</v>
          </cell>
          <cell r="AN216" t="str">
            <v>N</v>
          </cell>
          <cell r="AO216">
            <v>0</v>
          </cell>
          <cell r="AP216" t="str">
            <v>-</v>
          </cell>
          <cell r="AQ216" t="str">
            <v>-</v>
          </cell>
          <cell r="AR216" t="str">
            <v>-</v>
          </cell>
          <cell r="AS216" t="str">
            <v>-</v>
          </cell>
          <cell r="AT216" t="str">
            <v>-</v>
          </cell>
          <cell r="AU216" t="str">
            <v>-</v>
          </cell>
          <cell r="AV216" t="str">
            <v>Aeroporto Privado</v>
          </cell>
        </row>
        <row r="217">
          <cell r="C217" t="str">
            <v>SNTO316860</v>
          </cell>
          <cell r="D217" t="str">
            <v>Teófilo Otoni</v>
          </cell>
          <cell r="E217" t="str">
            <v>MG</v>
          </cell>
          <cell r="F217" t="str">
            <v>ü</v>
          </cell>
          <cell r="G217" t="str">
            <v>Adequação</v>
          </cell>
          <cell r="H217">
            <v>6791903.1957745664</v>
          </cell>
          <cell r="I217">
            <v>6791903.1957745664</v>
          </cell>
          <cell r="J217">
            <v>6791903.1957745664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20375709.587323699</v>
          </cell>
          <cell r="AN217" t="str">
            <v>S e SE</v>
          </cell>
          <cell r="AO217">
            <v>0</v>
          </cell>
          <cell r="AP217" t="str">
            <v>-</v>
          </cell>
          <cell r="AQ217" t="str">
            <v>-</v>
          </cell>
          <cell r="AR217" t="str">
            <v>-</v>
          </cell>
          <cell r="AS217" t="str">
            <v>-</v>
          </cell>
          <cell r="AT217" t="str">
            <v>-</v>
          </cell>
          <cell r="AU217" t="str">
            <v>-</v>
          </cell>
          <cell r="AV217" t="str">
            <v>A definir</v>
          </cell>
        </row>
        <row r="218">
          <cell r="C218" t="str">
            <v>SNXQ293360</v>
          </cell>
          <cell r="D218" t="str">
            <v>Xique-Xique</v>
          </cell>
          <cell r="E218" t="str">
            <v>BA</v>
          </cell>
          <cell r="F218" t="str">
            <v>ü</v>
          </cell>
          <cell r="G218" t="str">
            <v>Adequação</v>
          </cell>
          <cell r="H218">
            <v>5582190.5384207768</v>
          </cell>
          <cell r="I218">
            <v>5582190.5384207768</v>
          </cell>
          <cell r="J218">
            <v>5582190.5384207768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16746571.61526233</v>
          </cell>
          <cell r="AN218" t="str">
            <v>-</v>
          </cell>
          <cell r="AO218">
            <v>0</v>
          </cell>
          <cell r="AP218" t="str">
            <v>-</v>
          </cell>
          <cell r="AQ218" t="str">
            <v>-</v>
          </cell>
          <cell r="AR218" t="str">
            <v>-</v>
          </cell>
          <cell r="AS218" t="str">
            <v>-</v>
          </cell>
          <cell r="AT218" t="str">
            <v>-</v>
          </cell>
          <cell r="AU218" t="str">
            <v>-</v>
          </cell>
          <cell r="AV218" t="str">
            <v>Auxílios</v>
          </cell>
        </row>
        <row r="219">
          <cell r="C219" t="str">
            <v>SNYA150050</v>
          </cell>
          <cell r="D219" t="str">
            <v>Almeirim</v>
          </cell>
          <cell r="E219" t="str">
            <v>PA</v>
          </cell>
          <cell r="F219" t="str">
            <v>ü</v>
          </cell>
          <cell r="G219" t="str">
            <v>Adequação</v>
          </cell>
          <cell r="H219">
            <v>12371243.653427742</v>
          </cell>
          <cell r="I219">
            <v>12371243.653427742</v>
          </cell>
          <cell r="J219">
            <v>12371243.653427742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37113730.960283227</v>
          </cell>
          <cell r="AN219" t="str">
            <v>N</v>
          </cell>
          <cell r="AO219">
            <v>0</v>
          </cell>
          <cell r="AP219" t="str">
            <v>-</v>
          </cell>
          <cell r="AQ219" t="str">
            <v>-</v>
          </cell>
          <cell r="AR219" t="str">
            <v>-</v>
          </cell>
          <cell r="AS219" t="str">
            <v>-</v>
          </cell>
          <cell r="AT219" t="str">
            <v>-</v>
          </cell>
          <cell r="AU219" t="str">
            <v>-</v>
          </cell>
          <cell r="AV219" t="str">
            <v>A definir</v>
          </cell>
        </row>
        <row r="220">
          <cell r="C220" t="str">
            <v>SSBL420240</v>
          </cell>
          <cell r="D220" t="str">
            <v>Blumenau</v>
          </cell>
          <cell r="E220" t="str">
            <v>SC</v>
          </cell>
          <cell r="F220" t="str">
            <v>ü</v>
          </cell>
          <cell r="G220" t="str">
            <v>Adequação</v>
          </cell>
          <cell r="H220">
            <v>5928142.8998803571</v>
          </cell>
          <cell r="I220">
            <v>5928142.8998803571</v>
          </cell>
          <cell r="J220">
            <v>5928142.8998803571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17784428.699641071</v>
          </cell>
          <cell r="AN220" t="str">
            <v>-</v>
          </cell>
          <cell r="AO220">
            <v>0</v>
          </cell>
          <cell r="AP220" t="str">
            <v>-</v>
          </cell>
          <cell r="AQ220" t="str">
            <v>-</v>
          </cell>
          <cell r="AR220" t="str">
            <v>-</v>
          </cell>
          <cell r="AS220" t="str">
            <v>-</v>
          </cell>
          <cell r="AT220" t="str">
            <v>-</v>
          </cell>
          <cell r="AU220" t="str">
            <v>-</v>
          </cell>
          <cell r="AV220" t="str">
            <v>Auxílios</v>
          </cell>
        </row>
        <row r="221">
          <cell r="C221" t="str">
            <v>SSBN431490</v>
          </cell>
          <cell r="D221" t="str">
            <v>Porto Alegre - Belém Novo</v>
          </cell>
          <cell r="E221" t="str">
            <v>RS</v>
          </cell>
          <cell r="F221" t="str">
            <v>ü</v>
          </cell>
          <cell r="G221" t="str">
            <v>Adequação</v>
          </cell>
          <cell r="H221">
            <v>6760291.9568077223</v>
          </cell>
          <cell r="I221">
            <v>6760291.9568077223</v>
          </cell>
          <cell r="J221">
            <v>6760291.9568077223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20280875.870423168</v>
          </cell>
          <cell r="AN221" t="str">
            <v>-</v>
          </cell>
          <cell r="AO221">
            <v>0</v>
          </cell>
          <cell r="AP221" t="str">
            <v>-</v>
          </cell>
          <cell r="AQ221" t="str">
            <v>-</v>
          </cell>
          <cell r="AR221" t="str">
            <v>-</v>
          </cell>
          <cell r="AS221" t="str">
            <v>-</v>
          </cell>
          <cell r="AT221" t="str">
            <v>-</v>
          </cell>
          <cell r="AU221" t="str">
            <v>-</v>
          </cell>
          <cell r="AV221" t="str">
            <v>Auxílios</v>
          </cell>
        </row>
        <row r="222">
          <cell r="C222" t="str">
            <v>SSCN430440</v>
          </cell>
          <cell r="D222" t="str">
            <v>Canela</v>
          </cell>
          <cell r="E222" t="str">
            <v>RS</v>
          </cell>
          <cell r="F222" t="str">
            <v>ü</v>
          </cell>
          <cell r="G222" t="str">
            <v>Adequação</v>
          </cell>
          <cell r="H222">
            <v>4781651.629017341</v>
          </cell>
          <cell r="I222">
            <v>4781651.629017341</v>
          </cell>
          <cell r="J222">
            <v>4781651.629017341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14344954.887052022</v>
          </cell>
          <cell r="AN222" t="str">
            <v>S e SE</v>
          </cell>
          <cell r="AO222">
            <v>0</v>
          </cell>
          <cell r="AP222" t="str">
            <v>-</v>
          </cell>
          <cell r="AQ222" t="str">
            <v>-</v>
          </cell>
          <cell r="AR222" t="str">
            <v>-</v>
          </cell>
          <cell r="AS222" t="str">
            <v>-</v>
          </cell>
          <cell r="AT222" t="str">
            <v>-</v>
          </cell>
          <cell r="AU222" t="str">
            <v>-</v>
          </cell>
          <cell r="AV222" t="str">
            <v>A definir</v>
          </cell>
        </row>
        <row r="223">
          <cell r="C223" t="str">
            <v>SSGB410960</v>
          </cell>
          <cell r="D223" t="str">
            <v>Guaratuba</v>
          </cell>
          <cell r="E223" t="str">
            <v>PR</v>
          </cell>
          <cell r="F223" t="str">
            <v>ü</v>
          </cell>
          <cell r="G223" t="str">
            <v>Adequação</v>
          </cell>
          <cell r="H223">
            <v>3807480.7349960799</v>
          </cell>
          <cell r="I223">
            <v>3807480.7349960799</v>
          </cell>
          <cell r="J223">
            <v>3807480.7349960799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11422442.204988239</v>
          </cell>
          <cell r="AN223" t="str">
            <v>-</v>
          </cell>
          <cell r="AO223">
            <v>0</v>
          </cell>
          <cell r="AP223" t="str">
            <v>-</v>
          </cell>
          <cell r="AQ223" t="str">
            <v>-</v>
          </cell>
          <cell r="AR223" t="str">
            <v>-</v>
          </cell>
          <cell r="AS223" t="str">
            <v>-</v>
          </cell>
          <cell r="AT223" t="str">
            <v>-</v>
          </cell>
          <cell r="AU223" t="str">
            <v>-</v>
          </cell>
          <cell r="AV223" t="str">
            <v>Auxílios</v>
          </cell>
        </row>
        <row r="224">
          <cell r="C224" t="str">
            <v>SSGY410880</v>
          </cell>
          <cell r="D224" t="str">
            <v>Guaíra</v>
          </cell>
          <cell r="E224" t="str">
            <v>PR</v>
          </cell>
          <cell r="F224" t="str">
            <v>ü</v>
          </cell>
          <cell r="G224" t="str">
            <v>Adequação</v>
          </cell>
          <cell r="H224">
            <v>8162539.6468786132</v>
          </cell>
          <cell r="I224">
            <v>8162539.6468786132</v>
          </cell>
          <cell r="J224">
            <v>8162539.6468786132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24487618.940635838</v>
          </cell>
          <cell r="AN224" t="str">
            <v>S e SE</v>
          </cell>
          <cell r="AO224">
            <v>0</v>
          </cell>
          <cell r="AP224" t="str">
            <v>-</v>
          </cell>
          <cell r="AQ224" t="str">
            <v>-</v>
          </cell>
          <cell r="AR224" t="str">
            <v>-</v>
          </cell>
          <cell r="AS224" t="str">
            <v>-</v>
          </cell>
          <cell r="AT224" t="str">
            <v>-</v>
          </cell>
          <cell r="AU224" t="str">
            <v>-</v>
          </cell>
          <cell r="AV224" t="str">
            <v>A definir</v>
          </cell>
        </row>
        <row r="225">
          <cell r="C225" t="str">
            <v>SSIE500270</v>
          </cell>
          <cell r="D225" t="str">
            <v>Campo Grande - Teruel Ipanema Estância</v>
          </cell>
          <cell r="E225" t="str">
            <v>MS</v>
          </cell>
          <cell r="F225" t="str">
            <v>ü</v>
          </cell>
          <cell r="G225" t="str">
            <v>Adequação</v>
          </cell>
          <cell r="H225">
            <v>9573584.7836976554</v>
          </cell>
          <cell r="I225">
            <v>9573584.7836976554</v>
          </cell>
          <cell r="J225">
            <v>9573584.7836976554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28720754.351092964</v>
          </cell>
          <cell r="AN225" t="str">
            <v>-</v>
          </cell>
          <cell r="AO225">
            <v>0</v>
          </cell>
          <cell r="AP225" t="str">
            <v>-</v>
          </cell>
          <cell r="AQ225" t="str">
            <v>-</v>
          </cell>
          <cell r="AR225" t="str">
            <v>-</v>
          </cell>
          <cell r="AS225" t="str">
            <v>-</v>
          </cell>
          <cell r="AT225" t="str">
            <v>-</v>
          </cell>
          <cell r="AU225" t="str">
            <v>-</v>
          </cell>
          <cell r="AV225" t="str">
            <v>Auxílios</v>
          </cell>
        </row>
        <row r="226">
          <cell r="C226" t="str">
            <v>SSKG500270</v>
          </cell>
          <cell r="D226" t="str">
            <v>Campo Grande - Estância Santa Maria</v>
          </cell>
          <cell r="E226" t="str">
            <v>MS</v>
          </cell>
          <cell r="F226" t="str">
            <v>ü</v>
          </cell>
          <cell r="G226" t="str">
            <v>Adequação</v>
          </cell>
          <cell r="H226">
            <v>9324355.6429444365</v>
          </cell>
          <cell r="I226">
            <v>9324355.6429444365</v>
          </cell>
          <cell r="J226">
            <v>9324355.6429444365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27973066.92883331</v>
          </cell>
          <cell r="AN226" t="str">
            <v>-</v>
          </cell>
          <cell r="AO226">
            <v>0</v>
          </cell>
          <cell r="AP226" t="str">
            <v>-</v>
          </cell>
          <cell r="AQ226" t="str">
            <v>-</v>
          </cell>
          <cell r="AR226" t="str">
            <v>-</v>
          </cell>
          <cell r="AS226" t="str">
            <v>-</v>
          </cell>
          <cell r="AT226" t="str">
            <v>-</v>
          </cell>
          <cell r="AU226" t="str">
            <v>-</v>
          </cell>
          <cell r="AV226" t="str">
            <v>Auxílios</v>
          </cell>
        </row>
        <row r="227">
          <cell r="C227" t="str">
            <v>SSLT430040</v>
          </cell>
          <cell r="D227" t="str">
            <v>Alegrete</v>
          </cell>
          <cell r="E227" t="str">
            <v>RS</v>
          </cell>
          <cell r="F227" t="str">
            <v>ü</v>
          </cell>
          <cell r="G227" t="str">
            <v>Adequação</v>
          </cell>
          <cell r="H227">
            <v>6639757.7913583815</v>
          </cell>
          <cell r="I227">
            <v>6639757.7913583815</v>
          </cell>
          <cell r="J227">
            <v>6639757.7913583815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19919273.374075145</v>
          </cell>
          <cell r="AN227" t="str">
            <v>S e SE</v>
          </cell>
          <cell r="AO227">
            <v>0</v>
          </cell>
          <cell r="AP227" t="str">
            <v>-</v>
          </cell>
          <cell r="AQ227" t="str">
            <v>-</v>
          </cell>
          <cell r="AR227" t="str">
            <v>-</v>
          </cell>
          <cell r="AS227" t="str">
            <v>-</v>
          </cell>
          <cell r="AT227" t="str">
            <v>-</v>
          </cell>
          <cell r="AU227" t="str">
            <v>-</v>
          </cell>
          <cell r="AV227" t="str">
            <v>A definir</v>
          </cell>
        </row>
        <row r="228">
          <cell r="C228" t="str">
            <v>SSNG431240</v>
          </cell>
          <cell r="D228" t="str">
            <v>Montenegro</v>
          </cell>
          <cell r="E228" t="str">
            <v>RS</v>
          </cell>
          <cell r="F228" t="str">
            <v>ü</v>
          </cell>
          <cell r="G228" t="str">
            <v>Adequação</v>
          </cell>
          <cell r="H228">
            <v>4379794.4365603914</v>
          </cell>
          <cell r="I228">
            <v>4379794.4365603914</v>
          </cell>
          <cell r="J228">
            <v>4379794.4365603914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13139383.309681173</v>
          </cell>
          <cell r="AN228" t="str">
            <v>-</v>
          </cell>
          <cell r="AO228">
            <v>0</v>
          </cell>
          <cell r="AP228" t="str">
            <v>-</v>
          </cell>
          <cell r="AQ228" t="str">
            <v>-</v>
          </cell>
          <cell r="AR228" t="str">
            <v>-</v>
          </cell>
          <cell r="AS228" t="str">
            <v>-</v>
          </cell>
          <cell r="AT228" t="str">
            <v>-</v>
          </cell>
          <cell r="AU228" t="str">
            <v>-</v>
          </cell>
          <cell r="AV228" t="str">
            <v>Auxílios</v>
          </cell>
        </row>
        <row r="229">
          <cell r="C229" t="str">
            <v>SSNH431340</v>
          </cell>
          <cell r="D229" t="str">
            <v>Novo Hamburgo</v>
          </cell>
          <cell r="E229" t="str">
            <v>RS</v>
          </cell>
          <cell r="F229" t="str">
            <v>ü</v>
          </cell>
          <cell r="G229" t="str">
            <v>Adequação</v>
          </cell>
          <cell r="H229">
            <v>4852858.5640428672</v>
          </cell>
          <cell r="I229">
            <v>4852858.5640428672</v>
          </cell>
          <cell r="J229">
            <v>4852858.5640428672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14558575.692128602</v>
          </cell>
          <cell r="AN229" t="str">
            <v>-</v>
          </cell>
          <cell r="AO229">
            <v>0</v>
          </cell>
          <cell r="AP229" t="str">
            <v>-</v>
          </cell>
          <cell r="AQ229" t="str">
            <v>-</v>
          </cell>
          <cell r="AR229" t="str">
            <v>-</v>
          </cell>
          <cell r="AS229" t="str">
            <v>-</v>
          </cell>
          <cell r="AT229" t="str">
            <v>-</v>
          </cell>
          <cell r="AU229" t="str">
            <v>-</v>
          </cell>
          <cell r="AV229" t="str">
            <v>Auxílios</v>
          </cell>
        </row>
        <row r="230">
          <cell r="C230" t="str">
            <v>SSRA120043</v>
          </cell>
          <cell r="D230" t="str">
            <v>Santa Rosa do Purus</v>
          </cell>
          <cell r="E230" t="str">
            <v>AC</v>
          </cell>
          <cell r="F230" t="str">
            <v>ü</v>
          </cell>
          <cell r="G230" t="str">
            <v>Adequação</v>
          </cell>
          <cell r="H230">
            <v>9080668.8421545886</v>
          </cell>
          <cell r="I230">
            <v>9080668.8421545886</v>
          </cell>
          <cell r="J230">
            <v>9080668.8421545886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27242006.526463766</v>
          </cell>
          <cell r="AN230" t="str">
            <v>N</v>
          </cell>
          <cell r="AO230">
            <v>0</v>
          </cell>
          <cell r="AP230" t="str">
            <v>-</v>
          </cell>
          <cell r="AQ230" t="str">
            <v>-</v>
          </cell>
          <cell r="AR230" t="str">
            <v>-</v>
          </cell>
          <cell r="AS230" t="str">
            <v>-</v>
          </cell>
          <cell r="AT230" t="str">
            <v>-</v>
          </cell>
          <cell r="AU230" t="str">
            <v>-</v>
          </cell>
          <cell r="AV230" t="str">
            <v>Aeroporto Privado</v>
          </cell>
        </row>
        <row r="231">
          <cell r="C231" t="str">
            <v>SSSC431680</v>
          </cell>
          <cell r="D231" t="str">
            <v>Santa Cruz do Sul</v>
          </cell>
          <cell r="E231" t="str">
            <v>RS</v>
          </cell>
          <cell r="F231" t="str">
            <v>ü</v>
          </cell>
          <cell r="G231" t="str">
            <v>Adequação</v>
          </cell>
          <cell r="H231">
            <v>6261655.8396705203</v>
          </cell>
          <cell r="I231">
            <v>6261655.8396705203</v>
          </cell>
          <cell r="J231">
            <v>6261655.8396705203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18784967.519011561</v>
          </cell>
          <cell r="AN231" t="str">
            <v>S e SE</v>
          </cell>
          <cell r="AO231">
            <v>0</v>
          </cell>
          <cell r="AP231" t="str">
            <v>-</v>
          </cell>
          <cell r="AQ231" t="str">
            <v>-</v>
          </cell>
          <cell r="AR231" t="str">
            <v>-</v>
          </cell>
          <cell r="AS231" t="str">
            <v>-</v>
          </cell>
          <cell r="AT231" t="str">
            <v>-</v>
          </cell>
          <cell r="AU231" t="str">
            <v>-</v>
          </cell>
          <cell r="AV231" t="str">
            <v>A definir</v>
          </cell>
        </row>
        <row r="232">
          <cell r="C232" t="str">
            <v>SSSM130195</v>
          </cell>
          <cell r="D232" t="str">
            <v>Itamarati</v>
          </cell>
          <cell r="E232" t="str">
            <v>AM</v>
          </cell>
          <cell r="F232" t="str">
            <v>ü</v>
          </cell>
          <cell r="G232" t="str">
            <v>Adequação</v>
          </cell>
          <cell r="H232">
            <v>8326309.2951545883</v>
          </cell>
          <cell r="I232">
            <v>8326309.2951545883</v>
          </cell>
          <cell r="J232">
            <v>8326309.2951545883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24978927.885463767</v>
          </cell>
          <cell r="AN232" t="str">
            <v>N</v>
          </cell>
          <cell r="AO232">
            <v>0</v>
          </cell>
          <cell r="AP232" t="str">
            <v>-</v>
          </cell>
          <cell r="AQ232" t="str">
            <v>-</v>
          </cell>
          <cell r="AR232" t="str">
            <v>-</v>
          </cell>
          <cell r="AS232" t="str">
            <v>-</v>
          </cell>
          <cell r="AT232" t="str">
            <v>-</v>
          </cell>
          <cell r="AU232" t="str">
            <v>-</v>
          </cell>
          <cell r="AV232" t="str">
            <v>Aeroporto Privado</v>
          </cell>
        </row>
        <row r="233">
          <cell r="C233" t="str">
            <v>SBTR432150</v>
          </cell>
          <cell r="D233" t="str">
            <v>Torres</v>
          </cell>
          <cell r="E233" t="str">
            <v>RS</v>
          </cell>
          <cell r="F233" t="str">
            <v>ü</v>
          </cell>
          <cell r="G233" t="str">
            <v>Adequação</v>
          </cell>
          <cell r="H233">
            <v>6370653.4139590627</v>
          </cell>
          <cell r="I233">
            <v>6370653.4139590627</v>
          </cell>
          <cell r="J233">
            <v>6370653.4139590627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19111960.241877187</v>
          </cell>
          <cell r="AN233" t="str">
            <v>S e SE</v>
          </cell>
          <cell r="AO233">
            <v>0</v>
          </cell>
          <cell r="AP233" t="str">
            <v>-</v>
          </cell>
          <cell r="AQ233" t="str">
            <v>-</v>
          </cell>
          <cell r="AR233" t="str">
            <v>-</v>
          </cell>
          <cell r="AS233" t="str">
            <v>-</v>
          </cell>
          <cell r="AT233" t="str">
            <v>-</v>
          </cell>
          <cell r="AU233" t="str">
            <v>-</v>
          </cell>
          <cell r="AV233" t="str">
            <v>Privada</v>
          </cell>
        </row>
        <row r="234">
          <cell r="C234" t="str">
            <v>SSUM412810</v>
          </cell>
          <cell r="D234" t="str">
            <v>Umuarama</v>
          </cell>
          <cell r="E234" t="str">
            <v>PR</v>
          </cell>
          <cell r="F234" t="str">
            <v>ü</v>
          </cell>
          <cell r="G234" t="str">
            <v>Adequação</v>
          </cell>
          <cell r="H234">
            <v>7610829.5018554917</v>
          </cell>
          <cell r="I234">
            <v>7610829.5018554917</v>
          </cell>
          <cell r="J234">
            <v>7610829.5018554917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22832488.505566474</v>
          </cell>
          <cell r="AN234" t="str">
            <v>S e SE</v>
          </cell>
          <cell r="AO234">
            <v>0</v>
          </cell>
          <cell r="AP234" t="str">
            <v>-</v>
          </cell>
          <cell r="AQ234" t="str">
            <v>-</v>
          </cell>
          <cell r="AR234" t="str">
            <v>-</v>
          </cell>
          <cell r="AS234" t="str">
            <v>-</v>
          </cell>
          <cell r="AT234" t="str">
            <v>-</v>
          </cell>
          <cell r="AU234" t="str">
            <v>-</v>
          </cell>
          <cell r="AV234" t="str">
            <v>A definir</v>
          </cell>
        </row>
        <row r="235">
          <cell r="C235" t="str">
            <v>SSUV412820</v>
          </cell>
          <cell r="D235" t="str">
            <v>União da Vitória</v>
          </cell>
          <cell r="E235" t="str">
            <v>PR</v>
          </cell>
          <cell r="F235" t="str">
            <v>ü</v>
          </cell>
          <cell r="G235" t="str">
            <v>Adequação</v>
          </cell>
          <cell r="H235">
            <v>6608306.8410115624</v>
          </cell>
          <cell r="I235">
            <v>6608306.8410115624</v>
          </cell>
          <cell r="J235">
            <v>6608306.8410115624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19824920.523034688</v>
          </cell>
          <cell r="AN235" t="str">
            <v>S e SE</v>
          </cell>
          <cell r="AO235">
            <v>0</v>
          </cell>
          <cell r="AP235" t="str">
            <v>-</v>
          </cell>
          <cell r="AQ235" t="str">
            <v>-</v>
          </cell>
          <cell r="AR235" t="str">
            <v>-</v>
          </cell>
          <cell r="AS235" t="str">
            <v>-</v>
          </cell>
          <cell r="AT235" t="str">
            <v>-</v>
          </cell>
          <cell r="AU235" t="str">
            <v>-</v>
          </cell>
          <cell r="AV235" t="str">
            <v>A definir</v>
          </cell>
        </row>
        <row r="236">
          <cell r="C236" t="str">
            <v>SSVL412710</v>
          </cell>
          <cell r="D236" t="str">
            <v>Telêmaco Borba</v>
          </cell>
          <cell r="E236" t="str">
            <v>PR</v>
          </cell>
          <cell r="F236" t="str">
            <v>ü</v>
          </cell>
          <cell r="G236" t="str">
            <v>Adequação</v>
          </cell>
          <cell r="H236">
            <v>10191594.694115607</v>
          </cell>
          <cell r="I236">
            <v>10191594.694115607</v>
          </cell>
          <cell r="J236">
            <v>10191594.694115607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30574784.082346819</v>
          </cell>
          <cell r="AN236" t="str">
            <v>S e SE</v>
          </cell>
          <cell r="AO236">
            <v>0</v>
          </cell>
          <cell r="AP236" t="str">
            <v>-</v>
          </cell>
          <cell r="AQ236" t="str">
            <v>-</v>
          </cell>
          <cell r="AR236" t="str">
            <v>-</v>
          </cell>
          <cell r="AS236" t="str">
            <v>-</v>
          </cell>
          <cell r="AT236" t="str">
            <v>-</v>
          </cell>
          <cell r="AU236" t="str">
            <v>-</v>
          </cell>
          <cell r="AV236" t="str">
            <v>A definir</v>
          </cell>
        </row>
        <row r="237">
          <cell r="C237" t="str">
            <v>SSZR431720</v>
          </cell>
          <cell r="D237" t="str">
            <v>Santa Rosa</v>
          </cell>
          <cell r="E237" t="str">
            <v>RS</v>
          </cell>
          <cell r="F237" t="str">
            <v>ü</v>
          </cell>
          <cell r="G237" t="str">
            <v>Adequação</v>
          </cell>
          <cell r="H237">
            <v>7988260.1726184981</v>
          </cell>
          <cell r="I237">
            <v>7988260.1726184981</v>
          </cell>
          <cell r="J237">
            <v>7988260.1726184981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23964780.517855495</v>
          </cell>
          <cell r="AN237" t="str">
            <v>S e SE</v>
          </cell>
          <cell r="AO237">
            <v>0</v>
          </cell>
          <cell r="AP237" t="str">
            <v>-</v>
          </cell>
          <cell r="AQ237" t="str">
            <v>-</v>
          </cell>
          <cell r="AR237" t="str">
            <v>-</v>
          </cell>
          <cell r="AS237" t="str">
            <v>-</v>
          </cell>
          <cell r="AT237" t="str">
            <v>-</v>
          </cell>
          <cell r="AU237" t="str">
            <v>-</v>
          </cell>
          <cell r="AV237" t="str">
            <v>A definir</v>
          </cell>
        </row>
        <row r="238">
          <cell r="C238" t="str">
            <v>SWCQ110008</v>
          </cell>
          <cell r="D238" t="str">
            <v>Costa Marques</v>
          </cell>
          <cell r="E238" t="str">
            <v>RO</v>
          </cell>
          <cell r="F238" t="str">
            <v>ü</v>
          </cell>
          <cell r="G238" t="str">
            <v>Adequação</v>
          </cell>
          <cell r="H238">
            <v>10254326.840265812</v>
          </cell>
          <cell r="I238">
            <v>10254326.840265812</v>
          </cell>
          <cell r="J238">
            <v>10254326.840265812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30762980.520797439</v>
          </cell>
          <cell r="AN238" t="str">
            <v>N</v>
          </cell>
          <cell r="AO238">
            <v>0</v>
          </cell>
          <cell r="AP238" t="str">
            <v>-</v>
          </cell>
          <cell r="AQ238" t="str">
            <v>-</v>
          </cell>
          <cell r="AR238" t="str">
            <v>-</v>
          </cell>
          <cell r="AS238" t="str">
            <v>-</v>
          </cell>
          <cell r="AT238" t="str">
            <v>-</v>
          </cell>
          <cell r="AU238" t="str">
            <v>-</v>
          </cell>
          <cell r="AV238" t="str">
            <v>Privada</v>
          </cell>
        </row>
        <row r="239">
          <cell r="C239" t="str">
            <v>SWFN130260</v>
          </cell>
          <cell r="D239" t="str">
            <v>Manaus - Flores</v>
          </cell>
          <cell r="E239" t="str">
            <v>AM</v>
          </cell>
          <cell r="F239" t="str">
            <v>ü</v>
          </cell>
          <cell r="G239" t="str">
            <v>Adequação</v>
          </cell>
          <cell r="H239">
            <v>5197865.0893766237</v>
          </cell>
          <cell r="I239">
            <v>5197865.0893766237</v>
          </cell>
          <cell r="J239">
            <v>5197865.0893766237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15593595.26812987</v>
          </cell>
          <cell r="AN239" t="str">
            <v>-</v>
          </cell>
          <cell r="AO239">
            <v>0</v>
          </cell>
          <cell r="AP239" t="str">
            <v>-</v>
          </cell>
          <cell r="AQ239" t="str">
            <v>-</v>
          </cell>
          <cell r="AR239" t="str">
            <v>-</v>
          </cell>
          <cell r="AS239" t="str">
            <v>-</v>
          </cell>
          <cell r="AT239" t="str">
            <v>-</v>
          </cell>
          <cell r="AU239" t="str">
            <v>-</v>
          </cell>
          <cell r="AV239" t="str">
            <v>Pública</v>
          </cell>
        </row>
        <row r="240">
          <cell r="C240" t="str">
            <v>SWFR520800</v>
          </cell>
          <cell r="D240" t="str">
            <v>Formosa</v>
          </cell>
          <cell r="E240" t="str">
            <v>GO</v>
          </cell>
          <cell r="F240" t="str">
            <v>ü</v>
          </cell>
          <cell r="G240" t="str">
            <v>Adequação</v>
          </cell>
          <cell r="H240">
            <v>7290553.8153378256</v>
          </cell>
          <cell r="I240">
            <v>7290553.8153378256</v>
          </cell>
          <cell r="J240">
            <v>7290553.8153378256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21871661.446013477</v>
          </cell>
          <cell r="AN240" t="str">
            <v>-</v>
          </cell>
          <cell r="AO240">
            <v>0</v>
          </cell>
          <cell r="AP240" t="str">
            <v>-</v>
          </cell>
          <cell r="AQ240" t="str">
            <v>-</v>
          </cell>
          <cell r="AR240" t="str">
            <v>-</v>
          </cell>
          <cell r="AS240" t="str">
            <v>-</v>
          </cell>
          <cell r="AT240" t="str">
            <v>-</v>
          </cell>
          <cell r="AU240" t="str">
            <v>-</v>
          </cell>
          <cell r="AV240" t="str">
            <v>Auxílios</v>
          </cell>
        </row>
        <row r="241">
          <cell r="C241" t="str">
            <v>N686130220</v>
          </cell>
          <cell r="D241" t="str">
            <v>Juruá</v>
          </cell>
          <cell r="E241" t="str">
            <v>AM</v>
          </cell>
          <cell r="F241" t="str">
            <v>ü</v>
          </cell>
          <cell r="G241" t="str">
            <v>Adequação</v>
          </cell>
          <cell r="H241">
            <v>11525938.48915459</v>
          </cell>
          <cell r="I241">
            <v>11525938.48915459</v>
          </cell>
          <cell r="J241">
            <v>11525938.48915459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34577815.467463769</v>
          </cell>
          <cell r="AN241" t="str">
            <v>N</v>
          </cell>
          <cell r="AO241">
            <v>0</v>
          </cell>
          <cell r="AP241" t="str">
            <v>-</v>
          </cell>
          <cell r="AQ241" t="str">
            <v>-</v>
          </cell>
          <cell r="AR241" t="str">
            <v>-</v>
          </cell>
          <cell r="AS241" t="str">
            <v>-</v>
          </cell>
          <cell r="AT241" t="str">
            <v>-</v>
          </cell>
          <cell r="AU241" t="str">
            <v>-</v>
          </cell>
          <cell r="AV241" t="str">
            <v>A definir</v>
          </cell>
        </row>
        <row r="242">
          <cell r="C242" t="str">
            <v>SWII130370</v>
          </cell>
          <cell r="D242" t="str">
            <v>Santo Antônio do Içá</v>
          </cell>
          <cell r="E242" t="str">
            <v>AM</v>
          </cell>
          <cell r="F242" t="str">
            <v>ü</v>
          </cell>
          <cell r="G242" t="str">
            <v>Adequação</v>
          </cell>
          <cell r="H242">
            <v>13450406.419648483</v>
          </cell>
          <cell r="I242">
            <v>13450406.419648483</v>
          </cell>
          <cell r="J242">
            <v>13450406.419648483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40351219.25894545</v>
          </cell>
          <cell r="AN242" t="str">
            <v>N</v>
          </cell>
          <cell r="AO242">
            <v>0</v>
          </cell>
          <cell r="AP242" t="str">
            <v>-</v>
          </cell>
          <cell r="AQ242" t="str">
            <v>-</v>
          </cell>
          <cell r="AR242" t="str">
            <v>-</v>
          </cell>
          <cell r="AS242" t="str">
            <v>-</v>
          </cell>
          <cell r="AT242" t="str">
            <v>-</v>
          </cell>
          <cell r="AU242" t="str">
            <v>-</v>
          </cell>
          <cell r="AV242" t="str">
            <v>Privada</v>
          </cell>
        </row>
        <row r="243">
          <cell r="C243" t="str">
            <v>SWNS520110</v>
          </cell>
          <cell r="D243" t="str">
            <v>Anápolis</v>
          </cell>
          <cell r="E243" t="str">
            <v>GO</v>
          </cell>
          <cell r="F243" t="str">
            <v>ü</v>
          </cell>
          <cell r="G243" t="str">
            <v>Adequação</v>
          </cell>
          <cell r="H243">
            <v>7998346.892080158</v>
          </cell>
          <cell r="I243">
            <v>7998346.892080158</v>
          </cell>
          <cell r="J243">
            <v>7998346.892080158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23995040.676240474</v>
          </cell>
          <cell r="AN243" t="str">
            <v>NE e CO</v>
          </cell>
          <cell r="AO243">
            <v>0</v>
          </cell>
          <cell r="AP243" t="str">
            <v>-</v>
          </cell>
          <cell r="AQ243" t="str">
            <v>-</v>
          </cell>
          <cell r="AR243" t="str">
            <v>-</v>
          </cell>
          <cell r="AS243" t="str">
            <v>-</v>
          </cell>
          <cell r="AT243" t="str">
            <v>-</v>
          </cell>
          <cell r="AU243" t="str">
            <v>-</v>
          </cell>
          <cell r="AV243" t="str">
            <v>Privada</v>
          </cell>
        </row>
        <row r="244">
          <cell r="C244" t="str">
            <v>SWOB130160</v>
          </cell>
          <cell r="D244" t="str">
            <v>Fonte Boa</v>
          </cell>
          <cell r="E244" t="str">
            <v>AM</v>
          </cell>
          <cell r="F244" t="str">
            <v>ü</v>
          </cell>
          <cell r="G244" t="str">
            <v>Adequação</v>
          </cell>
          <cell r="H244">
            <v>11065141.542894688</v>
          </cell>
          <cell r="I244">
            <v>11065141.542894688</v>
          </cell>
          <cell r="J244">
            <v>11065141.542894688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33195424.628684063</v>
          </cell>
          <cell r="AN244" t="str">
            <v>N</v>
          </cell>
          <cell r="AO244">
            <v>0</v>
          </cell>
          <cell r="AP244" t="str">
            <v>-</v>
          </cell>
          <cell r="AQ244" t="str">
            <v>-</v>
          </cell>
          <cell r="AR244" t="str">
            <v>-</v>
          </cell>
          <cell r="AS244" t="str">
            <v>-</v>
          </cell>
          <cell r="AT244" t="str">
            <v>-</v>
          </cell>
          <cell r="AU244" t="str">
            <v>-</v>
          </cell>
          <cell r="AV244" t="str">
            <v>Privada</v>
          </cell>
        </row>
        <row r="245">
          <cell r="C245" t="str">
            <v>SWPY510704</v>
          </cell>
          <cell r="D245" t="str">
            <v>Primavera do Leste</v>
          </cell>
          <cell r="E245" t="str">
            <v>MT</v>
          </cell>
          <cell r="F245" t="str">
            <v>ü</v>
          </cell>
          <cell r="G245" t="str">
            <v>Adequação</v>
          </cell>
          <cell r="H245">
            <v>8651636.8099062257</v>
          </cell>
          <cell r="I245">
            <v>8651636.8099062257</v>
          </cell>
          <cell r="J245">
            <v>8651636.8099062257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25954910.429718677</v>
          </cell>
          <cell r="AN245" t="str">
            <v>NE e CO</v>
          </cell>
          <cell r="AO245">
            <v>0</v>
          </cell>
          <cell r="AP245" t="str">
            <v>-</v>
          </cell>
          <cell r="AQ245" t="str">
            <v>-</v>
          </cell>
          <cell r="AR245" t="str">
            <v>-</v>
          </cell>
          <cell r="AS245" t="str">
            <v>-</v>
          </cell>
          <cell r="AT245" t="str">
            <v>-</v>
          </cell>
          <cell r="AU245" t="str">
            <v>-</v>
          </cell>
          <cell r="AV245" t="str">
            <v>Privada</v>
          </cell>
        </row>
        <row r="246">
          <cell r="C246" t="str">
            <v>SWTP130360</v>
          </cell>
          <cell r="D246" t="str">
            <v>Santa Isabel do Rio Negro</v>
          </cell>
          <cell r="E246" t="str">
            <v>AM</v>
          </cell>
          <cell r="F246" t="str">
            <v>ü</v>
          </cell>
          <cell r="G246" t="str">
            <v>Adequação</v>
          </cell>
          <cell r="H246">
            <v>11379870.415774809</v>
          </cell>
          <cell r="I246">
            <v>11379870.415774809</v>
          </cell>
          <cell r="J246">
            <v>11379870.415774809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34139611.247324429</v>
          </cell>
          <cell r="AN246" t="str">
            <v>N</v>
          </cell>
          <cell r="AO246">
            <v>0</v>
          </cell>
          <cell r="AP246" t="str">
            <v>-</v>
          </cell>
          <cell r="AQ246" t="str">
            <v>-</v>
          </cell>
          <cell r="AR246" t="str">
            <v>-</v>
          </cell>
          <cell r="AS246" t="str">
            <v>-</v>
          </cell>
          <cell r="AT246" t="str">
            <v>-</v>
          </cell>
          <cell r="AU246" t="str">
            <v>-</v>
          </cell>
          <cell r="AV246" t="str">
            <v>Privada</v>
          </cell>
        </row>
        <row r="247">
          <cell r="C247" t="str">
            <v>SWUZ521250</v>
          </cell>
          <cell r="D247" t="str">
            <v>Luziânia</v>
          </cell>
          <cell r="E247" t="str">
            <v>GO</v>
          </cell>
          <cell r="F247" t="str">
            <v>ü</v>
          </cell>
          <cell r="G247" t="str">
            <v>Adequação</v>
          </cell>
          <cell r="H247">
            <v>5387825.6425840193</v>
          </cell>
          <cell r="I247">
            <v>5387825.6425840193</v>
          </cell>
          <cell r="J247">
            <v>5387825.6425840193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16163476.927752059</v>
          </cell>
          <cell r="AN247" t="str">
            <v>NE e CO</v>
          </cell>
          <cell r="AO247">
            <v>0</v>
          </cell>
          <cell r="AP247" t="str">
            <v>-</v>
          </cell>
          <cell r="AQ247" t="str">
            <v>-</v>
          </cell>
          <cell r="AR247" t="str">
            <v>-</v>
          </cell>
          <cell r="AS247" t="str">
            <v>-</v>
          </cell>
          <cell r="AT247" t="str">
            <v>-</v>
          </cell>
          <cell r="AU247" t="str">
            <v>-</v>
          </cell>
          <cell r="AV247" t="str">
            <v>Privada</v>
          </cell>
        </row>
        <row r="248">
          <cell r="C248" t="str">
            <v>SWWA521800</v>
          </cell>
          <cell r="D248" t="str">
            <v>Porangatu</v>
          </cell>
          <cell r="E248" t="str">
            <v>GO</v>
          </cell>
          <cell r="F248" t="str">
            <v>ü</v>
          </cell>
          <cell r="G248" t="str">
            <v>Adequação</v>
          </cell>
          <cell r="H248">
            <v>6410320.0275541944</v>
          </cell>
          <cell r="I248">
            <v>6410320.0275541944</v>
          </cell>
          <cell r="J248">
            <v>6410320.0275541944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19230960.082662582</v>
          </cell>
          <cell r="AN248" t="str">
            <v>-</v>
          </cell>
          <cell r="AO248">
            <v>0</v>
          </cell>
          <cell r="AP248" t="str">
            <v>-</v>
          </cell>
          <cell r="AQ248" t="str">
            <v>-</v>
          </cell>
          <cell r="AR248" t="str">
            <v>-</v>
          </cell>
          <cell r="AS248" t="str">
            <v>-</v>
          </cell>
          <cell r="AT248" t="str">
            <v>-</v>
          </cell>
          <cell r="AU248" t="str">
            <v>-</v>
          </cell>
          <cell r="AV248" t="str">
            <v>Auxílios</v>
          </cell>
        </row>
        <row r="249">
          <cell r="C249" t="str">
            <v>SWYN130014</v>
          </cell>
          <cell r="D249" t="str">
            <v>Apuí</v>
          </cell>
          <cell r="E249" t="str">
            <v>AM</v>
          </cell>
          <cell r="F249" t="str">
            <v>ü</v>
          </cell>
          <cell r="G249" t="str">
            <v>Adequação</v>
          </cell>
          <cell r="H249">
            <v>10137504.257142484</v>
          </cell>
          <cell r="I249">
            <v>10137504.257142484</v>
          </cell>
          <cell r="J249">
            <v>10137504.257142484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30412512.771427453</v>
          </cell>
          <cell r="AN249" t="str">
            <v>N</v>
          </cell>
          <cell r="AO249">
            <v>0</v>
          </cell>
          <cell r="AP249" t="str">
            <v>-</v>
          </cell>
          <cell r="AQ249" t="str">
            <v>-</v>
          </cell>
          <cell r="AR249" t="str">
            <v>-</v>
          </cell>
          <cell r="AS249" t="str">
            <v>-</v>
          </cell>
          <cell r="AT249" t="str">
            <v>-</v>
          </cell>
          <cell r="AU249" t="str">
            <v>-</v>
          </cell>
          <cell r="AV249" t="str">
            <v>Privada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8B77-7F16-42D7-93D1-57B2E200D7A7}">
  <sheetPr>
    <tabColor theme="0"/>
  </sheetPr>
  <dimension ref="B1:AB101"/>
  <sheetViews>
    <sheetView topLeftCell="A25" workbookViewId="0">
      <selection activeCell="B37" sqref="B37:D37"/>
    </sheetView>
  </sheetViews>
  <sheetFormatPr defaultColWidth="9.1796875" defaultRowHeight="14.5" x14ac:dyDescent="0.35"/>
  <cols>
    <col min="1" max="1" width="5" style="60" customWidth="1"/>
    <col min="2" max="2" width="9.1796875" style="60" customWidth="1"/>
    <col min="3" max="16384" width="9.1796875" style="60"/>
  </cols>
  <sheetData>
    <row r="1" spans="2:28" ht="7.5" customHeight="1" x14ac:dyDescent="0.35"/>
    <row r="2" spans="2:28" x14ac:dyDescent="0.35">
      <c r="B2" s="79" t="s">
        <v>392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4" spans="2:28" ht="15" customHeight="1" x14ac:dyDescent="0.35">
      <c r="B4" s="82" t="s">
        <v>367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61"/>
    </row>
    <row r="5" spans="2:28" x14ac:dyDescent="0.3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61"/>
    </row>
    <row r="6" spans="2:28" x14ac:dyDescent="0.3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61"/>
    </row>
    <row r="7" spans="2:28" x14ac:dyDescent="0.3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61"/>
    </row>
    <row r="8" spans="2:28" x14ac:dyDescent="0.35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61"/>
    </row>
    <row r="9" spans="2:28" x14ac:dyDescent="0.35"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61"/>
    </row>
    <row r="10" spans="2:28" x14ac:dyDescent="0.35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61"/>
    </row>
    <row r="11" spans="2:28" x14ac:dyDescent="0.35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61"/>
    </row>
    <row r="12" spans="2:28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61"/>
    </row>
    <row r="13" spans="2:28" x14ac:dyDescent="0.35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61"/>
    </row>
    <row r="14" spans="2:28" x14ac:dyDescent="0.35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61"/>
    </row>
    <row r="15" spans="2:28" x14ac:dyDescent="0.35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61"/>
    </row>
    <row r="16" spans="2:28" x14ac:dyDescent="0.35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61"/>
    </row>
    <row r="17" spans="2:28" x14ac:dyDescent="0.35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61"/>
    </row>
    <row r="18" spans="2:28" x14ac:dyDescent="0.35"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61"/>
    </row>
    <row r="19" spans="2:28" x14ac:dyDescent="0.35"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61"/>
    </row>
    <row r="20" spans="2:28" x14ac:dyDescent="0.35"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61"/>
    </row>
    <row r="21" spans="2:28" x14ac:dyDescent="0.35"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61"/>
    </row>
    <row r="22" spans="2:28" x14ac:dyDescent="0.35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61"/>
    </row>
    <row r="23" spans="2:28" x14ac:dyDescent="0.35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61"/>
    </row>
    <row r="24" spans="2:28" x14ac:dyDescent="0.35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61"/>
    </row>
    <row r="25" spans="2:28" x14ac:dyDescent="0.35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61"/>
    </row>
    <row r="26" spans="2:28" x14ac:dyDescent="0.35"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61"/>
    </row>
    <row r="27" spans="2:28" x14ac:dyDescent="0.35"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61"/>
    </row>
    <row r="28" spans="2:28" x14ac:dyDescent="0.35"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61"/>
    </row>
    <row r="29" spans="2:28" x14ac:dyDescent="0.35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61"/>
    </row>
    <row r="30" spans="2:28" x14ac:dyDescent="0.35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61"/>
    </row>
    <row r="31" spans="2:28" x14ac:dyDescent="0.35"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61"/>
    </row>
    <row r="32" spans="2:28" x14ac:dyDescent="0.3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2:9" x14ac:dyDescent="0.35">
      <c r="B33" s="81" t="s">
        <v>335</v>
      </c>
      <c r="C33" s="81"/>
      <c r="D33" s="81"/>
      <c r="E33" s="81"/>
      <c r="F33" s="81"/>
      <c r="G33" s="81"/>
    </row>
    <row r="34" spans="2:9" ht="15" customHeight="1" x14ac:dyDescent="0.35">
      <c r="B34" s="81"/>
      <c r="C34" s="81"/>
      <c r="D34" s="81"/>
      <c r="E34" s="81"/>
      <c r="F34" s="81"/>
      <c r="G34" s="81"/>
      <c r="I34" s="64"/>
    </row>
    <row r="35" spans="2:9" ht="15" customHeight="1" x14ac:dyDescent="0.35">
      <c r="B35" s="81"/>
      <c r="C35" s="81"/>
      <c r="D35" s="81"/>
      <c r="E35" s="81"/>
      <c r="F35" s="81"/>
      <c r="G35" s="81"/>
    </row>
    <row r="36" spans="2:9" x14ac:dyDescent="0.35">
      <c r="B36" s="62"/>
      <c r="C36" s="62"/>
      <c r="D36" s="62"/>
    </row>
    <row r="37" spans="2:9" x14ac:dyDescent="0.35">
      <c r="B37" s="80" t="s">
        <v>397</v>
      </c>
      <c r="C37" s="80"/>
      <c r="D37" s="80"/>
    </row>
    <row r="38" spans="2:9" x14ac:dyDescent="0.35">
      <c r="B38" s="62"/>
      <c r="C38" s="62"/>
      <c r="D38" s="62"/>
    </row>
    <row r="39" spans="2:9" x14ac:dyDescent="0.35">
      <c r="B39" s="80" t="s">
        <v>324</v>
      </c>
      <c r="C39" s="80"/>
      <c r="D39" s="80"/>
      <c r="G39" s="64"/>
    </row>
    <row r="41" spans="2:9" x14ac:dyDescent="0.35">
      <c r="B41" s="80" t="s">
        <v>325</v>
      </c>
      <c r="C41" s="80"/>
      <c r="D41" s="80"/>
      <c r="G41" s="64"/>
    </row>
    <row r="43" spans="2:9" x14ac:dyDescent="0.35">
      <c r="B43" s="80" t="s">
        <v>326</v>
      </c>
      <c r="C43" s="80"/>
      <c r="D43" s="80"/>
      <c r="G43" s="64"/>
    </row>
    <row r="45" spans="2:9" x14ac:dyDescent="0.35">
      <c r="B45" s="80" t="s">
        <v>327</v>
      </c>
      <c r="C45" s="80"/>
      <c r="D45" s="80"/>
      <c r="G45" s="64"/>
    </row>
    <row r="47" spans="2:9" x14ac:dyDescent="0.35">
      <c r="B47" s="80" t="s">
        <v>328</v>
      </c>
      <c r="C47" s="80"/>
      <c r="D47" s="80"/>
      <c r="E47" s="80"/>
      <c r="G47" s="64"/>
    </row>
    <row r="49" spans="2:7" x14ac:dyDescent="0.35">
      <c r="B49" s="80" t="s">
        <v>329</v>
      </c>
      <c r="C49" s="80"/>
      <c r="D49" s="80"/>
      <c r="G49" s="64"/>
    </row>
    <row r="51" spans="2:7" x14ac:dyDescent="0.35">
      <c r="B51" s="80" t="s">
        <v>330</v>
      </c>
      <c r="C51" s="80"/>
      <c r="D51" s="80"/>
      <c r="G51" s="64"/>
    </row>
    <row r="53" spans="2:7" x14ac:dyDescent="0.35">
      <c r="B53" s="80" t="s">
        <v>331</v>
      </c>
      <c r="C53" s="80"/>
      <c r="G53" s="64"/>
    </row>
    <row r="55" spans="2:7" x14ac:dyDescent="0.35">
      <c r="B55" s="80" t="s">
        <v>332</v>
      </c>
      <c r="C55" s="80"/>
      <c r="G55" s="64"/>
    </row>
    <row r="57" spans="2:7" x14ac:dyDescent="0.35">
      <c r="B57" s="80" t="s">
        <v>333</v>
      </c>
      <c r="C57" s="80"/>
      <c r="D57" s="80"/>
      <c r="G57" s="64"/>
    </row>
    <row r="58" spans="2:7" x14ac:dyDescent="0.35">
      <c r="G58" s="64"/>
    </row>
    <row r="59" spans="2:7" x14ac:dyDescent="0.35">
      <c r="B59" s="80" t="s">
        <v>334</v>
      </c>
      <c r="C59" s="80"/>
      <c r="D59" s="80"/>
      <c r="G59" s="64"/>
    </row>
    <row r="61" spans="2:7" ht="15" customHeight="1" x14ac:dyDescent="0.35">
      <c r="B61" s="81" t="s">
        <v>336</v>
      </c>
      <c r="C61" s="81"/>
      <c r="D61" s="81"/>
      <c r="E61" s="81"/>
      <c r="F61" s="81"/>
      <c r="G61" s="81"/>
    </row>
    <row r="62" spans="2:7" ht="15" customHeight="1" x14ac:dyDescent="0.35">
      <c r="B62" s="81"/>
      <c r="C62" s="81"/>
      <c r="D62" s="81"/>
      <c r="E62" s="81"/>
      <c r="F62" s="81"/>
      <c r="G62" s="81"/>
    </row>
    <row r="63" spans="2:7" x14ac:dyDescent="0.35">
      <c r="B63" s="81"/>
      <c r="C63" s="81"/>
      <c r="D63" s="81"/>
      <c r="E63" s="81"/>
      <c r="F63" s="81"/>
      <c r="G63" s="81"/>
    </row>
    <row r="65" spans="2:11" x14ac:dyDescent="0.35">
      <c r="B65" s="80" t="s">
        <v>337</v>
      </c>
      <c r="C65" s="80"/>
      <c r="D65" s="80"/>
      <c r="E65" s="80"/>
    </row>
    <row r="67" spans="2:11" x14ac:dyDescent="0.35">
      <c r="B67" s="80" t="s">
        <v>338</v>
      </c>
      <c r="C67" s="80"/>
      <c r="D67" s="80"/>
      <c r="E67" s="80"/>
      <c r="G67" s="64"/>
      <c r="K67" s="64"/>
    </row>
    <row r="69" spans="2:11" ht="15" customHeight="1" x14ac:dyDescent="0.35">
      <c r="B69" s="81" t="s">
        <v>339</v>
      </c>
      <c r="C69" s="81"/>
      <c r="D69" s="81"/>
      <c r="E69" s="81"/>
      <c r="F69" s="81"/>
      <c r="G69" s="81"/>
    </row>
    <row r="70" spans="2:11" ht="15" customHeight="1" x14ac:dyDescent="0.35">
      <c r="B70" s="81"/>
      <c r="C70" s="81"/>
      <c r="D70" s="81"/>
      <c r="E70" s="81"/>
      <c r="F70" s="81"/>
      <c r="G70" s="81"/>
    </row>
    <row r="71" spans="2:11" x14ac:dyDescent="0.35">
      <c r="B71" s="81"/>
      <c r="C71" s="81"/>
      <c r="D71" s="81"/>
      <c r="E71" s="81"/>
      <c r="F71" s="81"/>
      <c r="G71" s="81"/>
    </row>
    <row r="73" spans="2:11" x14ac:dyDescent="0.35">
      <c r="B73" s="80" t="s">
        <v>340</v>
      </c>
      <c r="C73" s="80"/>
      <c r="D73" s="80"/>
      <c r="G73" s="64"/>
    </row>
    <row r="75" spans="2:11" x14ac:dyDescent="0.35">
      <c r="B75" s="80" t="s">
        <v>341</v>
      </c>
      <c r="C75" s="80"/>
      <c r="D75" s="80"/>
    </row>
    <row r="77" spans="2:11" x14ac:dyDescent="0.35">
      <c r="B77" s="80" t="s">
        <v>342</v>
      </c>
      <c r="C77" s="80"/>
      <c r="D77" s="80"/>
      <c r="G77" s="64"/>
    </row>
    <row r="79" spans="2:11" x14ac:dyDescent="0.35">
      <c r="B79" s="81" t="s">
        <v>343</v>
      </c>
      <c r="C79" s="81"/>
      <c r="D79" s="81"/>
      <c r="E79" s="81"/>
      <c r="F79" s="81"/>
      <c r="G79" s="81"/>
    </row>
    <row r="80" spans="2:11" x14ac:dyDescent="0.35">
      <c r="B80" s="81"/>
      <c r="C80" s="81"/>
      <c r="D80" s="81"/>
      <c r="E80" s="81"/>
      <c r="F80" s="81"/>
      <c r="G80" s="81"/>
    </row>
    <row r="81" spans="2:7" x14ac:dyDescent="0.35">
      <c r="B81" s="81"/>
      <c r="C81" s="81"/>
      <c r="D81" s="81"/>
      <c r="E81" s="81"/>
      <c r="F81" s="81"/>
      <c r="G81" s="81"/>
    </row>
    <row r="83" spans="2:7" x14ac:dyDescent="0.35">
      <c r="B83" s="80" t="s">
        <v>344</v>
      </c>
      <c r="C83" s="80"/>
      <c r="D83" s="80"/>
    </row>
    <row r="85" spans="2:7" x14ac:dyDescent="0.35">
      <c r="B85" s="80" t="s">
        <v>345</v>
      </c>
      <c r="C85" s="80"/>
      <c r="D85" s="80"/>
      <c r="G85" s="64"/>
    </row>
    <row r="87" spans="2:7" x14ac:dyDescent="0.35">
      <c r="B87" s="80" t="s">
        <v>346</v>
      </c>
      <c r="C87" s="80"/>
      <c r="D87" s="80"/>
      <c r="G87" s="64"/>
    </row>
    <row r="89" spans="2:7" x14ac:dyDescent="0.35">
      <c r="B89" s="80" t="s">
        <v>347</v>
      </c>
      <c r="C89" s="80"/>
      <c r="D89" s="80"/>
    </row>
    <row r="91" spans="2:7" x14ac:dyDescent="0.35">
      <c r="B91" s="80" t="s">
        <v>348</v>
      </c>
      <c r="C91" s="80"/>
      <c r="D91" s="80"/>
      <c r="E91" s="80"/>
    </row>
    <row r="93" spans="2:7" x14ac:dyDescent="0.35">
      <c r="B93" s="80" t="s">
        <v>349</v>
      </c>
      <c r="C93" s="80"/>
      <c r="D93" s="80"/>
      <c r="E93" s="80"/>
    </row>
    <row r="95" spans="2:7" x14ac:dyDescent="0.35">
      <c r="B95" s="80" t="s">
        <v>350</v>
      </c>
      <c r="C95" s="80"/>
      <c r="D95" s="80"/>
      <c r="E95" s="80"/>
    </row>
    <row r="97" spans="2:7" x14ac:dyDescent="0.35">
      <c r="B97" s="80" t="s">
        <v>351</v>
      </c>
      <c r="C97" s="80"/>
      <c r="D97" s="80"/>
      <c r="E97" s="80"/>
    </row>
    <row r="99" spans="2:7" x14ac:dyDescent="0.35">
      <c r="B99" s="80" t="s">
        <v>352</v>
      </c>
      <c r="C99" s="80"/>
      <c r="D99" s="80"/>
      <c r="E99" s="80"/>
      <c r="G99" s="64"/>
    </row>
    <row r="101" spans="2:7" x14ac:dyDescent="0.35">
      <c r="B101" s="80" t="s">
        <v>353</v>
      </c>
      <c r="C101" s="80"/>
      <c r="D101" s="80"/>
    </row>
  </sheetData>
  <mergeCells count="33">
    <mergeCell ref="B99:E99"/>
    <mergeCell ref="B101:D101"/>
    <mergeCell ref="B87:D87"/>
    <mergeCell ref="B89:D89"/>
    <mergeCell ref="B91:E91"/>
    <mergeCell ref="B93:E93"/>
    <mergeCell ref="B95:E95"/>
    <mergeCell ref="B97:E97"/>
    <mergeCell ref="B85:D85"/>
    <mergeCell ref="B51:D51"/>
    <mergeCell ref="B53:C53"/>
    <mergeCell ref="B55:C55"/>
    <mergeCell ref="B57:D57"/>
    <mergeCell ref="B59:D59"/>
    <mergeCell ref="B65:E65"/>
    <mergeCell ref="B67:E67"/>
    <mergeCell ref="B73:D73"/>
    <mergeCell ref="B75:D75"/>
    <mergeCell ref="B77:D77"/>
    <mergeCell ref="B83:D83"/>
    <mergeCell ref="B79:G81"/>
    <mergeCell ref="B69:G71"/>
    <mergeCell ref="B2:AA2"/>
    <mergeCell ref="B49:D49"/>
    <mergeCell ref="B33:G35"/>
    <mergeCell ref="B61:G63"/>
    <mergeCell ref="B39:D39"/>
    <mergeCell ref="B41:D41"/>
    <mergeCell ref="B43:D43"/>
    <mergeCell ref="B45:D45"/>
    <mergeCell ref="B47:E47"/>
    <mergeCell ref="B4:AA31"/>
    <mergeCell ref="B37:D37"/>
  </mergeCells>
  <hyperlinks>
    <hyperlink ref="B39" location="'BLOCO ACRE + AMAZONAS'!A1" display="'BLOCO ACRE + AMAZONAS'!A1" xr:uid="{CED71855-4DA8-4690-9A0B-38D0EA950D40}"/>
    <hyperlink ref="B41" location="'BLOCO AMAZONAS - 2'!A1" display="'BLOCO AMAZONAS - 2'!A1" xr:uid="{160A8039-E8FD-4613-9E74-809434D35BF4}"/>
    <hyperlink ref="B43" location="'BLOCO AMAZONAS - 3'!A1" display="'BLOCO AMAZONAS - 3'!A1" xr:uid="{A884A204-051C-48A5-898A-74E95A60EE04}"/>
    <hyperlink ref="B45" location="'BLOCO AMAPÁ + PARÁ'!A1" display="'BLOCO AMAPÁ + PARÁ'!A1" xr:uid="{B6957FBE-E2C2-4708-A6C0-0124AC3379C6}"/>
    <hyperlink ref="B47" location="'BLOCO MARANHÃO + TOCANTINS'!A1" display="'BLOCO MARANHÃO + TOCANTINS'!A1" xr:uid="{4188987D-FF66-4ACA-9DFB-18350E98CC69}"/>
    <hyperlink ref="B49" location="'BLOCO MATO GROSSO - 1'!A1" display="'BLOCO MATO GROSSO - 1'!A1" xr:uid="{CC351B5C-0C3D-435C-A321-0513C68A3753}"/>
    <hyperlink ref="B51" location="'BLOCO MATO GROSSO - 2'!A1" display="'BLOCO MATO GROSSO - 2'!A1" xr:uid="{66F1A522-04DA-4E34-805A-188FA2949608}"/>
    <hyperlink ref="B53" location="'BLOCO PARÁ - 1'!A1" display="'BLOCO PARÁ - 1'!A1" xr:uid="{C6AEDC21-2895-4CDB-B025-AB54D16D4E26}"/>
    <hyperlink ref="B55" location="'BLOCO PARÁ - 2'!A1" display="'BLOCO PARÁ - 2'!A1" xr:uid="{B6ACA291-AF0E-47C2-8268-1B270BD185BF}"/>
    <hyperlink ref="B57" location="'BLOCO RONDÔNIA - 1'!A1" display="'BLOCO RONDÔNIA - 1'!A1" xr:uid="{4B0D996C-9B5E-4A04-B16E-DB449A144DB2}"/>
    <hyperlink ref="B59" location="'BLOCO NORDESTE'!A1" display="'BLOCO NORDESTE'!A1" xr:uid="{6655C2E6-9F68-429B-A968-187AAEFD5068}"/>
    <hyperlink ref="B65" location="'FLUXO DE CAIXA - BLOCOS PAN'!A1" display="'FLUXO DE CAIXA - BLOCOS PAN'!A1" xr:uid="{5A0A3B23-44AE-481D-AFEA-B5F9E68AF7BF}"/>
    <hyperlink ref="B67" location="'FLUXO DE CAIXA DESC.-BLOCOS PAN'!A1" display="'FLUXO DE CAIXA DESC.-BLOCOS PAN'!A1" xr:uid="{F2D17E11-3E36-4F17-97A5-5AC870B0A6BF}"/>
    <hyperlink ref="B73" location="'RECEITAS - BLOCOS PAN'!A1" display="'RECEITAS - BLOCOS PAN'!A1" xr:uid="{70E8D6D1-17D9-47A6-B0F0-D6CF546BB387}"/>
    <hyperlink ref="B75" location="'CAPEX - BLOCOS PAN'!A1" display="'CAPEX - BLOCOS PAN'!A1" xr:uid="{5D107F25-40A8-410A-A2D8-D85B79656357}"/>
    <hyperlink ref="B77" location="'OPEX - BLOCOS PAN'!A1" display="'OPEX - BLOCOS PAN'!A1" xr:uid="{B99D23CC-0DCE-4122-9240-E42694336068}"/>
    <hyperlink ref="B83" location="'BASE PAN - CAPEX'!A1" display="'BASE PAN - CAPEX'!A1" xr:uid="{A2A967DC-F383-4AA2-8586-E4837708F8E5}"/>
    <hyperlink ref="B85" location="'BASE PAN - OPEX'!A1" display="'BASE PAN - OPEX'!A1" xr:uid="{F896CCD1-022E-49EA-8C86-CD091B44720D}"/>
    <hyperlink ref="B87" location="'BASE PAN - RECEITAS'!A1" display="'BASE PAN - RECEITAS'!A1" xr:uid="{19AE46E2-3D73-4102-A11B-37DDAC98FB31}"/>
    <hyperlink ref="B89" location="'BASE PAN - CAPEX - 1º ANO'!A1" display="'BASE PAN - CAPEX - 1º ANO'!A1" xr:uid="{32D81977-6B1A-47DF-BF40-BB5835C863C3}"/>
    <hyperlink ref="B91" location="'CAPEX Manut. Estr_PPD e Taxiway'!A1" display="'CAPEX Manut. Estr_PPD e Taxiway'!A1" xr:uid="{3562479E-7358-4739-9890-23066DA349EE}"/>
    <hyperlink ref="B93" location="'CAPEX Manut. Estratégicos_Pátio'!A1" display="'CAPEX Manut. Estratégicos_Pátio'!A1" xr:uid="{10071CC1-117E-4B1E-8AF0-CFFAF556B47A}"/>
    <hyperlink ref="B95" location="'CAPEX Manut. Estr_Naveg. Aérea'!A1" display="'CAPEX Manut. Estr_Naveg. Aérea'!A1" xr:uid="{8652C0F9-A1C4-41C4-841A-3FB89611B9A2}"/>
    <hyperlink ref="B97" location="'CAPEX Manut. Estr_Cerca Operac.'!A1" display="'CAPEX Manut. Estr_Cerca Operac.'!A1" xr:uid="{9AD2CBCD-A300-42E4-A56B-A5665C78BAD8}"/>
    <hyperlink ref="B99" location="'Receitas - Aerop. Estratégicos'!A1" display="'Receitas - Aerop. Estratégicos'!A1" xr:uid="{FA78DE65-D627-4681-BBE7-6C06031B36FD}"/>
    <hyperlink ref="B101" location="'Projeção - Demanda PAX'!A1" display="'Projeção - Demanda PAX'!A1" xr:uid="{66DCCE3E-94AF-4F67-9ECB-6ED5141306BF}"/>
    <hyperlink ref="B37" location="'BLOCOS - AMPLIAR'!A1" display="'BLOCOS - AMPLIAR'!A1" xr:uid="{E1E28CFD-3557-4878-BDA4-B165BF0A5982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7E8F-4E73-404A-BD47-40649C31599F}">
  <sheetPr>
    <tabColor theme="6" tint="-0.499984740745262"/>
  </sheetPr>
  <dimension ref="A1:AS13"/>
  <sheetViews>
    <sheetView topLeftCell="AG1" workbookViewId="0">
      <selection activeCell="AS2" sqref="AS2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74</v>
      </c>
      <c r="B3" t="s">
        <v>75</v>
      </c>
      <c r="C3">
        <v>150810</v>
      </c>
      <c r="D3" t="s">
        <v>76</v>
      </c>
      <c r="E3" t="s">
        <v>75</v>
      </c>
      <c r="F3" t="s">
        <v>29</v>
      </c>
      <c r="G3" t="s">
        <v>259</v>
      </c>
      <c r="H3" t="s">
        <v>33</v>
      </c>
      <c r="I3" s="1">
        <f>('RECEITAS - BLOCOS PAN'!H12-'OPEX - BLOCOS PAN'!H12-VLOOKUP('BLOCO PARÁ - 2'!$D3,'CAPEX - BLOCOS PAN'!$C$3:$H$52,6,FALSE))*I$11</f>
        <v>-57297531.987266667</v>
      </c>
      <c r="J3" s="1">
        <f>('RECEITAS - BLOCOS PAN'!I12-'OPEX - BLOCOS PAN'!I12-VLOOKUP('BLOCO PARÁ - 2'!$D3,'CAPEX - BLOCOS PAN'!$C$3:$I$52,7,FALSE))*J$11</f>
        <v>-52265332.651270352</v>
      </c>
      <c r="K3" s="1">
        <f>('RECEITAS - BLOCOS PAN'!J12-'OPEX - BLOCOS PAN'!J12-VLOOKUP('BLOCO PARÁ - 2'!$D3,'CAPEX - BLOCOS PAN'!$C$3:$J$52,8,FALSE))*K$11</f>
        <v>-47682624.246250883</v>
      </c>
      <c r="L3" s="1">
        <f>('RECEITAS - BLOCOS PAN'!K12-'OPEX - BLOCOS PAN'!K12-VLOOKUP('BLOCO PARÁ - 2'!$D3,'CAPEX - BLOCOS PAN'!$C$3:$K$52,9,FALSE))*L$11</f>
        <v>-1942848.2278064922</v>
      </c>
      <c r="M3" s="1">
        <f>('RECEITAS - BLOCOS PAN'!L12-'OPEX - BLOCOS PAN'!L12-VLOOKUP('BLOCO PARÁ - 2'!$D3,'CAPEX - BLOCOS PAN'!$C$3:$L$52,10,FALSE))*M$11</f>
        <v>-1760629.3034196</v>
      </c>
      <c r="N3" s="1">
        <f>('RECEITAS - BLOCOS PAN'!M12-'OPEX - BLOCOS PAN'!M12-VLOOKUP('BLOCO PARÁ - 2'!$D3,'CAPEX - BLOCOS PAN'!$C$3:$M$52,11,FALSE))*N$11</f>
        <v>-1597566.5466534339</v>
      </c>
      <c r="O3" s="1">
        <f>('RECEITAS - BLOCOS PAN'!N12-'OPEX - BLOCOS PAN'!N12-VLOOKUP('BLOCO PARÁ - 2'!$D3,'CAPEX - BLOCOS PAN'!$C$3:$N$52,12,FALSE))*O$11</f>
        <v>-1449215.6711226557</v>
      </c>
      <c r="P3" s="1">
        <f>('RECEITAS - BLOCOS PAN'!O12-'OPEX - BLOCOS PAN'!O12-VLOOKUP('BLOCO PARÁ - 2'!$D3,'CAPEX - BLOCOS PAN'!$C$3:$O$52,13,FALSE))*P$11</f>
        <v>-1315651.2480311953</v>
      </c>
      <c r="Q3" s="1">
        <f>('RECEITAS - BLOCOS PAN'!P12-'OPEX - BLOCOS PAN'!P12-VLOOKUP('BLOCO PARÁ - 2'!$D3,'CAPEX - BLOCOS PAN'!$C$3:$P$52,14,FALSE))*Q$11</f>
        <v>-1193920.2329935697</v>
      </c>
      <c r="R3" s="1">
        <f>('RECEITAS - BLOCOS PAN'!Q12-'OPEX - BLOCOS PAN'!Q12-VLOOKUP('BLOCO PARÁ - 2'!$D3,'CAPEX - BLOCOS PAN'!$C$3:$Q$52,15,FALSE))*R$11</f>
        <v>-1084839.1381346707</v>
      </c>
      <c r="S3" s="1">
        <f>('RECEITAS - BLOCOS PAN'!R12-'OPEX - BLOCOS PAN'!R12-VLOOKUP('BLOCO PARÁ - 2'!$D3,'CAPEX - BLOCOS PAN'!$C$3:$R$52,16,FALSE))*S$11</f>
        <v>-985348.29696603667</v>
      </c>
      <c r="T3" s="1">
        <f>('RECEITAS - BLOCOS PAN'!S12-'OPEX - BLOCOS PAN'!S12-VLOOKUP('BLOCO PARÁ - 2'!$D3,'CAPEX - BLOCOS PAN'!$C$3:$S$52,17,FALSE))*T$11</f>
        <v>-895544.8179092072</v>
      </c>
      <c r="U3" s="1">
        <f>('RECEITAS - BLOCOS PAN'!T12-'OPEX - BLOCOS PAN'!T12-VLOOKUP('BLOCO PARÁ - 2'!$D3,'CAPEX - BLOCOS PAN'!$C$3:$T$52,18,FALSE))*U$11</f>
        <v>-813404.75302134606</v>
      </c>
      <c r="V3" s="1">
        <f>('RECEITAS - BLOCOS PAN'!U12-'OPEX - BLOCOS PAN'!U12-VLOOKUP('BLOCO PARÁ - 2'!$D3,'CAPEX - BLOCOS PAN'!$C$3:$U$52,19,FALSE))*V$11</f>
        <v>-739180.74070413539</v>
      </c>
      <c r="W3" s="1">
        <f>('RECEITAS - BLOCOS PAN'!V12-'OPEX - BLOCOS PAN'!V12-VLOOKUP('BLOCO PARÁ - 2'!$D3,'CAPEX - BLOCOS PAN'!$C$3:$V$52,20,FALSE))*W$11</f>
        <v>-671203.31427750853</v>
      </c>
      <c r="X3" s="1">
        <f>('RECEITAS - BLOCOS PAN'!W12-'OPEX - BLOCOS PAN'!W12-VLOOKUP('BLOCO PARÁ - 2'!$D3,'CAPEX - BLOCOS PAN'!$C$3:$W$52,21,FALSE))*X$11</f>
        <v>-609965.03373031388</v>
      </c>
      <c r="Y3" s="1">
        <f>('RECEITAS - BLOCOS PAN'!X12-'OPEX - BLOCOS PAN'!X12-VLOOKUP('BLOCO PARÁ - 2'!$D3,'CAPEX - BLOCOS PAN'!$C$3:$X$52,22,FALSE))*Y$11</f>
        <v>-553792.38356327254</v>
      </c>
      <c r="Z3" s="1">
        <f>('RECEITAS - BLOCOS PAN'!Y12-'OPEX - BLOCOS PAN'!Y12-VLOOKUP('BLOCO PARÁ - 2'!$D3,'CAPEX - BLOCOS PAN'!$C$3:$Y$52,23,FALSE))*Z$11</f>
        <v>-503225.83350352861</v>
      </c>
      <c r="AA3" s="1">
        <f>('RECEITAS - BLOCOS PAN'!Z12-'OPEX - BLOCOS PAN'!Z12-VLOOKUP('BLOCO PARÁ - 2'!$D3,'CAPEX - BLOCOS PAN'!$C$3:$Z$52,24,FALSE))*AA$11</f>
        <v>-456791.97978245589</v>
      </c>
      <c r="AB3" s="1">
        <f>('RECEITAS - BLOCOS PAN'!AA12-'OPEX - BLOCOS PAN'!AA12-VLOOKUP('BLOCO PARÁ - 2'!$D3,'CAPEX - BLOCOS PAN'!$C$3:$AA$52,25,FALSE))*AB$11</f>
        <v>-414959.79136924492</v>
      </c>
      <c r="AC3" s="1">
        <f>('RECEITAS - BLOCOS PAN'!AB12-'OPEX - BLOCOS PAN'!AB12-VLOOKUP('BLOCO PARÁ - 2'!$D3,'CAPEX - BLOCOS PAN'!$C$3:$AB$52,26,FALSE))*AC$11</f>
        <v>-376687.48592999839</v>
      </c>
      <c r="AD3" s="1">
        <f>('RECEITAS - BLOCOS PAN'!AC12-'OPEX - BLOCOS PAN'!AC12-VLOOKUP('BLOCO PARÁ - 2'!$D3,'CAPEX - BLOCOS PAN'!$C$3:$AC$52,27,FALSE))*AD$11</f>
        <v>-342192.70004545606</v>
      </c>
      <c r="AE3" s="1">
        <f>('RECEITAS - BLOCOS PAN'!AD12-'OPEX - BLOCOS PAN'!AD12-VLOOKUP('BLOCO PARÁ - 2'!$D3,'CAPEX - BLOCOS PAN'!$C$3:$AD$52,28,FALSE))*AE$11</f>
        <v>-310556.22542078589</v>
      </c>
      <c r="AF3" s="1">
        <f>('RECEITAS - BLOCOS PAN'!AE12-'OPEX - BLOCOS PAN'!AE12-VLOOKUP('BLOCO PARÁ - 2'!$D3,'CAPEX - BLOCOS PAN'!$C$3:$AE$52,29,FALSE))*AF$11</f>
        <v>-281994.24790429865</v>
      </c>
      <c r="AG3" s="1">
        <f>('RECEITAS - BLOCOS PAN'!AF12-'OPEX - BLOCOS PAN'!AF12-VLOOKUP('BLOCO PARÁ - 2'!$D3,'CAPEX - BLOCOS PAN'!$C$3:$AF$52,30,FALSE))*AG$11</f>
        <v>-255802.78882099871</v>
      </c>
      <c r="AH3" s="1">
        <f>('RECEITAS - BLOCOS PAN'!AG12-'OPEX - BLOCOS PAN'!AG12-VLOOKUP('BLOCO PARÁ - 2'!$D3,'CAPEX - BLOCOS PAN'!$C$3:$AG$52,31,FALSE))*AH$11</f>
        <v>-232225.88613331257</v>
      </c>
      <c r="AI3" s="1">
        <f>('RECEITAS - BLOCOS PAN'!AH12-'OPEX - BLOCOS PAN'!AH12-VLOOKUP('BLOCO PARÁ - 2'!$D3,'CAPEX - BLOCOS PAN'!$C$3:$AH$52,32,FALSE))*AI$11</f>
        <v>-310172.16947518243</v>
      </c>
      <c r="AJ3" s="1">
        <f>('RECEITAS - BLOCOS PAN'!AI12-'OPEX - BLOCOS PAN'!AI12-VLOOKUP('BLOCO PARÁ - 2'!$D3,'CAPEX - BLOCOS PAN'!$C$3:$AI$52,33,FALSE))*AJ$11</f>
        <v>-282045.67156273714</v>
      </c>
      <c r="AK3" s="1">
        <f>('RECEITAS - BLOCOS PAN'!AJ12-'OPEX - BLOCOS PAN'!AJ12-VLOOKUP('BLOCO PARÁ - 2'!$D3,'CAPEX - BLOCOS PAN'!$C$3:$AJ$52,34,FALSE))*AK$11</f>
        <v>-256458.96797924055</v>
      </c>
      <c r="AL3" s="1">
        <f>('RECEITAS - BLOCOS PAN'!AK12-'OPEX - BLOCOS PAN'!AK12-VLOOKUP('BLOCO PARÁ - 2'!$D3,'CAPEX - BLOCOS PAN'!$C$3:$AK$52,35,FALSE))*AL$11</f>
        <v>-233170.08306197354</v>
      </c>
      <c r="AM3" s="44">
        <f t="shared" ref="AM3:AM6" si="0">SUM(I3:AL3)</f>
        <v>-177114882.42411059</v>
      </c>
      <c r="AN3">
        <v>1</v>
      </c>
      <c r="AO3" t="s">
        <v>313</v>
      </c>
      <c r="AP3">
        <v>-3.7666666666666666</v>
      </c>
      <c r="AQ3">
        <v>-49.716666666666669</v>
      </c>
      <c r="AR3" s="48">
        <f>VLOOKUP(D3,'Projeção - Demanda PAX'!$C$3:$H$37,6,FALSE)</f>
        <v>23561</v>
      </c>
      <c r="AS3" t="str">
        <f>VLOOKUP(D3,'FLUXO DE CAIXA DESC.-BLOCOS PAN'!$D$3:$AU$52,44,FALSE)</f>
        <v>Bloco 6 - PA2</v>
      </c>
    </row>
    <row r="4" spans="1:45" x14ac:dyDescent="0.35">
      <c r="A4" t="s">
        <v>90</v>
      </c>
      <c r="B4" t="s">
        <v>91</v>
      </c>
      <c r="C4">
        <v>150613</v>
      </c>
      <c r="D4" t="s">
        <v>92</v>
      </c>
      <c r="E4" t="s">
        <v>91</v>
      </c>
      <c r="F4" t="s">
        <v>29</v>
      </c>
      <c r="G4" t="s">
        <v>259</v>
      </c>
      <c r="H4" t="s">
        <v>33</v>
      </c>
      <c r="I4" s="1">
        <f>('RECEITAS - BLOCOS PAN'!H16-'OPEX - BLOCOS PAN'!H16-VLOOKUP('BLOCO PARÁ - 2'!$D4,'CAPEX - BLOCOS PAN'!$C$3:$H$52,6,FALSE))*I$11</f>
        <v>-17427614.374499999</v>
      </c>
      <c r="J4" s="1">
        <f>('RECEITAS - BLOCOS PAN'!I16-'OPEX - BLOCOS PAN'!I16-VLOOKUP('BLOCO PARÁ - 2'!$D4,'CAPEX - BLOCOS PAN'!$C$3:$I$52,7,FALSE))*J$11</f>
        <v>-15892322.57708809</v>
      </c>
      <c r="K4" s="1">
        <f>('RECEITAS - BLOCOS PAN'!J16-'OPEX - BLOCOS PAN'!J16-VLOOKUP('BLOCO PARÁ - 2'!$D4,'CAPEX - BLOCOS PAN'!$C$3:$J$52,8,FALSE))*K$11</f>
        <v>-14495258.822188862</v>
      </c>
      <c r="L4" s="1">
        <f>('RECEITAS - BLOCOS PAN'!K16-'OPEX - BLOCOS PAN'!K16-VLOOKUP('BLOCO PARÁ - 2'!$D4,'CAPEX - BLOCOS PAN'!$C$3:$K$52,9,FALSE))*L$11</f>
        <v>-2013045.4923297921</v>
      </c>
      <c r="M4" s="1">
        <f>('RECEITAS - BLOCOS PAN'!L16-'OPEX - BLOCOS PAN'!L16-VLOOKUP('BLOCO PARÁ - 2'!$D4,'CAPEX - BLOCOS PAN'!$C$3:$L$52,10,FALSE))*M$11</f>
        <v>-1831300.1638833256</v>
      </c>
      <c r="N4" s="1">
        <f>('RECEITAS - BLOCOS PAN'!M16-'OPEX - BLOCOS PAN'!M16-VLOOKUP('BLOCO PARÁ - 2'!$D4,'CAPEX - BLOCOS PAN'!$C$3:$M$52,11,FALSE))*N$11</f>
        <v>-1666599.4776243565</v>
      </c>
      <c r="O4" s="1">
        <f>('RECEITAS - BLOCOS PAN'!N16-'OPEX - BLOCOS PAN'!N16-VLOOKUP('BLOCO PARÁ - 2'!$D4,'CAPEX - BLOCOS PAN'!$C$3:$N$52,12,FALSE))*O$11</f>
        <v>-1516581.9167683516</v>
      </c>
      <c r="P4" s="1">
        <f>('RECEITAS - BLOCOS PAN'!O16-'OPEX - BLOCOS PAN'!O16-VLOOKUP('BLOCO PARÁ - 2'!$D4,'CAPEX - BLOCOS PAN'!$C$3:$O$52,13,FALSE))*P$11</f>
        <v>-1379888.4884167425</v>
      </c>
      <c r="Q4" s="1">
        <f>('RECEITAS - BLOCOS PAN'!P16-'OPEX - BLOCOS PAN'!P16-VLOOKUP('BLOCO PARÁ - 2'!$D4,'CAPEX - BLOCOS PAN'!$C$3:$P$52,14,FALSE))*Q$11</f>
        <v>-1255642.9313714623</v>
      </c>
      <c r="R4" s="1">
        <f>('RECEITAS - BLOCOS PAN'!Q16-'OPEX - BLOCOS PAN'!Q16-VLOOKUP('BLOCO PARÁ - 2'!$D4,'CAPEX - BLOCOS PAN'!$C$3:$Q$52,15,FALSE))*R$11</f>
        <v>-1142677.6188628054</v>
      </c>
      <c r="S4" s="1">
        <f>('RECEITAS - BLOCOS PAN'!R16-'OPEX - BLOCOS PAN'!R16-VLOOKUP('BLOCO PARÁ - 2'!$D4,'CAPEX - BLOCOS PAN'!$C$3:$R$52,16,FALSE))*S$11</f>
        <v>-1040072.352914843</v>
      </c>
      <c r="T4" s="1">
        <f>('RECEITAS - BLOCOS PAN'!S16-'OPEX - BLOCOS PAN'!S16-VLOOKUP('BLOCO PARÁ - 2'!$D4,'CAPEX - BLOCOS PAN'!$C$3:$S$52,17,FALSE))*T$11</f>
        <v>-946520.30734080134</v>
      </c>
      <c r="U4" s="1">
        <f>('RECEITAS - BLOCOS PAN'!T16-'OPEX - BLOCOS PAN'!T16-VLOOKUP('BLOCO PARÁ - 2'!$D4,'CAPEX - BLOCOS PAN'!$C$3:$T$52,18,FALSE))*U$11</f>
        <v>-861418.30599820463</v>
      </c>
      <c r="V4" s="1">
        <f>('RECEITAS - BLOCOS PAN'!U16-'OPEX - BLOCOS PAN'!U16-VLOOKUP('BLOCO PARÁ - 2'!$D4,'CAPEX - BLOCOS PAN'!$C$3:$U$52,19,FALSE))*V$11</f>
        <v>-783873.39753432432</v>
      </c>
      <c r="W4" s="1">
        <f>('RECEITAS - BLOCOS PAN'!V16-'OPEX - BLOCOS PAN'!V16-VLOOKUP('BLOCO PARÁ - 2'!$D4,'CAPEX - BLOCOS PAN'!$C$3:$V$52,20,FALSE))*W$11</f>
        <v>-713284.57402582827</v>
      </c>
      <c r="X4" s="1">
        <f>('RECEITAS - BLOCOS PAN'!W16-'OPEX - BLOCOS PAN'!W16-VLOOKUP('BLOCO PARÁ - 2'!$D4,'CAPEX - BLOCOS PAN'!$C$3:$W$52,21,FALSE))*X$11</f>
        <v>-649029.12542597414</v>
      </c>
      <c r="Y4" s="1">
        <f>('RECEITAS - BLOCOS PAN'!X16-'OPEX - BLOCOS PAN'!X16-VLOOKUP('BLOCO PARÁ - 2'!$D4,'CAPEX - BLOCOS PAN'!$C$3:$X$52,22,FALSE))*Y$11</f>
        <v>-590476.26888326183</v>
      </c>
      <c r="Z4" s="1">
        <f>('RECEITAS - BLOCOS PAN'!Y16-'OPEX - BLOCOS PAN'!Y16-VLOOKUP('BLOCO PARÁ - 2'!$D4,'CAPEX - BLOCOS PAN'!$C$3:$Y$52,23,FALSE))*Z$11</f>
        <v>-537181.6179832886</v>
      </c>
      <c r="AA4" s="1">
        <f>('RECEITAS - BLOCOS PAN'!Z16-'OPEX - BLOCOS PAN'!Z16-VLOOKUP('BLOCO PARÁ - 2'!$D4,'CAPEX - BLOCOS PAN'!$C$3:$Z$52,24,FALSE))*AA$11</f>
        <v>-488583.48402586463</v>
      </c>
      <c r="AB4" s="1">
        <f>('RECEITAS - BLOCOS PAN'!AA16-'OPEX - BLOCOS PAN'!AA16-VLOOKUP('BLOCO PARÁ - 2'!$D4,'CAPEX - BLOCOS PAN'!$C$3:$AA$52,25,FALSE))*AB$11</f>
        <v>-444386.33835654118</v>
      </c>
      <c r="AC4" s="1">
        <f>('RECEITAS - BLOCOS PAN'!AB16-'OPEX - BLOCOS PAN'!AB16-VLOOKUP('BLOCO PARÁ - 2'!$D4,'CAPEX - BLOCOS PAN'!$C$3:$AB$52,26,FALSE))*AC$11</f>
        <v>-404118.86625947064</v>
      </c>
      <c r="AD4" s="1">
        <f>('RECEITAS - BLOCOS PAN'!AC16-'OPEX - BLOCOS PAN'!AC16-VLOOKUP('BLOCO PARÁ - 2'!$D4,'CAPEX - BLOCOS PAN'!$C$3:$AC$52,27,FALSE))*AD$11</f>
        <v>-367508.3100970792</v>
      </c>
      <c r="AE4" s="1">
        <f>('RECEITAS - BLOCOS PAN'!AD16-'OPEX - BLOCOS PAN'!AD16-VLOOKUP('BLOCO PARÁ - 2'!$D4,'CAPEX - BLOCOS PAN'!$C$3:$AD$52,28,FALSE))*AE$11</f>
        <v>-334165.49360458838</v>
      </c>
      <c r="AF4" s="1">
        <f>('RECEITAS - BLOCOS PAN'!AE16-'OPEX - BLOCOS PAN'!AE16-VLOOKUP('BLOCO PARÁ - 2'!$D4,'CAPEX - BLOCOS PAN'!$C$3:$AE$52,29,FALSE))*AF$11</f>
        <v>-303831.89777274261</v>
      </c>
      <c r="AG4" s="1">
        <f>('RECEITAS - BLOCOS PAN'!AF16-'OPEX - BLOCOS PAN'!AF16-VLOOKUP('BLOCO PARÁ - 2'!$D4,'CAPEX - BLOCOS PAN'!$C$3:$AF$52,30,FALSE))*AG$11</f>
        <v>-276236.28105464706</v>
      </c>
      <c r="AH4" s="1">
        <f>('RECEITAS - BLOCOS PAN'!AG16-'OPEX - BLOCOS PAN'!AG16-VLOOKUP('BLOCO PARÁ - 2'!$D4,'CAPEX - BLOCOS PAN'!$C$3:$AG$52,31,FALSE))*AH$11</f>
        <v>-251114.95490677361</v>
      </c>
      <c r="AI4" s="1">
        <f>('RECEITAS - BLOCOS PAN'!AH16-'OPEX - BLOCOS PAN'!AH16-VLOOKUP('BLOCO PARÁ - 2'!$D4,'CAPEX - BLOCOS PAN'!$C$3:$AH$52,32,FALSE))*AI$11</f>
        <v>-228284.32562252949</v>
      </c>
      <c r="AJ4" s="1">
        <f>('RECEITAS - BLOCOS PAN'!AI16-'OPEX - BLOCOS PAN'!AI16-VLOOKUP('BLOCO PARÁ - 2'!$D4,'CAPEX - BLOCOS PAN'!$C$3:$AI$52,33,FALSE))*AJ$11</f>
        <v>-207550.28735719511</v>
      </c>
      <c r="AK4" s="1">
        <f>('RECEITAS - BLOCOS PAN'!AJ16-'OPEX - BLOCOS PAN'!AJ16-VLOOKUP('BLOCO PARÁ - 2'!$D4,'CAPEX - BLOCOS PAN'!$C$3:$AJ$52,34,FALSE))*AK$11</f>
        <v>-188672.9877559141</v>
      </c>
      <c r="AL4" s="1">
        <f>('RECEITAS - BLOCOS PAN'!AK16-'OPEX - BLOCOS PAN'!AK16-VLOOKUP('BLOCO PARÁ - 2'!$D4,'CAPEX - BLOCOS PAN'!$C$3:$AK$52,35,FALSE))*AL$11</f>
        <v>-171493.46515100228</v>
      </c>
      <c r="AM4" s="44">
        <f t="shared" si="0"/>
        <v>-68408734.505104646</v>
      </c>
      <c r="AN4">
        <v>1</v>
      </c>
      <c r="AO4" t="s">
        <v>313</v>
      </c>
      <c r="AP4">
        <v>-8.0166666666666675</v>
      </c>
      <c r="AQ4">
        <v>-49.966666666666669</v>
      </c>
      <c r="AR4" s="48">
        <f>VLOOKUP(D4,'Projeção - Demanda PAX'!$C$3:$H$37,6,FALSE)</f>
        <v>9874</v>
      </c>
      <c r="AS4" t="str">
        <f>VLOOKUP(D4,'FLUXO DE CAIXA DESC.-BLOCOS PAN'!$D$3:$AU$52,44,FALSE)</f>
        <v>Bloco 6 - PA2</v>
      </c>
    </row>
    <row r="5" spans="1:45" x14ac:dyDescent="0.35">
      <c r="A5" t="s">
        <v>93</v>
      </c>
      <c r="B5" t="s">
        <v>172</v>
      </c>
      <c r="C5">
        <v>150550</v>
      </c>
      <c r="D5" t="s">
        <v>95</v>
      </c>
      <c r="E5" t="s">
        <v>96</v>
      </c>
      <c r="F5" t="s">
        <v>29</v>
      </c>
      <c r="G5" t="s">
        <v>259</v>
      </c>
      <c r="H5" t="s">
        <v>33</v>
      </c>
      <c r="I5" s="1">
        <f>('RECEITAS - BLOCOS PAN'!H17-'OPEX - BLOCOS PAN'!H17-VLOOKUP('BLOCO PARÁ - 2'!$D5,'CAPEX - BLOCOS PAN'!$C$3:$H$52,6,FALSE))*I$11</f>
        <v>-62628857.632833332</v>
      </c>
      <c r="J5" s="1">
        <f>('RECEITAS - BLOCOS PAN'!I17-'OPEX - BLOCOS PAN'!I17-VLOOKUP('BLOCO PARÁ - 2'!$D5,'CAPEX - BLOCOS PAN'!$C$3:$I$52,7,FALSE))*J$11</f>
        <v>-57140095.640833713</v>
      </c>
      <c r="K5" s="1">
        <f>('RECEITAS - BLOCOS PAN'!J17-'OPEX - BLOCOS PAN'!J17-VLOOKUP('BLOCO PARÁ - 2'!$D5,'CAPEX - BLOCOS PAN'!$C$3:$J$52,8,FALSE))*K$11</f>
        <v>-52135659.764622204</v>
      </c>
      <c r="L5" s="1">
        <f>('RECEITAS - BLOCOS PAN'!K17-'OPEX - BLOCOS PAN'!K17-VLOOKUP('BLOCO PARÁ - 2'!$D5,'CAPEX - BLOCOS PAN'!$C$3:$K$52,9,FALSE))*L$11</f>
        <v>-1940798.4577046807</v>
      </c>
      <c r="M5" s="1">
        <f>('RECEITAS - BLOCOS PAN'!L17-'OPEX - BLOCOS PAN'!L17-VLOOKUP('BLOCO PARÁ - 2'!$D5,'CAPEX - BLOCOS PAN'!$C$3:$L$52,10,FALSE))*M$11</f>
        <v>-1757113.8534263372</v>
      </c>
      <c r="N5" s="1">
        <f>('RECEITAS - BLOCOS PAN'!M17-'OPEX - BLOCOS PAN'!M17-VLOOKUP('BLOCO PARÁ - 2'!$D5,'CAPEX - BLOCOS PAN'!$C$3:$M$52,11,FALSE))*N$11</f>
        <v>-1592017.16850705</v>
      </c>
      <c r="O5" s="1">
        <f>('RECEITAS - BLOCOS PAN'!N17-'OPEX - BLOCOS PAN'!N17-VLOOKUP('BLOCO PARÁ - 2'!$D5,'CAPEX - BLOCOS PAN'!$C$3:$N$52,12,FALSE))*O$11</f>
        <v>-1441584.8837607705</v>
      </c>
      <c r="P5" s="1">
        <f>('RECEITAS - BLOCOS PAN'!O17-'OPEX - BLOCOS PAN'!O17-VLOOKUP('BLOCO PARÁ - 2'!$D5,'CAPEX - BLOCOS PAN'!$C$3:$O$52,13,FALSE))*P$11</f>
        <v>-1305958.8946735081</v>
      </c>
      <c r="Q5" s="1">
        <f>('RECEITAS - BLOCOS PAN'!P17-'OPEX - BLOCOS PAN'!P17-VLOOKUP('BLOCO PARÁ - 2'!$D5,'CAPEX - BLOCOS PAN'!$C$3:$P$52,14,FALSE))*Q$11</f>
        <v>-1182302.9979557164</v>
      </c>
      <c r="R5" s="1">
        <f>('RECEITAS - BLOCOS PAN'!Q17-'OPEX - BLOCOS PAN'!Q17-VLOOKUP('BLOCO PARÁ - 2'!$D5,'CAPEX - BLOCOS PAN'!$C$3:$Q$52,15,FALSE))*R$11</f>
        <v>-1071313.7938441492</v>
      </c>
      <c r="S5" s="1">
        <f>('RECEITAS - BLOCOS PAN'!R17-'OPEX - BLOCOS PAN'!R17-VLOOKUP('BLOCO PARÁ - 2'!$D5,'CAPEX - BLOCOS PAN'!$C$3:$R$52,16,FALSE))*S$11</f>
        <v>-970207.96165017248</v>
      </c>
      <c r="T5" s="1">
        <f>('RECEITAS - BLOCOS PAN'!S17-'OPEX - BLOCOS PAN'!S17-VLOOKUP('BLOCO PARÁ - 2'!$D5,'CAPEX - BLOCOS PAN'!$C$3:$S$52,17,FALSE))*T$11</f>
        <v>-936218.78020131099</v>
      </c>
      <c r="U5" s="1">
        <f>('RECEITAS - BLOCOS PAN'!T17-'OPEX - BLOCOS PAN'!T17-VLOOKUP('BLOCO PARÁ - 2'!$D5,'CAPEX - BLOCOS PAN'!$C$3:$T$52,18,FALSE))*U$11</f>
        <v>-847988.89595046814</v>
      </c>
      <c r="V5" s="1">
        <f>('RECEITAS - BLOCOS PAN'!U17-'OPEX - BLOCOS PAN'!U17-VLOOKUP('BLOCO PARÁ - 2'!$D5,'CAPEX - BLOCOS PAN'!$C$3:$U$52,19,FALSE))*V$11</f>
        <v>-768488.91784034774</v>
      </c>
      <c r="W5" s="1">
        <f>('RECEITAS - BLOCOS PAN'!V17-'OPEX - BLOCOS PAN'!V17-VLOOKUP('BLOCO PARÁ - 2'!$D5,'CAPEX - BLOCOS PAN'!$C$3:$V$52,20,FALSE))*W$11</f>
        <v>-695804.97794633009</v>
      </c>
      <c r="X5" s="1">
        <f>('RECEITAS - BLOCOS PAN'!W17-'OPEX - BLOCOS PAN'!W17-VLOOKUP('BLOCO PARÁ - 2'!$D5,'CAPEX - BLOCOS PAN'!$C$3:$W$52,21,FALSE))*X$11</f>
        <v>-630341.79297745309</v>
      </c>
      <c r="Y5" s="1">
        <f>('RECEITAS - BLOCOS PAN'!X17-'OPEX - BLOCOS PAN'!X17-VLOOKUP('BLOCO PARÁ - 2'!$D5,'CAPEX - BLOCOS PAN'!$C$3:$X$52,22,FALSE))*Y$11</f>
        <v>-570513.92600540619</v>
      </c>
      <c r="Z5" s="1">
        <f>('RECEITAS - BLOCOS PAN'!Y17-'OPEX - BLOCOS PAN'!Y17-VLOOKUP('BLOCO PARÁ - 2'!$D5,'CAPEX - BLOCOS PAN'!$C$3:$Y$52,23,FALSE))*Z$11</f>
        <v>-516732.10464859317</v>
      </c>
      <c r="AA5" s="1">
        <f>('RECEITAS - BLOCOS PAN'!Z17-'OPEX - BLOCOS PAN'!Z17-VLOOKUP('BLOCO PARÁ - 2'!$D5,'CAPEX - BLOCOS PAN'!$C$3:$Z$52,24,FALSE))*AA$11</f>
        <v>-467448.78357564512</v>
      </c>
      <c r="AB5" s="1">
        <f>('RECEITAS - BLOCOS PAN'!AA17-'OPEX - BLOCOS PAN'!AA17-VLOOKUP('BLOCO PARÁ - 2'!$D5,'CAPEX - BLOCOS PAN'!$C$3:$AA$52,25,FALSE))*AB$11</f>
        <v>-423222.17786877602</v>
      </c>
      <c r="AC5" s="1">
        <f>('RECEITAS - BLOCOS PAN'!AB17-'OPEX - BLOCOS PAN'!AB17-VLOOKUP('BLOCO PARÁ - 2'!$D5,'CAPEX - BLOCOS PAN'!$C$3:$AB$52,26,FALSE))*AC$11</f>
        <v>-382745.52255742828</v>
      </c>
      <c r="AD5" s="1">
        <f>('RECEITAS - BLOCOS PAN'!AC17-'OPEX - BLOCOS PAN'!AC17-VLOOKUP('BLOCO PARÁ - 2'!$D5,'CAPEX - BLOCOS PAN'!$C$3:$AC$52,27,FALSE))*AD$11</f>
        <v>-346433.1274659686</v>
      </c>
      <c r="AE5" s="1">
        <f>('RECEITAS - BLOCOS PAN'!AD17-'OPEX - BLOCOS PAN'!AD17-VLOOKUP('BLOCO PARÁ - 2'!$D5,'CAPEX - BLOCOS PAN'!$C$3:$AD$52,28,FALSE))*AE$11</f>
        <v>-313142.45957045077</v>
      </c>
      <c r="AF5" s="1">
        <f>('RECEITAS - BLOCOS PAN'!AE17-'OPEX - BLOCOS PAN'!AE17-VLOOKUP('BLOCO PARÁ - 2'!$D5,'CAPEX - BLOCOS PAN'!$C$3:$AE$52,29,FALSE))*AF$11</f>
        <v>-283859.78854365688</v>
      </c>
      <c r="AG5" s="1">
        <f>('RECEITAS - BLOCOS PAN'!AF17-'OPEX - BLOCOS PAN'!AF17-VLOOKUP('BLOCO PARÁ - 2'!$D5,'CAPEX - BLOCOS PAN'!$C$3:$AF$52,30,FALSE))*AG$11</f>
        <v>-256988.14065429659</v>
      </c>
      <c r="AH5" s="1">
        <f>('RECEITAS - BLOCOS PAN'!AG17-'OPEX - BLOCOS PAN'!AG17-VLOOKUP('BLOCO PARÁ - 2'!$D5,'CAPEX - BLOCOS PAN'!$C$3:$AG$52,31,FALSE))*AH$11</f>
        <v>-232868.93274723686</v>
      </c>
      <c r="AI5" s="1">
        <f>('RECEITAS - BLOCOS PAN'!AH17-'OPEX - BLOCOS PAN'!AH17-VLOOKUP('BLOCO PARÁ - 2'!$D5,'CAPEX - BLOCOS PAN'!$C$3:$AH$52,32,FALSE))*AI$11</f>
        <v>-310288.05667357182</v>
      </c>
      <c r="AJ5" s="1">
        <f>('RECEITAS - BLOCOS PAN'!AI17-'OPEX - BLOCOS PAN'!AI17-VLOOKUP('BLOCO PARÁ - 2'!$D5,'CAPEX - BLOCOS PAN'!$C$3:$AI$52,33,FALSE))*AJ$11</f>
        <v>-281678.06955734995</v>
      </c>
      <c r="AK5" s="1">
        <f>('RECEITAS - BLOCOS PAN'!AJ17-'OPEX - BLOCOS PAN'!AJ17-VLOOKUP('BLOCO PARÁ - 2'!$D5,'CAPEX - BLOCOS PAN'!$C$3:$AJ$52,34,FALSE))*AK$11</f>
        <v>-255670.78421048055</v>
      </c>
      <c r="AL5" s="1">
        <f>('RECEITAS - BLOCOS PAN'!AK17-'OPEX - BLOCOS PAN'!AK17-VLOOKUP('BLOCO PARÁ - 2'!$D5,'CAPEX - BLOCOS PAN'!$C$3:$AK$52,35,FALSE))*AL$11</f>
        <v>-232029.70543629385</v>
      </c>
      <c r="AM5" s="44">
        <f t="shared" si="0"/>
        <v>-191918375.99424273</v>
      </c>
      <c r="AN5">
        <v>1</v>
      </c>
      <c r="AO5" t="s">
        <v>313</v>
      </c>
      <c r="AP5">
        <v>-3.0166666666666666</v>
      </c>
      <c r="AQ5">
        <v>-47.3</v>
      </c>
      <c r="AR5" s="48">
        <f>VLOOKUP(D5,'Projeção - Demanda PAX'!$C$3:$H$37,6,FALSE)</f>
        <v>13750</v>
      </c>
      <c r="AS5" t="str">
        <f>VLOOKUP(D5,'FLUXO DE CAIXA DESC.-BLOCOS PAN'!$D$3:$AU$52,44,FALSE)</f>
        <v>Bloco 6 - PA2</v>
      </c>
    </row>
    <row r="6" spans="1:45" x14ac:dyDescent="0.35">
      <c r="A6" t="s">
        <v>97</v>
      </c>
      <c r="B6" t="s">
        <v>98</v>
      </c>
      <c r="C6">
        <v>150730</v>
      </c>
      <c r="D6" t="s">
        <v>99</v>
      </c>
      <c r="E6" t="s">
        <v>98</v>
      </c>
      <c r="F6" t="s">
        <v>29</v>
      </c>
      <c r="G6" t="s">
        <v>259</v>
      </c>
      <c r="H6" t="s">
        <v>33</v>
      </c>
      <c r="I6" s="1">
        <f>('RECEITAS - BLOCOS PAN'!H18-'OPEX - BLOCOS PAN'!H18-VLOOKUP('BLOCO PARÁ - 2'!$D6,'CAPEX - BLOCOS PAN'!$C$3:$H$52,6,FALSE))*I$11</f>
        <v>-18380901.850200001</v>
      </c>
      <c r="J6" s="1">
        <f>('RECEITAS - BLOCOS PAN'!I18-'OPEX - BLOCOS PAN'!I18-VLOOKUP('BLOCO PARÁ - 2'!$D6,'CAPEX - BLOCOS PAN'!$C$3:$I$52,7,FALSE))*J$11</f>
        <v>-16767215.941305343</v>
      </c>
      <c r="K6" s="1">
        <f>('RECEITAS - BLOCOS PAN'!J18-'OPEX - BLOCOS PAN'!J18-VLOOKUP('BLOCO PARÁ - 2'!$D6,'CAPEX - BLOCOS PAN'!$C$3:$J$52,8,FALSE))*K$11</f>
        <v>-15297298.93441928</v>
      </c>
      <c r="L6" s="1">
        <f>('RECEITAS - BLOCOS PAN'!K18-'OPEX - BLOCOS PAN'!K18-VLOOKUP('BLOCO PARÁ - 2'!$D6,'CAPEX - BLOCOS PAN'!$C$3:$K$52,9,FALSE))*L$11</f>
        <v>-2055758.6785662619</v>
      </c>
      <c r="M6" s="1">
        <f>('RECEITAS - BLOCOS PAN'!L18-'OPEX - BLOCOS PAN'!L18-VLOOKUP('BLOCO PARÁ - 2'!$D6,'CAPEX - BLOCOS PAN'!$C$3:$L$52,10,FALSE))*M$11</f>
        <v>-1872279.0926948448</v>
      </c>
      <c r="N6" s="1">
        <f>('RECEITAS - BLOCOS PAN'!M18-'OPEX - BLOCOS PAN'!M18-VLOOKUP('BLOCO PARÁ - 2'!$D6,'CAPEX - BLOCOS PAN'!$C$3:$M$52,11,FALSE))*N$11</f>
        <v>-1705519.9256972831</v>
      </c>
      <c r="O6" s="1">
        <f>('RECEITAS - BLOCOS PAN'!N18-'OPEX - BLOCOS PAN'!N18-VLOOKUP('BLOCO PARÁ - 2'!$D6,'CAPEX - BLOCOS PAN'!$C$3:$N$52,12,FALSE))*O$11</f>
        <v>-1553631.3751703366</v>
      </c>
      <c r="P6" s="1">
        <f>('RECEITAS - BLOCOS PAN'!O18-'OPEX - BLOCOS PAN'!O18-VLOOKUP('BLOCO PARÁ - 2'!$D6,'CAPEX - BLOCOS PAN'!$C$3:$O$52,13,FALSE))*P$11</f>
        <v>-1415195.8472297362</v>
      </c>
      <c r="Q6" s="1">
        <f>('RECEITAS - BLOCOS PAN'!P18-'OPEX - BLOCOS PAN'!P18-VLOOKUP('BLOCO PARÁ - 2'!$D6,'CAPEX - BLOCOS PAN'!$C$3:$P$52,14,FALSE))*Q$11</f>
        <v>-1289151.8010247804</v>
      </c>
      <c r="R6" s="1">
        <f>('RECEITAS - BLOCOS PAN'!Q18-'OPEX - BLOCOS PAN'!Q18-VLOOKUP('BLOCO PARÁ - 2'!$D6,'CAPEX - BLOCOS PAN'!$C$3:$Q$52,15,FALSE))*R$11</f>
        <v>-1174486.0907908056</v>
      </c>
      <c r="S6" s="1">
        <f>('RECEITAS - BLOCOS PAN'!R18-'OPEX - BLOCOS PAN'!R18-VLOOKUP('BLOCO PARÁ - 2'!$D6,'CAPEX - BLOCOS PAN'!$C$3:$R$52,16,FALSE))*S$11</f>
        <v>-1070090.1324094778</v>
      </c>
      <c r="T6" s="1">
        <f>('RECEITAS - BLOCOS PAN'!S18-'OPEX - BLOCOS PAN'!S18-VLOOKUP('BLOCO PARÁ - 2'!$D6,'CAPEX - BLOCOS PAN'!$C$3:$S$52,17,FALSE))*T$11</f>
        <v>-974933.2238725035</v>
      </c>
      <c r="U6" s="1">
        <f>('RECEITAS - BLOCOS PAN'!T18-'OPEX - BLOCOS PAN'!T18-VLOOKUP('BLOCO PARÁ - 2'!$D6,'CAPEX - BLOCOS PAN'!$C$3:$T$52,18,FALSE))*U$11</f>
        <v>-888249.33184299048</v>
      </c>
      <c r="V6" s="1">
        <f>('RECEITAS - BLOCOS PAN'!U18-'OPEX - BLOCOS PAN'!U18-VLOOKUP('BLOCO PARÁ - 2'!$D6,'CAPEX - BLOCOS PAN'!$C$3:$U$52,19,FALSE))*V$11</f>
        <v>-809204.25637137354</v>
      </c>
      <c r="W6" s="1">
        <f>('RECEITAS - BLOCOS PAN'!V18-'OPEX - BLOCOS PAN'!V18-VLOOKUP('BLOCO PARÁ - 2'!$D6,'CAPEX - BLOCOS PAN'!$C$3:$V$52,20,FALSE))*W$11</f>
        <v>-737202.41977519728</v>
      </c>
      <c r="X6" s="1">
        <f>('RECEITAS - BLOCOS PAN'!W18-'OPEX - BLOCOS PAN'!W18-VLOOKUP('BLOCO PARÁ - 2'!$D6,'CAPEX - BLOCOS PAN'!$C$3:$W$52,21,FALSE))*X$11</f>
        <v>-671552.29655403935</v>
      </c>
      <c r="Y6" s="1">
        <f>('RECEITAS - BLOCOS PAN'!X18-'OPEX - BLOCOS PAN'!X18-VLOOKUP('BLOCO PARÁ - 2'!$D6,'CAPEX - BLOCOS PAN'!$C$3:$X$52,22,FALSE))*Y$11</f>
        <v>-611737.01640373573</v>
      </c>
      <c r="Z6" s="1">
        <f>('RECEITAS - BLOCOS PAN'!Y18-'OPEX - BLOCOS PAN'!Y18-VLOOKUP('BLOCO PARÁ - 2'!$D6,'CAPEX - BLOCOS PAN'!$C$3:$Y$52,23,FALSE))*Z$11</f>
        <v>-557207.76284341211</v>
      </c>
      <c r="AA6" s="1">
        <f>('RECEITAS - BLOCOS PAN'!Z18-'OPEX - BLOCOS PAN'!Z18-VLOOKUP('BLOCO PARÁ - 2'!$D6,'CAPEX - BLOCOS PAN'!$C$3:$Z$52,24,FALSE))*AA$11</f>
        <v>-507506.34268436197</v>
      </c>
      <c r="AB6" s="1">
        <f>('RECEITAS - BLOCOS PAN'!AA18-'OPEX - BLOCOS PAN'!AA18-VLOOKUP('BLOCO PARÁ - 2'!$D6,'CAPEX - BLOCOS PAN'!$C$3:$AA$52,25,FALSE))*AB$11</f>
        <v>-462208.07235054177</v>
      </c>
      <c r="AC6" s="1">
        <f>('RECEITAS - BLOCOS PAN'!AB18-'OPEX - BLOCOS PAN'!AB18-VLOOKUP('BLOCO PARÁ - 2'!$D6,'CAPEX - BLOCOS PAN'!$C$3:$AB$52,26,FALSE))*AC$11</f>
        <v>-420953.99523267563</v>
      </c>
      <c r="AD6" s="1">
        <f>('RECEITAS - BLOCOS PAN'!AC18-'OPEX - BLOCOS PAN'!AC18-VLOOKUP('BLOCO PARÁ - 2'!$D6,'CAPEX - BLOCOS PAN'!$C$3:$AC$52,27,FALSE))*AD$11</f>
        <v>-383351.80841940438</v>
      </c>
      <c r="AE6" s="1">
        <f>('RECEITAS - BLOCOS PAN'!AD18-'OPEX - BLOCOS PAN'!AD18-VLOOKUP('BLOCO PARÁ - 2'!$D6,'CAPEX - BLOCOS PAN'!$C$3:$AD$52,28,FALSE))*AE$11</f>
        <v>-349106.53079492599</v>
      </c>
      <c r="AF6" s="1">
        <f>('RECEITAS - BLOCOS PAN'!AE18-'OPEX - BLOCOS PAN'!AE18-VLOOKUP('BLOCO PARÁ - 2'!$D6,'CAPEX - BLOCOS PAN'!$C$3:$AE$52,29,FALSE))*AF$11</f>
        <v>-317899.33877044573</v>
      </c>
      <c r="AG6" s="1">
        <f>('RECEITAS - BLOCOS PAN'!AF18-'OPEX - BLOCOS PAN'!AF18-VLOOKUP('BLOCO PARÁ - 2'!$D6,'CAPEX - BLOCOS PAN'!$C$3:$AF$52,30,FALSE))*AG$11</f>
        <v>-289473.62396016729</v>
      </c>
      <c r="AH6" s="1">
        <f>('RECEITAS - BLOCOS PAN'!AG18-'OPEX - BLOCOS PAN'!AG18-VLOOKUP('BLOCO PARÁ - 2'!$D6,'CAPEX - BLOCOS PAN'!$C$3:$AG$52,31,FALSE))*AH$11</f>
        <v>-263566.18399638723</v>
      </c>
      <c r="AI6" s="1">
        <f>('RECEITAS - BLOCOS PAN'!AH18-'OPEX - BLOCOS PAN'!AH18-VLOOKUP('BLOCO PARÁ - 2'!$D6,'CAPEX - BLOCOS PAN'!$C$3:$AH$52,32,FALSE))*AI$11</f>
        <v>-239989.20445370299</v>
      </c>
      <c r="AJ6" s="1">
        <f>('RECEITAS - BLOCOS PAN'!AI18-'OPEX - BLOCOS PAN'!AI18-VLOOKUP('BLOCO PARÁ - 2'!$D6,'CAPEX - BLOCOS PAN'!$C$3:$AI$52,33,FALSE))*AJ$11</f>
        <v>-218533.30753892087</v>
      </c>
      <c r="AK6" s="1">
        <f>('RECEITAS - BLOCOS PAN'!AJ18-'OPEX - BLOCOS PAN'!AJ18-VLOOKUP('BLOCO PARÁ - 2'!$D6,'CAPEX - BLOCOS PAN'!$C$3:$AJ$52,34,FALSE))*AK$11</f>
        <v>-198978.48195049464</v>
      </c>
      <c r="AL6" s="1">
        <f>('RECEITAS - BLOCOS PAN'!AK18-'OPEX - BLOCOS PAN'!AK18-VLOOKUP('BLOCO PARÁ - 2'!$D6,'CAPEX - BLOCOS PAN'!$C$3:$AK$52,35,FALSE))*AL$11</f>
        <v>-181159.42891425252</v>
      </c>
      <c r="AM6" s="44">
        <f t="shared" si="0"/>
        <v>-71664342.296237692</v>
      </c>
      <c r="AN6">
        <v>1</v>
      </c>
      <c r="AO6" t="s">
        <v>313</v>
      </c>
      <c r="AP6">
        <v>-6.6333333333333329</v>
      </c>
      <c r="AQ6">
        <v>-51.95</v>
      </c>
      <c r="AR6" s="48">
        <f>VLOOKUP(D6,'Projeção - Demanda PAX'!$C$3:$H$37,6,FALSE)</f>
        <v>6832</v>
      </c>
      <c r="AS6" t="str">
        <f>VLOOKUP(D6,'FLUXO DE CAIXA DESC.-BLOCOS PAN'!$D$3:$AU$52,44,FALSE)</f>
        <v>Bloco 6 - PA2</v>
      </c>
    </row>
    <row r="7" spans="1:45" x14ac:dyDescent="0.35">
      <c r="B7" s="6"/>
      <c r="C7" s="6"/>
      <c r="D7" s="6"/>
      <c r="H7" s="47" t="s">
        <v>250</v>
      </c>
      <c r="I7" s="8">
        <f t="shared" ref="I7:AM7" si="1">SUBTOTAL(109,I3:I6)</f>
        <v>-155734905.8448</v>
      </c>
      <c r="J7" s="8">
        <f t="shared" si="1"/>
        <v>-142064966.81049749</v>
      </c>
      <c r="K7" s="8">
        <f t="shared" si="1"/>
        <v>-129610841.76748122</v>
      </c>
      <c r="L7" s="8">
        <f t="shared" si="1"/>
        <v>-7952450.856407227</v>
      </c>
      <c r="M7" s="8">
        <f t="shared" si="1"/>
        <v>-7221322.4134241082</v>
      </c>
      <c r="N7" s="8">
        <f t="shared" si="1"/>
        <v>-6561703.1184821231</v>
      </c>
      <c r="O7" s="8">
        <f t="shared" si="1"/>
        <v>-5961013.8468221147</v>
      </c>
      <c r="P7" s="8">
        <f t="shared" si="1"/>
        <v>-5416694.4783511823</v>
      </c>
      <c r="Q7" s="8">
        <f t="shared" si="1"/>
        <v>-4921017.9633455286</v>
      </c>
      <c r="R7" s="8">
        <f t="shared" si="1"/>
        <v>-4473316.6416324312</v>
      </c>
      <c r="S7" s="8">
        <f t="shared" si="1"/>
        <v>-4065718.7439405294</v>
      </c>
      <c r="T7" s="8">
        <f t="shared" si="1"/>
        <v>-3753217.1293238224</v>
      </c>
      <c r="U7" s="8">
        <f t="shared" si="1"/>
        <v>-3411061.2868130095</v>
      </c>
      <c r="V7" s="8">
        <f t="shared" si="1"/>
        <v>-3100747.3124501808</v>
      </c>
      <c r="W7" s="8">
        <f t="shared" si="1"/>
        <v>-2817495.2860248638</v>
      </c>
      <c r="X7" s="8">
        <f t="shared" si="1"/>
        <v>-2560888.2486877805</v>
      </c>
      <c r="Y7" s="8">
        <f t="shared" si="1"/>
        <v>-2326519.5948556764</v>
      </c>
      <c r="Z7" s="8">
        <f t="shared" si="1"/>
        <v>-2114347.3189788228</v>
      </c>
      <c r="AA7" s="8">
        <f t="shared" si="1"/>
        <v>-1920330.5900683277</v>
      </c>
      <c r="AB7" s="8">
        <f t="shared" si="1"/>
        <v>-1744776.379945104</v>
      </c>
      <c r="AC7" s="8">
        <f t="shared" si="1"/>
        <v>-1584505.8699795729</v>
      </c>
      <c r="AD7" s="8">
        <f t="shared" si="1"/>
        <v>-1439485.9460279082</v>
      </c>
      <c r="AE7" s="8">
        <f t="shared" si="1"/>
        <v>-1306970.7093907511</v>
      </c>
      <c r="AF7" s="8">
        <f t="shared" si="1"/>
        <v>-1187585.2729911439</v>
      </c>
      <c r="AG7" s="8">
        <f t="shared" si="1"/>
        <v>-1078500.8344901097</v>
      </c>
      <c r="AH7" s="8">
        <f t="shared" si="1"/>
        <v>-979775.95778371021</v>
      </c>
      <c r="AI7" s="8">
        <f t="shared" si="1"/>
        <v>-1088733.7562249866</v>
      </c>
      <c r="AJ7" s="8">
        <f t="shared" si="1"/>
        <v>-989807.33601620316</v>
      </c>
      <c r="AK7" s="8">
        <f t="shared" si="1"/>
        <v>-899781.22189612989</v>
      </c>
      <c r="AL7" s="8">
        <f t="shared" si="1"/>
        <v>-817852.68256352225</v>
      </c>
      <c r="AM7" s="44">
        <f t="shared" si="1"/>
        <v>-509106335.21969569</v>
      </c>
      <c r="AR7" s="65">
        <f>SUBTOTAL(109,AR3:AR6)</f>
        <v>54017</v>
      </c>
    </row>
    <row r="8" spans="1:45" x14ac:dyDescent="0.35">
      <c r="A8" s="83" t="s">
        <v>368</v>
      </c>
      <c r="B8" s="83"/>
      <c r="C8" s="83"/>
      <c r="D8" s="83"/>
      <c r="E8" s="47"/>
      <c r="H8" s="47" t="s">
        <v>285</v>
      </c>
      <c r="I8" s="8">
        <f>I7</f>
        <v>-155734905.8448</v>
      </c>
      <c r="J8" s="8">
        <f t="shared" ref="J8:AL8" si="2">J7+I8</f>
        <v>-297799872.65529752</v>
      </c>
      <c r="K8" s="8">
        <f t="shared" si="2"/>
        <v>-427410714.42277873</v>
      </c>
      <c r="L8" s="8">
        <f t="shared" si="2"/>
        <v>-435363165.27918595</v>
      </c>
      <c r="M8" s="8">
        <f t="shared" si="2"/>
        <v>-442584487.69261009</v>
      </c>
      <c r="N8" s="8">
        <f t="shared" si="2"/>
        <v>-449146190.8110922</v>
      </c>
      <c r="O8" s="8">
        <f t="shared" si="2"/>
        <v>-455107204.65791434</v>
      </c>
      <c r="P8" s="8">
        <f t="shared" si="2"/>
        <v>-460523899.13626552</v>
      </c>
      <c r="Q8" s="8">
        <f t="shared" si="2"/>
        <v>-465444917.09961104</v>
      </c>
      <c r="R8" s="8">
        <f t="shared" si="2"/>
        <v>-469918233.74124348</v>
      </c>
      <c r="S8" s="8">
        <f t="shared" si="2"/>
        <v>-473983952.48518401</v>
      </c>
      <c r="T8" s="8">
        <f t="shared" si="2"/>
        <v>-477737169.61450785</v>
      </c>
      <c r="U8" s="8">
        <f t="shared" si="2"/>
        <v>-481148230.90132087</v>
      </c>
      <c r="V8" s="8">
        <f t="shared" si="2"/>
        <v>-484248978.21377105</v>
      </c>
      <c r="W8" s="8">
        <f t="shared" si="2"/>
        <v>-487066473.49979591</v>
      </c>
      <c r="X8" s="8">
        <f t="shared" si="2"/>
        <v>-489627361.74848372</v>
      </c>
      <c r="Y8" s="8">
        <f t="shared" si="2"/>
        <v>-491953881.34333938</v>
      </c>
      <c r="Z8" s="8">
        <f t="shared" si="2"/>
        <v>-494068228.66231823</v>
      </c>
      <c r="AA8" s="8">
        <f t="shared" si="2"/>
        <v>-495988559.25238657</v>
      </c>
      <c r="AB8" s="8">
        <f t="shared" si="2"/>
        <v>-497733335.63233167</v>
      </c>
      <c r="AC8" s="8">
        <f t="shared" si="2"/>
        <v>-499317841.50231123</v>
      </c>
      <c r="AD8" s="8">
        <f t="shared" si="2"/>
        <v>-500757327.44833916</v>
      </c>
      <c r="AE8" s="8">
        <f t="shared" si="2"/>
        <v>-502064298.15772992</v>
      </c>
      <c r="AF8" s="8">
        <f t="shared" si="2"/>
        <v>-503251883.43072104</v>
      </c>
      <c r="AG8" s="8">
        <f t="shared" si="2"/>
        <v>-504330384.26521116</v>
      </c>
      <c r="AH8" s="8">
        <f t="shared" si="2"/>
        <v>-505310160.22299486</v>
      </c>
      <c r="AI8" s="8">
        <f t="shared" si="2"/>
        <v>-506398893.97921985</v>
      </c>
      <c r="AJ8" s="8">
        <f t="shared" si="2"/>
        <v>-507388701.31523603</v>
      </c>
      <c r="AK8" s="8">
        <f t="shared" si="2"/>
        <v>-508288482.53713214</v>
      </c>
      <c r="AL8" s="8">
        <f t="shared" si="2"/>
        <v>-509106335.21969569</v>
      </c>
      <c r="AM8" s="44"/>
    </row>
    <row r="9" spans="1:45" x14ac:dyDescent="0.35"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45" x14ac:dyDescent="0.35">
      <c r="H10" s="47" t="s">
        <v>284</v>
      </c>
      <c r="I10" s="2">
        <v>0</v>
      </c>
      <c r="J10" s="2">
        <v>1</v>
      </c>
      <c r="K10" s="2">
        <v>2</v>
      </c>
      <c r="L10" s="2">
        <v>3</v>
      </c>
      <c r="M10" s="2">
        <v>4</v>
      </c>
      <c r="N10" s="2">
        <v>5</v>
      </c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">
        <v>11</v>
      </c>
      <c r="U10" s="2">
        <v>12</v>
      </c>
      <c r="V10" s="2">
        <v>13</v>
      </c>
      <c r="W10" s="2">
        <v>14</v>
      </c>
      <c r="X10" s="2">
        <v>15</v>
      </c>
      <c r="Y10" s="2">
        <v>16</v>
      </c>
      <c r="Z10" s="2">
        <v>17</v>
      </c>
      <c r="AA10" s="2">
        <v>18</v>
      </c>
      <c r="AB10" s="2">
        <v>19</v>
      </c>
      <c r="AC10" s="2">
        <v>20</v>
      </c>
      <c r="AD10" s="2">
        <v>21</v>
      </c>
      <c r="AE10" s="2">
        <v>22</v>
      </c>
      <c r="AF10" s="2">
        <v>23</v>
      </c>
      <c r="AG10" s="2">
        <v>24</v>
      </c>
      <c r="AH10" s="2">
        <v>25</v>
      </c>
      <c r="AI10" s="2">
        <v>26</v>
      </c>
      <c r="AJ10" s="2">
        <v>27</v>
      </c>
      <c r="AK10" s="2">
        <v>28</v>
      </c>
      <c r="AL10" s="2">
        <v>29</v>
      </c>
    </row>
    <row r="11" spans="1:45" x14ac:dyDescent="0.35">
      <c r="A11" s="2" t="s">
        <v>254</v>
      </c>
      <c r="B11" s="46">
        <v>9.5500000000000002E-2</v>
      </c>
      <c r="C11" s="2" t="s">
        <v>255</v>
      </c>
      <c r="I11" s="2">
        <f>1/(1+$B$11)^I10</f>
        <v>1</v>
      </c>
      <c r="J11" s="2">
        <f t="shared" ref="J11:AL11" si="3">1/(1+$B$11)^J10</f>
        <v>0.91282519397535378</v>
      </c>
      <c r="K11" s="2">
        <f t="shared" si="3"/>
        <v>0.83324983475614223</v>
      </c>
      <c r="L11" s="2">
        <f t="shared" si="3"/>
        <v>0.76061144204120701</v>
      </c>
      <c r="M11" s="2">
        <f t="shared" si="3"/>
        <v>0.69430528712113837</v>
      </c>
      <c r="N11" s="2">
        <f t="shared" si="3"/>
        <v>0.63377935839446675</v>
      </c>
      <c r="O11" s="2">
        <f t="shared" si="3"/>
        <v>0.57852976576400439</v>
      </c>
      <c r="P11" s="2">
        <f t="shared" si="3"/>
        <v>0.52809654565404329</v>
      </c>
      <c r="Q11" s="2">
        <f t="shared" si="3"/>
        <v>0.48205983172436634</v>
      </c>
      <c r="R11" s="2">
        <f t="shared" si="3"/>
        <v>0.44003635940152108</v>
      </c>
      <c r="S11" s="2">
        <f t="shared" si="3"/>
        <v>0.40167627512690202</v>
      </c>
      <c r="T11" s="2">
        <f t="shared" si="3"/>
        <v>0.36666022375801188</v>
      </c>
      <c r="U11" s="2">
        <f t="shared" si="3"/>
        <v>0.33469668987495382</v>
      </c>
      <c r="V11" s="2">
        <f t="shared" si="3"/>
        <v>0.30551957085801351</v>
      </c>
      <c r="W11" s="2">
        <f t="shared" si="3"/>
        <v>0.27888596153173301</v>
      </c>
      <c r="X11" s="2">
        <f t="shared" si="3"/>
        <v>0.25457413193220724</v>
      </c>
      <c r="Y11" s="2">
        <f t="shared" si="3"/>
        <v>0.23238168136212439</v>
      </c>
      <c r="Z11" s="2">
        <f t="shared" si="3"/>
        <v>0.21212385336570003</v>
      </c>
      <c r="AA11" s="2">
        <f t="shared" si="3"/>
        <v>0.19363199759534466</v>
      </c>
      <c r="AB11" s="2">
        <f t="shared" si="3"/>
        <v>0.17675216576480571</v>
      </c>
      <c r="AC11" s="2">
        <f t="shared" si="3"/>
        <v>0.16134382999982266</v>
      </c>
      <c r="AD11" s="2">
        <f t="shared" si="3"/>
        <v>0.14727871291631461</v>
      </c>
      <c r="AE11" s="2">
        <f t="shared" si="3"/>
        <v>0.13443971968627533</v>
      </c>
      <c r="AF11" s="2">
        <f t="shared" si="3"/>
        <v>0.12271996320061647</v>
      </c>
      <c r="AG11" s="2">
        <f t="shared" si="3"/>
        <v>0.11202187421325101</v>
      </c>
      <c r="AH11" s="2">
        <f t="shared" si="3"/>
        <v>0.10225638905819352</v>
      </c>
      <c r="AI11" s="2">
        <f t="shared" si="3"/>
        <v>9.3342208177264741E-2</v>
      </c>
      <c r="AJ11" s="2">
        <f t="shared" si="3"/>
        <v>8.520511928549955E-2</v>
      </c>
      <c r="AK11" s="2">
        <f t="shared" si="3"/>
        <v>7.7777379539479274E-2</v>
      </c>
      <c r="AL11" s="2">
        <f t="shared" si="3"/>
        <v>7.0997151565019873E-2</v>
      </c>
    </row>
    <row r="13" spans="1:45" x14ac:dyDescent="0.35">
      <c r="A13" s="63" t="s">
        <v>354</v>
      </c>
    </row>
  </sheetData>
  <autoFilter ref="A2:AS2" xr:uid="{262E7E8F-4E73-404A-BD47-40649C31599F}"/>
  <mergeCells count="1">
    <mergeCell ref="A8:D8"/>
  </mergeCells>
  <hyperlinks>
    <hyperlink ref="A13" location="Introdução!A1" display="Introdução!A1" xr:uid="{6D6EE0DE-B9FD-4C3A-8E45-56E85D8478DE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007D-B1A5-49BD-960F-19B5FA87E573}">
  <sheetPr>
    <tabColor theme="6" tint="-0.499984740745262"/>
  </sheetPr>
  <dimension ref="A1:AS12"/>
  <sheetViews>
    <sheetView topLeftCell="AF1" workbookViewId="0">
      <selection activeCell="AS3" sqref="AS3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60</v>
      </c>
      <c r="B3" t="s">
        <v>61</v>
      </c>
      <c r="C3">
        <v>150050</v>
      </c>
      <c r="D3" t="s">
        <v>62</v>
      </c>
      <c r="E3" t="s">
        <v>63</v>
      </c>
      <c r="F3" t="s">
        <v>29</v>
      </c>
      <c r="G3" t="s">
        <v>259</v>
      </c>
      <c r="H3" t="s">
        <v>33</v>
      </c>
      <c r="I3" s="1">
        <f>('RECEITAS - BLOCOS PAN'!H8-'OPEX - BLOCOS PAN'!H8-VLOOKUP('BLOCO PARÁ - 3'!$D3,'CAPEX - BLOCOS PAN'!$C$3:$H$52,6,FALSE))*I$10</f>
        <v>-49365149.537933335</v>
      </c>
      <c r="J3" s="1">
        <f>('RECEITAS - BLOCOS PAN'!I8-'OPEX - BLOCOS PAN'!I8-VLOOKUP('BLOCO PARÁ - 3'!$D3,'CAPEX - BLOCOS PAN'!$C$3:$I$52,7,FALSE))*J$10</f>
        <v>-45028244.107561238</v>
      </c>
      <c r="K3" s="1">
        <f>('RECEITAS - BLOCOS PAN'!J8-'OPEX - BLOCOS PAN'!J8-VLOOKUP('BLOCO PARÁ - 3'!$D3,'CAPEX - BLOCOS PAN'!$C$3:$J$52,8,FALSE))*K$10</f>
        <v>-41077102.863095045</v>
      </c>
      <c r="L3" s="1">
        <f>('RECEITAS - BLOCOS PAN'!K8-'OPEX - BLOCOS PAN'!K8-VLOOKUP('BLOCO PARÁ - 3'!$D3,'CAPEX - BLOCOS PAN'!$C$3:$K$52,9,FALSE))*L$10</f>
        <v>-1871038.7908944171</v>
      </c>
      <c r="M3" s="1">
        <f>('RECEITAS - BLOCOS PAN'!L8-'OPEX - BLOCOS PAN'!L8-VLOOKUP('BLOCO PARÁ - 3'!$D3,'CAPEX - BLOCOS PAN'!$C$3:$L$52,10,FALSE))*M$10</f>
        <v>-1692164.634179007</v>
      </c>
      <c r="N3" s="1">
        <f>('RECEITAS - BLOCOS PAN'!M8-'OPEX - BLOCOS PAN'!M8-VLOOKUP('BLOCO PARÁ - 3'!$D3,'CAPEX - BLOCOS PAN'!$C$3:$M$52,11,FALSE))*N$10</f>
        <v>-1530829.2212418679</v>
      </c>
      <c r="O3" s="1">
        <f>('RECEITAS - BLOCOS PAN'!N8-'OPEX - BLOCOS PAN'!N8-VLOOKUP('BLOCO PARÁ - 3'!$D3,'CAPEX - BLOCOS PAN'!$C$3:$N$52,12,FALSE))*O$10</f>
        <v>-1475013.303242502</v>
      </c>
      <c r="P3" s="1">
        <f>('RECEITAS - BLOCOS PAN'!O8-'OPEX - BLOCOS PAN'!O8-VLOOKUP('BLOCO PARÁ - 3'!$D3,'CAPEX - BLOCOS PAN'!$C$3:$O$52,13,FALSE))*P$10</f>
        <v>-1335155.7220262066</v>
      </c>
      <c r="Q3" s="1">
        <f>('RECEITAS - BLOCOS PAN'!P8-'OPEX - BLOCOS PAN'!P8-VLOOKUP('BLOCO PARÁ - 3'!$D3,'CAPEX - BLOCOS PAN'!$C$3:$P$52,14,FALSE))*Q$10</f>
        <v>-1208631.0742751348</v>
      </c>
      <c r="R3" s="1">
        <f>('RECEITAS - BLOCOS PAN'!Q8-'OPEX - BLOCOS PAN'!Q8-VLOOKUP('BLOCO PARÁ - 3'!$D3,'CAPEX - BLOCOS PAN'!$C$3:$Q$52,15,FALSE))*R$10</f>
        <v>-1094402.2695907748</v>
      </c>
      <c r="S3" s="1">
        <f>('RECEITAS - BLOCOS PAN'!R8-'OPEX - BLOCOS PAN'!R8-VLOOKUP('BLOCO PARÁ - 3'!$D3,'CAPEX - BLOCOS PAN'!$C$3:$R$52,16,FALSE))*S$10</f>
        <v>-991116.21459551586</v>
      </c>
      <c r="T3" s="1">
        <f>('RECEITAS - BLOCOS PAN'!S8-'OPEX - BLOCOS PAN'!S8-VLOOKUP('BLOCO PARÁ - 3'!$D3,'CAPEX - BLOCOS PAN'!$C$3:$S$52,17,FALSE))*T$10</f>
        <v>-897312.0511456005</v>
      </c>
      <c r="U3" s="1">
        <f>('RECEITAS - BLOCOS PAN'!T8-'OPEX - BLOCOS PAN'!T8-VLOOKUP('BLOCO PARÁ - 3'!$D3,'CAPEX - BLOCOS PAN'!$C$3:$T$52,18,FALSE))*U$10</f>
        <v>-812163.62781062105</v>
      </c>
      <c r="V3" s="1">
        <f>('RECEITAS - BLOCOS PAN'!U8-'OPEX - BLOCOS PAN'!U8-VLOOKUP('BLOCO PARÁ - 3'!$D3,'CAPEX - BLOCOS PAN'!$C$3:$U$52,19,FALSE))*V$10</f>
        <v>-734749.93668130424</v>
      </c>
      <c r="W3" s="1">
        <f>('RECEITAS - BLOCOS PAN'!V8-'OPEX - BLOCOS PAN'!V8-VLOOKUP('BLOCO PARÁ - 3'!$D3,'CAPEX - BLOCOS PAN'!$C$3:$V$52,20,FALSE))*W$10</f>
        <v>-664641.3149024786</v>
      </c>
      <c r="X3" s="1">
        <f>('RECEITAS - BLOCOS PAN'!W8-'OPEX - BLOCOS PAN'!W8-VLOOKUP('BLOCO PARÁ - 3'!$D3,'CAPEX - BLOCOS PAN'!$C$3:$W$52,21,FALSE))*X$10</f>
        <v>-600892.88788695459</v>
      </c>
      <c r="Y3" s="1">
        <f>('RECEITAS - BLOCOS PAN'!X8-'OPEX - BLOCOS PAN'!X8-VLOOKUP('BLOCO PARÁ - 3'!$D3,'CAPEX - BLOCOS PAN'!$C$3:$X$52,22,FALSE))*Y$10</f>
        <v>-543145.1073006792</v>
      </c>
      <c r="Z3" s="1">
        <f>('RECEITAS - BLOCOS PAN'!Y8-'OPEX - BLOCOS PAN'!Y8-VLOOKUP('BLOCO PARÁ - 3'!$D3,'CAPEX - BLOCOS PAN'!$C$3:$Y$52,23,FALSE))*Z$10</f>
        <v>-490596.69194664509</v>
      </c>
      <c r="AA3" s="1">
        <f>('RECEITAS - BLOCOS PAN'!Z8-'OPEX - BLOCOS PAN'!Z8-VLOOKUP('BLOCO PARÁ - 3'!$D3,'CAPEX - BLOCOS PAN'!$C$3:$Z$52,24,FALSE))*AA$10</f>
        <v>-442955.45700910006</v>
      </c>
      <c r="AB3" s="1">
        <f>('RECEITAS - BLOCOS PAN'!AA8-'OPEX - BLOCOS PAN'!AA8-VLOOKUP('BLOCO PARÁ - 3'!$D3,'CAPEX - BLOCOS PAN'!$C$3:$AA$52,25,FALSE))*AB$10</f>
        <v>-588272.52811492758</v>
      </c>
      <c r="AC3" s="1">
        <f>('RECEITAS - BLOCOS PAN'!AB8-'OPEX - BLOCOS PAN'!AB8-VLOOKUP('BLOCO PARÁ - 3'!$D3,'CAPEX - BLOCOS PAN'!$C$3:$AB$52,26,FALSE))*AC$10</f>
        <v>-532322.00190296548</v>
      </c>
      <c r="AD3" s="1">
        <f>('RECEITAS - BLOCOS PAN'!AC8-'OPEX - BLOCOS PAN'!AC8-VLOOKUP('BLOCO PARÁ - 3'!$D3,'CAPEX - BLOCOS PAN'!$C$3:$AC$52,27,FALSE))*AD$10</f>
        <v>-481539.96040151914</v>
      </c>
      <c r="AE3" s="1">
        <f>('RECEITAS - BLOCOS PAN'!AD8-'OPEX - BLOCOS PAN'!AD8-VLOOKUP('BLOCO PARÁ - 3'!$D3,'CAPEX - BLOCOS PAN'!$C$3:$AD$52,28,FALSE))*AE$10</f>
        <v>-435437.5669637628</v>
      </c>
      <c r="AF3" s="1">
        <f>('RECEITAS - BLOCOS PAN'!AE8-'OPEX - BLOCOS PAN'!AE8-VLOOKUP('BLOCO PARÁ - 3'!$D3,'CAPEX - BLOCOS PAN'!$C$3:$AE$52,29,FALSE))*AF$10</f>
        <v>-393494.17055484909</v>
      </c>
      <c r="AG3" s="1">
        <f>('RECEITAS - BLOCOS PAN'!AF8-'OPEX - BLOCOS PAN'!AF8-VLOOKUP('BLOCO PARÁ - 3'!$D3,'CAPEX - BLOCOS PAN'!$C$3:$AF$52,30,FALSE))*AG$10</f>
        <v>-355394.07310123538</v>
      </c>
      <c r="AH3" s="1">
        <f>('RECEITAS - BLOCOS PAN'!AG8-'OPEX - BLOCOS PAN'!AG8-VLOOKUP('BLOCO PARÁ - 3'!$D3,'CAPEX - BLOCOS PAN'!$C$3:$AG$52,31,FALSE))*AH$10</f>
        <v>-320851.60735129815</v>
      </c>
      <c r="AI3" s="1">
        <f>('RECEITAS - BLOCOS PAN'!AH8-'OPEX - BLOCOS PAN'!AH8-VLOOKUP('BLOCO PARÁ - 3'!$D3,'CAPEX - BLOCOS PAN'!$C$3:$AH$52,32,FALSE))*AI$10</f>
        <v>-289597.02365034982</v>
      </c>
      <c r="AJ3" s="1">
        <f>('RECEITAS - BLOCOS PAN'!AI8-'OPEX - BLOCOS PAN'!AI8-VLOOKUP('BLOCO PARÁ - 3'!$D3,'CAPEX - BLOCOS PAN'!$C$3:$AI$52,33,FALSE))*AJ$10</f>
        <v>-261243.68399290959</v>
      </c>
      <c r="AK3" s="1">
        <f>('RECEITAS - BLOCOS PAN'!AJ8-'OPEX - BLOCOS PAN'!AJ8-VLOOKUP('BLOCO PARÁ - 3'!$D3,'CAPEX - BLOCOS PAN'!$C$3:$AJ$52,34,FALSE))*AK$10</f>
        <v>-235531.89914070716</v>
      </c>
      <c r="AL3" s="1">
        <f>('RECEITAS - BLOCOS PAN'!AK8-'OPEX - BLOCOS PAN'!AK8-VLOOKUP('BLOCO PARÁ - 3'!$D3,'CAPEX - BLOCOS PAN'!$C$3:$AK$52,35,FALSE))*AL$10</f>
        <v>-212204.43821358524</v>
      </c>
      <c r="AM3" s="44">
        <f t="shared" ref="AM3:AM5" si="0">SUM(I3:AL3)</f>
        <v>-155961193.76670653</v>
      </c>
      <c r="AN3">
        <v>1</v>
      </c>
      <c r="AO3" t="s">
        <v>391</v>
      </c>
      <c r="AP3">
        <v>-0.8833333333333333</v>
      </c>
      <c r="AQ3">
        <v>-52.6</v>
      </c>
      <c r="AR3" s="48">
        <f>VLOOKUP(D3,'Projeção - Demanda PAX'!$C$3:$H$37,6,FALSE)</f>
        <v>19347</v>
      </c>
      <c r="AS3" t="str">
        <f>VLOOKUP(D3,'FLUXO DE CAIXA DESC.-BLOCOS PAN'!$D$3:$AU$52,44,FALSE)</f>
        <v>Bloco 4 - PA3</v>
      </c>
    </row>
    <row r="4" spans="1:45" x14ac:dyDescent="0.35">
      <c r="A4" t="s">
        <v>108</v>
      </c>
      <c r="B4" t="s">
        <v>109</v>
      </c>
      <c r="C4">
        <v>150180</v>
      </c>
      <c r="D4" t="s">
        <v>110</v>
      </c>
      <c r="E4" t="s">
        <v>109</v>
      </c>
      <c r="F4" t="s">
        <v>29</v>
      </c>
      <c r="G4" t="s">
        <v>259</v>
      </c>
      <c r="H4" t="s">
        <v>33</v>
      </c>
      <c r="I4" s="1">
        <f>('RECEITAS - BLOCOS PAN'!H21-'OPEX - BLOCOS PAN'!H21-VLOOKUP('BLOCO PARÁ - 3'!$D4,'CAPEX - BLOCOS PAN'!$C$3:$H$52,6,FALSE))*I$10</f>
        <v>-19837632.531966668</v>
      </c>
      <c r="J4" s="1">
        <f>('RECEITAS - BLOCOS PAN'!I21-'OPEX - BLOCOS PAN'!I21-VLOOKUP('BLOCO PARÁ - 3'!$D4,'CAPEX - BLOCOS PAN'!$C$3:$I$52,7,FALSE))*J$10</f>
        <v>-18076187.721831739</v>
      </c>
      <c r="K4" s="1">
        <f>('RECEITAS - BLOCOS PAN'!J21-'OPEX - BLOCOS PAN'!J21-VLOOKUP('BLOCO PARÁ - 3'!$D4,'CAPEX - BLOCOS PAN'!$C$3:$J$52,8,FALSE))*K$10</f>
        <v>-16476933.628081577</v>
      </c>
      <c r="L4" s="1">
        <f>('RECEITAS - BLOCOS PAN'!K21-'OPEX - BLOCOS PAN'!K21-VLOOKUP('BLOCO PARÁ - 3'!$D4,'CAPEX - BLOCOS PAN'!$C$3:$K$52,9,FALSE))*L$10</f>
        <v>-1889224.3454710387</v>
      </c>
      <c r="M4" s="1">
        <f>('RECEITAS - BLOCOS PAN'!L21-'OPEX - BLOCOS PAN'!L21-VLOOKUP('BLOCO PARÁ - 3'!$D4,'CAPEX - BLOCOS PAN'!$C$3:$L$52,10,FALSE))*M$10</f>
        <v>-1711451.614108661</v>
      </c>
      <c r="N4" s="1">
        <f>('RECEITAS - BLOCOS PAN'!M21-'OPEX - BLOCOS PAN'!M21-VLOOKUP('BLOCO PARÁ - 3'!$D4,'CAPEX - BLOCOS PAN'!$C$3:$M$52,11,FALSE))*N$10</f>
        <v>-1551493.0118637038</v>
      </c>
      <c r="O4" s="1">
        <f>('RECEITAS - BLOCOS PAN'!N21-'OPEX - BLOCOS PAN'!N21-VLOOKUP('BLOCO PARÁ - 3'!$D4,'CAPEX - BLOCOS PAN'!$C$3:$N$52,12,FALSE))*O$10</f>
        <v>-1406678.4861291714</v>
      </c>
      <c r="P4" s="1">
        <f>('RECEITAS - BLOCOS PAN'!O21-'OPEX - BLOCOS PAN'!O21-VLOOKUP('BLOCO PARÁ - 3'!$D4,'CAPEX - BLOCOS PAN'!$C$3:$O$52,13,FALSE))*P$10</f>
        <v>-1275736.8837418049</v>
      </c>
      <c r="Q4" s="1">
        <f>('RECEITAS - BLOCOS PAN'!P21-'OPEX - BLOCOS PAN'!P21-VLOOKUP('BLOCO PARÁ - 3'!$D4,'CAPEX - BLOCOS PAN'!$C$3:$P$52,14,FALSE))*Q$10</f>
        <v>-1157263.3231895783</v>
      </c>
      <c r="R4" s="1">
        <f>('RECEITAS - BLOCOS PAN'!Q21-'OPEX - BLOCOS PAN'!Q21-VLOOKUP('BLOCO PARÁ - 3'!$D4,'CAPEX - BLOCOS PAN'!$C$3:$Q$52,15,FALSE))*R$10</f>
        <v>-1118918.9018233649</v>
      </c>
      <c r="S4" s="1">
        <f>('RECEITAS - BLOCOS PAN'!R21-'OPEX - BLOCOS PAN'!R21-VLOOKUP('BLOCO PARÁ - 3'!$D4,'CAPEX - BLOCOS PAN'!$C$3:$R$52,16,FALSE))*S$10</f>
        <v>-1015987.2168432447</v>
      </c>
      <c r="T4" s="1">
        <f>('RECEITAS - BLOCOS PAN'!S21-'OPEX - BLOCOS PAN'!S21-VLOOKUP('BLOCO PARÁ - 3'!$D4,'CAPEX - BLOCOS PAN'!$C$3:$S$52,17,FALSE))*T$10</f>
        <v>-922801.96234666195</v>
      </c>
      <c r="U4" s="1">
        <f>('RECEITAS - BLOCOS PAN'!T21-'OPEX - BLOCOS PAN'!T21-VLOOKUP('BLOCO PARÁ - 3'!$D4,'CAPEX - BLOCOS PAN'!$C$3:$T$52,18,FALSE))*U$10</f>
        <v>-837941.90481202351</v>
      </c>
      <c r="V4" s="1">
        <f>('RECEITAS - BLOCOS PAN'!U21-'OPEX - BLOCOS PAN'!U21-VLOOKUP('BLOCO PARÁ - 3'!$D4,'CAPEX - BLOCOS PAN'!$C$3:$U$52,19,FALSE))*V$10</f>
        <v>-761038.84876861877</v>
      </c>
      <c r="W4" s="1">
        <f>('RECEITAS - BLOCOS PAN'!V21-'OPEX - BLOCOS PAN'!V21-VLOOKUP('BLOCO PARÁ - 3'!$D4,'CAPEX - BLOCOS PAN'!$C$3:$V$52,20,FALSE))*W$10</f>
        <v>-691008.70351061877</v>
      </c>
      <c r="X4" s="1">
        <f>('RECEITAS - BLOCOS PAN'!W21-'OPEX - BLOCOS PAN'!W21-VLOOKUP('BLOCO PARÁ - 3'!$D4,'CAPEX - BLOCOS PAN'!$C$3:$W$52,21,FALSE))*X$10</f>
        <v>-627441.11429679813</v>
      </c>
      <c r="Y4" s="1">
        <f>('RECEITAS - BLOCOS PAN'!X21-'OPEX - BLOCOS PAN'!X21-VLOOKUP('BLOCO PARÁ - 3'!$D4,'CAPEX - BLOCOS PAN'!$C$3:$X$52,22,FALSE))*Y$10</f>
        <v>-569649.04628351703</v>
      </c>
      <c r="Z4" s="1">
        <f>('RECEITAS - BLOCOS PAN'!Y21-'OPEX - BLOCOS PAN'!Y21-VLOOKUP('BLOCO PARÁ - 3'!$D4,'CAPEX - BLOCOS PAN'!$C$3:$Y$52,23,FALSE))*Z$10</f>
        <v>-517179.78130765457</v>
      </c>
      <c r="AA4" s="1">
        <f>('RECEITAS - BLOCOS PAN'!Z21-'OPEX - BLOCOS PAN'!Z21-VLOOKUP('BLOCO PARÁ - 3'!$D4,'CAPEX - BLOCOS PAN'!$C$3:$Z$52,24,FALSE))*AA$10</f>
        <v>-469413.52638589835</v>
      </c>
      <c r="AB4" s="1">
        <f>('RECEITAS - BLOCOS PAN'!AA21-'OPEX - BLOCOS PAN'!AA21-VLOOKUP('BLOCO PARÁ - 3'!$D4,'CAPEX - BLOCOS PAN'!$C$3:$AA$52,25,FALSE))*AB$10</f>
        <v>-426077.96478508966</v>
      </c>
      <c r="AC4" s="1">
        <f>('RECEITAS - BLOCOS PAN'!AB21-'OPEX - BLOCOS PAN'!AB21-VLOOKUP('BLOCO PARÁ - 3'!$D4,'CAPEX - BLOCOS PAN'!$C$3:$AB$52,26,FALSE))*AC$10</f>
        <v>-386700.58489194984</v>
      </c>
      <c r="AD4" s="1">
        <f>('RECEITAS - BLOCOS PAN'!AC21-'OPEX - BLOCOS PAN'!AC21-VLOOKUP('BLOCO PARÁ - 3'!$D4,'CAPEX - BLOCOS PAN'!$C$3:$AC$52,27,FALSE))*AD$10</f>
        <v>-350996.88272286212</v>
      </c>
      <c r="AE4" s="1">
        <f>('RECEITAS - BLOCOS PAN'!AD21-'OPEX - BLOCOS PAN'!AD21-VLOOKUP('BLOCO PARÁ - 3'!$D4,'CAPEX - BLOCOS PAN'!$C$3:$AD$52,28,FALSE))*AE$10</f>
        <v>-318544.97803943814</v>
      </c>
      <c r="AF4" s="1">
        <f>('RECEITAS - BLOCOS PAN'!AE21-'OPEX - BLOCOS PAN'!AE21-VLOOKUP('BLOCO PARÁ - 3'!$D4,'CAPEX - BLOCOS PAN'!$C$3:$AE$52,29,FALSE))*AF$10</f>
        <v>-289293.58249747002</v>
      </c>
      <c r="AG4" s="1">
        <f>('RECEITAS - BLOCOS PAN'!AF21-'OPEX - BLOCOS PAN'!AF21-VLOOKUP('BLOCO PARÁ - 3'!$D4,'CAPEX - BLOCOS PAN'!$C$3:$AF$52,30,FALSE))*AG$10</f>
        <v>-262604.77986448747</v>
      </c>
      <c r="AH4" s="1">
        <f>('RECEITAS - BLOCOS PAN'!AG21-'OPEX - BLOCOS PAN'!AG21-VLOOKUP('BLOCO PARÁ - 3'!$D4,'CAPEX - BLOCOS PAN'!$C$3:$AG$52,31,FALSE))*AH$10</f>
        <v>-238448.03832791408</v>
      </c>
      <c r="AI4" s="1">
        <f>('RECEITAS - BLOCOS PAN'!AH21-'OPEX - BLOCOS PAN'!AH21-VLOOKUP('BLOCO PARÁ - 3'!$D4,'CAPEX - BLOCOS PAN'!$C$3:$AH$52,32,FALSE))*AI$10</f>
        <v>-216456.72300428676</v>
      </c>
      <c r="AJ4" s="1">
        <f>('RECEITAS - BLOCOS PAN'!AI21-'OPEX - BLOCOS PAN'!AI21-VLOOKUP('BLOCO PARÁ - 3'!$D4,'CAPEX - BLOCOS PAN'!$C$3:$AI$52,33,FALSE))*AJ$10</f>
        <v>-196557.98223729254</v>
      </c>
      <c r="AK4" s="1">
        <f>('RECEITAS - BLOCOS PAN'!AJ21-'OPEX - BLOCOS PAN'!AJ21-VLOOKUP('BLOCO PARÁ - 3'!$D4,'CAPEX - BLOCOS PAN'!$C$3:$AJ$52,34,FALSE))*AK$10</f>
        <v>-178470.37016013692</v>
      </c>
      <c r="AL4" s="1">
        <f>('RECEITAS - BLOCOS PAN'!AK21-'OPEX - BLOCOS PAN'!AK21-VLOOKUP('BLOCO PARÁ - 3'!$D4,'CAPEX - BLOCOS PAN'!$C$3:$AK$52,35,FALSE))*AL$10</f>
        <v>-162023.31166666292</v>
      </c>
      <c r="AM4" s="44">
        <f t="shared" si="0"/>
        <v>-73940157.750959933</v>
      </c>
      <c r="AN4">
        <v>1</v>
      </c>
      <c r="AO4" t="s">
        <v>391</v>
      </c>
      <c r="AP4">
        <v>-1.6333333333333333</v>
      </c>
      <c r="AQ4">
        <v>-50.43333333333333</v>
      </c>
      <c r="AR4" s="48">
        <f>VLOOKUP(D4,'Projeção - Demanda PAX'!$C$3:$H$37,6,FALSE)</f>
        <v>18258</v>
      </c>
      <c r="AS4" t="str">
        <f>VLOOKUP(D4,'FLUXO DE CAIXA DESC.-BLOCOS PAN'!$D$3:$AU$52,44,FALSE)</f>
        <v>Bloco 4 - PA3</v>
      </c>
    </row>
    <row r="5" spans="1:45" x14ac:dyDescent="0.35">
      <c r="A5" t="s">
        <v>260</v>
      </c>
      <c r="B5" t="s">
        <v>261</v>
      </c>
      <c r="C5">
        <v>150620</v>
      </c>
      <c r="D5" t="s">
        <v>286</v>
      </c>
      <c r="E5" t="s">
        <v>261</v>
      </c>
      <c r="F5" t="s">
        <v>29</v>
      </c>
      <c r="G5" t="s">
        <v>259</v>
      </c>
      <c r="H5" t="s">
        <v>33</v>
      </c>
      <c r="I5" s="1">
        <f>('RECEITAS - BLOCOS PAN'!H36-'OPEX - BLOCOS PAN'!H36-VLOOKUP('BLOCO PARÁ - 3'!$D5,'CAPEX - BLOCOS PAN'!$C$3:$H$52,6,FALSE))*I$10</f>
        <v>-54043520.896266662</v>
      </c>
      <c r="J5" s="1">
        <f>('RECEITAS - BLOCOS PAN'!I36-'OPEX - BLOCOS PAN'!I36-VLOOKUP('BLOCO PARÁ - 3'!$D5,'CAPEX - BLOCOS PAN'!$C$3:$I$52,7,FALSE))*J$10</f>
        <v>-49249667.737075917</v>
      </c>
      <c r="K5" s="1">
        <f>('RECEITAS - BLOCOS PAN'!J36-'OPEX - BLOCOS PAN'!J36-VLOOKUP('BLOCO PARÁ - 3'!$D5,'CAPEX - BLOCOS PAN'!$C$3:$J$52,8,FALSE))*K$10</f>
        <v>-45778974.065696061</v>
      </c>
      <c r="L5" s="1">
        <f>('RECEITAS - BLOCOS PAN'!K36-'OPEX - BLOCOS PAN'!K36-VLOOKUP('BLOCO PARÁ - 3'!$D5,'CAPEX - BLOCOS PAN'!$C$3:$K$52,9,FALSE))*L$10</f>
        <v>-2473039.0183988139</v>
      </c>
      <c r="M5" s="1">
        <f>('RECEITAS - BLOCOS PAN'!L36-'OPEX - BLOCOS PAN'!L36-VLOOKUP('BLOCO PARÁ - 3'!$D5,'CAPEX - BLOCOS PAN'!$C$3:$L$52,10,FALSE))*M$10</f>
        <v>-2214575.8036806621</v>
      </c>
      <c r="N5" s="1">
        <f>('RECEITAS - BLOCOS PAN'!M36-'OPEX - BLOCOS PAN'!M36-VLOOKUP('BLOCO PARÁ - 3'!$D5,'CAPEX - BLOCOS PAN'!$C$3:$M$52,11,FALSE))*N$10</f>
        <v>-1988285.8352788647</v>
      </c>
      <c r="O5" s="1">
        <f>('RECEITAS - BLOCOS PAN'!N36-'OPEX - BLOCOS PAN'!N36-VLOOKUP('BLOCO PARÁ - 3'!$D5,'CAPEX - BLOCOS PAN'!$C$3:$N$52,12,FALSE))*O$10</f>
        <v>-1781591.3912951567</v>
      </c>
      <c r="P5" s="1">
        <f>('RECEITAS - BLOCOS PAN'!O36-'OPEX - BLOCOS PAN'!O36-VLOOKUP('BLOCO PARÁ - 3'!$D5,'CAPEX - BLOCOS PAN'!$C$3:$O$52,13,FALSE))*P$10</f>
        <v>-1599422.3696401108</v>
      </c>
      <c r="Q5" s="1">
        <f>('RECEITAS - BLOCOS PAN'!P36-'OPEX - BLOCOS PAN'!P36-VLOOKUP('BLOCO PARÁ - 3'!$D5,'CAPEX - BLOCOS PAN'!$C$3:$P$52,14,FALSE))*Q$10</f>
        <v>-1432471.8475895273</v>
      </c>
      <c r="R5" s="1">
        <f>('RECEITAS - BLOCOS PAN'!Q36-'OPEX - BLOCOS PAN'!Q36-VLOOKUP('BLOCO PARÁ - 3'!$D5,'CAPEX - BLOCOS PAN'!$C$3:$Q$52,15,FALSE))*R$10</f>
        <v>-1286957.4106907626</v>
      </c>
      <c r="S5" s="1">
        <f>('RECEITAS - BLOCOS PAN'!R36-'OPEX - BLOCOS PAN'!R36-VLOOKUP('BLOCO PARÁ - 3'!$D5,'CAPEX - BLOCOS PAN'!$C$3:$R$52,16,FALSE))*S$10</f>
        <v>-1154726.9120340548</v>
      </c>
      <c r="T5" s="1">
        <f>('RECEITAS - BLOCOS PAN'!S36-'OPEX - BLOCOS PAN'!S36-VLOOKUP('BLOCO PARÁ - 3'!$D5,'CAPEX - BLOCOS PAN'!$C$3:$S$52,17,FALSE))*T$10</f>
        <v>-1037186.6521828671</v>
      </c>
      <c r="U5" s="1">
        <f>('RECEITAS - BLOCOS PAN'!T36-'OPEX - BLOCOS PAN'!T36-VLOOKUP('BLOCO PARÁ - 3'!$D5,'CAPEX - BLOCOS PAN'!$C$3:$T$52,18,FALSE))*U$10</f>
        <v>-929830.49730736681</v>
      </c>
      <c r="V5" s="1">
        <f>('RECEITAS - BLOCOS PAN'!U36-'OPEX - BLOCOS PAN'!U36-VLOOKUP('BLOCO PARÁ - 3'!$D5,'CAPEX - BLOCOS PAN'!$C$3:$U$52,19,FALSE))*V$10</f>
        <v>-834592.42591381015</v>
      </c>
      <c r="W5" s="1">
        <f>('RECEITAS - BLOCOS PAN'!V36-'OPEX - BLOCOS PAN'!V36-VLOOKUP('BLOCO PARÁ - 3'!$D5,'CAPEX - BLOCOS PAN'!$C$3:$V$52,20,FALSE))*W$10</f>
        <v>-747348.4135424362</v>
      </c>
      <c r="X5" s="1">
        <f>('RECEITAS - BLOCOS PAN'!W36-'OPEX - BLOCOS PAN'!W36-VLOOKUP('BLOCO PARÁ - 3'!$D5,'CAPEX - BLOCOS PAN'!$C$3:$W$52,21,FALSE))*X$10</f>
        <v>-670393.59954131988</v>
      </c>
      <c r="Y5" s="1">
        <f>('RECEITAS - BLOCOS PAN'!X36-'OPEX - BLOCOS PAN'!X36-VLOOKUP('BLOCO PARÁ - 3'!$D5,'CAPEX - BLOCOS PAN'!$C$3:$X$52,22,FALSE))*Y$10</f>
        <v>-599856.46441521449</v>
      </c>
      <c r="Z5" s="1">
        <f>('RECEITAS - BLOCOS PAN'!Y36-'OPEX - BLOCOS PAN'!Y36-VLOOKUP('BLOCO PARÁ - 3'!$D5,'CAPEX - BLOCOS PAN'!$C$3:$Y$52,23,FALSE))*Z$10</f>
        <v>-537749.84061907686</v>
      </c>
      <c r="AA5" s="1">
        <f>('RECEITAS - BLOCOS PAN'!Z36-'OPEX - BLOCOS PAN'!Z36-VLOOKUP('BLOCO PARÁ - 3'!$D5,'CAPEX - BLOCOS PAN'!$C$3:$Z$52,24,FALSE))*AA$10</f>
        <v>-480568.2737400239</v>
      </c>
      <c r="AB5" s="1">
        <f>('RECEITAS - BLOCOS PAN'!AA36-'OPEX - BLOCOS PAN'!AA36-VLOOKUP('BLOCO PARÁ - 3'!$D5,'CAPEX - BLOCOS PAN'!$C$3:$AA$52,25,FALSE))*AB$10</f>
        <v>-430609.56774259661</v>
      </c>
      <c r="AC5" s="1">
        <f>('RECEITAS - BLOCOS PAN'!AB36-'OPEX - BLOCOS PAN'!AB36-VLOOKUP('BLOCO PARÁ - 3'!$D5,'CAPEX - BLOCOS PAN'!$C$3:$AB$52,26,FALSE))*AC$10</f>
        <v>-384562.97942054848</v>
      </c>
      <c r="AD5" s="1">
        <f>('RECEITAS - BLOCOS PAN'!AC36-'OPEX - BLOCOS PAN'!AC36-VLOOKUP('BLOCO PARÁ - 3'!$D5,'CAPEX - BLOCOS PAN'!$C$3:$AC$52,27,FALSE))*AD$10</f>
        <v>-344351.04498769954</v>
      </c>
      <c r="AE5" s="1">
        <f>('RECEITAS - BLOCOS PAN'!AD36-'OPEX - BLOCOS PAN'!AD36-VLOOKUP('BLOCO PARÁ - 3'!$D5,'CAPEX - BLOCOS PAN'!$C$3:$AD$52,28,FALSE))*AE$10</f>
        <v>-307007.86614399729</v>
      </c>
      <c r="AF5" s="1">
        <f>('RECEITAS - BLOCOS PAN'!AE36-'OPEX - BLOCOS PAN'!AE36-VLOOKUP('BLOCO PARÁ - 3'!$D5,'CAPEX - BLOCOS PAN'!$C$3:$AE$52,29,FALSE))*AF$10</f>
        <v>-275757.99564612255</v>
      </c>
      <c r="AG5" s="1">
        <f>('RECEITAS - BLOCOS PAN'!AF36-'OPEX - BLOCOS PAN'!AF36-VLOOKUP('BLOCO PARÁ - 3'!$D5,'CAPEX - BLOCOS PAN'!$C$3:$AF$52,30,FALSE))*AG$10</f>
        <v>-246582.91181935373</v>
      </c>
      <c r="AH5" s="1">
        <f>('RECEITAS - BLOCOS PAN'!AG36-'OPEX - BLOCOS PAN'!AG36-VLOOKUP('BLOCO PARÁ - 3'!$D5,'CAPEX - BLOCOS PAN'!$C$3:$AG$52,31,FALSE))*AH$10</f>
        <v>-211178.78015991999</v>
      </c>
      <c r="AI5" s="1">
        <f>('RECEITAS - BLOCOS PAN'!AH36-'OPEX - BLOCOS PAN'!AH36-VLOOKUP('BLOCO PARÁ - 3'!$D5,'CAPEX - BLOCOS PAN'!$C$3:$AH$52,32,FALSE))*AI$10</f>
        <v>-188121.16573994386</v>
      </c>
      <c r="AJ5" s="1">
        <f>('RECEITAS - BLOCOS PAN'!AI36-'OPEX - BLOCOS PAN'!AI36-VLOOKUP('BLOCO PARÁ - 3'!$D5,'CAPEX - BLOCOS PAN'!$C$3:$AI$52,33,FALSE))*AJ$10</f>
        <v>-168560.11039934243</v>
      </c>
      <c r="AK5" s="1">
        <f>('RECEITAS - BLOCOS PAN'!AJ36-'OPEX - BLOCOS PAN'!AJ36-VLOOKUP('BLOCO PARÁ - 3'!$D5,'CAPEX - BLOCOS PAN'!$C$3:$AJ$52,34,FALSE))*AK$10</f>
        <v>-150921.63360497338</v>
      </c>
      <c r="AL5" s="1">
        <f>('RECEITAS - BLOCOS PAN'!AK36-'OPEX - BLOCOS PAN'!AK36-VLOOKUP('BLOCO PARÁ - 3'!$D5,'CAPEX - BLOCOS PAN'!$C$3:$AK$52,35,FALSE))*AL$10</f>
        <v>-135025.05192747017</v>
      </c>
      <c r="AM5" s="44">
        <f t="shared" si="0"/>
        <v>-171683438.56250072</v>
      </c>
      <c r="AN5">
        <v>1</v>
      </c>
      <c r="AO5" t="s">
        <v>391</v>
      </c>
      <c r="AP5">
        <v>-0.68333333333333335</v>
      </c>
      <c r="AQ5">
        <v>-47.333333333333336</v>
      </c>
      <c r="AR5" s="48">
        <f>VLOOKUP(D5,'Projeção - Demanda PAX'!$C$3:$H$37,6,FALSE)</f>
        <v>39679</v>
      </c>
      <c r="AS5" t="str">
        <f>VLOOKUP(D5,'FLUXO DE CAIXA DESC.-BLOCOS PAN'!$D$3:$AU$52,44,FALSE)</f>
        <v>Bloco 4 - PA3</v>
      </c>
    </row>
    <row r="6" spans="1:45" x14ac:dyDescent="0.35">
      <c r="B6" s="6"/>
      <c r="C6" s="6"/>
      <c r="D6" s="6"/>
      <c r="H6" s="47" t="s">
        <v>250</v>
      </c>
      <c r="I6" s="8">
        <f>SUBTOTAL(109,I3:I5)</f>
        <v>-123246302.96616668</v>
      </c>
      <c r="J6" s="8">
        <f>SUBTOTAL(109,J3:J5)</f>
        <v>-112354099.56646889</v>
      </c>
      <c r="K6" s="8">
        <f>SUBTOTAL(109,K3:K5)</f>
        <v>-103333010.55687268</v>
      </c>
      <c r="L6" s="8">
        <f>SUBTOTAL(109,L3:L5)</f>
        <v>-6233302.1547642695</v>
      </c>
      <c r="M6" s="8">
        <f>SUBTOTAL(109,M3:M5)</f>
        <v>-5618192.0519683305</v>
      </c>
      <c r="N6" s="8">
        <f>SUBTOTAL(109,N3:N5)</f>
        <v>-5070608.0683844369</v>
      </c>
      <c r="O6" s="8">
        <f>SUBTOTAL(109,O3:O5)</f>
        <v>-4663283.1806668304</v>
      </c>
      <c r="P6" s="8">
        <f>SUBTOTAL(109,P3:P5)</f>
        <v>-4210314.9754081219</v>
      </c>
      <c r="Q6" s="8">
        <f>SUBTOTAL(109,Q3:Q5)</f>
        <v>-3798366.2450542403</v>
      </c>
      <c r="R6" s="8">
        <f>SUBTOTAL(109,R3:R5)</f>
        <v>-3500278.5821049022</v>
      </c>
      <c r="S6" s="8">
        <f>SUBTOTAL(109,S3:S5)</f>
        <v>-3161830.3434728151</v>
      </c>
      <c r="T6" s="8">
        <f>SUBTOTAL(109,T3:T5)</f>
        <v>-2857300.6656751297</v>
      </c>
      <c r="U6" s="8">
        <f>SUBTOTAL(109,U3:U5)</f>
        <v>-2579936.0299300114</v>
      </c>
      <c r="V6" s="8">
        <f>SUBTOTAL(109,V3:V5)</f>
        <v>-2330381.2113637333</v>
      </c>
      <c r="W6" s="8">
        <f>SUBTOTAL(109,W3:W5)</f>
        <v>-2102998.4319555336</v>
      </c>
      <c r="X6" s="8">
        <f>SUBTOTAL(109,X3:X5)</f>
        <v>-1898727.6017250726</v>
      </c>
      <c r="Y6" s="8">
        <f>SUBTOTAL(109,Y3:Y5)</f>
        <v>-1712650.6179994107</v>
      </c>
      <c r="Z6" s="8">
        <f>SUBTOTAL(109,Z3:Z5)</f>
        <v>-1545526.3138733767</v>
      </c>
      <c r="AA6" s="8">
        <f>SUBTOTAL(109,AA3:AA5)</f>
        <v>-1392937.2571350222</v>
      </c>
      <c r="AB6" s="8">
        <f>SUBTOTAL(109,AB3:AB5)</f>
        <v>-1444960.0606426138</v>
      </c>
      <c r="AC6" s="8">
        <f>SUBTOTAL(109,AC3:AC5)</f>
        <v>-1303585.5662154639</v>
      </c>
      <c r="AD6" s="8">
        <f>SUBTOTAL(109,AD3:AD5)</f>
        <v>-1176887.8881120807</v>
      </c>
      <c r="AE6" s="8">
        <f>SUBTOTAL(109,AE3:AE5)</f>
        <v>-1060990.4111471982</v>
      </c>
      <c r="AF6" s="8">
        <f>SUBTOTAL(109,AF3:AF5)</f>
        <v>-958545.74869844178</v>
      </c>
      <c r="AG6" s="8">
        <f>SUBTOTAL(109,AG3:AG5)</f>
        <v>-864581.76478507649</v>
      </c>
      <c r="AH6" s="8">
        <f>SUBTOTAL(109,AH3:AH5)</f>
        <v>-770478.42583913216</v>
      </c>
      <c r="AI6" s="8">
        <f>SUBTOTAL(109,AI3:AI5)</f>
        <v>-694174.91239458043</v>
      </c>
      <c r="AJ6" s="8">
        <f>SUBTOTAL(109,AJ3:AJ5)</f>
        <v>-626361.77662954456</v>
      </c>
      <c r="AK6" s="8">
        <f>SUBTOTAL(109,AK3:AK5)</f>
        <v>-564923.90290581738</v>
      </c>
      <c r="AL6" s="8">
        <f>SUBTOTAL(109,AL3:AL5)</f>
        <v>-509252.80180771835</v>
      </c>
      <c r="AM6" s="44">
        <f>SUBTOTAL(109,AM3:AM5)</f>
        <v>-401584790.08016717</v>
      </c>
      <c r="AR6" s="66">
        <f>SUBTOTAL(109,AR3:AR5)</f>
        <v>77284</v>
      </c>
    </row>
    <row r="7" spans="1:45" x14ac:dyDescent="0.35">
      <c r="A7" s="83" t="s">
        <v>368</v>
      </c>
      <c r="B7" s="83"/>
      <c r="C7" s="83"/>
      <c r="D7" s="83"/>
      <c r="E7" s="47"/>
      <c r="H7" s="47" t="s">
        <v>285</v>
      </c>
      <c r="I7" s="8">
        <f>I6</f>
        <v>-123246302.96616668</v>
      </c>
      <c r="J7" s="8">
        <f t="shared" ref="J7:AL7" si="1">J6+I7</f>
        <v>-235600402.53263557</v>
      </c>
      <c r="K7" s="8">
        <f t="shared" si="1"/>
        <v>-338933413.08950824</v>
      </c>
      <c r="L7" s="8">
        <f t="shared" si="1"/>
        <v>-345166715.24427253</v>
      </c>
      <c r="M7" s="8">
        <f t="shared" si="1"/>
        <v>-350784907.29624087</v>
      </c>
      <c r="N7" s="8">
        <f t="shared" si="1"/>
        <v>-355855515.36462528</v>
      </c>
      <c r="O7" s="8">
        <f t="shared" si="1"/>
        <v>-360518798.54529208</v>
      </c>
      <c r="P7" s="8">
        <f t="shared" si="1"/>
        <v>-364729113.52070022</v>
      </c>
      <c r="Q7" s="8">
        <f t="shared" si="1"/>
        <v>-368527479.76575446</v>
      </c>
      <c r="R7" s="8">
        <f t="shared" si="1"/>
        <v>-372027758.34785938</v>
      </c>
      <c r="S7" s="8">
        <f t="shared" si="1"/>
        <v>-375189588.69133222</v>
      </c>
      <c r="T7" s="8">
        <f t="shared" si="1"/>
        <v>-378046889.35700732</v>
      </c>
      <c r="U7" s="8">
        <f t="shared" si="1"/>
        <v>-380626825.38693732</v>
      </c>
      <c r="V7" s="8">
        <f t="shared" si="1"/>
        <v>-382957206.59830105</v>
      </c>
      <c r="W7" s="8">
        <f t="shared" si="1"/>
        <v>-385060205.03025657</v>
      </c>
      <c r="X7" s="8">
        <f t="shared" si="1"/>
        <v>-386958932.63198167</v>
      </c>
      <c r="Y7" s="8">
        <f t="shared" si="1"/>
        <v>-388671583.24998111</v>
      </c>
      <c r="Z7" s="8">
        <f t="shared" si="1"/>
        <v>-390217109.56385446</v>
      </c>
      <c r="AA7" s="8">
        <f t="shared" si="1"/>
        <v>-391610046.82098949</v>
      </c>
      <c r="AB7" s="8">
        <f t="shared" si="1"/>
        <v>-393055006.88163209</v>
      </c>
      <c r="AC7" s="8">
        <f t="shared" si="1"/>
        <v>-394358592.44784755</v>
      </c>
      <c r="AD7" s="8">
        <f t="shared" si="1"/>
        <v>-395535480.33595961</v>
      </c>
      <c r="AE7" s="8">
        <f t="shared" si="1"/>
        <v>-396596470.74710679</v>
      </c>
      <c r="AF7" s="8">
        <f t="shared" si="1"/>
        <v>-397555016.4958052</v>
      </c>
      <c r="AG7" s="8">
        <f t="shared" si="1"/>
        <v>-398419598.26059026</v>
      </c>
      <c r="AH7" s="8">
        <f t="shared" si="1"/>
        <v>-399190076.68642938</v>
      </c>
      <c r="AI7" s="8">
        <f t="shared" si="1"/>
        <v>-399884251.59882396</v>
      </c>
      <c r="AJ7" s="8">
        <f t="shared" si="1"/>
        <v>-400510613.37545353</v>
      </c>
      <c r="AK7" s="8">
        <f t="shared" si="1"/>
        <v>-401075537.27835935</v>
      </c>
      <c r="AL7" s="8">
        <f t="shared" si="1"/>
        <v>-401584790.08016706</v>
      </c>
      <c r="AM7" s="44"/>
    </row>
    <row r="8" spans="1:45" x14ac:dyDescent="0.35"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45" x14ac:dyDescent="0.35">
      <c r="H9" s="47" t="s">
        <v>284</v>
      </c>
      <c r="I9" s="2">
        <v>0</v>
      </c>
      <c r="J9" s="2">
        <v>1</v>
      </c>
      <c r="K9" s="2">
        <v>2</v>
      </c>
      <c r="L9" s="2">
        <v>3</v>
      </c>
      <c r="M9" s="2">
        <v>4</v>
      </c>
      <c r="N9" s="2">
        <v>5</v>
      </c>
      <c r="O9" s="2">
        <v>6</v>
      </c>
      <c r="P9" s="2">
        <v>7</v>
      </c>
      <c r="Q9" s="2">
        <v>8</v>
      </c>
      <c r="R9" s="2">
        <v>9</v>
      </c>
      <c r="S9" s="2">
        <v>10</v>
      </c>
      <c r="T9" s="2">
        <v>11</v>
      </c>
      <c r="U9" s="2">
        <v>12</v>
      </c>
      <c r="V9" s="2">
        <v>13</v>
      </c>
      <c r="W9" s="2">
        <v>14</v>
      </c>
      <c r="X9" s="2">
        <v>15</v>
      </c>
      <c r="Y9" s="2">
        <v>16</v>
      </c>
      <c r="Z9" s="2">
        <v>17</v>
      </c>
      <c r="AA9" s="2">
        <v>18</v>
      </c>
      <c r="AB9" s="2">
        <v>19</v>
      </c>
      <c r="AC9" s="2">
        <v>20</v>
      </c>
      <c r="AD9" s="2">
        <v>21</v>
      </c>
      <c r="AE9" s="2">
        <v>22</v>
      </c>
      <c r="AF9" s="2">
        <v>23</v>
      </c>
      <c r="AG9" s="2">
        <v>24</v>
      </c>
      <c r="AH9" s="2">
        <v>25</v>
      </c>
      <c r="AI9" s="2">
        <v>26</v>
      </c>
      <c r="AJ9" s="2">
        <v>27</v>
      </c>
      <c r="AK9" s="2">
        <v>28</v>
      </c>
      <c r="AL9" s="2">
        <v>29</v>
      </c>
    </row>
    <row r="10" spans="1:45" x14ac:dyDescent="0.35">
      <c r="A10" s="2" t="s">
        <v>254</v>
      </c>
      <c r="B10" s="46">
        <v>9.5500000000000002E-2</v>
      </c>
      <c r="C10" s="2" t="s">
        <v>255</v>
      </c>
      <c r="I10" s="2">
        <f>1/(1+$B$10)^I9</f>
        <v>1</v>
      </c>
      <c r="J10" s="2">
        <f t="shared" ref="J10:AL10" si="2">1/(1+$B$10)^J9</f>
        <v>0.91282519397535378</v>
      </c>
      <c r="K10" s="2">
        <f t="shared" si="2"/>
        <v>0.83324983475614223</v>
      </c>
      <c r="L10" s="2">
        <f t="shared" si="2"/>
        <v>0.76061144204120701</v>
      </c>
      <c r="M10" s="2">
        <f t="shared" si="2"/>
        <v>0.69430528712113837</v>
      </c>
      <c r="N10" s="2">
        <f t="shared" si="2"/>
        <v>0.63377935839446675</v>
      </c>
      <c r="O10" s="2">
        <f t="shared" si="2"/>
        <v>0.57852976576400439</v>
      </c>
      <c r="P10" s="2">
        <f t="shared" si="2"/>
        <v>0.52809654565404329</v>
      </c>
      <c r="Q10" s="2">
        <f t="shared" si="2"/>
        <v>0.48205983172436634</v>
      </c>
      <c r="R10" s="2">
        <f t="shared" si="2"/>
        <v>0.44003635940152108</v>
      </c>
      <c r="S10" s="2">
        <f t="shared" si="2"/>
        <v>0.40167627512690202</v>
      </c>
      <c r="T10" s="2">
        <f t="shared" si="2"/>
        <v>0.36666022375801188</v>
      </c>
      <c r="U10" s="2">
        <f t="shared" si="2"/>
        <v>0.33469668987495382</v>
      </c>
      <c r="V10" s="2">
        <f t="shared" si="2"/>
        <v>0.30551957085801351</v>
      </c>
      <c r="W10" s="2">
        <f t="shared" si="2"/>
        <v>0.27888596153173301</v>
      </c>
      <c r="X10" s="2">
        <f t="shared" si="2"/>
        <v>0.25457413193220724</v>
      </c>
      <c r="Y10" s="2">
        <f t="shared" si="2"/>
        <v>0.23238168136212439</v>
      </c>
      <c r="Z10" s="2">
        <f t="shared" si="2"/>
        <v>0.21212385336570003</v>
      </c>
      <c r="AA10" s="2">
        <f t="shared" si="2"/>
        <v>0.19363199759534466</v>
      </c>
      <c r="AB10" s="2">
        <f t="shared" si="2"/>
        <v>0.17675216576480571</v>
      </c>
      <c r="AC10" s="2">
        <f t="shared" si="2"/>
        <v>0.16134382999982266</v>
      </c>
      <c r="AD10" s="2">
        <f t="shared" si="2"/>
        <v>0.14727871291631461</v>
      </c>
      <c r="AE10" s="2">
        <f t="shared" si="2"/>
        <v>0.13443971968627533</v>
      </c>
      <c r="AF10" s="2">
        <f t="shared" si="2"/>
        <v>0.12271996320061647</v>
      </c>
      <c r="AG10" s="2">
        <f t="shared" si="2"/>
        <v>0.11202187421325101</v>
      </c>
      <c r="AH10" s="2">
        <f t="shared" si="2"/>
        <v>0.10225638905819352</v>
      </c>
      <c r="AI10" s="2">
        <f t="shared" si="2"/>
        <v>9.3342208177264741E-2</v>
      </c>
      <c r="AJ10" s="2">
        <f t="shared" si="2"/>
        <v>8.520511928549955E-2</v>
      </c>
      <c r="AK10" s="2">
        <f t="shared" si="2"/>
        <v>7.7777379539479274E-2</v>
      </c>
      <c r="AL10" s="2">
        <f t="shared" si="2"/>
        <v>7.0997151565019873E-2</v>
      </c>
    </row>
    <row r="12" spans="1:45" x14ac:dyDescent="0.35">
      <c r="A12" s="63" t="s">
        <v>354</v>
      </c>
    </row>
  </sheetData>
  <autoFilter ref="A2:AR7" xr:uid="{6A8C1C86-F6EA-4C2D-A641-3758738A5F02}"/>
  <mergeCells count="1">
    <mergeCell ref="A7:D7"/>
  </mergeCells>
  <conditionalFormatting sqref="D5">
    <cfRule type="duplicateValues" dxfId="29" priority="254"/>
  </conditionalFormatting>
  <hyperlinks>
    <hyperlink ref="A12" location="Introdução!A1" display="Introdução!A1" xr:uid="{E2161938-2CF1-4EDA-A0AB-F045F733EB1F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C2C2-3D79-4BBA-A4BA-D64D058FEE88}">
  <sheetPr>
    <tabColor theme="6" tint="-0.499984740745262"/>
  </sheetPr>
  <dimension ref="A1:AS13"/>
  <sheetViews>
    <sheetView topLeftCell="AG1" workbookViewId="0">
      <selection activeCell="AS6" sqref="AS6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54</v>
      </c>
      <c r="B3" t="s">
        <v>168</v>
      </c>
      <c r="C3">
        <v>110010</v>
      </c>
      <c r="D3" t="s">
        <v>56</v>
      </c>
      <c r="E3" t="s">
        <v>55</v>
      </c>
      <c r="F3" t="s">
        <v>30</v>
      </c>
      <c r="G3" t="s">
        <v>259</v>
      </c>
      <c r="H3" t="s">
        <v>33</v>
      </c>
      <c r="I3" s="1">
        <f>('RECEITAS - BLOCOS PAN'!H6-'OPEX - BLOCOS PAN'!H6-VLOOKUP('BLOCO RONDÔNIA'!$D3,'CAPEX - BLOCOS PAN'!$C$3:$H$52,6,FALSE))*I$11</f>
        <v>-26178388.263599999</v>
      </c>
      <c r="J3" s="1">
        <f>('RECEITAS - BLOCOS PAN'!I6-'OPEX - BLOCOS PAN'!I6-VLOOKUP('BLOCO RONDÔNIA'!$D3,'CAPEX - BLOCOS PAN'!$C$3:$I$52,7,FALSE))*J$11</f>
        <v>-23870543.544500232</v>
      </c>
      <c r="K3" s="1">
        <f>('RECEITAS - BLOCOS PAN'!J6-'OPEX - BLOCOS PAN'!J6-VLOOKUP('BLOCO RONDÔNIA'!$D3,'CAPEX - BLOCOS PAN'!$C$3:$J$52,8,FALSE))*K$11</f>
        <v>-21770234.976703376</v>
      </c>
      <c r="L3" s="1">
        <f>('RECEITAS - BLOCOS PAN'!K6-'OPEX - BLOCOS PAN'!K6-VLOOKUP('BLOCO RONDÔNIA'!$D3,'CAPEX - BLOCOS PAN'!$C$3:$K$52,9,FALSE))*L$11</f>
        <v>-1846496.5567118595</v>
      </c>
      <c r="M3" s="1">
        <f>('RECEITAS - BLOCOS PAN'!L6-'OPEX - BLOCOS PAN'!L6-VLOOKUP('BLOCO RONDÔNIA'!$D3,'CAPEX - BLOCOS PAN'!$C$3:$L$52,10,FALSE))*M$11</f>
        <v>-1674299.5299619292</v>
      </c>
      <c r="N3" s="1">
        <f>('RECEITAS - BLOCOS PAN'!M6-'OPEX - BLOCOS PAN'!M6-VLOOKUP('BLOCO RONDÔNIA'!$D3,'CAPEX - BLOCOS PAN'!$C$3:$M$52,11,FALSE))*N$11</f>
        <v>-1518699.507791718</v>
      </c>
      <c r="O3" s="1">
        <f>('RECEITAS - BLOCOS PAN'!N6-'OPEX - BLOCOS PAN'!N6-VLOOKUP('BLOCO RONDÔNIA'!$D3,'CAPEX - BLOCOS PAN'!$C$3:$N$52,12,FALSE))*O$11</f>
        <v>-1377808.3079365154</v>
      </c>
      <c r="P3" s="1">
        <f>('RECEITAS - BLOCOS PAN'!O6-'OPEX - BLOCOS PAN'!O6-VLOOKUP('BLOCO RONDÔNIA'!$D3,'CAPEX - BLOCOS PAN'!$C$3:$O$52,13,FALSE))*P$11</f>
        <v>-1250078.212465192</v>
      </c>
      <c r="Q3" s="1">
        <f>('RECEITAS - BLOCOS PAN'!P6-'OPEX - BLOCOS PAN'!P6-VLOOKUP('BLOCO RONDÔNIA'!$D3,'CAPEX - BLOCOS PAN'!$C$3:$P$52,14,FALSE))*Q$11</f>
        <v>-1134620.6516970184</v>
      </c>
      <c r="R3" s="1">
        <f>('RECEITAS - BLOCOS PAN'!Q6-'OPEX - BLOCOS PAN'!Q6-VLOOKUP('BLOCO RONDÔNIA'!$D3,'CAPEX - BLOCOS PAN'!$C$3:$Q$52,15,FALSE))*R$11</f>
        <v>-1030084.6453668341</v>
      </c>
      <c r="S3" s="1">
        <f>('RECEITAS - BLOCOS PAN'!R6-'OPEX - BLOCOS PAN'!R6-VLOOKUP('BLOCO RONDÔNIA'!$D3,'CAPEX - BLOCOS PAN'!$C$3:$R$52,16,FALSE))*S$11</f>
        <v>-935359.23095364391</v>
      </c>
      <c r="T3" s="1">
        <f>('RECEITAS - BLOCOS PAN'!S6-'OPEX - BLOCOS PAN'!S6-VLOOKUP('BLOCO RONDÔNIA'!$D3,'CAPEX - BLOCOS PAN'!$C$3:$S$52,17,FALSE))*T$11</f>
        <v>-849325.87941608077</v>
      </c>
      <c r="U3" s="1">
        <f>('RECEITAS - BLOCOS PAN'!T6-'OPEX - BLOCOS PAN'!T6-VLOOKUP('BLOCO RONDÔNIA'!$D3,'CAPEX - BLOCOS PAN'!$C$3:$T$52,18,FALSE))*U$11</f>
        <v>-771260.95492408413</v>
      </c>
      <c r="V3" s="1">
        <f>('RECEITAS - BLOCOS PAN'!U6-'OPEX - BLOCOS PAN'!U6-VLOOKUP('BLOCO RONDÔNIA'!$D3,'CAPEX - BLOCOS PAN'!$C$3:$U$52,19,FALSE))*V$11</f>
        <v>-700186.03089739871</v>
      </c>
      <c r="W3" s="1">
        <f>('RECEITAS - BLOCOS PAN'!V6-'OPEX - BLOCOS PAN'!V6-VLOOKUP('BLOCO RONDÔNIA'!$D3,'CAPEX - BLOCOS PAN'!$C$3:$V$52,20,FALSE))*W$11</f>
        <v>-635701.80686420656</v>
      </c>
      <c r="X3" s="1">
        <f>('RECEITAS - BLOCOS PAN'!W6-'OPEX - BLOCOS PAN'!W6-VLOOKUP('BLOCO RONDÔNIA'!$D3,'CAPEX - BLOCOS PAN'!$C$3:$W$52,21,FALSE))*X$11</f>
        <v>-615569.25690294057</v>
      </c>
      <c r="Y3" s="1">
        <f>('RECEITAS - BLOCOS PAN'!X6-'OPEX - BLOCOS PAN'!X6-VLOOKUP('BLOCO RONDÔNIA'!$D3,'CAPEX - BLOCOS PAN'!$C$3:$X$52,22,FALSE))*Y$11</f>
        <v>-558977.64775668085</v>
      </c>
      <c r="Z3" s="1">
        <f>('RECEITAS - BLOCOS PAN'!Y6-'OPEX - BLOCOS PAN'!Y6-VLOOKUP('BLOCO RONDÔNIA'!$D3,'CAPEX - BLOCOS PAN'!$C$3:$Y$52,23,FALSE))*Z$11</f>
        <v>-507471.93337049708</v>
      </c>
      <c r="AA3" s="1">
        <f>('RECEITAS - BLOCOS PAN'!Z6-'OPEX - BLOCOS PAN'!Z6-VLOOKUP('BLOCO RONDÔNIA'!$D3,'CAPEX - BLOCOS PAN'!$C$3:$Z$52,24,FALSE))*AA$11</f>
        <v>-460645.96536325681</v>
      </c>
      <c r="AB3" s="1">
        <f>('RECEITAS - BLOCOS PAN'!AA6-'OPEX - BLOCOS PAN'!AA6-VLOOKUP('BLOCO RONDÔNIA'!$D3,'CAPEX - BLOCOS PAN'!$C$3:$AA$52,25,FALSE))*AB$11</f>
        <v>-418122.42306778836</v>
      </c>
      <c r="AC3" s="1">
        <f>('RECEITAS - BLOCOS PAN'!AB6-'OPEX - BLOCOS PAN'!AB6-VLOOKUP('BLOCO RONDÔNIA'!$D3,'CAPEX - BLOCOS PAN'!$C$3:$AB$52,26,FALSE))*AC$11</f>
        <v>-379514.49009532743</v>
      </c>
      <c r="AD3" s="1">
        <f>('RECEITAS - BLOCOS PAN'!AC6-'OPEX - BLOCOS PAN'!AC6-VLOOKUP('BLOCO RONDÔNIA'!$D3,'CAPEX - BLOCOS PAN'!$C$3:$AC$52,27,FALSE))*AD$11</f>
        <v>-344428.93117002829</v>
      </c>
      <c r="AE3" s="1">
        <f>('RECEITAS - BLOCOS PAN'!AD6-'OPEX - BLOCOS PAN'!AD6-VLOOKUP('BLOCO RONDÔNIA'!$D3,'CAPEX - BLOCOS PAN'!$C$3:$AD$52,28,FALSE))*AE$11</f>
        <v>-312589.75618424977</v>
      </c>
      <c r="AF3" s="1">
        <f>('RECEITAS - BLOCOS PAN'!AE6-'OPEX - BLOCOS PAN'!AE6-VLOOKUP('BLOCO RONDÔNIA'!$D3,'CAPEX - BLOCOS PAN'!$C$3:$AE$52,29,FALSE))*AF$11</f>
        <v>-283775.25779353268</v>
      </c>
      <c r="AG3" s="1">
        <f>('RECEITAS - BLOCOS PAN'!AF6-'OPEX - BLOCOS PAN'!AF6-VLOOKUP('BLOCO RONDÔNIA'!$D3,'CAPEX - BLOCOS PAN'!$C$3:$AF$52,30,FALSE))*AG$11</f>
        <v>-257674.61455302782</v>
      </c>
      <c r="AH3" s="1">
        <f>('RECEITAS - BLOCOS PAN'!AG6-'OPEX - BLOCOS PAN'!AG6-VLOOKUP('BLOCO RONDÔNIA'!$D3,'CAPEX - BLOCOS PAN'!$C$3:$AG$52,31,FALSE))*AH$11</f>
        <v>-233968.00579864529</v>
      </c>
      <c r="AI3" s="1">
        <f>('RECEITAS - BLOCOS PAN'!AH6-'OPEX - BLOCOS PAN'!AH6-VLOOKUP('BLOCO RONDÔNIA'!$D3,'CAPEX - BLOCOS PAN'!$C$3:$AH$52,32,FALSE))*AI$11</f>
        <v>-212463.16617060275</v>
      </c>
      <c r="AJ3" s="1">
        <f>('RECEITAS - BLOCOS PAN'!AI6-'OPEX - BLOCOS PAN'!AI6-VLOOKUP('BLOCO RONDÔNIA'!$D3,'CAPEX - BLOCOS PAN'!$C$3:$AI$52,33,FALSE))*AJ$11</f>
        <v>-192921.06799313278</v>
      </c>
      <c r="AK3" s="1">
        <f>('RECEITAS - BLOCOS PAN'!AJ6-'OPEX - BLOCOS PAN'!AJ6-VLOOKUP('BLOCO RONDÔNIA'!$D3,'CAPEX - BLOCOS PAN'!$C$3:$AJ$52,34,FALSE))*AK$11</f>
        <v>-175152.67000975669</v>
      </c>
      <c r="AL3" s="1">
        <f>('RECEITAS - BLOCOS PAN'!AK6-'OPEX - BLOCOS PAN'!AK6-VLOOKUP('BLOCO RONDÔNIA'!$D3,'CAPEX - BLOCOS PAN'!$C$3:$AK$52,35,FALSE))*AL$11</f>
        <v>-159001.96519132867</v>
      </c>
      <c r="AM3" s="44">
        <f t="shared" ref="AM3:AM5" si="0">SUM(I3:AL3)</f>
        <v>-90655365.251210883</v>
      </c>
      <c r="AN3">
        <v>1</v>
      </c>
      <c r="AO3" t="s">
        <v>283</v>
      </c>
      <c r="AP3">
        <v>-10.783333333333333</v>
      </c>
      <c r="AQ3">
        <v>-65.266666666666666</v>
      </c>
      <c r="AR3" s="48">
        <f>VLOOKUP(D3,'Projeção - Demanda PAX'!$C$3:$H$37,6,FALSE)</f>
        <v>14179</v>
      </c>
      <c r="AS3" t="str">
        <f>VLOOKUP(D3,'FLUXO DE CAIXA DESC.-BLOCOS PAN'!$D$3:$AU$52,44,FALSE)</f>
        <v>Bloco 7 - RO</v>
      </c>
    </row>
    <row r="4" spans="1:45" x14ac:dyDescent="0.35">
      <c r="A4" t="s">
        <v>83</v>
      </c>
      <c r="B4" t="s">
        <v>170</v>
      </c>
      <c r="C4">
        <v>110030</v>
      </c>
      <c r="D4" t="s">
        <v>85</v>
      </c>
      <c r="E4" t="s">
        <v>84</v>
      </c>
      <c r="F4" t="s">
        <v>30</v>
      </c>
      <c r="G4" t="s">
        <v>259</v>
      </c>
      <c r="H4" t="s">
        <v>33</v>
      </c>
      <c r="I4" s="1">
        <f>('RECEITAS - BLOCOS PAN'!H15-'OPEX - BLOCOS PAN'!H15-VLOOKUP('BLOCO RONDÔNIA'!$D4,'CAPEX - BLOCOS PAN'!$C$3:$H$52,6,FALSE))*I$11</f>
        <v>-56720561.982733339</v>
      </c>
      <c r="J4" s="1">
        <f>('RECEITAS - BLOCOS PAN'!I15-'OPEX - BLOCOS PAN'!I15-VLOOKUP('BLOCO RONDÔNIA'!$D4,'CAPEX - BLOCOS PAN'!$C$3:$I$52,7,FALSE))*J$11</f>
        <v>-51715389.18487753</v>
      </c>
      <c r="K4" s="1">
        <f>('RECEITAS - BLOCOS PAN'!J15-'OPEX - BLOCOS PAN'!J15-VLOOKUP('BLOCO RONDÔNIA'!$D4,'CAPEX - BLOCOS PAN'!$C$3:$J$52,8,FALSE))*K$11</f>
        <v>-47161910.031460054</v>
      </c>
      <c r="L4" s="1">
        <f>('RECEITAS - BLOCOS PAN'!K15-'OPEX - BLOCOS PAN'!K15-VLOOKUP('BLOCO RONDÔNIA'!$D4,'CAPEX - BLOCOS PAN'!$C$3:$K$52,9,FALSE))*L$11</f>
        <v>-1639013.1195425128</v>
      </c>
      <c r="M4" s="1">
        <f>('RECEITAS - BLOCOS PAN'!L15-'OPEX - BLOCOS PAN'!L15-VLOOKUP('BLOCO RONDÔNIA'!$D4,'CAPEX - BLOCOS PAN'!$C$3:$L$52,10,FALSE))*M$11</f>
        <v>-2172002.119570144</v>
      </c>
      <c r="N4" s="1">
        <f>('RECEITAS - BLOCOS PAN'!M15-'OPEX - BLOCOS PAN'!M15-VLOOKUP('BLOCO RONDÔNIA'!$D4,'CAPEX - BLOCOS PAN'!$C$3:$M$52,11,FALSE))*N$11</f>
        <v>-1958469.6679342645</v>
      </c>
      <c r="O4" s="1">
        <f>('RECEITAS - BLOCOS PAN'!N15-'OPEX - BLOCOS PAN'!N15-VLOOKUP('BLOCO RONDÔNIA'!$D4,'CAPEX - BLOCOS PAN'!$C$3:$N$52,12,FALSE))*O$11</f>
        <v>-1766598.9620403098</v>
      </c>
      <c r="P4" s="1">
        <f>('RECEITAS - BLOCOS PAN'!O15-'OPEX - BLOCOS PAN'!O15-VLOOKUP('BLOCO RONDÔNIA'!$D4,'CAPEX - BLOCOS PAN'!$C$3:$O$52,13,FALSE))*P$11</f>
        <v>-1594024.8904539419</v>
      </c>
      <c r="Q4" s="1">
        <f>('RECEITAS - BLOCOS PAN'!P15-'OPEX - BLOCOS PAN'!P15-VLOOKUP('BLOCO RONDÔNIA'!$D4,'CAPEX - BLOCOS PAN'!$C$3:$P$52,14,FALSE))*Q$11</f>
        <v>-1439076.8211293158</v>
      </c>
      <c r="R4" s="1">
        <f>('RECEITAS - BLOCOS PAN'!Q15-'OPEX - BLOCOS PAN'!Q15-VLOOKUP('BLOCO RONDÔNIA'!$D4,'CAPEX - BLOCOS PAN'!$C$3:$Q$52,15,FALSE))*R$11</f>
        <v>-1300042.7988405107</v>
      </c>
      <c r="S4" s="1">
        <f>('RECEITAS - BLOCOS PAN'!R15-'OPEX - BLOCOS PAN'!R15-VLOOKUP('BLOCO RONDÔNIA'!$D4,'CAPEX - BLOCOS PAN'!$C$3:$R$52,16,FALSE))*S$11</f>
        <v>-1174953.1720871781</v>
      </c>
      <c r="T4" s="1">
        <f>('RECEITAS - BLOCOS PAN'!S15-'OPEX - BLOCOS PAN'!S15-VLOOKUP('BLOCO RONDÔNIA'!$D4,'CAPEX - BLOCOS PAN'!$C$3:$S$52,17,FALSE))*T$11</f>
        <v>-1061834.8808705374</v>
      </c>
      <c r="U4" s="1">
        <f>('RECEITAS - BLOCOS PAN'!T15-'OPEX - BLOCOS PAN'!T15-VLOOKUP('BLOCO RONDÔNIA'!$D4,'CAPEX - BLOCOS PAN'!$C$3:$T$52,18,FALSE))*U$11</f>
        <v>-959508.35837665689</v>
      </c>
      <c r="V4" s="1">
        <f>('RECEITAS - BLOCOS PAN'!U15-'OPEX - BLOCOS PAN'!U15-VLOOKUP('BLOCO RONDÔNIA'!$D4,'CAPEX - BLOCOS PAN'!$C$3:$U$52,19,FALSE))*V$11</f>
        <v>-866698.32598980865</v>
      </c>
      <c r="W4" s="1">
        <f>('RECEITAS - BLOCOS PAN'!V15-'OPEX - BLOCOS PAN'!V15-VLOOKUP('BLOCO RONDÔNIA'!$D4,'CAPEX - BLOCOS PAN'!$C$3:$V$52,20,FALSE))*W$11</f>
        <v>-782848.29728167027</v>
      </c>
      <c r="X4" s="1">
        <f>('RECEITAS - BLOCOS PAN'!W15-'OPEX - BLOCOS PAN'!W15-VLOOKUP('BLOCO RONDÔNIA'!$D4,'CAPEX - BLOCOS PAN'!$C$3:$W$52,21,FALSE))*X$11</f>
        <v>-706899.64838645479</v>
      </c>
      <c r="Y4" s="1">
        <f>('RECEITAS - BLOCOS PAN'!X15-'OPEX - BLOCOS PAN'!X15-VLOOKUP('BLOCO RONDÔNIA'!$D4,'CAPEX - BLOCOS PAN'!$C$3:$X$52,22,FALSE))*Y$11</f>
        <v>-638209.99643002695</v>
      </c>
      <c r="Z4" s="1">
        <f>('RECEITAS - BLOCOS PAN'!Y15-'OPEX - BLOCOS PAN'!Y15-VLOOKUP('BLOCO RONDÔNIA'!$D4,'CAPEX - BLOCOS PAN'!$C$3:$Y$52,23,FALSE))*Z$11</f>
        <v>-575905.14600401255</v>
      </c>
      <c r="AA4" s="1">
        <f>('RECEITAS - BLOCOS PAN'!Z15-'OPEX - BLOCOS PAN'!Z15-VLOOKUP('BLOCO RONDÔNIA'!$D4,'CAPEX - BLOCOS PAN'!$C$3:$Z$52,24,FALSE))*AA$11</f>
        <v>-519543.48057822371</v>
      </c>
      <c r="AB4" s="1">
        <f>('RECEITAS - BLOCOS PAN'!AA15-'OPEX - BLOCOS PAN'!AA15-VLOOKUP('BLOCO RONDÔNIA'!$D4,'CAPEX - BLOCOS PAN'!$C$3:$AA$52,25,FALSE))*AB$11</f>
        <v>-468481.07587665715</v>
      </c>
      <c r="AC4" s="1">
        <f>('RECEITAS - BLOCOS PAN'!AB15-'OPEX - BLOCOS PAN'!AB15-VLOOKUP('BLOCO RONDÔNIA'!$D4,'CAPEX - BLOCOS PAN'!$C$3:$AB$52,26,FALSE))*AC$11</f>
        <v>-422477.59472276305</v>
      </c>
      <c r="AD4" s="1">
        <f>('RECEITAS - BLOCOS PAN'!AC15-'OPEX - BLOCOS PAN'!AC15-VLOOKUP('BLOCO RONDÔNIA'!$D4,'CAPEX - BLOCOS PAN'!$C$3:$AC$52,27,FALSE))*AD$11</f>
        <v>-380878.0884998148</v>
      </c>
      <c r="AE4" s="1">
        <f>('RECEITAS - BLOCOS PAN'!AD15-'OPEX - BLOCOS PAN'!AD15-VLOOKUP('BLOCO RONDÔNIA'!$D4,'CAPEX - BLOCOS PAN'!$C$3:$AD$52,28,FALSE))*AE$11</f>
        <v>-343319.28503737476</v>
      </c>
      <c r="AF4" s="1">
        <f>('RECEITAS - BLOCOS PAN'!AE15-'OPEX - BLOCOS PAN'!AE15-VLOOKUP('BLOCO RONDÔNIA'!$D4,'CAPEX - BLOCOS PAN'!$C$3:$AE$52,29,FALSE))*AF$11</f>
        <v>-309575.15025211201</v>
      </c>
      <c r="AG4" s="1">
        <f>('RECEITAS - BLOCOS PAN'!AF15-'OPEX - BLOCOS PAN'!AF15-VLOOKUP('BLOCO RONDÔNIA'!$D4,'CAPEX - BLOCOS PAN'!$C$3:$AF$52,30,FALSE))*AG$11</f>
        <v>-279218.36062298802</v>
      </c>
      <c r="AH4" s="1">
        <f>('RECEITAS - BLOCOS PAN'!AG15-'OPEX - BLOCOS PAN'!AG15-VLOOKUP('BLOCO RONDÔNIA'!$D4,'CAPEX - BLOCOS PAN'!$C$3:$AG$52,31,FALSE))*AH$11</f>
        <v>-251810.03304816788</v>
      </c>
      <c r="AI4" s="1">
        <f>('RECEITAS - BLOCOS PAN'!AH15-'OPEX - BLOCOS PAN'!AH15-VLOOKUP('BLOCO RONDÔNIA'!$D4,'CAPEX - BLOCOS PAN'!$C$3:$AH$52,32,FALSE))*AI$11</f>
        <v>-227158.37046965395</v>
      </c>
      <c r="AJ4" s="1">
        <f>('RECEITAS - BLOCOS PAN'!AI15-'OPEX - BLOCOS PAN'!AI15-VLOOKUP('BLOCO RONDÔNIA'!$D4,'CAPEX - BLOCOS PAN'!$C$3:$AI$52,33,FALSE))*AJ$11</f>
        <v>-204872.59915619899</v>
      </c>
      <c r="AK4" s="1">
        <f>('RECEITAS - BLOCOS PAN'!AJ15-'OPEX - BLOCOS PAN'!AJ15-VLOOKUP('BLOCO RONDÔNIA'!$D4,'CAPEX - BLOCOS PAN'!$C$3:$AJ$52,34,FALSE))*AK$11</f>
        <v>-184696.24766886065</v>
      </c>
      <c r="AL4" s="1">
        <f>('RECEITAS - BLOCOS PAN'!AK15-'OPEX - BLOCOS PAN'!AK15-VLOOKUP('BLOCO RONDÔNIA'!$D4,'CAPEX - BLOCOS PAN'!$C$3:$AK$52,35,FALSE))*AL$11</f>
        <v>-166452.35964563265</v>
      </c>
      <c r="AM4" s="44">
        <f t="shared" si="0"/>
        <v>-177992430.0495868</v>
      </c>
      <c r="AN4">
        <v>1</v>
      </c>
      <c r="AO4" t="s">
        <v>283</v>
      </c>
      <c r="AP4">
        <v>-12.683333333333334</v>
      </c>
      <c r="AQ4">
        <v>-60.083333333333336</v>
      </c>
      <c r="AR4" s="48">
        <f>VLOOKUP(D4,'Projeção - Demanda PAX'!$C$3:$H$37,6,FALSE)</f>
        <v>37278</v>
      </c>
      <c r="AS4" t="str">
        <f>VLOOKUP(D4,'FLUXO DE CAIXA DESC.-BLOCOS PAN'!$D$3:$AU$52,44,FALSE)</f>
        <v>Bloco 7 - RO</v>
      </c>
    </row>
    <row r="5" spans="1:45" x14ac:dyDescent="0.35">
      <c r="A5" t="s">
        <v>111</v>
      </c>
      <c r="B5" t="s">
        <v>174</v>
      </c>
      <c r="C5">
        <v>110004</v>
      </c>
      <c r="D5" t="s">
        <v>113</v>
      </c>
      <c r="E5" t="s">
        <v>112</v>
      </c>
      <c r="F5" t="s">
        <v>30</v>
      </c>
      <c r="G5" t="s">
        <v>259</v>
      </c>
      <c r="H5" t="s">
        <v>33</v>
      </c>
      <c r="I5" s="1">
        <f>('RECEITAS - BLOCOS PAN'!H22-'OPEX - BLOCOS PAN'!H22-VLOOKUP('BLOCO RONDÔNIA'!$D5,'CAPEX - BLOCOS PAN'!$C$3:$H$52,6,FALSE))*I$11</f>
        <v>-42141266.214766666</v>
      </c>
      <c r="J5" s="1">
        <f>('RECEITAS - BLOCOS PAN'!I22-'OPEX - BLOCOS PAN'!I22-VLOOKUP('BLOCO RONDÔNIA'!$D5,'CAPEX - BLOCOS PAN'!$C$3:$I$52,7,FALSE))*J$11</f>
        <v>-38396002.209828086</v>
      </c>
      <c r="K5" s="1">
        <f>('RECEITAS - BLOCOS PAN'!J22-'OPEX - BLOCOS PAN'!J22-VLOOKUP('BLOCO RONDÔNIA'!$D5,'CAPEX - BLOCOS PAN'!$C$3:$J$52,8,FALSE))*K$11</f>
        <v>-35839386.628770463</v>
      </c>
      <c r="L5" s="1">
        <f>('RECEITAS - BLOCOS PAN'!K22-'OPEX - BLOCOS PAN'!K22-VLOOKUP('BLOCO RONDÔNIA'!$D5,'CAPEX - BLOCOS PAN'!$C$3:$K$52,9,FALSE))*L$11</f>
        <v>-2343340.2980390205</v>
      </c>
      <c r="M5" s="1">
        <f>('RECEITAS - BLOCOS PAN'!L22-'OPEX - BLOCOS PAN'!L22-VLOOKUP('BLOCO RONDÔNIA'!$D5,'CAPEX - BLOCOS PAN'!$C$3:$L$52,10,FALSE))*M$11</f>
        <v>-2108009.2962744096</v>
      </c>
      <c r="N5" s="1">
        <f>('RECEITAS - BLOCOS PAN'!M22-'OPEX - BLOCOS PAN'!M22-VLOOKUP('BLOCO RONDÔNIA'!$D5,'CAPEX - BLOCOS PAN'!$C$3:$M$52,11,FALSE))*N$11</f>
        <v>-1897911.222840721</v>
      </c>
      <c r="O5" s="1">
        <f>('RECEITAS - BLOCOS PAN'!N22-'OPEX - BLOCOS PAN'!N22-VLOOKUP('BLOCO RONDÔNIA'!$D5,'CAPEX - BLOCOS PAN'!$C$3:$N$52,12,FALSE))*O$11</f>
        <v>-1709683.3715737851</v>
      </c>
      <c r="P5" s="1">
        <f>('RECEITAS - BLOCOS PAN'!O22-'OPEX - BLOCOS PAN'!O22-VLOOKUP('BLOCO RONDÔNIA'!$D5,'CAPEX - BLOCOS PAN'!$C$3:$O$52,13,FALSE))*P$11</f>
        <v>-1540683.2035977577</v>
      </c>
      <c r="Q5" s="1">
        <f>('RECEITAS - BLOCOS PAN'!P22-'OPEX - BLOCOS PAN'!P22-VLOOKUP('BLOCO RONDÔNIA'!$D5,'CAPEX - BLOCOS PAN'!$C$3:$P$52,14,FALSE))*Q$11</f>
        <v>-1389265.1264487028</v>
      </c>
      <c r="R5" s="1">
        <f>('RECEITAS - BLOCOS PAN'!Q22-'OPEX - BLOCOS PAN'!Q22-VLOOKUP('BLOCO RONDÔNIA'!$D5,'CAPEX - BLOCOS PAN'!$C$3:$Q$52,15,FALSE))*R$11</f>
        <v>-1253622.3372104615</v>
      </c>
      <c r="S5" s="1">
        <f>('RECEITAS - BLOCOS PAN'!R22-'OPEX - BLOCOS PAN'!R22-VLOOKUP('BLOCO RONDÔNIA'!$D5,'CAPEX - BLOCOS PAN'!$C$3:$R$52,16,FALSE))*S$11</f>
        <v>-1131897.2297412148</v>
      </c>
      <c r="T5" s="1">
        <f>('RECEITAS - BLOCOS PAN'!S22-'OPEX - BLOCOS PAN'!S22-VLOOKUP('BLOCO RONDÔNIA'!$D5,'CAPEX - BLOCOS PAN'!$C$3:$S$52,17,FALSE))*T$11</f>
        <v>-1021923.5300445845</v>
      </c>
      <c r="U5" s="1">
        <f>('RECEITAS - BLOCOS PAN'!T22-'OPEX - BLOCOS PAN'!T22-VLOOKUP('BLOCO RONDÔNIA'!$D5,'CAPEX - BLOCOS PAN'!$C$3:$T$52,18,FALSE))*U$11</f>
        <v>-922520.49270143162</v>
      </c>
      <c r="V5" s="1">
        <f>('RECEITAS - BLOCOS PAN'!U22-'OPEX - BLOCOS PAN'!U22-VLOOKUP('BLOCO RONDÔNIA'!$D5,'CAPEX - BLOCOS PAN'!$C$3:$U$52,19,FALSE))*V$11</f>
        <v>-832413.98772233422</v>
      </c>
      <c r="W5" s="1">
        <f>('RECEITAS - BLOCOS PAN'!V22-'OPEX - BLOCOS PAN'!V22-VLOOKUP('BLOCO RONDÔNIA'!$D5,'CAPEX - BLOCOS PAN'!$C$3:$V$52,20,FALSE))*W$11</f>
        <v>-751170.72510834481</v>
      </c>
      <c r="X5" s="1">
        <f>('RECEITAS - BLOCOS PAN'!W22-'OPEX - BLOCOS PAN'!W22-VLOOKUP('BLOCO RONDÔNIA'!$D5,'CAPEX - BLOCOS PAN'!$C$3:$W$52,21,FALSE))*X$11</f>
        <v>-677596.42530317511</v>
      </c>
      <c r="Y5" s="1">
        <f>('RECEITAS - BLOCOS PAN'!X22-'OPEX - BLOCOS PAN'!X22-VLOOKUP('BLOCO RONDÔNIA'!$D5,'CAPEX - BLOCOS PAN'!$C$3:$X$52,22,FALSE))*Y$11</f>
        <v>-611115.1012341216</v>
      </c>
      <c r="Z5" s="1">
        <f>('RECEITAS - BLOCOS PAN'!Y22-'OPEX - BLOCOS PAN'!Y22-VLOOKUP('BLOCO RONDÔNIA'!$D5,'CAPEX - BLOCOS PAN'!$C$3:$Y$52,23,FALSE))*Z$11</f>
        <v>-550895.21896142024</v>
      </c>
      <c r="AA5" s="1">
        <f>('RECEITAS - BLOCOS PAN'!Z22-'OPEX - BLOCOS PAN'!Z22-VLOOKUP('BLOCO RONDÔNIA'!$D5,'CAPEX - BLOCOS PAN'!$C$3:$Z$52,24,FALSE))*AA$11</f>
        <v>-496408.03870899783</v>
      </c>
      <c r="AB5" s="1">
        <f>('RECEITAS - BLOCOS PAN'!AA22-'OPEX - BLOCOS PAN'!AA22-VLOOKUP('BLOCO RONDÔNIA'!$D5,'CAPEX - BLOCOS PAN'!$C$3:$AA$52,25,FALSE))*AB$11</f>
        <v>-447170.42142638436</v>
      </c>
      <c r="AC5" s="1">
        <f>('RECEITAS - BLOCOS PAN'!AB22-'OPEX - BLOCOS PAN'!AB22-VLOOKUP('BLOCO RONDÔNIA'!$D5,'CAPEX - BLOCOS PAN'!$C$3:$AB$52,26,FALSE))*AC$11</f>
        <v>-402853.61827061721</v>
      </c>
      <c r="AD5" s="1">
        <f>('RECEITAS - BLOCOS PAN'!AC22-'OPEX - BLOCOS PAN'!AC22-VLOOKUP('BLOCO RONDÔNIA'!$D5,'CAPEX - BLOCOS PAN'!$C$3:$AC$52,27,FALSE))*AD$11</f>
        <v>-362809.4050152977</v>
      </c>
      <c r="AE5" s="1">
        <f>('RECEITAS - BLOCOS PAN'!AD22-'OPEX - BLOCOS PAN'!AD22-VLOOKUP('BLOCO RONDÔNIA'!$D5,'CAPEX - BLOCOS PAN'!$C$3:$AD$52,28,FALSE))*AE$11</f>
        <v>-326718.78215962846</v>
      </c>
      <c r="AF5" s="1">
        <f>('RECEITAS - BLOCOS PAN'!AE22-'OPEX - BLOCOS PAN'!AE22-VLOOKUP('BLOCO RONDÔNIA'!$D5,'CAPEX - BLOCOS PAN'!$C$3:$AE$52,29,FALSE))*AF$11</f>
        <v>-294441.47112647205</v>
      </c>
      <c r="AG5" s="1">
        <f>('RECEITAS - BLOCOS PAN'!AF22-'OPEX - BLOCOS PAN'!AF22-VLOOKUP('BLOCO RONDÔNIA'!$D5,'CAPEX - BLOCOS PAN'!$C$3:$AF$52,30,FALSE))*AG$11</f>
        <v>-265449.15735050937</v>
      </c>
      <c r="AH5" s="1">
        <f>('RECEITAS - BLOCOS PAN'!AG22-'OPEX - BLOCOS PAN'!AG22-VLOOKUP('BLOCO RONDÔNIA'!$D5,'CAPEX - BLOCOS PAN'!$C$3:$AG$52,31,FALSE))*AH$11</f>
        <v>-239307.80856439771</v>
      </c>
      <c r="AI5" s="1">
        <f>('RECEITAS - BLOCOS PAN'!AH22-'OPEX - BLOCOS PAN'!AH22-VLOOKUP('BLOCO RONDÔNIA'!$D5,'CAPEX - BLOCOS PAN'!$C$3:$AH$52,32,FALSE))*AI$11</f>
        <v>-215813.02634386034</v>
      </c>
      <c r="AJ5" s="1">
        <f>('RECEITAS - BLOCOS PAN'!AI22-'OPEX - BLOCOS PAN'!AI22-VLOOKUP('BLOCO RONDÔNIA'!$D5,'CAPEX - BLOCOS PAN'!$C$3:$AI$52,33,FALSE))*AJ$11</f>
        <v>-194595.62184843089</v>
      </c>
      <c r="AK5" s="1">
        <f>('RECEITAS - BLOCOS PAN'!AJ22-'OPEX - BLOCOS PAN'!AJ22-VLOOKUP('BLOCO RONDÔNIA'!$D5,'CAPEX - BLOCOS PAN'!$C$3:$AJ$52,34,FALSE))*AK$11</f>
        <v>-175386.37904977862</v>
      </c>
      <c r="AL5" s="1">
        <f>('RECEITAS - BLOCOS PAN'!AK22-'OPEX - BLOCOS PAN'!AK22-VLOOKUP('BLOCO RONDÔNIA'!$D5,'CAPEX - BLOCOS PAN'!$C$3:$AK$52,35,FALSE))*AL$11</f>
        <v>-158023.49126630576</v>
      </c>
      <c r="AM5" s="44">
        <f t="shared" si="0"/>
        <v>-138697679.84129736</v>
      </c>
      <c r="AN5">
        <v>1</v>
      </c>
      <c r="AO5" t="s">
        <v>283</v>
      </c>
      <c r="AP5">
        <v>-11.483333333333333</v>
      </c>
      <c r="AQ5">
        <v>-61.45</v>
      </c>
      <c r="AR5" s="48">
        <f>VLOOKUP(D5,'Projeção - Demanda PAX'!$C$3:$H$37,6,FALSE)</f>
        <v>41162</v>
      </c>
      <c r="AS5" t="str">
        <f>VLOOKUP(D5,'FLUXO DE CAIXA DESC.-BLOCOS PAN'!$D$3:$AU$52,44,FALSE)</f>
        <v>Bloco 7 - RO</v>
      </c>
    </row>
    <row r="6" spans="1:45" x14ac:dyDescent="0.35">
      <c r="A6" t="s">
        <v>125</v>
      </c>
      <c r="B6" s="5" t="s">
        <v>272</v>
      </c>
      <c r="C6">
        <v>110008</v>
      </c>
      <c r="D6" t="s">
        <v>295</v>
      </c>
      <c r="E6" t="s">
        <v>178</v>
      </c>
      <c r="F6" t="s">
        <v>30</v>
      </c>
      <c r="G6" t="s">
        <v>259</v>
      </c>
      <c r="H6" t="s">
        <v>33</v>
      </c>
      <c r="I6" s="1">
        <f>('RECEITAS - BLOCOS PAN'!H47-'OPEX - BLOCOS PAN'!H47-VLOOKUP('BLOCO RONDÔNIA'!$D6,'CAPEX - BLOCOS PAN'!$C$3:$H$52,6,FALSE))*I$11</f>
        <v>-10752227.989765812</v>
      </c>
      <c r="J6" s="1">
        <f>('RECEITAS - BLOCOS PAN'!I47-'OPEX - BLOCOS PAN'!I47-VLOOKUP('BLOCO RONDÔNIA'!$D6,'CAPEX - BLOCOS PAN'!$C$3:$I$52,7,FALSE))*J$11</f>
        <v>-9814904.6004252061</v>
      </c>
      <c r="K6" s="1">
        <f>('RECEITAS - BLOCOS PAN'!J47-'OPEX - BLOCOS PAN'!J47-VLOOKUP('BLOCO RONDÔNIA'!$D6,'CAPEX - BLOCOS PAN'!$C$3:$J$52,8,FALSE))*K$11</f>
        <v>-8959292.1957327295</v>
      </c>
      <c r="L6" s="1">
        <f>('RECEITAS - BLOCOS PAN'!K47-'OPEX - BLOCOS PAN'!K47-VLOOKUP('BLOCO RONDÔNIA'!$D6,'CAPEX - BLOCOS PAN'!$C$3:$K$52,9,FALSE))*L$11</f>
        <v>-378709.31131516962</v>
      </c>
      <c r="M6" s="1">
        <f>('RECEITAS - BLOCOS PAN'!L47-'OPEX - BLOCOS PAN'!L47-VLOOKUP('BLOCO RONDÔNIA'!$D6,'CAPEX - BLOCOS PAN'!$C$3:$L$52,10,FALSE))*M$11</f>
        <v>-345695.40056154237</v>
      </c>
      <c r="N6" s="1">
        <f>('RECEITAS - BLOCOS PAN'!M47-'OPEX - BLOCOS PAN'!M47-VLOOKUP('BLOCO RONDÔNIA'!$D6,'CAPEX - BLOCOS PAN'!$C$3:$M$52,11,FALSE))*N$11</f>
        <v>-315559.47107397747</v>
      </c>
      <c r="O6" s="1">
        <f>('RECEITAS - BLOCOS PAN'!N47-'OPEX - BLOCOS PAN'!N47-VLOOKUP('BLOCO RONDÔNIA'!$D6,'CAPEX - BLOCOS PAN'!$C$3:$N$52,12,FALSE))*O$11</f>
        <v>-288050.63539386354</v>
      </c>
      <c r="P6" s="1">
        <f>('RECEITAS - BLOCOS PAN'!O47-'OPEX - BLOCOS PAN'!O47-VLOOKUP('BLOCO RONDÔNIA'!$D6,'CAPEX - BLOCOS PAN'!$C$3:$O$52,13,FALSE))*P$11</f>
        <v>-262939.87712812738</v>
      </c>
      <c r="Q6" s="1">
        <f>('RECEITAS - BLOCOS PAN'!P47-'OPEX - BLOCOS PAN'!P47-VLOOKUP('BLOCO RONDÔNIA'!$D6,'CAPEX - BLOCOS PAN'!$C$3:$P$52,14,FALSE))*Q$11</f>
        <v>-240018.14434333856</v>
      </c>
      <c r="R6" s="1">
        <f>('RECEITAS - BLOCOS PAN'!Q47-'OPEX - BLOCOS PAN'!Q47-VLOOKUP('BLOCO RONDÔNIA'!$D6,'CAPEX - BLOCOS PAN'!$C$3:$Q$52,15,FALSE))*R$11</f>
        <v>-219094.60916781248</v>
      </c>
      <c r="S6" s="1">
        <f>('RECEITAS - BLOCOS PAN'!R47-'OPEX - BLOCOS PAN'!R47-VLOOKUP('BLOCO RONDÔNIA'!$D6,'CAPEX - BLOCOS PAN'!$C$3:$R$52,16,FALSE))*S$11</f>
        <v>-199995.07911256276</v>
      </c>
      <c r="T6" s="1">
        <f>('RECEITAS - BLOCOS PAN'!S47-'OPEX - BLOCOS PAN'!S47-VLOOKUP('BLOCO RONDÔNIA'!$D6,'CAPEX - BLOCOS PAN'!$C$3:$S$52,17,FALSE))*T$11</f>
        <v>-182560.54688504132</v>
      </c>
      <c r="U6" s="1">
        <f>('RECEITAS - BLOCOS PAN'!T47-'OPEX - BLOCOS PAN'!T47-VLOOKUP('BLOCO RONDÔNIA'!$D6,'CAPEX - BLOCOS PAN'!$C$3:$T$52,18,FALSE))*U$11</f>
        <v>-166645.86662258452</v>
      </c>
      <c r="V6" s="1">
        <f>('RECEITAS - BLOCOS PAN'!U47-'OPEX - BLOCOS PAN'!U47-VLOOKUP('BLOCO RONDÔNIA'!$D6,'CAPEX - BLOCOS PAN'!$C$3:$U$52,19,FALSE))*V$11</f>
        <v>-152118.54552495162</v>
      </c>
      <c r="W6" s="1">
        <f>('RECEITAS - BLOCOS PAN'!V47-'OPEX - BLOCOS PAN'!V47-VLOOKUP('BLOCO RONDÔNIA'!$D6,'CAPEX - BLOCOS PAN'!$C$3:$V$52,20,FALSE))*W$11</f>
        <v>-138857.64082606265</v>
      </c>
      <c r="X6" s="1">
        <f>('RECEITAS - BLOCOS PAN'!W47-'OPEX - BLOCOS PAN'!W47-VLOOKUP('BLOCO RONDÔNIA'!$D6,'CAPEX - BLOCOS PAN'!$C$3:$W$52,21,FALSE))*X$11</f>
        <v>-126752.75292201064</v>
      </c>
      <c r="Y6" s="1">
        <f>('RECEITAS - BLOCOS PAN'!X47-'OPEX - BLOCOS PAN'!X47-VLOOKUP('BLOCO RONDÔNIA'!$D6,'CAPEX - BLOCOS PAN'!$C$3:$X$52,22,FALSE))*Y$11</f>
        <v>-115703.10627294447</v>
      </c>
      <c r="Z6" s="1">
        <f>('RECEITAS - BLOCOS PAN'!Y47-'OPEX - BLOCOS PAN'!Y47-VLOOKUP('BLOCO RONDÔNIA'!$D6,'CAPEX - BLOCOS PAN'!$C$3:$Y$52,23,FALSE))*Z$11</f>
        <v>-105616.71042715148</v>
      </c>
      <c r="AA6" s="1">
        <f>('RECEITAS - BLOCOS PAN'!Z47-'OPEX - BLOCOS PAN'!Z47-VLOOKUP('BLOCO RONDÔNIA'!$D6,'CAPEX - BLOCOS PAN'!$C$3:$Z$52,24,FALSE))*AA$11</f>
        <v>-96409.594182703338</v>
      </c>
      <c r="AB6" s="1">
        <f>('RECEITAS - BLOCOS PAN'!AA47-'OPEX - BLOCOS PAN'!AA47-VLOOKUP('BLOCO RONDÔNIA'!$D6,'CAPEX - BLOCOS PAN'!$C$3:$AA$52,25,FALSE))*AB$11</f>
        <v>-88005.106510911311</v>
      </c>
      <c r="AC6" s="1">
        <f>('RECEITAS - BLOCOS PAN'!AB47-'OPEX - BLOCOS PAN'!AB47-VLOOKUP('BLOCO RONDÔNIA'!$D6,'CAPEX - BLOCOS PAN'!$C$3:$AB$52,26,FALSE))*AC$11</f>
        <v>-80333.278421644296</v>
      </c>
      <c r="AD6" s="1">
        <f>('RECEITAS - BLOCOS PAN'!AC47-'OPEX - BLOCOS PAN'!AC47-VLOOKUP('BLOCO RONDÔNIA'!$D6,'CAPEX - BLOCOS PAN'!$C$3:$AC$52,27,FALSE))*AD$11</f>
        <v>-73330.240457913547</v>
      </c>
      <c r="AE6" s="1">
        <f>('RECEITAS - BLOCOS PAN'!AD47-'OPEX - BLOCOS PAN'!AD47-VLOOKUP('BLOCO RONDÔNIA'!$D6,'CAPEX - BLOCOS PAN'!$C$3:$AD$52,28,FALSE))*AE$11</f>
        <v>-66937.690970254262</v>
      </c>
      <c r="AF6" s="1">
        <f>('RECEITAS - BLOCOS PAN'!AE47-'OPEX - BLOCOS PAN'!AE47-VLOOKUP('BLOCO RONDÔNIA'!$D6,'CAPEX - BLOCOS PAN'!$C$3:$AE$52,29,FALSE))*AF$11</f>
        <v>-61102.410744184643</v>
      </c>
      <c r="AG6" s="1">
        <f>('RECEITAS - BLOCOS PAN'!AF47-'OPEX - BLOCOS PAN'!AF47-VLOOKUP('BLOCO RONDÔNIA'!$D6,'CAPEX - BLOCOS PAN'!$C$3:$AF$52,30,FALSE))*AG$11</f>
        <v>-55775.819939922083</v>
      </c>
      <c r="AH6" s="1">
        <f>('RECEITAS - BLOCOS PAN'!AG47-'OPEX - BLOCOS PAN'!AG47-VLOOKUP('BLOCO RONDÔNIA'!$D6,'CAPEX - BLOCOS PAN'!$C$3:$AG$52,31,FALSE))*AH$11</f>
        <v>-50913.573655793778</v>
      </c>
      <c r="AI6" s="1">
        <f>('RECEITAS - BLOCOS PAN'!AH47-'OPEX - BLOCOS PAN'!AH47-VLOOKUP('BLOCO RONDÔNIA'!$D6,'CAPEX - BLOCOS PAN'!$C$3:$AH$52,32,FALSE))*AI$11</f>
        <v>-46475.192748328416</v>
      </c>
      <c r="AJ6" s="1">
        <f>('RECEITAS - BLOCOS PAN'!AI47-'OPEX - BLOCOS PAN'!AI47-VLOOKUP('BLOCO RONDÔNIA'!$D6,'CAPEX - BLOCOS PAN'!$C$3:$AI$52,33,FALSE))*AJ$11</f>
        <v>-42423.726835534842</v>
      </c>
      <c r="AK6" s="1">
        <f>('RECEITAS - BLOCOS PAN'!AJ47-'OPEX - BLOCOS PAN'!AJ47-VLOOKUP('BLOCO RONDÔNIA'!$D6,'CAPEX - BLOCOS PAN'!$C$3:$AJ$52,34,FALSE))*AK$11</f>
        <v>-38725.44667780451</v>
      </c>
      <c r="AL6" s="1">
        <f>('RECEITAS - BLOCOS PAN'!AK47-'OPEX - BLOCOS PAN'!AK47-VLOOKUP('BLOCO RONDÔNIA'!$D6,'CAPEX - BLOCOS PAN'!$C$3:$AK$52,35,FALSE))*AL$11</f>
        <v>-35349.563375449121</v>
      </c>
      <c r="AM6" s="44">
        <f t="shared" ref="AM6" si="1">SUM(I6:AL6)</f>
        <v>-33500524.128021337</v>
      </c>
      <c r="AN6">
        <v>1</v>
      </c>
      <c r="AO6" t="s">
        <v>283</v>
      </c>
      <c r="AP6">
        <v>-12.416666666666666</v>
      </c>
      <c r="AQ6">
        <v>-64.25</v>
      </c>
      <c r="AR6" s="48">
        <v>0</v>
      </c>
      <c r="AS6" t="str">
        <f>VLOOKUP(D6,'FLUXO DE CAIXA DESC.-BLOCOS PAN'!$D$3:$AU$52,44,FALSE)</f>
        <v>Bloco 7 - RO</v>
      </c>
    </row>
    <row r="7" spans="1:45" x14ac:dyDescent="0.35">
      <c r="B7" s="6"/>
      <c r="C7" s="6"/>
      <c r="D7" s="6"/>
      <c r="H7" s="47" t="s">
        <v>250</v>
      </c>
      <c r="I7" s="8">
        <f t="shared" ref="I7:AM7" si="2">SUBTOTAL(109,I3:I6)</f>
        <v>-135792444.45086581</v>
      </c>
      <c r="J7" s="8">
        <f t="shared" si="2"/>
        <v>-123796839.53963107</v>
      </c>
      <c r="K7" s="8">
        <f t="shared" si="2"/>
        <v>-113730823.83266662</v>
      </c>
      <c r="L7" s="8">
        <f t="shared" si="2"/>
        <v>-6207559.2856085617</v>
      </c>
      <c r="M7" s="8">
        <f t="shared" si="2"/>
        <v>-6300006.3463680251</v>
      </c>
      <c r="N7" s="8">
        <f t="shared" si="2"/>
        <v>-5690639.869640681</v>
      </c>
      <c r="O7" s="8">
        <f t="shared" si="2"/>
        <v>-5142141.2769444743</v>
      </c>
      <c r="P7" s="8">
        <f t="shared" si="2"/>
        <v>-4647726.1836450184</v>
      </c>
      <c r="Q7" s="8">
        <f t="shared" si="2"/>
        <v>-4202980.7436183756</v>
      </c>
      <c r="R7" s="8">
        <f t="shared" si="2"/>
        <v>-3802844.3905856186</v>
      </c>
      <c r="S7" s="8">
        <f t="shared" si="2"/>
        <v>-3442204.7118945997</v>
      </c>
      <c r="T7" s="8">
        <f t="shared" si="2"/>
        <v>-3115644.8372162441</v>
      </c>
      <c r="U7" s="8">
        <f t="shared" si="2"/>
        <v>-2819935.672624757</v>
      </c>
      <c r="V7" s="8">
        <f t="shared" si="2"/>
        <v>-2551416.8901344934</v>
      </c>
      <c r="W7" s="8">
        <f t="shared" si="2"/>
        <v>-2308578.4700802844</v>
      </c>
      <c r="X7" s="8">
        <f t="shared" si="2"/>
        <v>-2126818.083514581</v>
      </c>
      <c r="Y7" s="8">
        <f t="shared" si="2"/>
        <v>-1924005.8516937739</v>
      </c>
      <c r="Z7" s="8">
        <f t="shared" si="2"/>
        <v>-1739889.0087630814</v>
      </c>
      <c r="AA7" s="8">
        <f t="shared" si="2"/>
        <v>-1573007.0788331819</v>
      </c>
      <c r="AB7" s="8">
        <f t="shared" si="2"/>
        <v>-1421779.0268817411</v>
      </c>
      <c r="AC7" s="8">
        <f t="shared" si="2"/>
        <v>-1285178.9815103521</v>
      </c>
      <c r="AD7" s="8">
        <f t="shared" si="2"/>
        <v>-1161446.6651430544</v>
      </c>
      <c r="AE7" s="8">
        <f t="shared" si="2"/>
        <v>-1049565.5143515072</v>
      </c>
      <c r="AF7" s="8">
        <f t="shared" si="2"/>
        <v>-948894.28991630138</v>
      </c>
      <c r="AG7" s="8">
        <f t="shared" si="2"/>
        <v>-858117.95246644737</v>
      </c>
      <c r="AH7" s="8">
        <f t="shared" si="2"/>
        <v>-775999.42106700467</v>
      </c>
      <c r="AI7" s="8">
        <f t="shared" si="2"/>
        <v>-701909.75573244551</v>
      </c>
      <c r="AJ7" s="8">
        <f t="shared" si="2"/>
        <v>-634813.0158332974</v>
      </c>
      <c r="AK7" s="8">
        <f t="shared" si="2"/>
        <v>-573960.74340620043</v>
      </c>
      <c r="AL7" s="8">
        <f t="shared" si="2"/>
        <v>-518827.37947871623</v>
      </c>
      <c r="AM7" s="44">
        <f t="shared" si="2"/>
        <v>-440845999.27011645</v>
      </c>
      <c r="AR7" s="66">
        <f>SUBTOTAL(109,AR3:AR6)</f>
        <v>92619</v>
      </c>
    </row>
    <row r="8" spans="1:45" x14ac:dyDescent="0.35">
      <c r="A8" s="83" t="s">
        <v>368</v>
      </c>
      <c r="B8" s="83"/>
      <c r="C8" s="83"/>
      <c r="D8" s="83"/>
      <c r="E8" s="47"/>
      <c r="H8" s="47" t="s">
        <v>285</v>
      </c>
      <c r="I8" s="8">
        <f>I7</f>
        <v>-135792444.45086581</v>
      </c>
      <c r="J8" s="8">
        <f t="shared" ref="J8:AL8" si="3">J7+I8</f>
        <v>-259589283.99049687</v>
      </c>
      <c r="K8" s="8">
        <f t="shared" si="3"/>
        <v>-373320107.82316351</v>
      </c>
      <c r="L8" s="8">
        <f t="shared" si="3"/>
        <v>-379527667.1087721</v>
      </c>
      <c r="M8" s="8">
        <f t="shared" si="3"/>
        <v>-385827673.45514011</v>
      </c>
      <c r="N8" s="8">
        <f t="shared" si="3"/>
        <v>-391518313.32478082</v>
      </c>
      <c r="O8" s="8">
        <f t="shared" si="3"/>
        <v>-396660454.60172528</v>
      </c>
      <c r="P8" s="8">
        <f t="shared" si="3"/>
        <v>-401308180.78537029</v>
      </c>
      <c r="Q8" s="8">
        <f t="shared" si="3"/>
        <v>-405511161.52898866</v>
      </c>
      <c r="R8" s="8">
        <f t="shared" si="3"/>
        <v>-409314005.91957426</v>
      </c>
      <c r="S8" s="8">
        <f t="shared" si="3"/>
        <v>-412756210.63146883</v>
      </c>
      <c r="T8" s="8">
        <f t="shared" si="3"/>
        <v>-415871855.46868509</v>
      </c>
      <c r="U8" s="8">
        <f t="shared" si="3"/>
        <v>-418691791.14130986</v>
      </c>
      <c r="V8" s="8">
        <f t="shared" si="3"/>
        <v>-421243208.03144437</v>
      </c>
      <c r="W8" s="8">
        <f t="shared" si="3"/>
        <v>-423551786.50152463</v>
      </c>
      <c r="X8" s="8">
        <f t="shared" si="3"/>
        <v>-425678604.5850392</v>
      </c>
      <c r="Y8" s="8">
        <f t="shared" si="3"/>
        <v>-427602610.43673295</v>
      </c>
      <c r="Z8" s="8">
        <f t="shared" si="3"/>
        <v>-429342499.44549602</v>
      </c>
      <c r="AA8" s="8">
        <f t="shared" si="3"/>
        <v>-430915506.52432919</v>
      </c>
      <c r="AB8" s="8">
        <f t="shared" si="3"/>
        <v>-432337285.55121094</v>
      </c>
      <c r="AC8" s="8">
        <f t="shared" si="3"/>
        <v>-433622464.53272128</v>
      </c>
      <c r="AD8" s="8">
        <f t="shared" si="3"/>
        <v>-434783911.19786435</v>
      </c>
      <c r="AE8" s="8">
        <f t="shared" si="3"/>
        <v>-435833476.71221584</v>
      </c>
      <c r="AF8" s="8">
        <f t="shared" si="3"/>
        <v>-436782371.00213212</v>
      </c>
      <c r="AG8" s="8">
        <f t="shared" si="3"/>
        <v>-437640488.95459855</v>
      </c>
      <c r="AH8" s="8">
        <f t="shared" si="3"/>
        <v>-438416488.37566555</v>
      </c>
      <c r="AI8" s="8">
        <f t="shared" si="3"/>
        <v>-439118398.13139796</v>
      </c>
      <c r="AJ8" s="8">
        <f t="shared" si="3"/>
        <v>-439753211.14723128</v>
      </c>
      <c r="AK8" s="8">
        <f t="shared" si="3"/>
        <v>-440327171.89063746</v>
      </c>
      <c r="AL8" s="8">
        <f t="shared" si="3"/>
        <v>-440845999.27011615</v>
      </c>
      <c r="AM8" s="44"/>
    </row>
    <row r="9" spans="1:45" x14ac:dyDescent="0.35"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45" x14ac:dyDescent="0.35">
      <c r="H10" s="47" t="s">
        <v>284</v>
      </c>
      <c r="I10" s="2">
        <v>0</v>
      </c>
      <c r="J10" s="2">
        <v>1</v>
      </c>
      <c r="K10" s="2">
        <v>2</v>
      </c>
      <c r="L10" s="2">
        <v>3</v>
      </c>
      <c r="M10" s="2">
        <v>4</v>
      </c>
      <c r="N10" s="2">
        <v>5</v>
      </c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">
        <v>11</v>
      </c>
      <c r="U10" s="2">
        <v>12</v>
      </c>
      <c r="V10" s="2">
        <v>13</v>
      </c>
      <c r="W10" s="2">
        <v>14</v>
      </c>
      <c r="X10" s="2">
        <v>15</v>
      </c>
      <c r="Y10" s="2">
        <v>16</v>
      </c>
      <c r="Z10" s="2">
        <v>17</v>
      </c>
      <c r="AA10" s="2">
        <v>18</v>
      </c>
      <c r="AB10" s="2">
        <v>19</v>
      </c>
      <c r="AC10" s="2">
        <v>20</v>
      </c>
      <c r="AD10" s="2">
        <v>21</v>
      </c>
      <c r="AE10" s="2">
        <v>22</v>
      </c>
      <c r="AF10" s="2">
        <v>23</v>
      </c>
      <c r="AG10" s="2">
        <v>24</v>
      </c>
      <c r="AH10" s="2">
        <v>25</v>
      </c>
      <c r="AI10" s="2">
        <v>26</v>
      </c>
      <c r="AJ10" s="2">
        <v>27</v>
      </c>
      <c r="AK10" s="2">
        <v>28</v>
      </c>
      <c r="AL10" s="2">
        <v>29</v>
      </c>
    </row>
    <row r="11" spans="1:45" x14ac:dyDescent="0.35">
      <c r="A11" s="2" t="s">
        <v>254</v>
      </c>
      <c r="B11" s="46">
        <v>9.5500000000000002E-2</v>
      </c>
      <c r="C11" s="2" t="s">
        <v>255</v>
      </c>
      <c r="I11" s="2">
        <f>1/(1+$B$11)^I10</f>
        <v>1</v>
      </c>
      <c r="J11" s="2">
        <f t="shared" ref="J11:AL11" si="4">1/(1+$B$11)^J10</f>
        <v>0.91282519397535378</v>
      </c>
      <c r="K11" s="2">
        <f t="shared" si="4"/>
        <v>0.83324983475614223</v>
      </c>
      <c r="L11" s="2">
        <f t="shared" si="4"/>
        <v>0.76061144204120701</v>
      </c>
      <c r="M11" s="2">
        <f t="shared" si="4"/>
        <v>0.69430528712113837</v>
      </c>
      <c r="N11" s="2">
        <f t="shared" si="4"/>
        <v>0.63377935839446675</v>
      </c>
      <c r="O11" s="2">
        <f t="shared" si="4"/>
        <v>0.57852976576400439</v>
      </c>
      <c r="P11" s="2">
        <f t="shared" si="4"/>
        <v>0.52809654565404329</v>
      </c>
      <c r="Q11" s="2">
        <f t="shared" si="4"/>
        <v>0.48205983172436634</v>
      </c>
      <c r="R11" s="2">
        <f t="shared" si="4"/>
        <v>0.44003635940152108</v>
      </c>
      <c r="S11" s="2">
        <f t="shared" si="4"/>
        <v>0.40167627512690202</v>
      </c>
      <c r="T11" s="2">
        <f t="shared" si="4"/>
        <v>0.36666022375801188</v>
      </c>
      <c r="U11" s="2">
        <f t="shared" si="4"/>
        <v>0.33469668987495382</v>
      </c>
      <c r="V11" s="2">
        <f t="shared" si="4"/>
        <v>0.30551957085801351</v>
      </c>
      <c r="W11" s="2">
        <f t="shared" si="4"/>
        <v>0.27888596153173301</v>
      </c>
      <c r="X11" s="2">
        <f t="shared" si="4"/>
        <v>0.25457413193220724</v>
      </c>
      <c r="Y11" s="2">
        <f t="shared" si="4"/>
        <v>0.23238168136212439</v>
      </c>
      <c r="Z11" s="2">
        <f t="shared" si="4"/>
        <v>0.21212385336570003</v>
      </c>
      <c r="AA11" s="2">
        <f t="shared" si="4"/>
        <v>0.19363199759534466</v>
      </c>
      <c r="AB11" s="2">
        <f t="shared" si="4"/>
        <v>0.17675216576480571</v>
      </c>
      <c r="AC11" s="2">
        <f t="shared" si="4"/>
        <v>0.16134382999982266</v>
      </c>
      <c r="AD11" s="2">
        <f t="shared" si="4"/>
        <v>0.14727871291631461</v>
      </c>
      <c r="AE11" s="2">
        <f t="shared" si="4"/>
        <v>0.13443971968627533</v>
      </c>
      <c r="AF11" s="2">
        <f t="shared" si="4"/>
        <v>0.12271996320061647</v>
      </c>
      <c r="AG11" s="2">
        <f t="shared" si="4"/>
        <v>0.11202187421325101</v>
      </c>
      <c r="AH11" s="2">
        <f t="shared" si="4"/>
        <v>0.10225638905819352</v>
      </c>
      <c r="AI11" s="2">
        <f t="shared" si="4"/>
        <v>9.3342208177264741E-2</v>
      </c>
      <c r="AJ11" s="2">
        <f t="shared" si="4"/>
        <v>8.520511928549955E-2</v>
      </c>
      <c r="AK11" s="2">
        <f t="shared" si="4"/>
        <v>7.7777379539479274E-2</v>
      </c>
      <c r="AL11" s="2">
        <f t="shared" si="4"/>
        <v>7.0997151565019873E-2</v>
      </c>
    </row>
    <row r="13" spans="1:45" x14ac:dyDescent="0.35">
      <c r="A13" s="63" t="s">
        <v>354</v>
      </c>
    </row>
  </sheetData>
  <autoFilter ref="A2:AS2" xr:uid="{AB8DC2C2-3D79-4BBA-A4BA-D64D058FEE88}"/>
  <mergeCells count="1">
    <mergeCell ref="A8:D8"/>
  </mergeCells>
  <conditionalFormatting sqref="D6">
    <cfRule type="duplicateValues" dxfId="28" priority="69"/>
  </conditionalFormatting>
  <hyperlinks>
    <hyperlink ref="A13" location="Introdução!A1" display="Introdução!A1" xr:uid="{B8398BB7-7139-4370-B3B0-6EE2F649ACE3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E1C5-95B4-47E1-B69C-C00D04F80884}">
  <sheetPr>
    <tabColor theme="6" tint="-0.499984740745262"/>
  </sheetPr>
  <dimension ref="A1:AS17"/>
  <sheetViews>
    <sheetView topLeftCell="AG1" workbookViewId="0">
      <selection activeCell="AS10" sqref="AS10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3.453125" bestFit="1" customWidth="1"/>
    <col min="45" max="45" width="19.179687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46</v>
      </c>
      <c r="B3" t="s">
        <v>47</v>
      </c>
      <c r="C3">
        <v>291930</v>
      </c>
      <c r="D3" t="s">
        <v>48</v>
      </c>
      <c r="E3" t="s">
        <v>49</v>
      </c>
      <c r="F3" t="s">
        <v>40</v>
      </c>
      <c r="G3" t="s">
        <v>258</v>
      </c>
      <c r="H3" t="s">
        <v>33</v>
      </c>
      <c r="I3" s="1">
        <f>('RECEITAS - BLOCOS PAN'!H4-'OPEX - BLOCOS PAN'!H4-VLOOKUP('BLOCO NORDESTE'!$D3,'CAPEX - BLOCOS PAN'!$C$3:$H$52,6,FALSE))*I$15</f>
        <v>-30531481.678300001</v>
      </c>
      <c r="J3" s="1">
        <f>('RECEITAS - BLOCOS PAN'!I4-'OPEX - BLOCOS PAN'!I4-VLOOKUP('BLOCO NORDESTE'!$D3,'CAPEX - BLOCOS PAN'!$C$3:$I$52,7,FALSE))*J$15</f>
        <v>-27825346.708900049</v>
      </c>
      <c r="K3" s="1">
        <f>('RECEITAS - BLOCOS PAN'!J4-'OPEX - BLOCOS PAN'!J4-VLOOKUP('BLOCO NORDESTE'!$D3,'CAPEX - BLOCOS PAN'!$C$3:$J$52,8,FALSE))*K$15</f>
        <v>-25513387.458465099</v>
      </c>
      <c r="L3" s="1">
        <f>('RECEITAS - BLOCOS PAN'!K4-'OPEX - BLOCOS PAN'!K4-VLOOKUP('BLOCO NORDESTE'!$D3,'CAPEX - BLOCOS PAN'!$C$3:$K$52,9,FALSE))*L$15</f>
        <v>-1900060.0449015312</v>
      </c>
      <c r="M3" s="1">
        <f>('RECEITAS - BLOCOS PAN'!L4-'OPEX - BLOCOS PAN'!L4-VLOOKUP('BLOCO NORDESTE'!$D3,'CAPEX - BLOCOS PAN'!$C$3:$L$52,10,FALSE))*M$15</f>
        <v>-1717591.1092148651</v>
      </c>
      <c r="N3" s="1">
        <f>('RECEITAS - BLOCOS PAN'!M4-'OPEX - BLOCOS PAN'!M4-VLOOKUP('BLOCO NORDESTE'!$D3,'CAPEX - BLOCOS PAN'!$C$3:$M$52,11,FALSE))*N$15</f>
        <v>-1553797.5658805785</v>
      </c>
      <c r="O3" s="1">
        <f>('RECEITAS - BLOCOS PAN'!N4-'OPEX - BLOCOS PAN'!N4-VLOOKUP('BLOCO NORDESTE'!$D3,'CAPEX - BLOCOS PAN'!$C$3:$N$52,12,FALSE))*O$15</f>
        <v>-1406185.0984733291</v>
      </c>
      <c r="P3" s="1">
        <f>('RECEITAS - BLOCOS PAN'!O4-'OPEX - BLOCOS PAN'!O4-VLOOKUP('BLOCO NORDESTE'!$D3,'CAPEX - BLOCOS PAN'!$C$3:$O$52,13,FALSE))*P$15</f>
        <v>-1272820.3560242893</v>
      </c>
      <c r="Q3" s="1">
        <f>('RECEITAS - BLOCOS PAN'!P4-'OPEX - BLOCOS PAN'!P4-VLOOKUP('BLOCO NORDESTE'!$D3,'CAPEX - BLOCOS PAN'!$C$3:$P$52,14,FALSE))*Q$15</f>
        <v>-1152565.607081481</v>
      </c>
      <c r="R3" s="1">
        <f>('RECEITAS - BLOCOS PAN'!Q4-'OPEX - BLOCOS PAN'!Q4-VLOOKUP('BLOCO NORDESTE'!$D3,'CAPEX - BLOCOS PAN'!$C$3:$Q$52,15,FALSE))*R$15</f>
        <v>-1044334.9435309712</v>
      </c>
      <c r="S3" s="1">
        <f>('RECEITAS - BLOCOS PAN'!R4-'OPEX - BLOCOS PAN'!R4-VLOOKUP('BLOCO NORDESTE'!$D3,'CAPEX - BLOCOS PAN'!$C$3:$R$52,16,FALSE))*S$15</f>
        <v>-946656.43543883844</v>
      </c>
      <c r="T3" s="1">
        <f>('RECEITAS - BLOCOS PAN'!S4-'OPEX - BLOCOS PAN'!S4-VLOOKUP('BLOCO NORDESTE'!$D3,'CAPEX - BLOCOS PAN'!$C$3:$S$52,17,FALSE))*T$15</f>
        <v>-858097.91177499993</v>
      </c>
      <c r="U3" s="1">
        <f>('RECEITAS - BLOCOS PAN'!T4-'OPEX - BLOCOS PAN'!T4-VLOOKUP('BLOCO NORDESTE'!$D3,'CAPEX - BLOCOS PAN'!$C$3:$T$52,18,FALSE))*U$15</f>
        <v>-777823.87016272685</v>
      </c>
      <c r="V3" s="1">
        <f>('RECEITAS - BLOCOS PAN'!U4-'OPEX - BLOCOS PAN'!U4-VLOOKUP('BLOCO NORDESTE'!$D3,'CAPEX - BLOCOS PAN'!$C$3:$U$52,19,FALSE))*V$15</f>
        <v>-704889.24924584478</v>
      </c>
      <c r="W3" s="1">
        <f>('RECEITAS - BLOCOS PAN'!V4-'OPEX - BLOCOS PAN'!V4-VLOOKUP('BLOCO NORDESTE'!$D3,'CAPEX - BLOCOS PAN'!$C$3:$V$52,20,FALSE))*W$15</f>
        <v>-638811.41905259795</v>
      </c>
      <c r="X3" s="1">
        <f>('RECEITAS - BLOCOS PAN'!W4-'OPEX - BLOCOS PAN'!W4-VLOOKUP('BLOCO NORDESTE'!$D3,'CAPEX - BLOCOS PAN'!$C$3:$W$52,21,FALSE))*X$15</f>
        <v>-578835.75159518281</v>
      </c>
      <c r="Y3" s="1">
        <f>('RECEITAS - BLOCOS PAN'!X4-'OPEX - BLOCOS PAN'!X4-VLOOKUP('BLOCO NORDESTE'!$D3,'CAPEX - BLOCOS PAN'!$C$3:$X$52,22,FALSE))*Y$15</f>
        <v>-771425.77689050371</v>
      </c>
      <c r="Z3" s="1">
        <f>('RECEITAS - BLOCOS PAN'!Y4-'OPEX - BLOCOS PAN'!Y4-VLOOKUP('BLOCO NORDESTE'!$D3,'CAPEX - BLOCOS PAN'!$C$3:$Y$52,23,FALSE))*Z$15</f>
        <v>-700140.02138720255</v>
      </c>
      <c r="AA3" s="1">
        <f>('RECEITAS - BLOCOS PAN'!Z4-'OPEX - BLOCOS PAN'!Z4-VLOOKUP('BLOCO NORDESTE'!$D3,'CAPEX - BLOCOS PAN'!$C$3:$Z$52,24,FALSE))*AA$15</f>
        <v>-635373.26920824649</v>
      </c>
      <c r="AB3" s="1">
        <f>('RECEITAS - BLOCOS PAN'!AA4-'OPEX - BLOCOS PAN'!AA4-VLOOKUP('BLOCO NORDESTE'!$D3,'CAPEX - BLOCOS PAN'!$C$3:$AA$52,25,FALSE))*AB$15</f>
        <v>-576531.24012586288</v>
      </c>
      <c r="AC3" s="1">
        <f>('RECEITAS - BLOCOS PAN'!AB4-'OPEX - BLOCOS PAN'!AB4-VLOOKUP('BLOCO NORDESTE'!$D3,'CAPEX - BLOCOS PAN'!$C$3:$AB$52,26,FALSE))*AC$15</f>
        <v>-523152.99453344673</v>
      </c>
      <c r="AD3" s="1">
        <f>('RECEITAS - BLOCOS PAN'!AC4-'OPEX - BLOCOS PAN'!AC4-VLOOKUP('BLOCO NORDESTE'!$D3,'CAPEX - BLOCOS PAN'!$C$3:$AC$52,27,FALSE))*AD$15</f>
        <v>-474674.20927345002</v>
      </c>
      <c r="AE3" s="1">
        <f>('RECEITAS - BLOCOS PAN'!AD4-'OPEX - BLOCOS PAN'!AD4-VLOOKUP('BLOCO NORDESTE'!$D3,'CAPEX - BLOCOS PAN'!$C$3:$AD$52,28,FALSE))*AE$15</f>
        <v>-430684.50610375102</v>
      </c>
      <c r="AF3" s="1">
        <f>('RECEITAS - BLOCOS PAN'!AE4-'OPEX - BLOCOS PAN'!AE4-VLOOKUP('BLOCO NORDESTE'!$D3,'CAPEX - BLOCOS PAN'!$C$3:$AE$52,29,FALSE))*AF$15</f>
        <v>-390709.53483968717</v>
      </c>
      <c r="AG3" s="1">
        <f>('RECEITAS - BLOCOS PAN'!AF4-'OPEX - BLOCOS PAN'!AF4-VLOOKUP('BLOCO NORDESTE'!$D3,'CAPEX - BLOCOS PAN'!$C$3:$AF$52,30,FALSE))*AG$15</f>
        <v>-354406.39072072541</v>
      </c>
      <c r="AH3" s="1">
        <f>('RECEITAS - BLOCOS PAN'!AG4-'OPEX - BLOCOS PAN'!AG4-VLOOKUP('BLOCO NORDESTE'!$D3,'CAPEX - BLOCOS PAN'!$C$3:$AG$52,31,FALSE))*AH$15</f>
        <v>-321446.50117597397</v>
      </c>
      <c r="AI3" s="1">
        <f>('RECEITAS - BLOCOS PAN'!AH4-'OPEX - BLOCOS PAN'!AH4-VLOOKUP('BLOCO NORDESTE'!$D3,'CAPEX - BLOCOS PAN'!$C$3:$AH$52,32,FALSE))*AI$15</f>
        <v>-291584.7554663872</v>
      </c>
      <c r="AJ3" s="1">
        <f>('RECEITAS - BLOCOS PAN'!AI4-'OPEX - BLOCOS PAN'!AI4-VLOOKUP('BLOCO NORDESTE'!$D3,'CAPEX - BLOCOS PAN'!$C$3:$AI$52,33,FALSE))*AJ$15</f>
        <v>-264470.29622294457</v>
      </c>
      <c r="AK3" s="1">
        <f>('RECEITAS - BLOCOS PAN'!AJ4-'OPEX - BLOCOS PAN'!AJ4-VLOOKUP('BLOCO NORDESTE'!$D3,'CAPEX - BLOCOS PAN'!$C$3:$AJ$52,34,FALSE))*AK$15</f>
        <v>-239841.17264177871</v>
      </c>
      <c r="AL3" s="1">
        <f>('RECEITAS - BLOCOS PAN'!AK4-'OPEX - BLOCOS PAN'!AK4-VLOOKUP('BLOCO NORDESTE'!$D3,'CAPEX - BLOCOS PAN'!$C$3:$AK$52,35,FALSE))*AL$15</f>
        <v>-217463.25551156796</v>
      </c>
      <c r="AM3" s="44">
        <f t="shared" ref="AM3:AM10" si="0">SUM(I3:AL3)</f>
        <v>-104614589.13214396</v>
      </c>
      <c r="AN3">
        <v>0</v>
      </c>
      <c r="AO3" t="s">
        <v>310</v>
      </c>
      <c r="AP3">
        <v>-12.466666666666667</v>
      </c>
      <c r="AQ3">
        <v>-41.266666666666666</v>
      </c>
      <c r="AR3" s="48">
        <f>VLOOKUP(D3,'Projeção - Demanda PAX'!$C$3:$H$37,6,FALSE)</f>
        <v>25525</v>
      </c>
      <c r="AS3" t="str">
        <f>VLOOKUP(D3,'FLUXO DE CAIXA DESC.-BLOCOS PAN'!$D$3:$AU$52,44,FALSE)</f>
        <v>Bloco 8 - Nordeste</v>
      </c>
    </row>
    <row r="4" spans="1:45" x14ac:dyDescent="0.35">
      <c r="A4" t="s">
        <v>80</v>
      </c>
      <c r="B4" t="s">
        <v>81</v>
      </c>
      <c r="C4">
        <v>292400</v>
      </c>
      <c r="D4" t="s">
        <v>82</v>
      </c>
      <c r="E4" t="s">
        <v>81</v>
      </c>
      <c r="F4" t="s">
        <v>40</v>
      </c>
      <c r="G4" t="s">
        <v>258</v>
      </c>
      <c r="H4" t="s">
        <v>33</v>
      </c>
      <c r="I4" s="1">
        <f>('RECEITAS - BLOCOS PAN'!H14-'OPEX - BLOCOS PAN'!H14-VLOOKUP('BLOCO NORDESTE'!$D4,'CAPEX - BLOCOS PAN'!$C$3:$H$52,6,FALSE))*I$15</f>
        <v>-25473327.004000001</v>
      </c>
      <c r="J4" s="1">
        <f>('RECEITAS - BLOCOS PAN'!I14-'OPEX - BLOCOS PAN'!I14-VLOOKUP('BLOCO NORDESTE'!$D4,'CAPEX - BLOCOS PAN'!$C$3:$I$52,7,FALSE))*J$15</f>
        <v>-23224755.596348703</v>
      </c>
      <c r="K4" s="1">
        <f>('RECEITAS - BLOCOS PAN'!J14-'OPEX - BLOCOS PAN'!J14-VLOOKUP('BLOCO NORDESTE'!$D4,'CAPEX - BLOCOS PAN'!$C$3:$J$52,8,FALSE))*K$15</f>
        <v>-21178360.407717478</v>
      </c>
      <c r="L4" s="1">
        <f>('RECEITAS - BLOCOS PAN'!K14-'OPEX - BLOCOS PAN'!K14-VLOOKUP('BLOCO NORDESTE'!$D4,'CAPEX - BLOCOS PAN'!$C$3:$K$52,9,FALSE))*L$15</f>
        <v>-2179344.2823921512</v>
      </c>
      <c r="M4" s="1">
        <f>('RECEITAS - BLOCOS PAN'!L14-'OPEX - BLOCOS PAN'!L14-VLOOKUP('BLOCO NORDESTE'!$D4,'CAPEX - BLOCOS PAN'!$C$3:$L$52,10,FALSE))*M$15</f>
        <v>-1976022.5470968743</v>
      </c>
      <c r="N4" s="1">
        <f>('RECEITAS - BLOCOS PAN'!M14-'OPEX - BLOCOS PAN'!M14-VLOOKUP('BLOCO NORDESTE'!$D4,'CAPEX - BLOCOS PAN'!$C$3:$M$52,11,FALSE))*N$15</f>
        <v>-1791990.865061356</v>
      </c>
      <c r="O4" s="1">
        <f>('RECEITAS - BLOCOS PAN'!N14-'OPEX - BLOCOS PAN'!N14-VLOOKUP('BLOCO NORDESTE'!$D4,'CAPEX - BLOCOS PAN'!$C$3:$N$52,12,FALSE))*O$15</f>
        <v>-1625383.3865302182</v>
      </c>
      <c r="P4" s="1">
        <f>('RECEITAS - BLOCOS PAN'!O14-'OPEX - BLOCOS PAN'!O14-VLOOKUP('BLOCO NORDESTE'!$D4,'CAPEX - BLOCOS PAN'!$C$3:$O$52,13,FALSE))*P$15</f>
        <v>-1474243.4768408407</v>
      </c>
      <c r="Q4" s="1">
        <f>('RECEITAS - BLOCOS PAN'!P14-'OPEX - BLOCOS PAN'!P14-VLOOKUP('BLOCO NORDESTE'!$D4,'CAPEX - BLOCOS PAN'!$C$3:$P$52,14,FALSE))*Q$15</f>
        <v>-1337433.878450392</v>
      </c>
      <c r="R4" s="1">
        <f>('RECEITAS - BLOCOS PAN'!Q14-'OPEX - BLOCOS PAN'!Q14-VLOOKUP('BLOCO NORDESTE'!$D4,'CAPEX - BLOCOS PAN'!$C$3:$Q$52,15,FALSE))*R$15</f>
        <v>-1307317.5098566089</v>
      </c>
      <c r="S4" s="1">
        <f>('RECEITAS - BLOCOS PAN'!R14-'OPEX - BLOCOS PAN'!R14-VLOOKUP('BLOCO NORDESTE'!$D4,'CAPEX - BLOCOS PAN'!$C$3:$R$52,16,FALSE))*S$15</f>
        <v>-1187005.9323772851</v>
      </c>
      <c r="T4" s="1">
        <f>('RECEITAS - BLOCOS PAN'!S14-'OPEX - BLOCOS PAN'!S14-VLOOKUP('BLOCO NORDESTE'!$D4,'CAPEX - BLOCOS PAN'!$C$3:$S$52,17,FALSE))*T$15</f>
        <v>-1077672.756879315</v>
      </c>
      <c r="U4" s="1">
        <f>('RECEITAS - BLOCOS PAN'!T14-'OPEX - BLOCOS PAN'!T14-VLOOKUP('BLOCO NORDESTE'!$D4,'CAPEX - BLOCOS PAN'!$C$3:$T$52,18,FALSE))*U$15</f>
        <v>-978314.37216431741</v>
      </c>
      <c r="V4" s="1">
        <f>('RECEITAS - BLOCOS PAN'!U14-'OPEX - BLOCOS PAN'!U14-VLOOKUP('BLOCO NORDESTE'!$D4,'CAPEX - BLOCOS PAN'!$C$3:$U$52,19,FALSE))*V$15</f>
        <v>-887906.38702922361</v>
      </c>
      <c r="W4" s="1">
        <f>('RECEITAS - BLOCOS PAN'!V14-'OPEX - BLOCOS PAN'!V14-VLOOKUP('BLOCO NORDESTE'!$D4,'CAPEX - BLOCOS PAN'!$C$3:$V$52,20,FALSE))*W$15</f>
        <v>-805850.21248120524</v>
      </c>
      <c r="X4" s="1">
        <f>('RECEITAS - BLOCOS PAN'!W14-'OPEX - BLOCOS PAN'!W14-VLOOKUP('BLOCO NORDESTE'!$D4,'CAPEX - BLOCOS PAN'!$C$3:$W$52,21,FALSE))*X$15</f>
        <v>-731193.17469141516</v>
      </c>
      <c r="Y4" s="1">
        <f>('RECEITAS - BLOCOS PAN'!X14-'OPEX - BLOCOS PAN'!X14-VLOOKUP('BLOCO NORDESTE'!$D4,'CAPEX - BLOCOS PAN'!$C$3:$X$52,22,FALSE))*Y$15</f>
        <v>-663398.87709057576</v>
      </c>
      <c r="Z4" s="1">
        <f>('RECEITAS - BLOCOS PAN'!Y14-'OPEX - BLOCOS PAN'!Y14-VLOOKUP('BLOCO NORDESTE'!$D4,'CAPEX - BLOCOS PAN'!$C$3:$Y$52,23,FALSE))*Z$15</f>
        <v>-601720.78027880855</v>
      </c>
      <c r="AA4" s="1">
        <f>('RECEITAS - BLOCOS PAN'!Z14-'OPEX - BLOCOS PAN'!Z14-VLOOKUP('BLOCO NORDESTE'!$D4,'CAPEX - BLOCOS PAN'!$C$3:$Z$52,24,FALSE))*AA$15</f>
        <v>-545658.56440834387</v>
      </c>
      <c r="AB4" s="1">
        <f>('RECEITAS - BLOCOS PAN'!AA14-'OPEX - BLOCOS PAN'!AA14-VLOOKUP('BLOCO NORDESTE'!$D4,'CAPEX - BLOCOS PAN'!$C$3:$AA$52,25,FALSE))*AB$15</f>
        <v>-494723.446596472</v>
      </c>
      <c r="AC4" s="1">
        <f>('RECEITAS - BLOCOS PAN'!AB14-'OPEX - BLOCOS PAN'!AB14-VLOOKUP('BLOCO NORDESTE'!$D4,'CAPEX - BLOCOS PAN'!$C$3:$AB$52,26,FALSE))*AC$15</f>
        <v>-448549.75230119535</v>
      </c>
      <c r="AD4" s="1">
        <f>('RECEITAS - BLOCOS PAN'!AC14-'OPEX - BLOCOS PAN'!AC14-VLOOKUP('BLOCO NORDESTE'!$D4,'CAPEX - BLOCOS PAN'!$C$3:$AC$52,27,FALSE))*AD$15</f>
        <v>-406582.79257775366</v>
      </c>
      <c r="AE4" s="1">
        <f>('RECEITAS - BLOCOS PAN'!AD14-'OPEX - BLOCOS PAN'!AD14-VLOOKUP('BLOCO NORDESTE'!$D4,'CAPEX - BLOCOS PAN'!$C$3:$AD$52,28,FALSE))*AE$15</f>
        <v>-368524.02600533457</v>
      </c>
      <c r="AF4" s="1">
        <f>('RECEITAS - BLOCOS PAN'!AE14-'OPEX - BLOCOS PAN'!AE14-VLOOKUP('BLOCO NORDESTE'!$D4,'CAPEX - BLOCOS PAN'!$C$3:$AE$52,29,FALSE))*AF$15</f>
        <v>-333968.98733498965</v>
      </c>
      <c r="AG4" s="1">
        <f>('RECEITAS - BLOCOS PAN'!AF14-'OPEX - BLOCOS PAN'!AF14-VLOOKUP('BLOCO NORDESTE'!$D4,'CAPEX - BLOCOS PAN'!$C$3:$AF$52,30,FALSE))*AG$15</f>
        <v>-302644.41706748557</v>
      </c>
      <c r="AH4" s="1">
        <f>('RECEITAS - BLOCOS PAN'!AG14-'OPEX - BLOCOS PAN'!AG14-VLOOKUP('BLOCO NORDESTE'!$D4,'CAPEX - BLOCOS PAN'!$C$3:$AG$52,31,FALSE))*AH$15</f>
        <v>-338952.33346897591</v>
      </c>
      <c r="AI4" s="1">
        <f>('RECEITAS - BLOCOS PAN'!AH14-'OPEX - BLOCOS PAN'!AH14-VLOOKUP('BLOCO NORDESTE'!$D4,'CAPEX - BLOCOS PAN'!$C$3:$AH$52,32,FALSE))*AI$15</f>
        <v>-307385.94844126311</v>
      </c>
      <c r="AJ4" s="1">
        <f>('RECEITAS - BLOCOS PAN'!AI14-'OPEX - BLOCOS PAN'!AI14-VLOOKUP('BLOCO NORDESTE'!$D4,'CAPEX - BLOCOS PAN'!$C$3:$AI$52,33,FALSE))*AJ$15</f>
        <v>-278722.54987131018</v>
      </c>
      <c r="AK4" s="1">
        <f>('RECEITAS - BLOCOS PAN'!AJ14-'OPEX - BLOCOS PAN'!AJ14-VLOOKUP('BLOCO NORDESTE'!$D4,'CAPEX - BLOCOS PAN'!$C$3:$AJ$52,34,FALSE))*AK$15</f>
        <v>-252671.44540890492</v>
      </c>
      <c r="AL4" s="1">
        <f>('RECEITAS - BLOCOS PAN'!AK14-'OPEX - BLOCOS PAN'!AK14-VLOOKUP('BLOCO NORDESTE'!$D4,'CAPEX - BLOCOS PAN'!$C$3:$AK$52,35,FALSE))*AL$15</f>
        <v>-229004.27059708643</v>
      </c>
      <c r="AM4" s="44">
        <f t="shared" si="0"/>
        <v>-92808629.981365889</v>
      </c>
      <c r="AN4">
        <v>0</v>
      </c>
      <c r="AO4" t="s">
        <v>310</v>
      </c>
      <c r="AP4">
        <v>-9.4</v>
      </c>
      <c r="AQ4">
        <v>-38.25</v>
      </c>
      <c r="AR4" s="48">
        <f>VLOOKUP(D4,'Projeção - Demanda PAX'!$C$3:$H$37,6,FALSE)</f>
        <v>17631</v>
      </c>
      <c r="AS4" t="str">
        <f>VLOOKUP(D4,'FLUXO DE CAIXA DESC.-BLOCOS PAN'!$D$3:$AU$52,44,FALSE)</f>
        <v>Bloco 8 - Nordeste</v>
      </c>
    </row>
    <row r="5" spans="1:45" x14ac:dyDescent="0.35">
      <c r="A5" t="s">
        <v>100</v>
      </c>
      <c r="B5" t="s">
        <v>103</v>
      </c>
      <c r="C5">
        <v>291170</v>
      </c>
      <c r="D5" t="s">
        <v>102</v>
      </c>
      <c r="E5" t="s">
        <v>103</v>
      </c>
      <c r="F5" t="s">
        <v>40</v>
      </c>
      <c r="G5" t="s">
        <v>258</v>
      </c>
      <c r="H5" t="s">
        <v>33</v>
      </c>
      <c r="I5" s="1">
        <f>('RECEITAS - BLOCOS PAN'!H19-'OPEX - BLOCOS PAN'!H19-VLOOKUP('BLOCO NORDESTE'!$D5,'CAPEX - BLOCOS PAN'!$C$3:$H$52,6,FALSE))*I$15</f>
        <v>-37401018.336300001</v>
      </c>
      <c r="J5" s="1">
        <f>('RECEITAS - BLOCOS PAN'!I19-'OPEX - BLOCOS PAN'!I19-VLOOKUP('BLOCO NORDESTE'!$D5,'CAPEX - BLOCOS PAN'!$C$3:$I$52,7,FALSE))*J$15</f>
        <v>-34079125.459242359</v>
      </c>
      <c r="K5" s="1">
        <f>('RECEITAS - BLOCOS PAN'!J19-'OPEX - BLOCOS PAN'!J19-VLOOKUP('BLOCO NORDESTE'!$D5,'CAPEX - BLOCOS PAN'!$C$3:$J$52,8,FALSE))*K$15</f>
        <v>-31062513.289064165</v>
      </c>
      <c r="L5" s="1">
        <f>('RECEITAS - BLOCOS PAN'!K19-'OPEX - BLOCOS PAN'!K19-VLOOKUP('BLOCO NORDESTE'!$D5,'CAPEX - BLOCOS PAN'!$C$3:$K$52,9,FALSE))*L$15</f>
        <v>-1727915.2876338721</v>
      </c>
      <c r="M5" s="1">
        <f>('RECEITAS - BLOCOS PAN'!L19-'OPEX - BLOCOS PAN'!L19-VLOOKUP('BLOCO NORDESTE'!$D5,'CAPEX - BLOCOS PAN'!$C$3:$L$52,10,FALSE))*M$15</f>
        <v>-2288878.8201216548</v>
      </c>
      <c r="N5" s="1">
        <f>('RECEITAS - BLOCOS PAN'!M19-'OPEX - BLOCOS PAN'!M19-VLOOKUP('BLOCO NORDESTE'!$D5,'CAPEX - BLOCOS PAN'!$C$3:$M$52,11,FALSE))*N$15</f>
        <v>-2065848.8475693755</v>
      </c>
      <c r="O5" s="1">
        <f>('RECEITAS - BLOCOS PAN'!N19-'OPEX - BLOCOS PAN'!N19-VLOOKUP('BLOCO NORDESTE'!$D5,'CAPEX - BLOCOS PAN'!$C$3:$N$52,12,FALSE))*O$15</f>
        <v>-1863629.7723895069</v>
      </c>
      <c r="P5" s="1">
        <f>('RECEITAS - BLOCOS PAN'!O19-'OPEX - BLOCOS PAN'!O19-VLOOKUP('BLOCO NORDESTE'!$D5,'CAPEX - BLOCOS PAN'!$C$3:$O$52,13,FALSE))*P$15</f>
        <v>-1682138.1048642185</v>
      </c>
      <c r="Q5" s="1">
        <f>('RECEITAS - BLOCOS PAN'!P19-'OPEX - BLOCOS PAN'!P19-VLOOKUP('BLOCO NORDESTE'!$D5,'CAPEX - BLOCOS PAN'!$C$3:$P$52,14,FALSE))*Q$15</f>
        <v>-1520054.9797077365</v>
      </c>
      <c r="R5" s="1">
        <f>('RECEITAS - BLOCOS PAN'!Q19-'OPEX - BLOCOS PAN'!Q19-VLOOKUP('BLOCO NORDESTE'!$D5,'CAPEX - BLOCOS PAN'!$C$3:$Q$52,15,FALSE))*R$15</f>
        <v>-1373517.7521978498</v>
      </c>
      <c r="S5" s="1">
        <f>('RECEITAS - BLOCOS PAN'!R19-'OPEX - BLOCOS PAN'!R19-VLOOKUP('BLOCO NORDESTE'!$D5,'CAPEX - BLOCOS PAN'!$C$3:$R$52,16,FALSE))*S$15</f>
        <v>-1241767.3804107103</v>
      </c>
      <c r="T5" s="1">
        <f>('RECEITAS - BLOCOS PAN'!S19-'OPEX - BLOCOS PAN'!S19-VLOOKUP('BLOCO NORDESTE'!$D5,'CAPEX - BLOCOS PAN'!$C$3:$S$52,17,FALSE))*T$15</f>
        <v>-1122938.4332763802</v>
      </c>
      <c r="U5" s="1">
        <f>('RECEITAS - BLOCOS PAN'!T19-'OPEX - BLOCOS PAN'!T19-VLOOKUP('BLOCO NORDESTE'!$D5,'CAPEX - BLOCOS PAN'!$C$3:$T$52,18,FALSE))*U$15</f>
        <v>-1015373.4719385026</v>
      </c>
      <c r="V5" s="1">
        <f>('RECEITAS - BLOCOS PAN'!U19-'OPEX - BLOCOS PAN'!U19-VLOOKUP('BLOCO NORDESTE'!$D5,'CAPEX - BLOCOS PAN'!$C$3:$U$52,19,FALSE))*V$15</f>
        <v>-918044.27255463449</v>
      </c>
      <c r="W5" s="1">
        <f>('RECEITAS - BLOCOS PAN'!V19-'OPEX - BLOCOS PAN'!V19-VLOOKUP('BLOCO NORDESTE'!$D5,'CAPEX - BLOCOS PAN'!$C$3:$V$52,20,FALSE))*W$15</f>
        <v>-829644.59349109128</v>
      </c>
      <c r="X5" s="1">
        <f>('RECEITAS - BLOCOS PAN'!W19-'OPEX - BLOCOS PAN'!W19-VLOOKUP('BLOCO NORDESTE'!$D5,'CAPEX - BLOCOS PAN'!$C$3:$W$52,21,FALSE))*X$15</f>
        <v>-749454.54329030507</v>
      </c>
      <c r="Y5" s="1">
        <f>('RECEITAS - BLOCOS PAN'!X19-'OPEX - BLOCOS PAN'!X19-VLOOKUP('BLOCO NORDESTE'!$D5,'CAPEX - BLOCOS PAN'!$C$3:$X$52,22,FALSE))*Y$15</f>
        <v>-676925.31295766216</v>
      </c>
      <c r="Z5" s="1">
        <f>('RECEITAS - BLOCOS PAN'!Y19-'OPEX - BLOCOS PAN'!Y19-VLOOKUP('BLOCO NORDESTE'!$D5,'CAPEX - BLOCOS PAN'!$C$3:$Y$52,23,FALSE))*Z$15</f>
        <v>-611103.90730303049</v>
      </c>
      <c r="AA5" s="1">
        <f>('RECEITAS - BLOCOS PAN'!Z19-'OPEX - BLOCOS PAN'!Z19-VLOOKUP('BLOCO NORDESTE'!$D5,'CAPEX - BLOCOS PAN'!$C$3:$Z$52,24,FALSE))*AA$15</f>
        <v>-551649.78566264152</v>
      </c>
      <c r="AB5" s="1">
        <f>('RECEITAS - BLOCOS PAN'!AA19-'OPEX - BLOCOS PAN'!AA19-VLOOKUP('BLOCO NORDESTE'!$D5,'CAPEX - BLOCOS PAN'!$C$3:$AA$52,25,FALSE))*AB$15</f>
        <v>-497706.22858289606</v>
      </c>
      <c r="AC5" s="1">
        <f>('RECEITAS - BLOCOS PAN'!AB19-'OPEX - BLOCOS PAN'!AB19-VLOOKUP('BLOCO NORDESTE'!$D5,'CAPEX - BLOCOS PAN'!$C$3:$AB$52,26,FALSE))*AC$15</f>
        <v>-449155.02649963927</v>
      </c>
      <c r="AD5" s="1">
        <f>('RECEITAS - BLOCOS PAN'!AC19-'OPEX - BLOCOS PAN'!AC19-VLOOKUP('BLOCO NORDESTE'!$D5,'CAPEX - BLOCOS PAN'!$C$3:$AC$52,27,FALSE))*AD$15</f>
        <v>-405125.35881257593</v>
      </c>
      <c r="AE5" s="1">
        <f>('RECEITAS - BLOCOS PAN'!AD19-'OPEX - BLOCOS PAN'!AD19-VLOOKUP('BLOCO NORDESTE'!$D5,'CAPEX - BLOCOS PAN'!$C$3:$AD$52,28,FALSE))*AE$15</f>
        <v>-365239.46523381665</v>
      </c>
      <c r="AF5" s="1">
        <f>('RECEITAS - BLOCOS PAN'!AE19-'OPEX - BLOCOS PAN'!AE19-VLOOKUP('BLOCO NORDESTE'!$D5,'CAPEX - BLOCOS PAN'!$C$3:$AE$52,29,FALSE))*AF$15</f>
        <v>-329210.6583923244</v>
      </c>
      <c r="AG5" s="1">
        <f>('RECEITAS - BLOCOS PAN'!AF19-'OPEX - BLOCOS PAN'!AF19-VLOOKUP('BLOCO NORDESTE'!$D5,'CAPEX - BLOCOS PAN'!$C$3:$AF$52,30,FALSE))*AG$15</f>
        <v>-296940.94050559623</v>
      </c>
      <c r="AH5" s="1">
        <f>('RECEITAS - BLOCOS PAN'!AG19-'OPEX - BLOCOS PAN'!AG19-VLOOKUP('BLOCO NORDESTE'!$D5,'CAPEX - BLOCOS PAN'!$C$3:$AG$52,31,FALSE))*AH$15</f>
        <v>-267475.07207455934</v>
      </c>
      <c r="AI5" s="1">
        <f>('RECEITAS - BLOCOS PAN'!AH19-'OPEX - BLOCOS PAN'!AH19-VLOOKUP('BLOCO NORDESTE'!$D5,'CAPEX - BLOCOS PAN'!$C$3:$AH$52,32,FALSE))*AI$15</f>
        <v>-241178.24889568487</v>
      </c>
      <c r="AJ5" s="1">
        <f>('RECEITAS - BLOCOS PAN'!AI19-'OPEX - BLOCOS PAN'!AI19-VLOOKUP('BLOCO NORDESTE'!$D5,'CAPEX - BLOCOS PAN'!$C$3:$AI$52,33,FALSE))*AJ$15</f>
        <v>-217072.25277301378</v>
      </c>
      <c r="AK5" s="1">
        <f>('RECEITAS - BLOCOS PAN'!AJ19-'OPEX - BLOCOS PAN'!AJ19-VLOOKUP('BLOCO NORDESTE'!$D5,'CAPEX - BLOCOS PAN'!$C$3:$AJ$52,34,FALSE))*AK$15</f>
        <v>-195334.52684839349</v>
      </c>
      <c r="AL5" s="1">
        <f>('RECEITAS - BLOCOS PAN'!AK19-'OPEX - BLOCOS PAN'!AK19-VLOOKUP('BLOCO NORDESTE'!$D5,'CAPEX - BLOCOS PAN'!$C$3:$AK$52,35,FALSE))*AL$15</f>
        <v>-175601.33422780197</v>
      </c>
      <c r="AM5" s="44">
        <f t="shared" si="0"/>
        <v>-126221581.46282201</v>
      </c>
      <c r="AN5">
        <v>0</v>
      </c>
      <c r="AO5" t="s">
        <v>310</v>
      </c>
      <c r="AP5">
        <v>-14.2</v>
      </c>
      <c r="AQ5">
        <v>-42.733333333333334</v>
      </c>
      <c r="AR5" s="48">
        <f>VLOOKUP(D5,'Projeção - Demanda PAX'!$C$3:$H$37,6,FALSE)</f>
        <v>37772</v>
      </c>
      <c r="AS5" t="str">
        <f>VLOOKUP(D5,'FLUXO DE CAIXA DESC.-BLOCOS PAN'!$D$3:$AU$52,44,FALSE)</f>
        <v>Bloco 8 - Nordeste</v>
      </c>
    </row>
    <row r="6" spans="1:45" x14ac:dyDescent="0.35">
      <c r="A6" t="s">
        <v>104</v>
      </c>
      <c r="B6" t="s">
        <v>173</v>
      </c>
      <c r="C6">
        <v>261390</v>
      </c>
      <c r="D6" t="s">
        <v>106</v>
      </c>
      <c r="E6" t="s">
        <v>107</v>
      </c>
      <c r="F6" t="s">
        <v>36</v>
      </c>
      <c r="G6" t="s">
        <v>258</v>
      </c>
      <c r="H6" t="s">
        <v>33</v>
      </c>
      <c r="I6" s="1">
        <f>('RECEITAS - BLOCOS PAN'!H20-'OPEX - BLOCOS PAN'!H20-VLOOKUP('BLOCO NORDESTE'!$D6,'CAPEX - BLOCOS PAN'!$C$3:$H$52,6,FALSE))*I$15</f>
        <v>-16963823.427900001</v>
      </c>
      <c r="J6" s="1">
        <f>('RECEITAS - BLOCOS PAN'!I20-'OPEX - BLOCOS PAN'!I20-VLOOKUP('BLOCO NORDESTE'!$D6,'CAPEX - BLOCOS PAN'!$C$3:$I$52,7,FALSE))*J$15</f>
        <v>-15478099.76668188</v>
      </c>
      <c r="K6" s="1">
        <f>('RECEITAS - BLOCOS PAN'!J20-'OPEX - BLOCOS PAN'!J20-VLOOKUP('BLOCO NORDESTE'!$D6,'CAPEX - BLOCOS PAN'!$C$3:$J$52,8,FALSE))*K$15</f>
        <v>-14123842.655433904</v>
      </c>
      <c r="L6" s="1">
        <f>('RECEITAS - BLOCOS PAN'!K20-'OPEX - BLOCOS PAN'!K20-VLOOKUP('BLOCO NORDESTE'!$D6,'CAPEX - BLOCOS PAN'!$C$3:$K$52,9,FALSE))*L$15</f>
        <v>-2388947.9424390458</v>
      </c>
      <c r="M6" s="1">
        <f>('RECEITAS - BLOCOS PAN'!L20-'OPEX - BLOCOS PAN'!L20-VLOOKUP('BLOCO NORDESTE'!$D6,'CAPEX - BLOCOS PAN'!$C$3:$L$52,10,FALSE))*M$15</f>
        <v>-2178050.9086895837</v>
      </c>
      <c r="N6" s="1">
        <f>('RECEITAS - BLOCOS PAN'!M20-'OPEX - BLOCOS PAN'!M20-VLOOKUP('BLOCO NORDESTE'!$D6,'CAPEX - BLOCOS PAN'!$C$3:$M$52,11,FALSE))*N$15</f>
        <v>-1985959.3286027077</v>
      </c>
      <c r="O6" s="1">
        <f>('RECEITAS - BLOCOS PAN'!N20-'OPEX - BLOCOS PAN'!N20-VLOOKUP('BLOCO NORDESTE'!$D6,'CAPEX - BLOCOS PAN'!$C$3:$N$52,12,FALSE))*O$15</f>
        <v>-1810889.5875612441</v>
      </c>
      <c r="P6" s="1">
        <f>('RECEITAS - BLOCOS PAN'!O20-'OPEX - BLOCOS PAN'!O20-VLOOKUP('BLOCO NORDESTE'!$D6,'CAPEX - BLOCOS PAN'!$C$3:$O$52,13,FALSE))*P$15</f>
        <v>-1651326.5130071985</v>
      </c>
      <c r="Q6" s="1">
        <f>('RECEITAS - BLOCOS PAN'!P20-'OPEX - BLOCOS PAN'!P20-VLOOKUP('BLOCO NORDESTE'!$D6,'CAPEX - BLOCOS PAN'!$C$3:$P$52,14,FALSE))*Q$15</f>
        <v>-1505876.3248638501</v>
      </c>
      <c r="R6" s="1">
        <f>('RECEITAS - BLOCOS PAN'!Q20-'OPEX - BLOCOS PAN'!Q20-VLOOKUP('BLOCO NORDESTE'!$D6,'CAPEX - BLOCOS PAN'!$C$3:$Q$52,15,FALSE))*R$15</f>
        <v>-1373330.7773164567</v>
      </c>
      <c r="S6" s="1">
        <f>('RECEITAS - BLOCOS PAN'!R20-'OPEX - BLOCOS PAN'!R20-VLOOKUP('BLOCO NORDESTE'!$D6,'CAPEX - BLOCOS PAN'!$C$3:$R$52,16,FALSE))*S$15</f>
        <v>-1252571.2896766702</v>
      </c>
      <c r="T6" s="1">
        <f>('RECEITAS - BLOCOS PAN'!S20-'OPEX - BLOCOS PAN'!S20-VLOOKUP('BLOCO NORDESTE'!$D6,'CAPEX - BLOCOS PAN'!$C$3:$S$52,17,FALSE))*T$15</f>
        <v>-1142429.6172296768</v>
      </c>
      <c r="U6" s="1">
        <f>('RECEITAS - BLOCOS PAN'!T20-'OPEX - BLOCOS PAN'!T20-VLOOKUP('BLOCO NORDESTE'!$D6,'CAPEX - BLOCOS PAN'!$C$3:$T$52,18,FALSE))*U$15</f>
        <v>-1041967.4676626385</v>
      </c>
      <c r="V6" s="1">
        <f>('RECEITAS - BLOCOS PAN'!U20-'OPEX - BLOCOS PAN'!U20-VLOOKUP('BLOCO NORDESTE'!$D6,'CAPEX - BLOCOS PAN'!$C$3:$U$52,19,FALSE))*V$15</f>
        <v>-950289.57018155849</v>
      </c>
      <c r="W6" s="1">
        <f>('RECEITAS - BLOCOS PAN'!V20-'OPEX - BLOCOS PAN'!V20-VLOOKUP('BLOCO NORDESTE'!$D6,'CAPEX - BLOCOS PAN'!$C$3:$V$52,20,FALSE))*W$15</f>
        <v>-866726.43121350487</v>
      </c>
      <c r="X6" s="1">
        <f>('RECEITAS - BLOCOS PAN'!W20-'OPEX - BLOCOS PAN'!W20-VLOOKUP('BLOCO NORDESTE'!$D6,'CAPEX - BLOCOS PAN'!$C$3:$W$52,21,FALSE))*X$15</f>
        <v>-790503.53704396565</v>
      </c>
      <c r="Y6" s="1">
        <f>('RECEITAS - BLOCOS PAN'!X20-'OPEX - BLOCOS PAN'!X20-VLOOKUP('BLOCO NORDESTE'!$D6,'CAPEX - BLOCOS PAN'!$C$3:$X$52,22,FALSE))*Y$15</f>
        <v>-720973.46459801635</v>
      </c>
      <c r="Z6" s="1">
        <f>('RECEITAS - BLOCOS PAN'!Y20-'OPEX - BLOCOS PAN'!Y20-VLOOKUP('BLOCO NORDESTE'!$D6,'CAPEX - BLOCOS PAN'!$C$3:$Y$52,23,FALSE))*Z$15</f>
        <v>-657536.10465313564</v>
      </c>
      <c r="AA6" s="1">
        <f>('RECEITAS - BLOCOS PAN'!Z20-'OPEX - BLOCOS PAN'!Z20-VLOOKUP('BLOCO NORDESTE'!$D6,'CAPEX - BLOCOS PAN'!$C$3:$Z$52,24,FALSE))*AA$15</f>
        <v>-599711.58278387622</v>
      </c>
      <c r="AB6" s="1">
        <f>('RECEITAS - BLOCOS PAN'!AA20-'OPEX - BLOCOS PAN'!AA20-VLOOKUP('BLOCO NORDESTE'!$D6,'CAPEX - BLOCOS PAN'!$C$3:$AA$52,25,FALSE))*AB$15</f>
        <v>-546932.93906449398</v>
      </c>
      <c r="AC6" s="1">
        <f>('RECEITAS - BLOCOS PAN'!AB20-'OPEX - BLOCOS PAN'!AB20-VLOOKUP('BLOCO NORDESTE'!$D6,'CAPEX - BLOCOS PAN'!$C$3:$AB$52,26,FALSE))*AC$15</f>
        <v>-498825.02989214845</v>
      </c>
      <c r="AD6" s="1">
        <f>('RECEITAS - BLOCOS PAN'!AC20-'OPEX - BLOCOS PAN'!AC20-VLOOKUP('BLOCO NORDESTE'!$D6,'CAPEX - BLOCOS PAN'!$C$3:$AC$52,27,FALSE))*AD$15</f>
        <v>-454946.22230562719</v>
      </c>
      <c r="AE6" s="1">
        <f>('RECEITAS - BLOCOS PAN'!AD20-'OPEX - BLOCOS PAN'!AD20-VLOOKUP('BLOCO NORDESTE'!$D6,'CAPEX - BLOCOS PAN'!$C$3:$AD$52,28,FALSE))*AE$15</f>
        <v>-414926.87351911678</v>
      </c>
      <c r="AF6" s="1">
        <f>('RECEITAS - BLOCOS PAN'!AE20-'OPEX - BLOCOS PAN'!AE20-VLOOKUP('BLOCO NORDESTE'!$D6,'CAPEX - BLOCOS PAN'!$C$3:$AE$52,29,FALSE))*AF$15</f>
        <v>-378431.05269593833</v>
      </c>
      <c r="AG6" s="1">
        <f>('RECEITAS - BLOCOS PAN'!AF20-'OPEX - BLOCOS PAN'!AF20-VLOOKUP('BLOCO NORDESTE'!$D6,'CAPEX - BLOCOS PAN'!$C$3:$AF$52,30,FALSE))*AG$15</f>
        <v>-345151.45710086788</v>
      </c>
      <c r="AH6" s="1">
        <f>('RECEITAS - BLOCOS PAN'!AG20-'OPEX - BLOCOS PAN'!AG20-VLOOKUP('BLOCO NORDESTE'!$D6,'CAPEX - BLOCOS PAN'!$C$3:$AG$52,31,FALSE))*AH$15</f>
        <v>-314792.43028520857</v>
      </c>
      <c r="AI6" s="1">
        <f>('RECEITAS - BLOCOS PAN'!AH20-'OPEX - BLOCOS PAN'!AH20-VLOOKUP('BLOCO NORDESTE'!$D6,'CAPEX - BLOCOS PAN'!$C$3:$AH$52,32,FALSE))*AI$15</f>
        <v>-287114.20615293906</v>
      </c>
      <c r="AJ6" s="1">
        <f>('RECEITAS - BLOCOS PAN'!AI20-'OPEX - BLOCOS PAN'!AI20-VLOOKUP('BLOCO NORDESTE'!$D6,'CAPEX - BLOCOS PAN'!$C$3:$AI$52,33,FALSE))*AJ$15</f>
        <v>-261866.93839481854</v>
      </c>
      <c r="AK6" s="1">
        <f>('RECEITAS - BLOCOS PAN'!AJ20-'OPEX - BLOCOS PAN'!AJ20-VLOOKUP('BLOCO NORDESTE'!$D6,'CAPEX - BLOCOS PAN'!$C$3:$AJ$52,34,FALSE))*AK$15</f>
        <v>-238837.43049895001</v>
      </c>
      <c r="AL6" s="1">
        <f>('RECEITAS - BLOCOS PAN'!AK20-'OPEX - BLOCOS PAN'!AK20-VLOOKUP('BLOCO NORDESTE'!$D6,'CAPEX - BLOCOS PAN'!$C$3:$AK$52,35,FALSE))*AL$15</f>
        <v>-217831.03406154097</v>
      </c>
      <c r="AM6" s="44">
        <f t="shared" si="0"/>
        <v>-71442511.911510572</v>
      </c>
      <c r="AN6">
        <v>0</v>
      </c>
      <c r="AO6" t="s">
        <v>310</v>
      </c>
      <c r="AP6">
        <v>-8.0500000000000007</v>
      </c>
      <c r="AQ6">
        <v>-38.31666666666667</v>
      </c>
      <c r="AR6" s="48">
        <f>VLOOKUP(D6,'Projeção - Demanda PAX'!$C$3:$H$37,6,FALSE)</f>
        <v>4022</v>
      </c>
      <c r="AS6" t="str">
        <f>VLOOKUP(D6,'FLUXO DE CAIXA DESC.-BLOCOS PAN'!$D$3:$AU$52,44,FALSE)</f>
        <v>Bloco 8 - Nordeste</v>
      </c>
    </row>
    <row r="7" spans="1:45" s="49" customFormat="1" x14ac:dyDescent="0.35">
      <c r="A7" s="49" t="s">
        <v>369</v>
      </c>
      <c r="B7" s="76" t="s">
        <v>370</v>
      </c>
      <c r="C7" s="49">
        <v>260110</v>
      </c>
      <c r="D7" s="49" t="s">
        <v>371</v>
      </c>
      <c r="E7" s="49" t="s">
        <v>370</v>
      </c>
      <c r="F7" s="49" t="s">
        <v>36</v>
      </c>
      <c r="G7" s="49" t="s">
        <v>258</v>
      </c>
      <c r="H7" s="49" t="s">
        <v>33</v>
      </c>
      <c r="I7" s="72">
        <f>('RECEITAS - BLOCOS PAN'!H43-'OPEX - BLOCOS PAN'!H43-VLOOKUP('BLOCO NORDESTE'!$D7,'CAPEX - BLOCOS PAN'!$C$3:$H$52,6,FALSE))*I$15</f>
        <v>-9141413.2730364166</v>
      </c>
      <c r="J7" s="72">
        <f>('RECEITAS - BLOCOS PAN'!I43-'OPEX - BLOCOS PAN'!I43-VLOOKUP('BLOCO NORDESTE'!$D7,'CAPEX - BLOCOS PAN'!$C$3:$I$52,7,FALSE))*J$15</f>
        <v>-8344512.3441683408</v>
      </c>
      <c r="K7" s="72">
        <f>('RECEITAS - BLOCOS PAN'!J43-'OPEX - BLOCOS PAN'!J43-VLOOKUP('BLOCO NORDESTE'!$D7,'CAPEX - BLOCOS PAN'!$C$3:$J$52,8,FALSE))*K$15</f>
        <v>-7617081.0991951991</v>
      </c>
      <c r="L7" s="72">
        <f>('RECEITAS - BLOCOS PAN'!K43-'OPEX - BLOCOS PAN'!K43-VLOOKUP('BLOCO NORDESTE'!$D7,'CAPEX - BLOCOS PAN'!$C$3:$K$52,9,FALSE))*L$15</f>
        <v>-504987.90665314812</v>
      </c>
      <c r="M7" s="72">
        <f>('RECEITAS - BLOCOS PAN'!L43-'OPEX - BLOCOS PAN'!L43-VLOOKUP('BLOCO NORDESTE'!$D7,'CAPEX - BLOCOS PAN'!$C$3:$L$52,10,FALSE))*M$15</f>
        <v>-460965.68384586781</v>
      </c>
      <c r="N7" s="72">
        <f>('RECEITAS - BLOCOS PAN'!M43-'OPEX - BLOCOS PAN'!M43-VLOOKUP('BLOCO NORDESTE'!$D7,'CAPEX - BLOCOS PAN'!$C$3:$M$52,11,FALSE))*N$15</f>
        <v>-420781.08977258584</v>
      </c>
      <c r="O7" s="72">
        <f>('RECEITAS - BLOCOS PAN'!N43-'OPEX - BLOCOS PAN'!N43-VLOOKUP('BLOCO NORDESTE'!$D7,'CAPEX - BLOCOS PAN'!$C$3:$N$52,12,FALSE))*O$15</f>
        <v>-384099.57989282144</v>
      </c>
      <c r="P7" s="72">
        <f>('RECEITAS - BLOCOS PAN'!O43-'OPEX - BLOCOS PAN'!O43-VLOOKUP('BLOCO NORDESTE'!$D7,'CAPEX - BLOCOS PAN'!$C$3:$O$52,13,FALSE))*P$15</f>
        <v>-350615.77352151659</v>
      </c>
      <c r="Q7" s="72">
        <f>('RECEITAS - BLOCOS PAN'!P43-'OPEX - BLOCOS PAN'!P43-VLOOKUP('BLOCO NORDESTE'!$D7,'CAPEX - BLOCOS PAN'!$C$3:$P$52,14,FALSE))*Q$15</f>
        <v>-320050.91147559712</v>
      </c>
      <c r="R7" s="72">
        <f>('RECEITAS - BLOCOS PAN'!Q43-'OPEX - BLOCOS PAN'!Q43-VLOOKUP('BLOCO NORDESTE'!$D7,'CAPEX - BLOCOS PAN'!$C$3:$Q$52,15,FALSE))*R$15</f>
        <v>-292150.53534970072</v>
      </c>
      <c r="S7" s="72">
        <f>('RECEITAS - BLOCOS PAN'!R43-'OPEX - BLOCOS PAN'!R43-VLOOKUP('BLOCO NORDESTE'!$D7,'CAPEX - BLOCOS PAN'!$C$3:$R$52,16,FALSE))*S$15</f>
        <v>-266682.36910059402</v>
      </c>
      <c r="T7" s="72">
        <f>('RECEITAS - BLOCOS PAN'!S43-'OPEX - BLOCOS PAN'!S43-VLOOKUP('BLOCO NORDESTE'!$D7,'CAPEX - BLOCOS PAN'!$C$3:$S$52,17,FALSE))*T$15</f>
        <v>-243434.3853040566</v>
      </c>
      <c r="U7" s="72">
        <f>('RECEITAS - BLOCOS PAN'!T43-'OPEX - BLOCOS PAN'!T43-VLOOKUP('BLOCO NORDESTE'!$D7,'CAPEX - BLOCOS PAN'!$C$3:$T$52,18,FALSE))*U$15</f>
        <v>-222213.03998544649</v>
      </c>
      <c r="V7" s="72">
        <f>('RECEITAS - BLOCOS PAN'!U43-'OPEX - BLOCOS PAN'!U43-VLOOKUP('BLOCO NORDESTE'!$D7,'CAPEX - BLOCOS PAN'!$C$3:$U$52,19,FALSE))*V$15</f>
        <v>-202841.66132856821</v>
      </c>
      <c r="W7" s="72">
        <f>('RECEITAS - BLOCOS PAN'!V43-'OPEX - BLOCOS PAN'!V43-VLOOKUP('BLOCO NORDESTE'!$D7,'CAPEX - BLOCOS PAN'!$C$3:$V$52,20,FALSE))*W$15</f>
        <v>-185158.9788485333</v>
      </c>
      <c r="X7" s="72">
        <f>('RECEITAS - BLOCOS PAN'!W43-'OPEX - BLOCOS PAN'!W43-VLOOKUP('BLOCO NORDESTE'!$D7,'CAPEX - BLOCOS PAN'!$C$3:$W$52,21,FALSE))*X$15</f>
        <v>-169017.78078369083</v>
      </c>
      <c r="Y7" s="72">
        <f>('RECEITAS - BLOCOS PAN'!X43-'OPEX - BLOCOS PAN'!X43-VLOOKUP('BLOCO NORDESTE'!$D7,'CAPEX - BLOCOS PAN'!$C$3:$X$52,22,FALSE))*Y$15</f>
        <v>-154283.68852915641</v>
      </c>
      <c r="Z7" s="72">
        <f>('RECEITAS - BLOCOS PAN'!Y43-'OPEX - BLOCOS PAN'!Y43-VLOOKUP('BLOCO NORDESTE'!$D7,'CAPEX - BLOCOS PAN'!$C$3:$Y$52,23,FALSE))*Z$15</f>
        <v>-140834.03790886025</v>
      </c>
      <c r="AA7" s="72">
        <f>('RECEITAS - BLOCOS PAN'!Z43-'OPEX - BLOCOS PAN'!Z43-VLOOKUP('BLOCO NORDESTE'!$D7,'CAPEX - BLOCOS PAN'!$C$3:$Z$52,24,FALSE))*AA$15</f>
        <v>-128556.85797248771</v>
      </c>
      <c r="AB7" s="72">
        <f>('RECEITAS - BLOCOS PAN'!AA43-'OPEX - BLOCOS PAN'!AA43-VLOOKUP('BLOCO NORDESTE'!$D7,'CAPEX - BLOCOS PAN'!$C$3:$AA$52,25,FALSE))*AB$15</f>
        <v>-117349.93881559809</v>
      </c>
      <c r="AC7" s="72">
        <f>('RECEITAS - BLOCOS PAN'!AB43-'OPEX - BLOCOS PAN'!AB43-VLOOKUP('BLOCO NORDESTE'!$D7,'CAPEX - BLOCOS PAN'!$C$3:$AB$52,26,FALSE))*AC$15</f>
        <v>-107119.98066234423</v>
      </c>
      <c r="AD7" s="72">
        <f>('RECEITAS - BLOCOS PAN'!AC43-'OPEX - BLOCOS PAN'!AC43-VLOOKUP('BLOCO NORDESTE'!$D7,'CAPEX - BLOCOS PAN'!$C$3:$AC$52,27,FALSE))*AD$15</f>
        <v>-97781.817126740498</v>
      </c>
      <c r="AE7" s="72">
        <f>('RECEITAS - BLOCOS PAN'!AD43-'OPEX - BLOCOS PAN'!AD43-VLOOKUP('BLOCO NORDESTE'!$D7,'CAPEX - BLOCOS PAN'!$C$3:$AD$52,28,FALSE))*AE$15</f>
        <v>-89257.706185979463</v>
      </c>
      <c r="AF7" s="72">
        <f>('RECEITAS - BLOCOS PAN'!AE43-'OPEX - BLOCOS PAN'!AE43-VLOOKUP('BLOCO NORDESTE'!$D7,'CAPEX - BLOCOS PAN'!$C$3:$AE$52,29,FALSE))*AF$15</f>
        <v>-81476.682963011845</v>
      </c>
      <c r="AG7" s="72">
        <f>('RECEITAS - BLOCOS PAN'!AF43-'OPEX - BLOCOS PAN'!AF43-VLOOKUP('BLOCO NORDESTE'!$D7,'CAPEX - BLOCOS PAN'!$C$3:$AF$52,30,FALSE))*AG$15</f>
        <v>-74373.96893017969</v>
      </c>
      <c r="AH7" s="72">
        <f>('RECEITAS - BLOCOS PAN'!AG43-'OPEX - BLOCOS PAN'!AG43-VLOOKUP('BLOCO NORDESTE'!$D7,'CAPEX - BLOCOS PAN'!$C$3:$AG$52,31,FALSE))*AH$15</f>
        <v>-67890.432615408208</v>
      </c>
      <c r="AI7" s="72">
        <f>('RECEITAS - BLOCOS PAN'!AH43-'OPEX - BLOCOS PAN'!AH43-VLOOKUP('BLOCO NORDESTE'!$D7,'CAPEX - BLOCOS PAN'!$C$3:$AH$52,32,FALSE))*AI$15</f>
        <v>-61972.097321230678</v>
      </c>
      <c r="AJ7" s="72">
        <f>('RECEITAS - BLOCOS PAN'!AI43-'OPEX - BLOCOS PAN'!AI43-VLOOKUP('BLOCO NORDESTE'!$D7,'CAPEX - BLOCOS PAN'!$C$3:$AI$52,33,FALSE))*AJ$15</f>
        <v>-56569.691758311899</v>
      </c>
      <c r="AK7" s="72">
        <f>('RECEITAS - BLOCOS PAN'!AJ43-'OPEX - BLOCOS PAN'!AJ43-VLOOKUP('BLOCO NORDESTE'!$D7,'CAPEX - BLOCOS PAN'!$C$3:$AJ$52,34,FALSE))*AK$15</f>
        <v>-51638.23985240703</v>
      </c>
      <c r="AL7" s="72">
        <f>('RECEITAS - BLOCOS PAN'!AK43-'OPEX - BLOCOS PAN'!AK43-VLOOKUP('BLOCO NORDESTE'!$D7,'CAPEX - BLOCOS PAN'!$C$3:$AK$52,35,FALSE))*AL$15</f>
        <v>-47136.686309819284</v>
      </c>
      <c r="AM7" s="77">
        <f t="shared" ref="AM7:AM8" si="1">SUM(I7:AL7)</f>
        <v>-30402248.239213612</v>
      </c>
      <c r="AN7" s="49">
        <v>0</v>
      </c>
      <c r="AO7" s="49" t="s">
        <v>310</v>
      </c>
      <c r="AP7" s="49">
        <v>-7.583333333333333</v>
      </c>
      <c r="AQ7" s="49">
        <v>-40.533333333333331</v>
      </c>
      <c r="AR7" s="78">
        <v>0</v>
      </c>
      <c r="AS7" s="49" t="str">
        <f>VLOOKUP(D7,'FLUXO DE CAIXA DESC.-BLOCOS PAN'!$D$3:$AU$52,44,FALSE)</f>
        <v>Bloco 8 - Nordeste</v>
      </c>
    </row>
    <row r="8" spans="1:45" s="49" customFormat="1" x14ac:dyDescent="0.35">
      <c r="A8" s="49" t="s">
        <v>373</v>
      </c>
      <c r="B8" s="76" t="s">
        <v>374</v>
      </c>
      <c r="C8" s="49">
        <v>260600</v>
      </c>
      <c r="D8" s="49" t="s">
        <v>375</v>
      </c>
      <c r="E8" s="49" t="s">
        <v>374</v>
      </c>
      <c r="F8" s="49" t="s">
        <v>36</v>
      </c>
      <c r="G8" s="49" t="s">
        <v>258</v>
      </c>
      <c r="H8" s="49" t="s">
        <v>33</v>
      </c>
      <c r="I8" s="72">
        <f>('RECEITAS - BLOCOS PAN'!H46-'OPEX - BLOCOS PAN'!H46-VLOOKUP('BLOCO NORDESTE'!$D8,'CAPEX - BLOCOS PAN'!$C$3:$H$52,6,FALSE))*I$15</f>
        <v>-9552739.7416826598</v>
      </c>
      <c r="J8" s="72">
        <f>('RECEITAS - BLOCOS PAN'!I46-'OPEX - BLOCOS PAN'!I46-VLOOKUP('BLOCO NORDESTE'!$D8,'CAPEX - BLOCOS PAN'!$C$3:$I$52,7,FALSE))*J$15</f>
        <v>-8719981.507697545</v>
      </c>
      <c r="K8" s="72">
        <f>('RECEITAS - BLOCOS PAN'!J46-'OPEX - BLOCOS PAN'!J46-VLOOKUP('BLOCO NORDESTE'!$D8,'CAPEX - BLOCOS PAN'!$C$3:$J$52,8,FALSE))*K$15</f>
        <v>-7959818.8112255093</v>
      </c>
      <c r="L8" s="72">
        <f>('RECEITAS - BLOCOS PAN'!K46-'OPEX - BLOCOS PAN'!K46-VLOOKUP('BLOCO NORDESTE'!$D8,'CAPEX - BLOCOS PAN'!$C$3:$K$52,9,FALSE))*L$15</f>
        <v>-503417.30457000388</v>
      </c>
      <c r="M8" s="72">
        <f>('RECEITAS - BLOCOS PAN'!L46-'OPEX - BLOCOS PAN'!L46-VLOOKUP('BLOCO NORDESTE'!$D8,'CAPEX - BLOCOS PAN'!$C$3:$L$52,10,FALSE))*M$15</f>
        <v>-459531.99869466358</v>
      </c>
      <c r="N8" s="72">
        <f>('RECEITAS - BLOCOS PAN'!M46-'OPEX - BLOCOS PAN'!M46-VLOOKUP('BLOCO NORDESTE'!$D8,'CAPEX - BLOCOS PAN'!$C$3:$M$52,11,FALSE))*N$15</f>
        <v>-419472.38584633823</v>
      </c>
      <c r="O8" s="72">
        <f>('RECEITAS - BLOCOS PAN'!N46-'OPEX - BLOCOS PAN'!N46-VLOOKUP('BLOCO NORDESTE'!$D8,'CAPEX - BLOCOS PAN'!$C$3:$N$52,12,FALSE))*O$15</f>
        <v>-382904.96197748813</v>
      </c>
      <c r="P8" s="72">
        <f>('RECEITAS - BLOCOS PAN'!O46-'OPEX - BLOCOS PAN'!O46-VLOOKUP('BLOCO NORDESTE'!$D8,'CAPEX - BLOCOS PAN'!$C$3:$O$52,13,FALSE))*P$15</f>
        <v>-349525.29619122605</v>
      </c>
      <c r="Q8" s="72">
        <f>('RECEITAS - BLOCOS PAN'!P46-'OPEX - BLOCOS PAN'!P46-VLOOKUP('BLOCO NORDESTE'!$D8,'CAPEX - BLOCOS PAN'!$C$3:$P$52,14,FALSE))*Q$15</f>
        <v>-319055.49629504891</v>
      </c>
      <c r="R8" s="72">
        <f>('RECEITAS - BLOCOS PAN'!Q46-'OPEX - BLOCOS PAN'!Q46-VLOOKUP('BLOCO NORDESTE'!$D8,'CAPEX - BLOCOS PAN'!$C$3:$Q$52,15,FALSE))*R$15</f>
        <v>-291241.89529443078</v>
      </c>
      <c r="S8" s="72">
        <f>('RECEITAS - BLOCOS PAN'!R46-'OPEX - BLOCOS PAN'!R46-VLOOKUP('BLOCO NORDESTE'!$D8,'CAPEX - BLOCOS PAN'!$C$3:$R$52,16,FALSE))*S$15</f>
        <v>-265852.93956588849</v>
      </c>
      <c r="T8" s="72">
        <f>('RECEITAS - BLOCOS PAN'!S46-'OPEX - BLOCOS PAN'!S46-VLOOKUP('BLOCO NORDESTE'!$D8,'CAPEX - BLOCOS PAN'!$C$3:$S$52,17,FALSE))*T$15</f>
        <v>-242677.26112815016</v>
      </c>
      <c r="U8" s="72">
        <f>('RECEITAS - BLOCOS PAN'!T46-'OPEX - BLOCOS PAN'!T46-VLOOKUP('BLOCO NORDESTE'!$D8,'CAPEX - BLOCOS PAN'!$C$3:$T$52,18,FALSE))*U$15</f>
        <v>-221521.91796271125</v>
      </c>
      <c r="V8" s="72">
        <f>('RECEITAS - BLOCOS PAN'!U46-'OPEX - BLOCOS PAN'!U46-VLOOKUP('BLOCO NORDESTE'!$D8,'CAPEX - BLOCOS PAN'!$C$3:$U$52,19,FALSE))*V$15</f>
        <v>-202210.78773410426</v>
      </c>
      <c r="W8" s="72">
        <f>('RECEITAS - BLOCOS PAN'!V46-'OPEX - BLOCOS PAN'!V46-VLOOKUP('BLOCO NORDESTE'!$D8,'CAPEX - BLOCOS PAN'!$C$3:$V$52,20,FALSE))*W$15</f>
        <v>-184583.10153729282</v>
      </c>
      <c r="X8" s="72">
        <f>('RECEITAS - BLOCOS PAN'!W46-'OPEX - BLOCOS PAN'!W46-VLOOKUP('BLOCO NORDESTE'!$D8,'CAPEX - BLOCOS PAN'!$C$3:$W$52,21,FALSE))*X$15</f>
        <v>-168492.10546535172</v>
      </c>
      <c r="Y8" s="72">
        <f>('RECEITAS - BLOCOS PAN'!X46-'OPEX - BLOCOS PAN'!X46-VLOOKUP('BLOCO NORDESTE'!$D8,'CAPEX - BLOCOS PAN'!$C$3:$X$52,22,FALSE))*Y$15</f>
        <v>-153803.83885472547</v>
      </c>
      <c r="Z8" s="72">
        <f>('RECEITAS - BLOCOS PAN'!Y46-'OPEX - BLOCOS PAN'!Y46-VLOOKUP('BLOCO NORDESTE'!$D8,'CAPEX - BLOCOS PAN'!$C$3:$Y$52,23,FALSE))*Z$15</f>
        <v>-140396.01903671882</v>
      </c>
      <c r="AA8" s="72">
        <f>('RECEITAS - BLOCOS PAN'!Z46-'OPEX - BLOCOS PAN'!Z46-VLOOKUP('BLOCO NORDESTE'!$D8,'CAPEX - BLOCOS PAN'!$C$3:$Z$52,24,FALSE))*AA$15</f>
        <v>-128157.02331056034</v>
      </c>
      <c r="AB8" s="72">
        <f>('RECEITAS - BLOCOS PAN'!AA46-'OPEX - BLOCOS PAN'!AA46-VLOOKUP('BLOCO NORDESTE'!$D8,'CAPEX - BLOCOS PAN'!$C$3:$AA$52,25,FALSE))*AB$15</f>
        <v>-116984.95966276617</v>
      </c>
      <c r="AC8" s="72">
        <f>('RECEITAS - BLOCOS PAN'!AB46-'OPEX - BLOCOS PAN'!AB46-VLOOKUP('BLOCO NORDESTE'!$D8,'CAPEX - BLOCOS PAN'!$C$3:$AB$52,26,FALSE))*AC$15</f>
        <v>-106786.81849636347</v>
      </c>
      <c r="AD8" s="72">
        <f>('RECEITAS - BLOCOS PAN'!AC46-'OPEX - BLOCOS PAN'!AC46-VLOOKUP('BLOCO NORDESTE'!$D8,'CAPEX - BLOCOS PAN'!$C$3:$AC$52,27,FALSE))*AD$15</f>
        <v>-97477.698307953877</v>
      </c>
      <c r="AE8" s="72">
        <f>('RECEITAS - BLOCOS PAN'!AD46-'OPEX - BLOCOS PAN'!AD46-VLOOKUP('BLOCO NORDESTE'!$D8,'CAPEX - BLOCOS PAN'!$C$3:$AD$52,28,FALSE))*AE$15</f>
        <v>-88980.098866229004</v>
      </c>
      <c r="AF8" s="72">
        <f>('RECEITAS - BLOCOS PAN'!AE46-'OPEX - BLOCOS PAN'!AE46-VLOOKUP('BLOCO NORDESTE'!$D8,'CAPEX - BLOCOS PAN'!$C$3:$AE$52,29,FALSE))*AF$15</f>
        <v>-81223.276007511653</v>
      </c>
      <c r="AG8" s="72">
        <f>('RECEITAS - BLOCOS PAN'!AF46-'OPEX - BLOCOS PAN'!AF46-VLOOKUP('BLOCO NORDESTE'!$D8,'CAPEX - BLOCOS PAN'!$C$3:$AF$52,30,FALSE))*AG$15</f>
        <v>-74142.652676870523</v>
      </c>
      <c r="AH8" s="72">
        <f>('RECEITAS - BLOCOS PAN'!AG46-'OPEX - BLOCOS PAN'!AG46-VLOOKUP('BLOCO NORDESTE'!$D8,'CAPEX - BLOCOS PAN'!$C$3:$AG$52,31,FALSE))*AH$15</f>
        <v>-67679.281311611616</v>
      </c>
      <c r="AI8" s="72">
        <f>('RECEITAS - BLOCOS PAN'!AH46-'OPEX - BLOCOS PAN'!AH46-VLOOKUP('BLOCO NORDESTE'!$D8,'CAPEX - BLOCOS PAN'!$C$3:$AH$52,32,FALSE))*AI$15</f>
        <v>-61779.353091384401</v>
      </c>
      <c r="AJ8" s="72">
        <f>('RECEITAS - BLOCOS PAN'!AI46-'OPEX - BLOCOS PAN'!AI46-VLOOKUP('BLOCO NORDESTE'!$D8,'CAPEX - BLOCOS PAN'!$C$3:$AI$52,33,FALSE))*AJ$15</f>
        <v>-56393.749969314842</v>
      </c>
      <c r="AK8" s="72">
        <f>('RECEITAS - BLOCOS PAN'!AJ46-'OPEX - BLOCOS PAN'!AJ46-VLOOKUP('BLOCO NORDESTE'!$D8,'CAPEX - BLOCOS PAN'!$C$3:$AJ$52,34,FALSE))*AK$15</f>
        <v>-51477.635754737421</v>
      </c>
      <c r="AL8" s="72">
        <f>('RECEITAS - BLOCOS PAN'!AK46-'OPEX - BLOCOS PAN'!AK46-VLOOKUP('BLOCO NORDESTE'!$D8,'CAPEX - BLOCOS PAN'!$C$3:$AK$52,35,FALSE))*AL$15</f>
        <v>-46990.082843210788</v>
      </c>
      <c r="AM8" s="77">
        <f t="shared" si="1"/>
        <v>-31515300.00105837</v>
      </c>
      <c r="AN8" s="49">
        <v>0</v>
      </c>
      <c r="AO8" s="49" t="s">
        <v>310</v>
      </c>
      <c r="AP8" s="49">
        <v>-8.8333333333333339</v>
      </c>
      <c r="AQ8" s="49">
        <v>-36.466666666666669</v>
      </c>
      <c r="AR8" s="78">
        <v>0</v>
      </c>
      <c r="AS8" s="49" t="str">
        <f>VLOOKUP(D8,'FLUXO DE CAIXA DESC.-BLOCOS PAN'!$D$3:$AU$52,44,FALSE)</f>
        <v>Bloco 8 - Nordeste</v>
      </c>
    </row>
    <row r="9" spans="1:45" x14ac:dyDescent="0.35">
      <c r="A9" t="s">
        <v>141</v>
      </c>
      <c r="B9" t="s">
        <v>177</v>
      </c>
      <c r="C9">
        <v>221060</v>
      </c>
      <c r="D9" t="s">
        <v>143</v>
      </c>
      <c r="E9" t="s">
        <v>144</v>
      </c>
      <c r="F9" t="s">
        <v>38</v>
      </c>
      <c r="G9" t="s">
        <v>258</v>
      </c>
      <c r="H9" t="s">
        <v>33</v>
      </c>
      <c r="I9" s="1">
        <f>('RECEITAS - BLOCOS PAN'!H31-'OPEX - BLOCOS PAN'!H31-VLOOKUP('BLOCO NORDESTE'!$D9,'CAPEX - BLOCOS PAN'!$C$3:$H$52,6,FALSE))*I$15</f>
        <v>-8248507.3093999997</v>
      </c>
      <c r="J9" s="1">
        <f>('RECEITAS - BLOCOS PAN'!I31-'OPEX - BLOCOS PAN'!I31-VLOOKUP('BLOCO NORDESTE'!$D9,'CAPEX - BLOCOS PAN'!$C$3:$I$52,7,FALSE))*J$15</f>
        <v>-7487565.42026472</v>
      </c>
      <c r="K9" s="1">
        <f>('RECEITAS - BLOCOS PAN'!J31-'OPEX - BLOCOS PAN'!J31-VLOOKUP('BLOCO NORDESTE'!$D9,'CAPEX - BLOCOS PAN'!$C$3:$J$52,8,FALSE))*K$15</f>
        <v>-6811515.3733969582</v>
      </c>
      <c r="L9" s="1">
        <f>('RECEITAS - BLOCOS PAN'!K31-'OPEX - BLOCOS PAN'!K31-VLOOKUP('BLOCO NORDESTE'!$D9,'CAPEX - BLOCOS PAN'!$C$3:$K$52,9,FALSE))*L$15</f>
        <v>-2517527.1868920228</v>
      </c>
      <c r="M9" s="1">
        <f>('RECEITAS - BLOCOS PAN'!L31-'OPEX - BLOCOS PAN'!L31-VLOOKUP('BLOCO NORDESTE'!$D9,'CAPEX - BLOCOS PAN'!$C$3:$L$52,10,FALSE))*M$15</f>
        <v>-2284589.3717861096</v>
      </c>
      <c r="N9" s="1">
        <f>('RECEITAS - BLOCOS PAN'!M31-'OPEX - BLOCOS PAN'!M31-VLOOKUP('BLOCO NORDESTE'!$D9,'CAPEX - BLOCOS PAN'!$C$3:$M$52,11,FALSE))*N$15</f>
        <v>-2073974.8678658761</v>
      </c>
      <c r="O9" s="1">
        <f>('RECEITAS - BLOCOS PAN'!N31-'OPEX - BLOCOS PAN'!N31-VLOOKUP('BLOCO NORDESTE'!$D9,'CAPEX - BLOCOS PAN'!$C$3:$N$52,12,FALSE))*O$15</f>
        <v>-2062860.2008649039</v>
      </c>
      <c r="P9" s="1">
        <f>('RECEITAS - BLOCOS PAN'!O31-'OPEX - BLOCOS PAN'!O31-VLOOKUP('BLOCO NORDESTE'!$D9,'CAPEX - BLOCOS PAN'!$C$3:$O$52,13,FALSE))*P$15</f>
        <v>-1879957.9493859238</v>
      </c>
      <c r="Q9" s="1">
        <f>('RECEITAS - BLOCOS PAN'!P31-'OPEX - BLOCOS PAN'!P31-VLOOKUP('BLOCO NORDESTE'!$D9,'CAPEX - BLOCOS PAN'!$C$3:$P$52,14,FALSE))*Q$15</f>
        <v>-1705672.1843410484</v>
      </c>
      <c r="R9" s="1">
        <f>('RECEITAS - BLOCOS PAN'!Q31-'OPEX - BLOCOS PAN'!Q31-VLOOKUP('BLOCO NORDESTE'!$D9,'CAPEX - BLOCOS PAN'!$C$3:$Q$52,15,FALSE))*R$15</f>
        <v>-1547536.633072475</v>
      </c>
      <c r="S9" s="1">
        <f>('RECEITAS - BLOCOS PAN'!R31-'OPEX - BLOCOS PAN'!R31-VLOOKUP('BLOCO NORDESTE'!$D9,'CAPEX - BLOCOS PAN'!$C$3:$R$52,16,FALSE))*S$15</f>
        <v>-1410551.227754513</v>
      </c>
      <c r="T9" s="1">
        <f>('RECEITAS - BLOCOS PAN'!S31-'OPEX - BLOCOS PAN'!S31-VLOOKUP('BLOCO NORDESTE'!$D9,'CAPEX - BLOCOS PAN'!$C$3:$S$52,17,FALSE))*T$15</f>
        <v>-1279780.303743528</v>
      </c>
      <c r="U9" s="1">
        <f>('RECEITAS - BLOCOS PAN'!T31-'OPEX - BLOCOS PAN'!T31-VLOOKUP('BLOCO NORDESTE'!$D9,'CAPEX - BLOCOS PAN'!$C$3:$T$52,18,FALSE))*U$15</f>
        <v>-1166521.3929885912</v>
      </c>
      <c r="V9" s="1">
        <f>('RECEITAS - BLOCOS PAN'!U31-'OPEX - BLOCOS PAN'!U31-VLOOKUP('BLOCO NORDESTE'!$D9,'CAPEX - BLOCOS PAN'!$C$3:$U$52,19,FALSE))*V$15</f>
        <v>-1058194.7409005393</v>
      </c>
      <c r="W9" s="1">
        <f>('RECEITAS - BLOCOS PAN'!V31-'OPEX - BLOCOS PAN'!V31-VLOOKUP('BLOCO NORDESTE'!$D9,'CAPEX - BLOCOS PAN'!$C$3:$V$52,20,FALSE))*W$15</f>
        <v>-964570.64240276301</v>
      </c>
      <c r="X9" s="1">
        <f>('RECEITAS - BLOCOS PAN'!W31-'OPEX - BLOCOS PAN'!W31-VLOOKUP('BLOCO NORDESTE'!$D9,'CAPEX - BLOCOS PAN'!$C$3:$W$52,21,FALSE))*X$15</f>
        <v>-879231.9731666412</v>
      </c>
      <c r="Y9" s="1">
        <f>('RECEITAS - BLOCOS PAN'!X31-'OPEX - BLOCOS PAN'!X31-VLOOKUP('BLOCO NORDESTE'!$D9,'CAPEX - BLOCOS PAN'!$C$3:$X$52,22,FALSE))*Y$15</f>
        <v>-797548.09460952948</v>
      </c>
      <c r="Z9" s="1">
        <f>('RECEITAS - BLOCOS PAN'!Y31-'OPEX - BLOCOS PAN'!Y31-VLOOKUP('BLOCO NORDESTE'!$D9,'CAPEX - BLOCOS PAN'!$C$3:$Y$52,23,FALSE))*Z$15</f>
        <v>-726931.33841670107</v>
      </c>
      <c r="AA9" s="1">
        <f>('RECEITAS - BLOCOS PAN'!Z31-'OPEX - BLOCOS PAN'!Z31-VLOOKUP('BLOCO NORDESTE'!$D9,'CAPEX - BLOCOS PAN'!$C$3:$Z$52,24,FALSE))*AA$15</f>
        <v>-659222.2107932003</v>
      </c>
      <c r="AB9" s="1">
        <f>('RECEITAS - BLOCOS PAN'!AA31-'OPEX - BLOCOS PAN'!AA31-VLOOKUP('BLOCO NORDESTE'!$D9,'CAPEX - BLOCOS PAN'!$C$3:$AA$52,25,FALSE))*AB$15</f>
        <v>-600834.56123300281</v>
      </c>
      <c r="AC9" s="1">
        <f>('RECEITAS - BLOCOS PAN'!AB31-'OPEX - BLOCOS PAN'!AB31-VLOOKUP('BLOCO NORDESTE'!$D9,'CAPEX - BLOCOS PAN'!$C$3:$AB$52,26,FALSE))*AC$15</f>
        <v>-544881.48317561951</v>
      </c>
      <c r="AD9" s="1">
        <f>('RECEITAS - BLOCOS PAN'!AC31-'OPEX - BLOCOS PAN'!AC31-VLOOKUP('BLOCO NORDESTE'!$D9,'CAPEX - BLOCOS PAN'!$C$3:$AC$52,27,FALSE))*AD$15</f>
        <v>-496673.78997158381</v>
      </c>
      <c r="AE9" s="1">
        <f>('RECEITAS - BLOCOS PAN'!AD31-'OPEX - BLOCOS PAN'!AD31-VLOOKUP('BLOCO NORDESTE'!$D9,'CAPEX - BLOCOS PAN'!$C$3:$AD$52,28,FALSE))*AE$15</f>
        <v>-450395.19527924305</v>
      </c>
      <c r="AF9" s="1">
        <f>('RECEITAS - BLOCOS PAN'!AE31-'OPEX - BLOCOS PAN'!AE31-VLOOKUP('BLOCO NORDESTE'!$D9,'CAPEX - BLOCOS PAN'!$C$3:$AE$52,29,FALSE))*AF$15</f>
        <v>-410584.3434842538</v>
      </c>
      <c r="AG9" s="1">
        <f>('RECEITAS - BLOCOS PAN'!AF31-'OPEX - BLOCOS PAN'!AF31-VLOOKUP('BLOCO NORDESTE'!$D9,'CAPEX - BLOCOS PAN'!$C$3:$AF$52,30,FALSE))*AG$15</f>
        <v>-372309.28477600223</v>
      </c>
      <c r="AH9" s="1">
        <f>('RECEITAS - BLOCOS PAN'!AG31-'OPEX - BLOCOS PAN'!AG31-VLOOKUP('BLOCO NORDESTE'!$D9,'CAPEX - BLOCOS PAN'!$C$3:$AG$52,31,FALSE))*AH$15</f>
        <v>-339428.90429893957</v>
      </c>
      <c r="AI9" s="1">
        <f>('RECEITAS - BLOCOS PAN'!AH31-'OPEX - BLOCOS PAN'!AH31-VLOOKUP('BLOCO NORDESTE'!$D9,'CAPEX - BLOCOS PAN'!$C$3:$AH$52,32,FALSE))*AI$15</f>
        <v>-307825.32861290273</v>
      </c>
      <c r="AJ9" s="1">
        <f>('RECEITAS - BLOCOS PAN'!AI31-'OPEX - BLOCOS PAN'!AI31-VLOOKUP('BLOCO NORDESTE'!$D9,'CAPEX - BLOCOS PAN'!$C$3:$AI$52,33,FALSE))*AJ$15</f>
        <v>-280712.47845320136</v>
      </c>
      <c r="AK9" s="1">
        <f>('RECEITAS - BLOCOS PAN'!AJ31-'OPEX - BLOCOS PAN'!AJ31-VLOOKUP('BLOCO NORDESTE'!$D9,'CAPEX - BLOCOS PAN'!$C$3:$AJ$52,34,FALSE))*AK$15</f>
        <v>-255986.33194702494</v>
      </c>
      <c r="AL9" s="1">
        <f>('RECEITAS - BLOCOS PAN'!AK31-'OPEX - BLOCOS PAN'!AK31-VLOOKUP('BLOCO NORDESTE'!$D9,'CAPEX - BLOCOS PAN'!$C$3:$AK$52,35,FALSE))*AL$15</f>
        <v>-233436.90757436413</v>
      </c>
      <c r="AM9" s="44">
        <f t="shared" si="0"/>
        <v>-49855327.030852176</v>
      </c>
      <c r="AN9">
        <v>0</v>
      </c>
      <c r="AO9" t="s">
        <v>310</v>
      </c>
      <c r="AP9">
        <v>-9.0666666666666664</v>
      </c>
      <c r="AQ9">
        <v>-42.633333333333333</v>
      </c>
      <c r="AR9" s="48">
        <f>VLOOKUP(D9,'Projeção - Demanda PAX'!$C$3:$H$37,6,FALSE)</f>
        <v>19650</v>
      </c>
      <c r="AS9" t="str">
        <f>VLOOKUP(D9,'FLUXO DE CAIXA DESC.-BLOCOS PAN'!$D$3:$AU$52,44,FALSE)</f>
        <v>Bloco 8 - Nordeste</v>
      </c>
    </row>
    <row r="10" spans="1:45" x14ac:dyDescent="0.35">
      <c r="A10" t="s">
        <v>262</v>
      </c>
      <c r="B10" t="s">
        <v>263</v>
      </c>
      <c r="C10">
        <v>210170</v>
      </c>
      <c r="D10" t="s">
        <v>287</v>
      </c>
      <c r="E10" t="s">
        <v>263</v>
      </c>
      <c r="F10" t="s">
        <v>31</v>
      </c>
      <c r="G10" t="s">
        <v>258</v>
      </c>
      <c r="H10" t="s">
        <v>33</v>
      </c>
      <c r="I10" s="1">
        <f>('RECEITAS - BLOCOS PAN'!H37-'OPEX - BLOCOS PAN'!H37-VLOOKUP('BLOCO NORDESTE'!$D10,'CAPEX - BLOCOS PAN'!$C$3:$H$52,6,FALSE))*I$15</f>
        <v>-30466652.9375</v>
      </c>
      <c r="J10" s="1">
        <f>('RECEITAS - BLOCOS PAN'!I37-'OPEX - BLOCOS PAN'!I37-VLOOKUP('BLOCO NORDESTE'!$D10,'CAPEX - BLOCOS PAN'!$C$3:$I$52,7,FALSE))*J$15</f>
        <v>-27677550.249475125</v>
      </c>
      <c r="K10" s="1">
        <f>('RECEITAS - BLOCOS PAN'!J37-'OPEX - BLOCOS PAN'!J37-VLOOKUP('BLOCO NORDESTE'!$D10,'CAPEX - BLOCOS PAN'!$C$3:$J$52,8,FALSE))*K$15</f>
        <v>-25167573.534568727</v>
      </c>
      <c r="L10" s="1">
        <f>('RECEITAS - BLOCOS PAN'!K37-'OPEX - BLOCOS PAN'!K37-VLOOKUP('BLOCO NORDESTE'!$D10,'CAPEX - BLOCOS PAN'!$C$3:$K$52,9,FALSE))*L$15</f>
        <v>-2411759.9637261597</v>
      </c>
      <c r="M10" s="1">
        <f>('RECEITAS - BLOCOS PAN'!L37-'OPEX - BLOCOS PAN'!L37-VLOOKUP('BLOCO NORDESTE'!$D10,'CAPEX - BLOCOS PAN'!$C$3:$L$52,10,FALSE))*M$15</f>
        <v>-2148564.1007167799</v>
      </c>
      <c r="N10" s="1">
        <f>('RECEITAS - BLOCOS PAN'!M37-'OPEX - BLOCOS PAN'!M37-VLOOKUP('BLOCO NORDESTE'!$D10,'CAPEX - BLOCOS PAN'!$C$3:$M$52,11,FALSE))*N$15</f>
        <v>-1916415.3021760692</v>
      </c>
      <c r="O10" s="1">
        <f>('RECEITAS - BLOCOS PAN'!N37-'OPEX - BLOCOS PAN'!N37-VLOOKUP('BLOCO NORDESTE'!$D10,'CAPEX - BLOCOS PAN'!$C$3:$N$52,12,FALSE))*O$15</f>
        <v>-1710653.4217635007</v>
      </c>
      <c r="P10" s="1">
        <f>('RECEITAS - BLOCOS PAN'!O37-'OPEX - BLOCOS PAN'!O37-VLOOKUP('BLOCO NORDESTE'!$D10,'CAPEX - BLOCOS PAN'!$C$3:$O$52,13,FALSE))*P$15</f>
        <v>-1525598.1907270248</v>
      </c>
      <c r="Q10" s="1">
        <f>('RECEITAS - BLOCOS PAN'!P37-'OPEX - BLOCOS PAN'!P37-VLOOKUP('BLOCO NORDESTE'!$D10,'CAPEX - BLOCOS PAN'!$C$3:$P$52,14,FALSE))*Q$15</f>
        <v>-1361852.6285783502</v>
      </c>
      <c r="R10" s="1">
        <f>('RECEITAS - BLOCOS PAN'!Q37-'OPEX - BLOCOS PAN'!Q37-VLOOKUP('BLOCO NORDESTE'!$D10,'CAPEX - BLOCOS PAN'!$C$3:$Q$52,15,FALSE))*R$15</f>
        <v>-1217553.8805476949</v>
      </c>
      <c r="S10" s="1">
        <f>('RECEITAS - BLOCOS PAN'!R37-'OPEX - BLOCOS PAN'!R37-VLOOKUP('BLOCO NORDESTE'!$D10,'CAPEX - BLOCOS PAN'!$C$3:$R$52,16,FALSE))*S$15</f>
        <v>-1088720.3928783454</v>
      </c>
      <c r="T10" s="1">
        <f>('RECEITAS - BLOCOS PAN'!S37-'OPEX - BLOCOS PAN'!S37-VLOOKUP('BLOCO NORDESTE'!$D10,'CAPEX - BLOCOS PAN'!$C$3:$S$52,17,FALSE))*T$15</f>
        <v>-974151.65104953898</v>
      </c>
      <c r="U10" s="1">
        <f>('RECEITAS - BLOCOS PAN'!T37-'OPEX - BLOCOS PAN'!T37-VLOOKUP('BLOCO NORDESTE'!$D10,'CAPEX - BLOCOS PAN'!$C$3:$T$52,18,FALSE))*U$15</f>
        <v>-870722.696353195</v>
      </c>
      <c r="V10" s="1">
        <f>('RECEITAS - BLOCOS PAN'!U37-'OPEX - BLOCOS PAN'!U37-VLOOKUP('BLOCO NORDESTE'!$D10,'CAPEX - BLOCOS PAN'!$C$3:$U$52,19,FALSE))*V$15</f>
        <v>-777574.39254077652</v>
      </c>
      <c r="W10" s="1">
        <f>('RECEITAS - BLOCOS PAN'!V37-'OPEX - BLOCOS PAN'!V37-VLOOKUP('BLOCO NORDESTE'!$D10,'CAPEX - BLOCOS PAN'!$C$3:$V$52,20,FALSE))*W$15</f>
        <v>-693960.61224158423</v>
      </c>
      <c r="X10" s="1">
        <f>('RECEITAS - BLOCOS PAN'!W37-'OPEX - BLOCOS PAN'!W37-VLOOKUP('BLOCO NORDESTE'!$D10,'CAPEX - BLOCOS PAN'!$C$3:$W$52,21,FALSE))*X$15</f>
        <v>-619187.42217463569</v>
      </c>
      <c r="Y10" s="1">
        <f>('RECEITAS - BLOCOS PAN'!X37-'OPEX - BLOCOS PAN'!X37-VLOOKUP('BLOCO NORDESTE'!$D10,'CAPEX - BLOCOS PAN'!$C$3:$X$52,22,FALSE))*Y$15</f>
        <v>-552229.63281368639</v>
      </c>
      <c r="Z10" s="1">
        <f>('RECEITAS - BLOCOS PAN'!Y37-'OPEX - BLOCOS PAN'!Y37-VLOOKUP('BLOCO NORDESTE'!$D10,'CAPEX - BLOCOS PAN'!$C$3:$Y$52,23,FALSE))*Z$15</f>
        <v>-491870.19618843752</v>
      </c>
      <c r="AA10" s="1">
        <f>('RECEITAS - BLOCOS PAN'!Z37-'OPEX - BLOCOS PAN'!Z37-VLOOKUP('BLOCO NORDESTE'!$D10,'CAPEX - BLOCOS PAN'!$C$3:$Z$52,24,FALSE))*AA$15</f>
        <v>-438149.52386021696</v>
      </c>
      <c r="AB10" s="1">
        <f>('RECEITAS - BLOCOS PAN'!AA37-'OPEX - BLOCOS PAN'!AA37-VLOOKUP('BLOCO NORDESTE'!$D10,'CAPEX - BLOCOS PAN'!$C$3:$AA$52,25,FALSE))*AB$15</f>
        <v>-389376.03927111044</v>
      </c>
      <c r="AC10" s="1">
        <f>('RECEITAS - BLOCOS PAN'!AB37-'OPEX - BLOCOS PAN'!AB37-VLOOKUP('BLOCO NORDESTE'!$D10,'CAPEX - BLOCOS PAN'!$C$3:$AB$52,26,FALSE))*AC$15</f>
        <v>-346282.97334483231</v>
      </c>
      <c r="AD10" s="1">
        <f>('RECEITAS - BLOCOS PAN'!AC37-'OPEX - BLOCOS PAN'!AC37-VLOOKUP('BLOCO NORDESTE'!$D10,'CAPEX - BLOCOS PAN'!$C$3:$AC$52,27,FALSE))*AD$15</f>
        <v>-307638.38305029873</v>
      </c>
      <c r="AE10" s="1">
        <f>('RECEITAS - BLOCOS PAN'!AD37-'OPEX - BLOCOS PAN'!AD37-VLOOKUP('BLOCO NORDESTE'!$D10,'CAPEX - BLOCOS PAN'!$C$3:$AD$52,28,FALSE))*AE$15</f>
        <v>-272776.91620370711</v>
      </c>
      <c r="AF10" s="1">
        <f>('RECEITAS - BLOCOS PAN'!AE37-'OPEX - BLOCOS PAN'!AE37-VLOOKUP('BLOCO NORDESTE'!$D10,'CAPEX - BLOCOS PAN'!$C$3:$AE$52,29,FALSE))*AF$15</f>
        <v>-242481.8208761203</v>
      </c>
      <c r="AG10" s="1">
        <f>('RECEITAS - BLOCOS PAN'!AF37-'OPEX - BLOCOS PAN'!AF37-VLOOKUP('BLOCO NORDESTE'!$D10,'CAPEX - BLOCOS PAN'!$C$3:$AF$52,30,FALSE))*AG$15</f>
        <v>-215111.09005487451</v>
      </c>
      <c r="AH10" s="1">
        <f>('RECEITAS - BLOCOS PAN'!AG37-'OPEX - BLOCOS PAN'!AG37-VLOOKUP('BLOCO NORDESTE'!$D10,'CAPEX - BLOCOS PAN'!$C$3:$AG$52,31,FALSE))*AH$15</f>
        <v>-190854.93033368027</v>
      </c>
      <c r="AI10" s="1">
        <f>('RECEITAS - BLOCOS PAN'!AH37-'OPEX - BLOCOS PAN'!AH37-VLOOKUP('BLOCO NORDESTE'!$D10,'CAPEX - BLOCOS PAN'!$C$3:$AH$52,32,FALSE))*AI$15</f>
        <v>-169228.85842499489</v>
      </c>
      <c r="AJ10" s="1">
        <f>('RECEITAS - BLOCOS PAN'!AI37-'OPEX - BLOCOS PAN'!AI37-VLOOKUP('BLOCO NORDESTE'!$D10,'CAPEX - BLOCOS PAN'!$C$3:$AI$52,33,FALSE))*AJ$15</f>
        <v>-149851.91406607156</v>
      </c>
      <c r="AK10" s="1">
        <f>('RECEITAS - BLOCOS PAN'!AJ37-'OPEX - BLOCOS PAN'!AJ37-VLOOKUP('BLOCO NORDESTE'!$D10,'CAPEX - BLOCOS PAN'!$C$3:$AJ$52,34,FALSE))*AK$15</f>
        <v>-132498.80326637786</v>
      </c>
      <c r="AL10" s="1">
        <f>('RECEITAS - BLOCOS PAN'!AK37-'OPEX - BLOCOS PAN'!AK37-VLOOKUP('BLOCO NORDESTE'!$D10,'CAPEX - BLOCOS PAN'!$C$3:$AK$52,35,FALSE))*AL$15</f>
        <v>-116954.92638895384</v>
      </c>
      <c r="AM10" s="44">
        <f t="shared" si="0"/>
        <v>-104643797.38516086</v>
      </c>
      <c r="AN10">
        <v>0</v>
      </c>
      <c r="AO10" t="s">
        <v>310</v>
      </c>
      <c r="AP10">
        <v>-2.75</v>
      </c>
      <c r="AQ10">
        <v>-42.8</v>
      </c>
      <c r="AR10" s="48">
        <f>VLOOKUP(D10,'Projeção - Demanda PAX'!$C$3:$H$37,6,FALSE)</f>
        <v>72847</v>
      </c>
      <c r="AS10" t="str">
        <f>VLOOKUP(D10,'FLUXO DE CAIXA DESC.-BLOCOS PAN'!$D$3:$AU$52,44,FALSE)</f>
        <v>Bloco 8 - Nordeste</v>
      </c>
    </row>
    <row r="11" spans="1:45" x14ac:dyDescent="0.35">
      <c r="B11" s="6"/>
      <c r="C11" s="6"/>
      <c r="D11" s="6"/>
      <c r="H11" s="47" t="s">
        <v>250</v>
      </c>
      <c r="I11" s="8">
        <f t="shared" ref="I11:AM11" si="2">SUBTOTAL(109,I3:I10)</f>
        <v>-167778963.70811909</v>
      </c>
      <c r="J11" s="8">
        <f t="shared" si="2"/>
        <v>-152836937.05277872</v>
      </c>
      <c r="K11" s="8">
        <f t="shared" si="2"/>
        <v>-139434092.62906706</v>
      </c>
      <c r="L11" s="8">
        <f t="shared" si="2"/>
        <v>-14133959.919207936</v>
      </c>
      <c r="M11" s="8">
        <f t="shared" si="2"/>
        <v>-13514194.5401664</v>
      </c>
      <c r="N11" s="8">
        <f t="shared" si="2"/>
        <v>-12228240.252774887</v>
      </c>
      <c r="O11" s="8">
        <f t="shared" si="2"/>
        <v>-11246606.009453014</v>
      </c>
      <c r="P11" s="8">
        <f t="shared" si="2"/>
        <v>-10186225.660562238</v>
      </c>
      <c r="Q11" s="8">
        <f t="shared" si="2"/>
        <v>-9222562.0107935034</v>
      </c>
      <c r="R11" s="8">
        <f t="shared" si="2"/>
        <v>-8446983.9271661863</v>
      </c>
      <c r="S11" s="8">
        <f t="shared" si="2"/>
        <v>-7659807.967202845</v>
      </c>
      <c r="T11" s="8">
        <f t="shared" si="2"/>
        <v>-6941182.3203856461</v>
      </c>
      <c r="U11" s="8">
        <f t="shared" si="2"/>
        <v>-6294458.22921813</v>
      </c>
      <c r="V11" s="8">
        <f t="shared" si="2"/>
        <v>-5701951.0615152493</v>
      </c>
      <c r="W11" s="8">
        <f t="shared" si="2"/>
        <v>-5169305.9912685724</v>
      </c>
      <c r="X11" s="8">
        <f t="shared" si="2"/>
        <v>-4685916.2882111883</v>
      </c>
      <c r="Y11" s="8">
        <f t="shared" si="2"/>
        <v>-4490588.6863438562</v>
      </c>
      <c r="Z11" s="8">
        <f t="shared" si="2"/>
        <v>-4070532.4051728956</v>
      </c>
      <c r="AA11" s="8">
        <f t="shared" si="2"/>
        <v>-3686478.8179995734</v>
      </c>
      <c r="AB11" s="8">
        <f t="shared" si="2"/>
        <v>-3340439.3533522021</v>
      </c>
      <c r="AC11" s="8">
        <f t="shared" si="2"/>
        <v>-3024754.0589055889</v>
      </c>
      <c r="AD11" s="8">
        <f t="shared" si="2"/>
        <v>-2740900.2714259834</v>
      </c>
      <c r="AE11" s="8">
        <f t="shared" si="2"/>
        <v>-2480784.7873971774</v>
      </c>
      <c r="AF11" s="8">
        <f t="shared" si="2"/>
        <v>-2248086.356593837</v>
      </c>
      <c r="AG11" s="8">
        <f t="shared" si="2"/>
        <v>-2035080.201832602</v>
      </c>
      <c r="AH11" s="8">
        <f t="shared" si="2"/>
        <v>-1908519.8855643575</v>
      </c>
      <c r="AI11" s="8">
        <f t="shared" si="2"/>
        <v>-1728068.7964067867</v>
      </c>
      <c r="AJ11" s="8">
        <f t="shared" si="2"/>
        <v>-1565659.8715089867</v>
      </c>
      <c r="AK11" s="8">
        <f t="shared" si="2"/>
        <v>-1418285.5862185746</v>
      </c>
      <c r="AL11" s="8">
        <f t="shared" si="2"/>
        <v>-1284418.4975143455</v>
      </c>
      <c r="AM11" s="44">
        <f t="shared" si="2"/>
        <v>-611503985.14412737</v>
      </c>
      <c r="AR11" s="65">
        <f>SUBTOTAL(109,AR3:AR10)</f>
        <v>177447</v>
      </c>
    </row>
    <row r="12" spans="1:45" x14ac:dyDescent="0.35">
      <c r="A12" s="83" t="s">
        <v>368</v>
      </c>
      <c r="B12" s="83"/>
      <c r="C12" s="83"/>
      <c r="D12" s="83"/>
      <c r="E12" s="47"/>
      <c r="H12" s="47" t="s">
        <v>285</v>
      </c>
      <c r="I12" s="8">
        <f>I11</f>
        <v>-167778963.70811909</v>
      </c>
      <c r="J12" s="8">
        <f t="shared" ref="J12:AL12" si="3">J11+I12</f>
        <v>-320615900.76089782</v>
      </c>
      <c r="K12" s="8">
        <f t="shared" si="3"/>
        <v>-460049993.38996488</v>
      </c>
      <c r="L12" s="8">
        <f t="shared" si="3"/>
        <v>-474183953.30917281</v>
      </c>
      <c r="M12" s="8">
        <f t="shared" si="3"/>
        <v>-487698147.84933919</v>
      </c>
      <c r="N12" s="8">
        <f t="shared" si="3"/>
        <v>-499926388.10211408</v>
      </c>
      <c r="O12" s="8">
        <f t="shared" si="3"/>
        <v>-511172994.11156708</v>
      </c>
      <c r="P12" s="8">
        <f t="shared" si="3"/>
        <v>-521359219.7721293</v>
      </c>
      <c r="Q12" s="8">
        <f t="shared" si="3"/>
        <v>-530581781.7829228</v>
      </c>
      <c r="R12" s="8">
        <f t="shared" si="3"/>
        <v>-539028765.71008897</v>
      </c>
      <c r="S12" s="8">
        <f t="shared" si="3"/>
        <v>-546688573.67729187</v>
      </c>
      <c r="T12" s="8">
        <f t="shared" si="3"/>
        <v>-553629755.99767756</v>
      </c>
      <c r="U12" s="8">
        <f t="shared" si="3"/>
        <v>-559924214.22689569</v>
      </c>
      <c r="V12" s="8">
        <f t="shared" si="3"/>
        <v>-565626165.2884109</v>
      </c>
      <c r="W12" s="8">
        <f t="shared" si="3"/>
        <v>-570795471.27967942</v>
      </c>
      <c r="X12" s="8">
        <f t="shared" si="3"/>
        <v>-575481387.56789064</v>
      </c>
      <c r="Y12" s="8">
        <f t="shared" si="3"/>
        <v>-579971976.25423455</v>
      </c>
      <c r="Z12" s="8">
        <f t="shared" si="3"/>
        <v>-584042508.6594075</v>
      </c>
      <c r="AA12" s="8">
        <f t="shared" si="3"/>
        <v>-587728987.4774071</v>
      </c>
      <c r="AB12" s="8">
        <f t="shared" si="3"/>
        <v>-591069426.83075929</v>
      </c>
      <c r="AC12" s="8">
        <f t="shared" si="3"/>
        <v>-594094180.88966489</v>
      </c>
      <c r="AD12" s="8">
        <f t="shared" si="3"/>
        <v>-596835081.16109085</v>
      </c>
      <c r="AE12" s="8">
        <f t="shared" si="3"/>
        <v>-599315865.948488</v>
      </c>
      <c r="AF12" s="8">
        <f t="shared" si="3"/>
        <v>-601563952.30508184</v>
      </c>
      <c r="AG12" s="8">
        <f t="shared" si="3"/>
        <v>-603599032.5069145</v>
      </c>
      <c r="AH12" s="8">
        <f t="shared" si="3"/>
        <v>-605507552.39247882</v>
      </c>
      <c r="AI12" s="8">
        <f t="shared" si="3"/>
        <v>-607235621.18888557</v>
      </c>
      <c r="AJ12" s="8">
        <f t="shared" si="3"/>
        <v>-608801281.06039453</v>
      </c>
      <c r="AK12" s="8">
        <f t="shared" si="3"/>
        <v>-610219566.64661312</v>
      </c>
      <c r="AL12" s="8">
        <f t="shared" si="3"/>
        <v>-611503985.14412749</v>
      </c>
      <c r="AM12" s="44"/>
    </row>
    <row r="13" spans="1:45" x14ac:dyDescent="0.35"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45" x14ac:dyDescent="0.35">
      <c r="H14" s="47" t="s">
        <v>284</v>
      </c>
      <c r="I14" s="2">
        <v>0</v>
      </c>
      <c r="J14" s="2">
        <v>1</v>
      </c>
      <c r="K14" s="2">
        <v>2</v>
      </c>
      <c r="L14" s="2">
        <v>3</v>
      </c>
      <c r="M14" s="2">
        <v>4</v>
      </c>
      <c r="N14" s="2">
        <v>5</v>
      </c>
      <c r="O14" s="2">
        <v>6</v>
      </c>
      <c r="P14" s="2">
        <v>7</v>
      </c>
      <c r="Q14" s="2">
        <v>8</v>
      </c>
      <c r="R14" s="2">
        <v>9</v>
      </c>
      <c r="S14" s="2">
        <v>10</v>
      </c>
      <c r="T14" s="2">
        <v>11</v>
      </c>
      <c r="U14" s="2">
        <v>12</v>
      </c>
      <c r="V14" s="2">
        <v>13</v>
      </c>
      <c r="W14" s="2">
        <v>14</v>
      </c>
      <c r="X14" s="2">
        <v>15</v>
      </c>
      <c r="Y14" s="2">
        <v>16</v>
      </c>
      <c r="Z14" s="2">
        <v>17</v>
      </c>
      <c r="AA14" s="2">
        <v>18</v>
      </c>
      <c r="AB14" s="2">
        <v>19</v>
      </c>
      <c r="AC14" s="2">
        <v>20</v>
      </c>
      <c r="AD14" s="2">
        <v>21</v>
      </c>
      <c r="AE14" s="2">
        <v>22</v>
      </c>
      <c r="AF14" s="2">
        <v>23</v>
      </c>
      <c r="AG14" s="2">
        <v>24</v>
      </c>
      <c r="AH14" s="2">
        <v>25</v>
      </c>
      <c r="AI14" s="2">
        <v>26</v>
      </c>
      <c r="AJ14" s="2">
        <v>27</v>
      </c>
      <c r="AK14" s="2">
        <v>28</v>
      </c>
      <c r="AL14" s="2">
        <v>29</v>
      </c>
    </row>
    <row r="15" spans="1:45" x14ac:dyDescent="0.35">
      <c r="A15" s="2" t="s">
        <v>254</v>
      </c>
      <c r="B15" s="46">
        <v>9.5500000000000002E-2</v>
      </c>
      <c r="C15" s="2" t="s">
        <v>255</v>
      </c>
      <c r="I15" s="2">
        <f>1/(1+$B$15)^I14</f>
        <v>1</v>
      </c>
      <c r="J15" s="2">
        <f t="shared" ref="J15:AL15" si="4">1/(1+$B$15)^J14</f>
        <v>0.91282519397535378</v>
      </c>
      <c r="K15" s="2">
        <f t="shared" si="4"/>
        <v>0.83324983475614223</v>
      </c>
      <c r="L15" s="2">
        <f t="shared" si="4"/>
        <v>0.76061144204120701</v>
      </c>
      <c r="M15" s="2">
        <f t="shared" si="4"/>
        <v>0.69430528712113837</v>
      </c>
      <c r="N15" s="2">
        <f t="shared" si="4"/>
        <v>0.63377935839446675</v>
      </c>
      <c r="O15" s="2">
        <f t="shared" si="4"/>
        <v>0.57852976576400439</v>
      </c>
      <c r="P15" s="2">
        <f t="shared" si="4"/>
        <v>0.52809654565404329</v>
      </c>
      <c r="Q15" s="2">
        <f t="shared" si="4"/>
        <v>0.48205983172436634</v>
      </c>
      <c r="R15" s="2">
        <f t="shared" si="4"/>
        <v>0.44003635940152108</v>
      </c>
      <c r="S15" s="2">
        <f t="shared" si="4"/>
        <v>0.40167627512690202</v>
      </c>
      <c r="T15" s="2">
        <f t="shared" si="4"/>
        <v>0.36666022375801188</v>
      </c>
      <c r="U15" s="2">
        <f t="shared" si="4"/>
        <v>0.33469668987495382</v>
      </c>
      <c r="V15" s="2">
        <f t="shared" si="4"/>
        <v>0.30551957085801351</v>
      </c>
      <c r="W15" s="2">
        <f t="shared" si="4"/>
        <v>0.27888596153173301</v>
      </c>
      <c r="X15" s="2">
        <f t="shared" si="4"/>
        <v>0.25457413193220724</v>
      </c>
      <c r="Y15" s="2">
        <f t="shared" si="4"/>
        <v>0.23238168136212439</v>
      </c>
      <c r="Z15" s="2">
        <f t="shared" si="4"/>
        <v>0.21212385336570003</v>
      </c>
      <c r="AA15" s="2">
        <f t="shared" si="4"/>
        <v>0.19363199759534466</v>
      </c>
      <c r="AB15" s="2">
        <f t="shared" si="4"/>
        <v>0.17675216576480571</v>
      </c>
      <c r="AC15" s="2">
        <f t="shared" si="4"/>
        <v>0.16134382999982266</v>
      </c>
      <c r="AD15" s="2">
        <f t="shared" si="4"/>
        <v>0.14727871291631461</v>
      </c>
      <c r="AE15" s="2">
        <f t="shared" si="4"/>
        <v>0.13443971968627533</v>
      </c>
      <c r="AF15" s="2">
        <f t="shared" si="4"/>
        <v>0.12271996320061647</v>
      </c>
      <c r="AG15" s="2">
        <f t="shared" si="4"/>
        <v>0.11202187421325101</v>
      </c>
      <c r="AH15" s="2">
        <f t="shared" si="4"/>
        <v>0.10225638905819352</v>
      </c>
      <c r="AI15" s="2">
        <f t="shared" si="4"/>
        <v>9.3342208177264741E-2</v>
      </c>
      <c r="AJ15" s="2">
        <f t="shared" si="4"/>
        <v>8.520511928549955E-2</v>
      </c>
      <c r="AK15" s="2">
        <f t="shared" si="4"/>
        <v>7.7777379539479274E-2</v>
      </c>
      <c r="AL15" s="2">
        <f t="shared" si="4"/>
        <v>7.0997151565019873E-2</v>
      </c>
    </row>
    <row r="17" spans="1:1" x14ac:dyDescent="0.35">
      <c r="A17" s="63" t="s">
        <v>354</v>
      </c>
    </row>
  </sheetData>
  <autoFilter ref="A2:AS2" xr:uid="{C750E1C5-95B4-47E1-B69C-C00D04F80884}"/>
  <mergeCells count="1">
    <mergeCell ref="A12:D12"/>
  </mergeCells>
  <conditionalFormatting sqref="D10">
    <cfRule type="duplicateValues" dxfId="27" priority="250"/>
  </conditionalFormatting>
  <hyperlinks>
    <hyperlink ref="A17" location="Introdução!A1" display="Introdução!A1" xr:uid="{958986DA-A5CC-4968-8BF8-E758B103F59F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1C86-F6EA-4C2D-A641-3758738A5F02}">
  <sheetPr>
    <tabColor rgb="FF002060"/>
  </sheetPr>
  <dimension ref="A1:AU60"/>
  <sheetViews>
    <sheetView topLeftCell="A28" workbookViewId="0">
      <pane xSplit="6" topLeftCell="G1" activePane="topRight" state="frozen"/>
      <selection pane="topRight" activeCell="O40" sqref="O40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6.269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20.54296875" bestFit="1" customWidth="1"/>
    <col min="46" max="46" width="24.7265625" bestFit="1" customWidth="1"/>
    <col min="47" max="47" width="19.1796875" bestFit="1" customWidth="1"/>
  </cols>
  <sheetData>
    <row r="1" spans="1:47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357</v>
      </c>
      <c r="AT1" s="43" t="s">
        <v>360</v>
      </c>
      <c r="AU1" s="43" t="s">
        <v>380</v>
      </c>
    </row>
    <row r="2" spans="1:47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357</v>
      </c>
      <c r="AT2" s="70" t="s">
        <v>360</v>
      </c>
      <c r="AU2" s="56" t="s">
        <v>380</v>
      </c>
    </row>
    <row r="3" spans="1:47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259</v>
      </c>
      <c r="H3" t="s">
        <v>33</v>
      </c>
      <c r="I3" s="1">
        <f>('RECEITAS - BLOCOS PAN'!H3-'OPEX - BLOCOS PAN'!H3-VLOOKUP('FLUXO DE CAIXA DESC.-BLOCOS PAN'!$D3,'CAPEX - BLOCOS PAN'!$C$3:$H$52,6,FALSE))*I$57</f>
        <v>-47608527.052166663</v>
      </c>
      <c r="J3" s="1">
        <f>('RECEITAS - BLOCOS PAN'!I3-'OPEX - BLOCOS PAN'!I3-VLOOKUP('FLUXO DE CAIXA DESC.-BLOCOS PAN'!$D3,'CAPEX - BLOCOS PAN'!$C$3:$I$52,7,FALSE))*J$57</f>
        <v>-43401894.095542371</v>
      </c>
      <c r="K3" s="1">
        <f>('RECEITAS - BLOCOS PAN'!J3-'OPEX - BLOCOS PAN'!J3-VLOOKUP('FLUXO DE CAIXA DESC.-BLOCOS PAN'!$D3,'CAPEX - BLOCOS PAN'!$C$3:$J$52,8,FALSE))*K$57</f>
        <v>-39711884.949334592</v>
      </c>
      <c r="L3" s="1">
        <f>('RECEITAS - BLOCOS PAN'!K3-'OPEX - BLOCOS PAN'!K3-VLOOKUP('FLUXO DE CAIXA DESC.-BLOCOS PAN'!$D3,'CAPEX - BLOCOS PAN'!$C$3:$K$52,9,FALSE))*L$57</f>
        <v>-1918931.4263862341</v>
      </c>
      <c r="M3" s="1">
        <f>('RECEITAS - BLOCOS PAN'!L3-'OPEX - BLOCOS PAN'!L3-VLOOKUP('FLUXO DE CAIXA DESC.-BLOCOS PAN'!$D3,'CAPEX - BLOCOS PAN'!$C$3:$L$52,10,FALSE))*M$57</f>
        <v>-1735599.5335262136</v>
      </c>
      <c r="N3" s="1">
        <f>('RECEITAS - BLOCOS PAN'!M3-'OPEX - BLOCOS PAN'!M3-VLOOKUP('FLUXO DE CAIXA DESC.-BLOCOS PAN'!$D3,'CAPEX - BLOCOS PAN'!$C$3:$M$52,11,FALSE))*N$57</f>
        <v>-1571600.7818335164</v>
      </c>
      <c r="O3" s="1">
        <f>('RECEITAS - BLOCOS PAN'!N3-'OPEX - BLOCOS PAN'!N3-VLOOKUP('FLUXO DE CAIXA DESC.-BLOCOS PAN'!$D3,'CAPEX - BLOCOS PAN'!$C$3:$N$52,12,FALSE))*O$57</f>
        <v>-1424069.7663215392</v>
      </c>
      <c r="P3" s="1">
        <f>('RECEITAS - BLOCOS PAN'!O3-'OPEX - BLOCOS PAN'!O3-VLOOKUP('FLUXO DE CAIXA DESC.-BLOCOS PAN'!$D3,'CAPEX - BLOCOS PAN'!$C$3:$O$52,13,FALSE))*P$57</f>
        <v>-1290995.1789252956</v>
      </c>
      <c r="Q3" s="1">
        <f>('RECEITAS - BLOCOS PAN'!P3-'OPEX - BLOCOS PAN'!P3-VLOOKUP('FLUXO DE CAIXA DESC.-BLOCOS PAN'!$D3,'CAPEX - BLOCOS PAN'!$C$3:$P$52,14,FALSE))*Q$57</f>
        <v>-1171063.2930885006</v>
      </c>
      <c r="R3" s="1">
        <f>('RECEITAS - BLOCOS PAN'!Q3-'OPEX - BLOCOS PAN'!Q3-VLOOKUP('FLUXO DE CAIXA DESC.-BLOCOS PAN'!$D3,'CAPEX - BLOCOS PAN'!$C$3:$Q$52,15,FALSE))*R$57</f>
        <v>-1062910.7496039348</v>
      </c>
      <c r="S3" s="1">
        <f>('RECEITAS - BLOCOS PAN'!R3-'OPEX - BLOCOS PAN'!R3-VLOOKUP('FLUXO DE CAIXA DESC.-BLOCOS PAN'!$D3,'CAPEX - BLOCOS PAN'!$C$3:$R$52,16,FALSE))*S$57</f>
        <v>-965214.34649920929</v>
      </c>
      <c r="T3" s="1">
        <f>('RECEITAS - BLOCOS PAN'!S3-'OPEX - BLOCOS PAN'!S3-VLOOKUP('FLUXO DE CAIXA DESC.-BLOCOS PAN'!$D3,'CAPEX - BLOCOS PAN'!$C$3:$S$52,17,FALSE))*T$57</f>
        <v>-876575.46251306904</v>
      </c>
      <c r="U3" s="1">
        <f>('RECEITAS - BLOCOS PAN'!T3-'OPEX - BLOCOS PAN'!T3-VLOOKUP('FLUXO DE CAIXA DESC.-BLOCOS PAN'!$D3,'CAPEX - BLOCOS PAN'!$C$3:$T$52,18,FALSE))*U$57</f>
        <v>-796136.55304512288</v>
      </c>
      <c r="V3" s="1">
        <f>('RECEITAS - BLOCOS PAN'!U3-'OPEX - BLOCOS PAN'!U3-VLOOKUP('FLUXO DE CAIXA DESC.-BLOCOS PAN'!$D3,'CAPEX - BLOCOS PAN'!$C$3:$U$52,19,FALSE))*V$57</f>
        <v>-722964.80141333211</v>
      </c>
      <c r="W3" s="1">
        <f>('RECEITAS - BLOCOS PAN'!V3-'OPEX - BLOCOS PAN'!V3-VLOOKUP('FLUXO DE CAIXA DESC.-BLOCOS PAN'!$D3,'CAPEX - BLOCOS PAN'!$C$3:$V$52,20,FALSE))*W$57</f>
        <v>-656639.69336526783</v>
      </c>
      <c r="X3" s="1">
        <f>('RECEITAS - BLOCOS PAN'!W3-'OPEX - BLOCOS PAN'!W3-VLOOKUP('FLUXO DE CAIXA DESC.-BLOCOS PAN'!$D3,'CAPEX - BLOCOS PAN'!$C$3:$W$52,21,FALSE))*X$57</f>
        <v>-596351.36966277903</v>
      </c>
      <c r="Y3" s="1">
        <f>('RECEITAS - BLOCOS PAN'!X3-'OPEX - BLOCOS PAN'!X3-VLOOKUP('FLUXO DE CAIXA DESC.-BLOCOS PAN'!$D3,'CAPEX - BLOCOS PAN'!$C$3:$X$52,22,FALSE))*Y$57</f>
        <v>-541620.79794215993</v>
      </c>
      <c r="Z3" s="1">
        <f>('RECEITAS - BLOCOS PAN'!Y3-'OPEX - BLOCOS PAN'!Y3-VLOOKUP('FLUXO DE CAIXA DESC.-BLOCOS PAN'!$D3,'CAPEX - BLOCOS PAN'!$C$3:$Y$52,23,FALSE))*Z$57</f>
        <v>-491824.77818049421</v>
      </c>
      <c r="AA3" s="1">
        <f>('RECEITAS - BLOCOS PAN'!Z3-'OPEX - BLOCOS PAN'!Z3-VLOOKUP('FLUXO DE CAIXA DESC.-BLOCOS PAN'!$D3,'CAPEX - BLOCOS PAN'!$C$3:$Z$52,24,FALSE))*AA$57</f>
        <v>-446586.37355232873</v>
      </c>
      <c r="AB3" s="1">
        <f>('RECEITAS - BLOCOS PAN'!AA3-'OPEX - BLOCOS PAN'!AA3-VLOOKUP('FLUXO DE CAIXA DESC.-BLOCOS PAN'!$D3,'CAPEX - BLOCOS PAN'!$C$3:$AA$52,25,FALSE))*AB$57</f>
        <v>-405480.14451948169</v>
      </c>
      <c r="AC3" s="1">
        <f>('RECEITAS - BLOCOS PAN'!AB3-'OPEX - BLOCOS PAN'!AB3-VLOOKUP('FLUXO DE CAIXA DESC.-BLOCOS PAN'!$D3,'CAPEX - BLOCOS PAN'!$C$3:$AB$52,26,FALSE))*AC$57</f>
        <v>-368238.88360174379</v>
      </c>
      <c r="AD3" s="1">
        <f>('RECEITAS - BLOCOS PAN'!AC3-'OPEX - BLOCOS PAN'!AC3-VLOOKUP('FLUXO DE CAIXA DESC.-BLOCOS PAN'!$D3,'CAPEX - BLOCOS PAN'!$C$3:$AC$52,27,FALSE))*AD$57</f>
        <v>-334400.8942152175</v>
      </c>
      <c r="AE3" s="1">
        <f>('RECEITAS - BLOCOS PAN'!AD3-'OPEX - BLOCOS PAN'!AD3-VLOOKUP('FLUXO DE CAIXA DESC.-BLOCOS PAN'!$D3,'CAPEX - BLOCOS PAN'!$C$3:$AD$52,28,FALSE))*AE$57</f>
        <v>-447079.61170888122</v>
      </c>
      <c r="AF3" s="1">
        <f>('RECEITAS - BLOCOS PAN'!AE3-'OPEX - BLOCOS PAN'!AE3-VLOOKUP('FLUXO DE CAIXA DESC.-BLOCOS PAN'!$D3,'CAPEX - BLOCOS PAN'!$C$3:$AE$52,29,FALSE))*AF$57</f>
        <v>-406615.68910738506</v>
      </c>
      <c r="AG3" s="1">
        <f>('RECEITAS - BLOCOS PAN'!AF3-'OPEX - BLOCOS PAN'!AF3-VLOOKUP('FLUXO DE CAIXA DESC.-BLOCOS PAN'!$D3,'CAPEX - BLOCOS PAN'!$C$3:$AF$52,30,FALSE))*AG$57</f>
        <v>-369873.87604262022</v>
      </c>
      <c r="AH3" s="1">
        <f>('RECEITAS - BLOCOS PAN'!AG3-'OPEX - BLOCOS PAN'!AG3-VLOOKUP('FLUXO DE CAIXA DESC.-BLOCOS PAN'!$D3,'CAPEX - BLOCOS PAN'!$C$3:$AG$52,31,FALSE))*AH$57</f>
        <v>-336451.11863274052</v>
      </c>
      <c r="AI3" s="1">
        <f>('RECEITAS - BLOCOS PAN'!AH3-'OPEX - BLOCOS PAN'!AH3-VLOOKUP('FLUXO DE CAIXA DESC.-BLOCOS PAN'!$D3,'CAPEX - BLOCOS PAN'!$C$3:$AH$52,32,FALSE))*AI$57</f>
        <v>-306117.18475035555</v>
      </c>
      <c r="AJ3" s="1">
        <f>('RECEITAS - BLOCOS PAN'!AI3-'OPEX - BLOCOS PAN'!AI3-VLOOKUP('FLUXO DE CAIXA DESC.-BLOCOS PAN'!$D3,'CAPEX - BLOCOS PAN'!$C$3:$AI$52,33,FALSE))*AJ$57</f>
        <v>-278524.37421542028</v>
      </c>
      <c r="AK3" s="1">
        <f>('RECEITAS - BLOCOS PAN'!AJ3-'OPEX - BLOCOS PAN'!AJ3-VLOOKUP('FLUXO DE CAIXA DESC.-BLOCOS PAN'!$D3,'CAPEX - BLOCOS PAN'!$C$3:$AJ$52,34,FALSE))*AK$57</f>
        <v>-253386.16755602779</v>
      </c>
      <c r="AL3" s="1">
        <f>('RECEITAS - BLOCOS PAN'!AK3-'OPEX - BLOCOS PAN'!AK3-VLOOKUP('FLUXO DE CAIXA DESC.-BLOCOS PAN'!$D3,'CAPEX - BLOCOS PAN'!$C$3:$AK$52,35,FALSE))*AL$57</f>
        <v>-230505.08381424163</v>
      </c>
      <c r="AM3" s="44">
        <f t="shared" ref="AM3:AM32" si="0">SUM(I3:AL3)</f>
        <v>-150728064.03106675</v>
      </c>
      <c r="AN3">
        <v>1</v>
      </c>
      <c r="AO3" t="s">
        <v>309</v>
      </c>
      <c r="AP3">
        <v>-4.2333333333333334</v>
      </c>
      <c r="AQ3">
        <v>-56</v>
      </c>
      <c r="AR3" s="48">
        <f>VLOOKUP(D3,'Projeção - Demanda PAX'!$C$3:$H$37,6,FALSE)</f>
        <v>22897</v>
      </c>
      <c r="AS3" s="1">
        <f>SUM(I3:W3)</f>
        <v>-144915007.68356487</v>
      </c>
      <c r="AT3" t="str">
        <f>VLOOKUP(D3,'CAPEX - BLOCOS PAN (ANO A ANO)'!$C$3:$AV$52,46,FALSE)</f>
        <v>Privada</v>
      </c>
      <c r="AU3" t="str">
        <f>VLOOKUP(D3,'FLUXO DE CAIXA DESC.-SEM MULT.'!$D$3:$AT$52,43,FALSE)</f>
        <v>Bloco 5 - PA1</v>
      </c>
    </row>
    <row r="4" spans="1:47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258</v>
      </c>
      <c r="H4" t="s">
        <v>33</v>
      </c>
      <c r="I4" s="1">
        <f>('RECEITAS - BLOCOS PAN'!H4-'OPEX - BLOCOS PAN'!H4-VLOOKUP('FLUXO DE CAIXA DESC.-BLOCOS PAN'!$D4,'CAPEX - BLOCOS PAN'!$C$3:$H$52,6,FALSE))*I$57</f>
        <v>-30531481.678300001</v>
      </c>
      <c r="J4" s="1">
        <f>('RECEITAS - BLOCOS PAN'!I4-'OPEX - BLOCOS PAN'!I4-VLOOKUP('FLUXO DE CAIXA DESC.-BLOCOS PAN'!$D4,'CAPEX - BLOCOS PAN'!$C$3:$I$52,7,FALSE))*J$57</f>
        <v>-27825346.708900049</v>
      </c>
      <c r="K4" s="1">
        <f>('RECEITAS - BLOCOS PAN'!J4-'OPEX - BLOCOS PAN'!J4-VLOOKUP('FLUXO DE CAIXA DESC.-BLOCOS PAN'!$D4,'CAPEX - BLOCOS PAN'!$C$3:$J$52,8,FALSE))*K$57</f>
        <v>-25513387.458465099</v>
      </c>
      <c r="L4" s="1">
        <f>('RECEITAS - BLOCOS PAN'!K4-'OPEX - BLOCOS PAN'!K4-VLOOKUP('FLUXO DE CAIXA DESC.-BLOCOS PAN'!$D4,'CAPEX - BLOCOS PAN'!$C$3:$K$52,9,FALSE))*L$57</f>
        <v>-1900060.0449015312</v>
      </c>
      <c r="M4" s="1">
        <f>('RECEITAS - BLOCOS PAN'!L4-'OPEX - BLOCOS PAN'!L4-VLOOKUP('FLUXO DE CAIXA DESC.-BLOCOS PAN'!$D4,'CAPEX - BLOCOS PAN'!$C$3:$L$52,10,FALSE))*M$57</f>
        <v>-1717591.1092148651</v>
      </c>
      <c r="N4" s="1">
        <f>('RECEITAS - BLOCOS PAN'!M4-'OPEX - BLOCOS PAN'!M4-VLOOKUP('FLUXO DE CAIXA DESC.-BLOCOS PAN'!$D4,'CAPEX - BLOCOS PAN'!$C$3:$M$52,11,FALSE))*N$57</f>
        <v>-1553797.5658805785</v>
      </c>
      <c r="O4" s="1">
        <f>('RECEITAS - BLOCOS PAN'!N4-'OPEX - BLOCOS PAN'!N4-VLOOKUP('FLUXO DE CAIXA DESC.-BLOCOS PAN'!$D4,'CAPEX - BLOCOS PAN'!$C$3:$N$52,12,FALSE))*O$57</f>
        <v>-1406185.0984733291</v>
      </c>
      <c r="P4" s="1">
        <f>('RECEITAS - BLOCOS PAN'!O4-'OPEX - BLOCOS PAN'!O4-VLOOKUP('FLUXO DE CAIXA DESC.-BLOCOS PAN'!$D4,'CAPEX - BLOCOS PAN'!$C$3:$O$52,13,FALSE))*P$57</f>
        <v>-1272820.3560242893</v>
      </c>
      <c r="Q4" s="1">
        <f>('RECEITAS - BLOCOS PAN'!P4-'OPEX - BLOCOS PAN'!P4-VLOOKUP('FLUXO DE CAIXA DESC.-BLOCOS PAN'!$D4,'CAPEX - BLOCOS PAN'!$C$3:$P$52,14,FALSE))*Q$57</f>
        <v>-1152565.607081481</v>
      </c>
      <c r="R4" s="1">
        <f>('RECEITAS - BLOCOS PAN'!Q4-'OPEX - BLOCOS PAN'!Q4-VLOOKUP('FLUXO DE CAIXA DESC.-BLOCOS PAN'!$D4,'CAPEX - BLOCOS PAN'!$C$3:$Q$52,15,FALSE))*R$57</f>
        <v>-1044334.9435309712</v>
      </c>
      <c r="S4" s="1">
        <f>('RECEITAS - BLOCOS PAN'!R4-'OPEX - BLOCOS PAN'!R4-VLOOKUP('FLUXO DE CAIXA DESC.-BLOCOS PAN'!$D4,'CAPEX - BLOCOS PAN'!$C$3:$R$52,16,FALSE))*S$57</f>
        <v>-946656.43543883844</v>
      </c>
      <c r="T4" s="1">
        <f>('RECEITAS - BLOCOS PAN'!S4-'OPEX - BLOCOS PAN'!S4-VLOOKUP('FLUXO DE CAIXA DESC.-BLOCOS PAN'!$D4,'CAPEX - BLOCOS PAN'!$C$3:$S$52,17,FALSE))*T$57</f>
        <v>-858097.91177499993</v>
      </c>
      <c r="U4" s="1">
        <f>('RECEITAS - BLOCOS PAN'!T4-'OPEX - BLOCOS PAN'!T4-VLOOKUP('FLUXO DE CAIXA DESC.-BLOCOS PAN'!$D4,'CAPEX - BLOCOS PAN'!$C$3:$T$52,18,FALSE))*U$57</f>
        <v>-777823.87016272685</v>
      </c>
      <c r="V4" s="1">
        <f>('RECEITAS - BLOCOS PAN'!U4-'OPEX - BLOCOS PAN'!U4-VLOOKUP('FLUXO DE CAIXA DESC.-BLOCOS PAN'!$D4,'CAPEX - BLOCOS PAN'!$C$3:$U$52,19,FALSE))*V$57</f>
        <v>-704889.24924584478</v>
      </c>
      <c r="W4" s="1">
        <f>('RECEITAS - BLOCOS PAN'!V4-'OPEX - BLOCOS PAN'!V4-VLOOKUP('FLUXO DE CAIXA DESC.-BLOCOS PAN'!$D4,'CAPEX - BLOCOS PAN'!$C$3:$V$52,20,FALSE))*W$57</f>
        <v>-638811.41905259795</v>
      </c>
      <c r="X4" s="1">
        <f>('RECEITAS - BLOCOS PAN'!W4-'OPEX - BLOCOS PAN'!W4-VLOOKUP('FLUXO DE CAIXA DESC.-BLOCOS PAN'!$D4,'CAPEX - BLOCOS PAN'!$C$3:$W$52,21,FALSE))*X$57</f>
        <v>-578835.75159518281</v>
      </c>
      <c r="Y4" s="1">
        <f>('RECEITAS - BLOCOS PAN'!X4-'OPEX - BLOCOS PAN'!X4-VLOOKUP('FLUXO DE CAIXA DESC.-BLOCOS PAN'!$D4,'CAPEX - BLOCOS PAN'!$C$3:$X$52,22,FALSE))*Y$57</f>
        <v>-771425.77689050371</v>
      </c>
      <c r="Z4" s="1">
        <f>('RECEITAS - BLOCOS PAN'!Y4-'OPEX - BLOCOS PAN'!Y4-VLOOKUP('FLUXO DE CAIXA DESC.-BLOCOS PAN'!$D4,'CAPEX - BLOCOS PAN'!$C$3:$Y$52,23,FALSE))*Z$57</f>
        <v>-700140.02138720255</v>
      </c>
      <c r="AA4" s="1">
        <f>('RECEITAS - BLOCOS PAN'!Z4-'OPEX - BLOCOS PAN'!Z4-VLOOKUP('FLUXO DE CAIXA DESC.-BLOCOS PAN'!$D4,'CAPEX - BLOCOS PAN'!$C$3:$Z$52,24,FALSE))*AA$57</f>
        <v>-635373.26920824649</v>
      </c>
      <c r="AB4" s="1">
        <f>('RECEITAS - BLOCOS PAN'!AA4-'OPEX - BLOCOS PAN'!AA4-VLOOKUP('FLUXO DE CAIXA DESC.-BLOCOS PAN'!$D4,'CAPEX - BLOCOS PAN'!$C$3:$AA$52,25,FALSE))*AB$57</f>
        <v>-576531.24012586288</v>
      </c>
      <c r="AC4" s="1">
        <f>('RECEITAS - BLOCOS PAN'!AB4-'OPEX - BLOCOS PAN'!AB4-VLOOKUP('FLUXO DE CAIXA DESC.-BLOCOS PAN'!$D4,'CAPEX - BLOCOS PAN'!$C$3:$AB$52,26,FALSE))*AC$57</f>
        <v>-523152.99453344673</v>
      </c>
      <c r="AD4" s="1">
        <f>('RECEITAS - BLOCOS PAN'!AC4-'OPEX - BLOCOS PAN'!AC4-VLOOKUP('FLUXO DE CAIXA DESC.-BLOCOS PAN'!$D4,'CAPEX - BLOCOS PAN'!$C$3:$AC$52,27,FALSE))*AD$57</f>
        <v>-474674.20927345002</v>
      </c>
      <c r="AE4" s="1">
        <f>('RECEITAS - BLOCOS PAN'!AD4-'OPEX - BLOCOS PAN'!AD4-VLOOKUP('FLUXO DE CAIXA DESC.-BLOCOS PAN'!$D4,'CAPEX - BLOCOS PAN'!$C$3:$AD$52,28,FALSE))*AE$57</f>
        <v>-430684.50610375102</v>
      </c>
      <c r="AF4" s="1">
        <f>('RECEITAS - BLOCOS PAN'!AE4-'OPEX - BLOCOS PAN'!AE4-VLOOKUP('FLUXO DE CAIXA DESC.-BLOCOS PAN'!$D4,'CAPEX - BLOCOS PAN'!$C$3:$AE$52,29,FALSE))*AF$57</f>
        <v>-390709.53483968717</v>
      </c>
      <c r="AG4" s="1">
        <f>('RECEITAS - BLOCOS PAN'!AF4-'OPEX - BLOCOS PAN'!AF4-VLOOKUP('FLUXO DE CAIXA DESC.-BLOCOS PAN'!$D4,'CAPEX - BLOCOS PAN'!$C$3:$AF$52,30,FALSE))*AG$57</f>
        <v>-354406.39072072541</v>
      </c>
      <c r="AH4" s="1">
        <f>('RECEITAS - BLOCOS PAN'!AG4-'OPEX - BLOCOS PAN'!AG4-VLOOKUP('FLUXO DE CAIXA DESC.-BLOCOS PAN'!$D4,'CAPEX - BLOCOS PAN'!$C$3:$AG$52,31,FALSE))*AH$57</f>
        <v>-321446.50117597397</v>
      </c>
      <c r="AI4" s="1">
        <f>('RECEITAS - BLOCOS PAN'!AH4-'OPEX - BLOCOS PAN'!AH4-VLOOKUP('FLUXO DE CAIXA DESC.-BLOCOS PAN'!$D4,'CAPEX - BLOCOS PAN'!$C$3:$AH$52,32,FALSE))*AI$57</f>
        <v>-291584.7554663872</v>
      </c>
      <c r="AJ4" s="1">
        <f>('RECEITAS - BLOCOS PAN'!AI4-'OPEX - BLOCOS PAN'!AI4-VLOOKUP('FLUXO DE CAIXA DESC.-BLOCOS PAN'!$D4,'CAPEX - BLOCOS PAN'!$C$3:$AI$52,33,FALSE))*AJ$57</f>
        <v>-264470.29622294457</v>
      </c>
      <c r="AK4" s="1">
        <f>('RECEITAS - BLOCOS PAN'!AJ4-'OPEX - BLOCOS PAN'!AJ4-VLOOKUP('FLUXO DE CAIXA DESC.-BLOCOS PAN'!$D4,'CAPEX - BLOCOS PAN'!$C$3:$AJ$52,34,FALSE))*AK$57</f>
        <v>-239841.17264177871</v>
      </c>
      <c r="AL4" s="1">
        <f>('RECEITAS - BLOCOS PAN'!AK4-'OPEX - BLOCOS PAN'!AK4-VLOOKUP('FLUXO DE CAIXA DESC.-BLOCOS PAN'!$D4,'CAPEX - BLOCOS PAN'!$C$3:$AK$52,35,FALSE))*AL$57</f>
        <v>-217463.25551156796</v>
      </c>
      <c r="AM4" s="44">
        <f t="shared" si="0"/>
        <v>-104614589.13214396</v>
      </c>
      <c r="AN4">
        <v>0</v>
      </c>
      <c r="AO4" t="s">
        <v>310</v>
      </c>
      <c r="AP4">
        <v>-12.466666666666667</v>
      </c>
      <c r="AQ4">
        <v>-41.266666666666666</v>
      </c>
      <c r="AR4" s="48">
        <f>VLOOKUP(D4,'Projeção - Demanda PAX'!$C$3:$H$37,6,FALSE)</f>
        <v>25525</v>
      </c>
      <c r="AS4" s="1">
        <f t="shared" ref="AS4:AS53" si="1">SUM(I4:W4)</f>
        <v>-97843849.456447244</v>
      </c>
      <c r="AT4" t="str">
        <f>VLOOKUP(D4,'CAPEX - BLOCOS PAN (ANO A ANO)'!$C$3:$AV$52,46,FALSE)</f>
        <v>Privada</v>
      </c>
      <c r="AU4" t="str">
        <f>VLOOKUP(D4,'FLUXO DE CAIXA DESC.-SEM MULT.'!$D$3:$AT$52,43,FALSE)</f>
        <v>Bloco 8 - Nordeste</v>
      </c>
    </row>
    <row r="5" spans="1:47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259</v>
      </c>
      <c r="H5" t="s">
        <v>33</v>
      </c>
      <c r="I5" s="1">
        <f>('RECEITAS - BLOCOS PAN'!H5-'OPEX - BLOCOS PAN'!H5-VLOOKUP('FLUXO DE CAIXA DESC.-BLOCOS PAN'!$D5,'CAPEX - BLOCOS PAN'!$C$3:$H$52,6,FALSE))*I$57</f>
        <v>-22890549.1217</v>
      </c>
      <c r="J5" s="1">
        <f>('RECEITAS - BLOCOS PAN'!I5-'OPEX - BLOCOS PAN'!I5-VLOOKUP('FLUXO DE CAIXA DESC.-BLOCOS PAN'!$D5,'CAPEX - BLOCOS PAN'!$C$3:$I$52,7,FALSE))*J$57</f>
        <v>-20892172.230670929</v>
      </c>
      <c r="K5" s="1">
        <f>('RECEITAS - BLOCOS PAN'!J5-'OPEX - BLOCOS PAN'!J5-VLOOKUP('FLUXO DE CAIXA DESC.-BLOCOS PAN'!$D5,'CAPEX - BLOCOS PAN'!$C$3:$J$52,8,FALSE))*K$57</f>
        <v>-19068906.377340104</v>
      </c>
      <c r="L5" s="1">
        <f>('RECEITAS - BLOCOS PAN'!K5-'OPEX - BLOCOS PAN'!K5-VLOOKUP('FLUXO DE CAIXA DESC.-BLOCOS PAN'!$D5,'CAPEX - BLOCOS PAN'!$C$3:$K$52,9,FALSE))*L$57</f>
        <v>-2038771.4731732842</v>
      </c>
      <c r="M5" s="1">
        <f>('RECEITAS - BLOCOS PAN'!L5-'OPEX - BLOCOS PAN'!L5-VLOOKUP('FLUXO DE CAIXA DESC.-BLOCOS PAN'!$D5,'CAPEX - BLOCOS PAN'!$C$3:$L$52,10,FALSE))*M$57</f>
        <v>-1859999.4809403422</v>
      </c>
      <c r="N5" s="1">
        <f>('RECEITAS - BLOCOS PAN'!M5-'OPEX - BLOCOS PAN'!M5-VLOOKUP('FLUXO DE CAIXA DESC.-BLOCOS PAN'!$D5,'CAPEX - BLOCOS PAN'!$C$3:$M$52,11,FALSE))*N$57</f>
        <v>-1696975.2839940933</v>
      </c>
      <c r="O5" s="1">
        <f>('RECEITAS - BLOCOS PAN'!N5-'OPEX - BLOCOS PAN'!N5-VLOOKUP('FLUXO DE CAIXA DESC.-BLOCOS PAN'!$D5,'CAPEX - BLOCOS PAN'!$C$3:$N$52,12,FALSE))*O$57</f>
        <v>-1548297.2355039928</v>
      </c>
      <c r="P5" s="1">
        <f>('RECEITAS - BLOCOS PAN'!O5-'OPEX - BLOCOS PAN'!O5-VLOOKUP('FLUXO DE CAIXA DESC.-BLOCOS PAN'!$D5,'CAPEX - BLOCOS PAN'!$C$3:$O$52,13,FALSE))*P$57</f>
        <v>-1412675.2803874707</v>
      </c>
      <c r="Q5" s="1">
        <f>('RECEITAS - BLOCOS PAN'!P5-'OPEX - BLOCOS PAN'!P5-VLOOKUP('FLUXO DE CAIXA DESC.-BLOCOS PAN'!$D5,'CAPEX - BLOCOS PAN'!$C$3:$P$52,14,FALSE))*Q$57</f>
        <v>-1288987.9053097682</v>
      </c>
      <c r="R5" s="1">
        <f>('RECEITAS - BLOCOS PAN'!Q5-'OPEX - BLOCOS PAN'!Q5-VLOOKUP('FLUXO DE CAIXA DESC.-BLOCOS PAN'!$D5,'CAPEX - BLOCOS PAN'!$C$3:$Q$52,15,FALSE))*R$57</f>
        <v>-1176167.5793331361</v>
      </c>
      <c r="S5" s="1">
        <f>('RECEITAS - BLOCOS PAN'!R5-'OPEX - BLOCOS PAN'!R5-VLOOKUP('FLUXO DE CAIXA DESC.-BLOCOS PAN'!$D5,'CAPEX - BLOCOS PAN'!$C$3:$R$52,16,FALSE))*S$57</f>
        <v>-1073250.5584972315</v>
      </c>
      <c r="T5" s="1">
        <f>('RECEITAS - BLOCOS PAN'!S5-'OPEX - BLOCOS PAN'!S5-VLOOKUP('FLUXO DE CAIXA DESC.-BLOCOS PAN'!$D5,'CAPEX - BLOCOS PAN'!$C$3:$S$52,17,FALSE))*T$57</f>
        <v>-979331.72820585617</v>
      </c>
      <c r="U5" s="1">
        <f>('RECEITAS - BLOCOS PAN'!T5-'OPEX - BLOCOS PAN'!T5-VLOOKUP('FLUXO DE CAIXA DESC.-BLOCOS PAN'!$D5,'CAPEX - BLOCOS PAN'!$C$3:$T$52,18,FALSE))*U$57</f>
        <v>-893633.0391519909</v>
      </c>
      <c r="V5" s="1">
        <f>('RECEITAS - BLOCOS PAN'!U5-'OPEX - BLOCOS PAN'!U5-VLOOKUP('FLUXO DE CAIXA DESC.-BLOCOS PAN'!$D5,'CAPEX - BLOCOS PAN'!$C$3:$U$52,19,FALSE))*V$57</f>
        <v>-815442.40715189499</v>
      </c>
      <c r="W5" s="1">
        <f>('RECEITAS - BLOCOS PAN'!V5-'OPEX - BLOCOS PAN'!V5-VLOOKUP('FLUXO DE CAIXA DESC.-BLOCOS PAN'!$D5,'CAPEX - BLOCOS PAN'!$C$3:$V$52,20,FALSE))*W$57</f>
        <v>-744093.16456707031</v>
      </c>
      <c r="X5" s="1">
        <f>('RECEITAS - BLOCOS PAN'!W5-'OPEX - BLOCOS PAN'!W5-VLOOKUP('FLUXO DE CAIXA DESC.-BLOCOS PAN'!$D5,'CAPEX - BLOCOS PAN'!$C$3:$W$52,21,FALSE))*X$57</f>
        <v>-678986.72375453392</v>
      </c>
      <c r="Y5" s="1">
        <f>('RECEITAS - BLOCOS PAN'!X5-'OPEX - BLOCOS PAN'!X5-VLOOKUP('FLUXO DE CAIXA DESC.-BLOCOS PAN'!$D5,'CAPEX - BLOCOS PAN'!$C$3:$X$52,22,FALSE))*Y$57</f>
        <v>-619583.51514733967</v>
      </c>
      <c r="Z5" s="1">
        <f>('RECEITAS - BLOCOS PAN'!Y5-'OPEX - BLOCOS PAN'!Y5-VLOOKUP('FLUXO DE CAIXA DESC.-BLOCOS PAN'!$D5,'CAPEX - BLOCOS PAN'!$C$3:$Y$52,23,FALSE))*Z$57</f>
        <v>-565368.20939806418</v>
      </c>
      <c r="AA5" s="1">
        <f>('RECEITAS - BLOCOS PAN'!Z5-'OPEX - BLOCOS PAN'!Z5-VLOOKUP('FLUXO DE CAIXA DESC.-BLOCOS PAN'!$D5,'CAPEX - BLOCOS PAN'!$C$3:$Z$52,24,FALSE))*AA$57</f>
        <v>-515896.82918905915</v>
      </c>
      <c r="AB5" s="1">
        <f>('RECEITAS - BLOCOS PAN'!AA5-'OPEX - BLOCOS PAN'!AA5-VLOOKUP('FLUXO DE CAIXA DESC.-BLOCOS PAN'!$D5,'CAPEX - BLOCOS PAN'!$C$3:$AA$52,25,FALSE))*AB$57</f>
        <v>-470749.22435904387</v>
      </c>
      <c r="AC5" s="1">
        <f>('RECEITAS - BLOCOS PAN'!AB5-'OPEX - BLOCOS PAN'!AB5-VLOOKUP('FLUXO DE CAIXA DESC.-BLOCOS PAN'!$D5,'CAPEX - BLOCOS PAN'!$C$3:$AB$52,26,FALSE))*AC$57</f>
        <v>-429564.09226354555</v>
      </c>
      <c r="AD5" s="1">
        <f>('RECEITAS - BLOCOS PAN'!AC5-'OPEX - BLOCOS PAN'!AC5-VLOOKUP('FLUXO DE CAIXA DESC.-BLOCOS PAN'!$D5,'CAPEX - BLOCOS PAN'!$C$3:$AC$52,27,FALSE))*AD$57</f>
        <v>-391980.03228465241</v>
      </c>
      <c r="AE5" s="1">
        <f>('RECEITAS - BLOCOS PAN'!AD5-'OPEX - BLOCOS PAN'!AD5-VLOOKUP('FLUXO DE CAIXA DESC.-BLOCOS PAN'!$D5,'CAPEX - BLOCOS PAN'!$C$3:$AD$52,28,FALSE))*AE$57</f>
        <v>-357686.21150751878</v>
      </c>
      <c r="AF5" s="1">
        <f>('RECEITAS - BLOCOS PAN'!AE5-'OPEX - BLOCOS PAN'!AE5-VLOOKUP('FLUXO DE CAIXA DESC.-BLOCOS PAN'!$D5,'CAPEX - BLOCOS PAN'!$C$3:$AE$52,29,FALSE))*AF$57</f>
        <v>-326397.93821358396</v>
      </c>
      <c r="AG5" s="1">
        <f>('RECEITAS - BLOCOS PAN'!AF5-'OPEX - BLOCOS PAN'!AF5-VLOOKUP('FLUXO DE CAIXA DESC.-BLOCOS PAN'!$D5,'CAPEX - BLOCOS PAN'!$C$3:$AF$52,30,FALSE))*AG$57</f>
        <v>-297851.35168716463</v>
      </c>
      <c r="AH5" s="1">
        <f>('RECEITAS - BLOCOS PAN'!AG5-'OPEX - BLOCOS PAN'!AG5-VLOOKUP('FLUXO DE CAIXA DESC.-BLOCOS PAN'!$D5,'CAPEX - BLOCOS PAN'!$C$3:$AG$52,31,FALSE))*AH$57</f>
        <v>-271801.40767810051</v>
      </c>
      <c r="AI5" s="1">
        <f>('RECEITAS - BLOCOS PAN'!AH5-'OPEX - BLOCOS PAN'!AH5-VLOOKUP('FLUXO DE CAIXA DESC.-BLOCOS PAN'!$D5,'CAPEX - BLOCOS PAN'!$C$3:$AH$52,32,FALSE))*AI$57</f>
        <v>-248033.76004790072</v>
      </c>
      <c r="AJ5" s="1">
        <f>('RECEITAS - BLOCOS PAN'!AI5-'OPEX - BLOCOS PAN'!AI5-VLOOKUP('FLUXO DE CAIXA DESC.-BLOCOS PAN'!$D5,'CAPEX - BLOCOS PAN'!$C$3:$AI$52,33,FALSE))*AJ$57</f>
        <v>-226345.67069786691</v>
      </c>
      <c r="AK5" s="1">
        <f>('RECEITAS - BLOCOS PAN'!AJ5-'OPEX - BLOCOS PAN'!AJ5-VLOOKUP('FLUXO DE CAIXA DESC.-BLOCOS PAN'!$D5,'CAPEX - BLOCOS PAN'!$C$3:$AJ$52,34,FALSE))*AK$57</f>
        <v>-206553.9718688885</v>
      </c>
      <c r="AL5" s="1">
        <f>('RECEITAS - BLOCOS PAN'!AK5-'OPEX - BLOCOS PAN'!AK5-VLOOKUP('FLUXO DE CAIXA DESC.-BLOCOS PAN'!$D5,'CAPEX - BLOCOS PAN'!$C$3:$AK$52,35,FALSE))*AL$57</f>
        <v>-188491.83102985783</v>
      </c>
      <c r="AM5" s="44">
        <f t="shared" si="0"/>
        <v>-84174543.635054305</v>
      </c>
      <c r="AN5">
        <v>1</v>
      </c>
      <c r="AO5" t="s">
        <v>311</v>
      </c>
      <c r="AP5">
        <v>-0.96666666666666667</v>
      </c>
      <c r="AQ5">
        <v>-62.916666666666664</v>
      </c>
      <c r="AR5" s="48">
        <f>VLOOKUP(D5,'Projeção - Demanda PAX'!$C$3:$H$37,6,FALSE)</f>
        <v>1501</v>
      </c>
      <c r="AS5" s="1">
        <f t="shared" si="1"/>
        <v>-78379252.865927175</v>
      </c>
      <c r="AT5" t="str">
        <f>VLOOKUP(D5,'CAPEX - BLOCOS PAN (ANO A ANO)'!$C$3:$AV$52,46,FALSE)</f>
        <v>Privada</v>
      </c>
      <c r="AU5" t="str">
        <f>VLOOKUP(D5,'FLUXO DE CAIXA DESC.-SEM MULT.'!$D$3:$AT$52,43,FALSE)</f>
        <v>Bloco 2 - AM1</v>
      </c>
    </row>
    <row r="6" spans="1:47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259</v>
      </c>
      <c r="H6" t="s">
        <v>33</v>
      </c>
      <c r="I6" s="1">
        <f>('RECEITAS - BLOCOS PAN'!H6-'OPEX - BLOCOS PAN'!H6-VLOOKUP('FLUXO DE CAIXA DESC.-BLOCOS PAN'!$D6,'CAPEX - BLOCOS PAN'!$C$3:$H$52,6,FALSE))*I$57</f>
        <v>-26178388.263599999</v>
      </c>
      <c r="J6" s="1">
        <f>('RECEITAS - BLOCOS PAN'!I6-'OPEX - BLOCOS PAN'!I6-VLOOKUP('FLUXO DE CAIXA DESC.-BLOCOS PAN'!$D6,'CAPEX - BLOCOS PAN'!$C$3:$I$52,7,FALSE))*J$57</f>
        <v>-23870543.544500232</v>
      </c>
      <c r="K6" s="1">
        <f>('RECEITAS - BLOCOS PAN'!J6-'OPEX - BLOCOS PAN'!J6-VLOOKUP('FLUXO DE CAIXA DESC.-BLOCOS PAN'!$D6,'CAPEX - BLOCOS PAN'!$C$3:$J$52,8,FALSE))*K$57</f>
        <v>-21770234.976703376</v>
      </c>
      <c r="L6" s="1">
        <f>('RECEITAS - BLOCOS PAN'!K6-'OPEX - BLOCOS PAN'!K6-VLOOKUP('FLUXO DE CAIXA DESC.-BLOCOS PAN'!$D6,'CAPEX - BLOCOS PAN'!$C$3:$K$52,9,FALSE))*L$57</f>
        <v>-1846496.5567118595</v>
      </c>
      <c r="M6" s="1">
        <f>('RECEITAS - BLOCOS PAN'!L6-'OPEX - BLOCOS PAN'!L6-VLOOKUP('FLUXO DE CAIXA DESC.-BLOCOS PAN'!$D6,'CAPEX - BLOCOS PAN'!$C$3:$L$52,10,FALSE))*M$57</f>
        <v>-1674299.5299619292</v>
      </c>
      <c r="N6" s="1">
        <f>('RECEITAS - BLOCOS PAN'!M6-'OPEX - BLOCOS PAN'!M6-VLOOKUP('FLUXO DE CAIXA DESC.-BLOCOS PAN'!$D6,'CAPEX - BLOCOS PAN'!$C$3:$M$52,11,FALSE))*N$57</f>
        <v>-1518699.507791718</v>
      </c>
      <c r="O6" s="1">
        <f>('RECEITAS - BLOCOS PAN'!N6-'OPEX - BLOCOS PAN'!N6-VLOOKUP('FLUXO DE CAIXA DESC.-BLOCOS PAN'!$D6,'CAPEX - BLOCOS PAN'!$C$3:$N$52,12,FALSE))*O$57</f>
        <v>-1377808.3079365154</v>
      </c>
      <c r="P6" s="1">
        <f>('RECEITAS - BLOCOS PAN'!O6-'OPEX - BLOCOS PAN'!O6-VLOOKUP('FLUXO DE CAIXA DESC.-BLOCOS PAN'!$D6,'CAPEX - BLOCOS PAN'!$C$3:$O$52,13,FALSE))*P$57</f>
        <v>-1250078.212465192</v>
      </c>
      <c r="Q6" s="1">
        <f>('RECEITAS - BLOCOS PAN'!P6-'OPEX - BLOCOS PAN'!P6-VLOOKUP('FLUXO DE CAIXA DESC.-BLOCOS PAN'!$D6,'CAPEX - BLOCOS PAN'!$C$3:$P$52,14,FALSE))*Q$57</f>
        <v>-1134620.6516970184</v>
      </c>
      <c r="R6" s="1">
        <f>('RECEITAS - BLOCOS PAN'!Q6-'OPEX - BLOCOS PAN'!Q6-VLOOKUP('FLUXO DE CAIXA DESC.-BLOCOS PAN'!$D6,'CAPEX - BLOCOS PAN'!$C$3:$Q$52,15,FALSE))*R$57</f>
        <v>-1030084.6453668341</v>
      </c>
      <c r="S6" s="1">
        <f>('RECEITAS - BLOCOS PAN'!R6-'OPEX - BLOCOS PAN'!R6-VLOOKUP('FLUXO DE CAIXA DESC.-BLOCOS PAN'!$D6,'CAPEX - BLOCOS PAN'!$C$3:$R$52,16,FALSE))*S$57</f>
        <v>-935359.23095364391</v>
      </c>
      <c r="T6" s="1">
        <f>('RECEITAS - BLOCOS PAN'!S6-'OPEX - BLOCOS PAN'!S6-VLOOKUP('FLUXO DE CAIXA DESC.-BLOCOS PAN'!$D6,'CAPEX - BLOCOS PAN'!$C$3:$S$52,17,FALSE))*T$57</f>
        <v>-849325.87941608077</v>
      </c>
      <c r="U6" s="1">
        <f>('RECEITAS - BLOCOS PAN'!T6-'OPEX - BLOCOS PAN'!T6-VLOOKUP('FLUXO DE CAIXA DESC.-BLOCOS PAN'!$D6,'CAPEX - BLOCOS PAN'!$C$3:$T$52,18,FALSE))*U$57</f>
        <v>-771260.95492408413</v>
      </c>
      <c r="V6" s="1">
        <f>('RECEITAS - BLOCOS PAN'!U6-'OPEX - BLOCOS PAN'!U6-VLOOKUP('FLUXO DE CAIXA DESC.-BLOCOS PAN'!$D6,'CAPEX - BLOCOS PAN'!$C$3:$U$52,19,FALSE))*V$57</f>
        <v>-700186.03089739871</v>
      </c>
      <c r="W6" s="1">
        <f>('RECEITAS - BLOCOS PAN'!V6-'OPEX - BLOCOS PAN'!V6-VLOOKUP('FLUXO DE CAIXA DESC.-BLOCOS PAN'!$D6,'CAPEX - BLOCOS PAN'!$C$3:$V$52,20,FALSE))*W$57</f>
        <v>-635701.80686420656</v>
      </c>
      <c r="X6" s="1">
        <f>('RECEITAS - BLOCOS PAN'!W6-'OPEX - BLOCOS PAN'!W6-VLOOKUP('FLUXO DE CAIXA DESC.-BLOCOS PAN'!$D6,'CAPEX - BLOCOS PAN'!$C$3:$W$52,21,FALSE))*X$57</f>
        <v>-615569.25690294057</v>
      </c>
      <c r="Y6" s="1">
        <f>('RECEITAS - BLOCOS PAN'!X6-'OPEX - BLOCOS PAN'!X6-VLOOKUP('FLUXO DE CAIXA DESC.-BLOCOS PAN'!$D6,'CAPEX - BLOCOS PAN'!$C$3:$X$52,22,FALSE))*Y$57</f>
        <v>-558977.64775668085</v>
      </c>
      <c r="Z6" s="1">
        <f>('RECEITAS - BLOCOS PAN'!Y6-'OPEX - BLOCOS PAN'!Y6-VLOOKUP('FLUXO DE CAIXA DESC.-BLOCOS PAN'!$D6,'CAPEX - BLOCOS PAN'!$C$3:$Y$52,23,FALSE))*Z$57</f>
        <v>-507471.93337049708</v>
      </c>
      <c r="AA6" s="1">
        <f>('RECEITAS - BLOCOS PAN'!Z6-'OPEX - BLOCOS PAN'!Z6-VLOOKUP('FLUXO DE CAIXA DESC.-BLOCOS PAN'!$D6,'CAPEX - BLOCOS PAN'!$C$3:$Z$52,24,FALSE))*AA$57</f>
        <v>-460645.96536325681</v>
      </c>
      <c r="AB6" s="1">
        <f>('RECEITAS - BLOCOS PAN'!AA6-'OPEX - BLOCOS PAN'!AA6-VLOOKUP('FLUXO DE CAIXA DESC.-BLOCOS PAN'!$D6,'CAPEX - BLOCOS PAN'!$C$3:$AA$52,25,FALSE))*AB$57</f>
        <v>-418122.42306778836</v>
      </c>
      <c r="AC6" s="1">
        <f>('RECEITAS - BLOCOS PAN'!AB6-'OPEX - BLOCOS PAN'!AB6-VLOOKUP('FLUXO DE CAIXA DESC.-BLOCOS PAN'!$D6,'CAPEX - BLOCOS PAN'!$C$3:$AB$52,26,FALSE))*AC$57</f>
        <v>-379514.49009532743</v>
      </c>
      <c r="AD6" s="1">
        <f>('RECEITAS - BLOCOS PAN'!AC6-'OPEX - BLOCOS PAN'!AC6-VLOOKUP('FLUXO DE CAIXA DESC.-BLOCOS PAN'!$D6,'CAPEX - BLOCOS PAN'!$C$3:$AC$52,27,FALSE))*AD$57</f>
        <v>-344428.93117002829</v>
      </c>
      <c r="AE6" s="1">
        <f>('RECEITAS - BLOCOS PAN'!AD6-'OPEX - BLOCOS PAN'!AD6-VLOOKUP('FLUXO DE CAIXA DESC.-BLOCOS PAN'!$D6,'CAPEX - BLOCOS PAN'!$C$3:$AD$52,28,FALSE))*AE$57</f>
        <v>-312589.75618424977</v>
      </c>
      <c r="AF6" s="1">
        <f>('RECEITAS - BLOCOS PAN'!AE6-'OPEX - BLOCOS PAN'!AE6-VLOOKUP('FLUXO DE CAIXA DESC.-BLOCOS PAN'!$D6,'CAPEX - BLOCOS PAN'!$C$3:$AE$52,29,FALSE))*AF$57</f>
        <v>-283775.25779353268</v>
      </c>
      <c r="AG6" s="1">
        <f>('RECEITAS - BLOCOS PAN'!AF6-'OPEX - BLOCOS PAN'!AF6-VLOOKUP('FLUXO DE CAIXA DESC.-BLOCOS PAN'!$D6,'CAPEX - BLOCOS PAN'!$C$3:$AF$52,30,FALSE))*AG$57</f>
        <v>-257674.61455302782</v>
      </c>
      <c r="AH6" s="1">
        <f>('RECEITAS - BLOCOS PAN'!AG6-'OPEX - BLOCOS PAN'!AG6-VLOOKUP('FLUXO DE CAIXA DESC.-BLOCOS PAN'!$D6,'CAPEX - BLOCOS PAN'!$C$3:$AG$52,31,FALSE))*AH$57</f>
        <v>-233968.00579864529</v>
      </c>
      <c r="AI6" s="1">
        <f>('RECEITAS - BLOCOS PAN'!AH6-'OPEX - BLOCOS PAN'!AH6-VLOOKUP('FLUXO DE CAIXA DESC.-BLOCOS PAN'!$D6,'CAPEX - BLOCOS PAN'!$C$3:$AH$52,32,FALSE))*AI$57</f>
        <v>-212463.16617060275</v>
      </c>
      <c r="AJ6" s="1">
        <f>('RECEITAS - BLOCOS PAN'!AI6-'OPEX - BLOCOS PAN'!AI6-VLOOKUP('FLUXO DE CAIXA DESC.-BLOCOS PAN'!$D6,'CAPEX - BLOCOS PAN'!$C$3:$AI$52,33,FALSE))*AJ$57</f>
        <v>-192921.06799313278</v>
      </c>
      <c r="AK6" s="1">
        <f>('RECEITAS - BLOCOS PAN'!AJ6-'OPEX - BLOCOS PAN'!AJ6-VLOOKUP('FLUXO DE CAIXA DESC.-BLOCOS PAN'!$D6,'CAPEX - BLOCOS PAN'!$C$3:$AJ$52,34,FALSE))*AK$57</f>
        <v>-175152.67000975669</v>
      </c>
      <c r="AL6" s="1">
        <f>('RECEITAS - BLOCOS PAN'!AK6-'OPEX - BLOCOS PAN'!AK6-VLOOKUP('FLUXO DE CAIXA DESC.-BLOCOS PAN'!$D6,'CAPEX - BLOCOS PAN'!$C$3:$AK$52,35,FALSE))*AL$57</f>
        <v>-159001.96519132867</v>
      </c>
      <c r="AM6" s="44">
        <f t="shared" si="0"/>
        <v>-90655365.251210883</v>
      </c>
      <c r="AN6">
        <v>1</v>
      </c>
      <c r="AO6" t="s">
        <v>283</v>
      </c>
      <c r="AP6">
        <v>-10.783333333333333</v>
      </c>
      <c r="AQ6">
        <v>-65.266666666666666</v>
      </c>
      <c r="AR6" s="48">
        <f>VLOOKUP(D6,'Projeção - Demanda PAX'!$C$3:$H$37,6,FALSE)</f>
        <v>14179</v>
      </c>
      <c r="AS6" s="1">
        <f t="shared" si="1"/>
        <v>-85543088.099790066</v>
      </c>
      <c r="AT6" t="str">
        <f>VLOOKUP(D6,'CAPEX - BLOCOS PAN (ANO A ANO)'!$C$3:$AV$52,46,FALSE)</f>
        <v>Privada</v>
      </c>
      <c r="AU6" t="str">
        <f>VLOOKUP(D6,'FLUXO DE CAIXA DESC.-SEM MULT.'!$D$3:$AT$52,43,FALSE)</f>
        <v>Bloco 7 - RO</v>
      </c>
    </row>
    <row r="7" spans="1:47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259</v>
      </c>
      <c r="H7" t="s">
        <v>33</v>
      </c>
      <c r="I7" s="1">
        <f>('RECEITAS - BLOCOS PAN'!H7-'OPEX - BLOCOS PAN'!H7-VLOOKUP('FLUXO DE CAIXA DESC.-BLOCOS PAN'!$D7,'CAPEX - BLOCOS PAN'!$C$3:$H$52,6,FALSE))*I$57</f>
        <v>-46082684.2249</v>
      </c>
      <c r="J7" s="1">
        <f>('RECEITAS - BLOCOS PAN'!I7-'OPEX - BLOCOS PAN'!I7-VLOOKUP('FLUXO DE CAIXA DESC.-BLOCOS PAN'!$D7,'CAPEX - BLOCOS PAN'!$C$3:$I$52,7,FALSE))*J$57</f>
        <v>-41935587.404564127</v>
      </c>
      <c r="K7" s="1">
        <f>('RECEITAS - BLOCOS PAN'!J7-'OPEX - BLOCOS PAN'!J7-VLOOKUP('FLUXO DE CAIXA DESC.-BLOCOS PAN'!$D7,'CAPEX - BLOCOS PAN'!$C$3:$J$52,8,FALSE))*K$57</f>
        <v>-38169200.25264135</v>
      </c>
      <c r="L7" s="1">
        <f>('RECEITAS - BLOCOS PAN'!K7-'OPEX - BLOCOS PAN'!K7-VLOOKUP('FLUXO DE CAIXA DESC.-BLOCOS PAN'!$D7,'CAPEX - BLOCOS PAN'!$C$3:$K$52,9,FALSE))*L$57</f>
        <v>-2083930.885371397</v>
      </c>
      <c r="M7" s="1">
        <f>('RECEITAS - BLOCOS PAN'!L7-'OPEX - BLOCOS PAN'!L7-VLOOKUP('FLUXO DE CAIXA DESC.-BLOCOS PAN'!$D7,'CAPEX - BLOCOS PAN'!$C$3:$L$52,10,FALSE))*M$57</f>
        <v>-1837105.4737469563</v>
      </c>
      <c r="N7" s="1">
        <f>('RECEITAS - BLOCOS PAN'!M7-'OPEX - BLOCOS PAN'!M7-VLOOKUP('FLUXO DE CAIXA DESC.-BLOCOS PAN'!$D7,'CAPEX - BLOCOS PAN'!$C$3:$M$52,11,FALSE))*N$57</f>
        <v>-1628852.4018741234</v>
      </c>
      <c r="O7" s="1">
        <f>('RECEITAS - BLOCOS PAN'!N7-'OPEX - BLOCOS PAN'!N7-VLOOKUP('FLUXO DE CAIXA DESC.-BLOCOS PAN'!$D7,'CAPEX - BLOCOS PAN'!$C$3:$N$52,12,FALSE))*O$57</f>
        <v>-1450220.868499819</v>
      </c>
      <c r="P7" s="1">
        <f>('RECEITAS - BLOCOS PAN'!O7-'OPEX - BLOCOS PAN'!O7-VLOOKUP('FLUXO DE CAIXA DESC.-BLOCOS PAN'!$D7,'CAPEX - BLOCOS PAN'!$C$3:$O$52,13,FALSE))*P$57</f>
        <v>-1288655.5714937025</v>
      </c>
      <c r="Q7" s="1">
        <f>('RECEITAS - BLOCOS PAN'!P7-'OPEX - BLOCOS PAN'!P7-VLOOKUP('FLUXO DE CAIXA DESC.-BLOCOS PAN'!$D7,'CAPEX - BLOCOS PAN'!$C$3:$P$52,14,FALSE))*Q$57</f>
        <v>-1148522.8306692045</v>
      </c>
      <c r="R7" s="1">
        <f>('RECEITAS - BLOCOS PAN'!Q7-'OPEX - BLOCOS PAN'!Q7-VLOOKUP('FLUXO DE CAIXA DESC.-BLOCOS PAN'!$D7,'CAPEX - BLOCOS PAN'!$C$3:$Q$52,15,FALSE))*R$57</f>
        <v>-1022124.5104834118</v>
      </c>
      <c r="S7" s="1">
        <f>('RECEITAS - BLOCOS PAN'!R7-'OPEX - BLOCOS PAN'!R7-VLOOKUP('FLUXO DE CAIXA DESC.-BLOCOS PAN'!$D7,'CAPEX - BLOCOS PAN'!$C$3:$R$52,16,FALSE))*S$57</f>
        <v>-912809.8154298719</v>
      </c>
      <c r="T7" s="1">
        <f>('RECEITAS - BLOCOS PAN'!S7-'OPEX - BLOCOS PAN'!S7-VLOOKUP('FLUXO DE CAIXA DESC.-BLOCOS PAN'!$D7,'CAPEX - BLOCOS PAN'!$C$3:$S$52,17,FALSE))*T$57</f>
        <v>-812568.87008575792</v>
      </c>
      <c r="U7" s="1">
        <f>('RECEITAS - BLOCOS PAN'!T7-'OPEX - BLOCOS PAN'!T7-VLOOKUP('FLUXO DE CAIXA DESC.-BLOCOS PAN'!$D7,'CAPEX - BLOCOS PAN'!$C$3:$T$52,18,FALSE))*U$57</f>
        <v>-725105.38052071759</v>
      </c>
      <c r="V7" s="1">
        <f>('RECEITAS - BLOCOS PAN'!U7-'OPEX - BLOCOS PAN'!U7-VLOOKUP('FLUXO DE CAIXA DESC.-BLOCOS PAN'!$D7,'CAPEX - BLOCOS PAN'!$C$3:$U$52,19,FALSE))*V$57</f>
        <v>-643933.80206528481</v>
      </c>
      <c r="W7" s="1">
        <f>('RECEITAS - BLOCOS PAN'!V7-'OPEX - BLOCOS PAN'!V7-VLOOKUP('FLUXO DE CAIXA DESC.-BLOCOS PAN'!$D7,'CAPEX - BLOCOS PAN'!$C$3:$V$52,20,FALSE))*W$57</f>
        <v>-573724.16246925364</v>
      </c>
      <c r="X7" s="1">
        <f>('RECEITAS - BLOCOS PAN'!W7-'OPEX - BLOCOS PAN'!W7-VLOOKUP('FLUXO DE CAIXA DESC.-BLOCOS PAN'!$D7,'CAPEX - BLOCOS PAN'!$C$3:$W$52,21,FALSE))*X$57</f>
        <v>-508833.37455261499</v>
      </c>
      <c r="Y7" s="1">
        <f>('RECEITAS - BLOCOS PAN'!X7-'OPEX - BLOCOS PAN'!X7-VLOOKUP('FLUXO DE CAIXA DESC.-BLOCOS PAN'!$D7,'CAPEX - BLOCOS PAN'!$C$3:$X$52,22,FALSE))*Y$57</f>
        <v>-452741.43711052393</v>
      </c>
      <c r="Z7" s="1">
        <f>('RECEITAS - BLOCOS PAN'!Y7-'OPEX - BLOCOS PAN'!Y7-VLOOKUP('FLUXO DE CAIXA DESC.-BLOCOS PAN'!$D7,'CAPEX - BLOCOS PAN'!$C$3:$Y$52,23,FALSE))*Z$57</f>
        <v>-400453.96138351952</v>
      </c>
      <c r="AA7" s="1">
        <f>('RECEITAS - BLOCOS PAN'!Z7-'OPEX - BLOCOS PAN'!Z7-VLOOKUP('FLUXO DE CAIXA DESC.-BLOCOS PAN'!$D7,'CAPEX - BLOCOS PAN'!$C$3:$Z$52,24,FALSE))*AA$57</f>
        <v>-355806.04740956682</v>
      </c>
      <c r="AB7" s="1">
        <f>('RECEITAS - BLOCOS PAN'!AA7-'OPEX - BLOCOS PAN'!AA7-VLOOKUP('FLUXO DE CAIXA DESC.-BLOCOS PAN'!$D7,'CAPEX - BLOCOS PAN'!$C$3:$AA$52,25,FALSE))*AB$57</f>
        <v>-314064.11041757866</v>
      </c>
      <c r="AC7" s="1">
        <f>('RECEITAS - BLOCOS PAN'!AB7-'OPEX - BLOCOS PAN'!AB7-VLOOKUP('FLUXO DE CAIXA DESC.-BLOCOS PAN'!$D7,'CAPEX - BLOCOS PAN'!$C$3:$AB$52,26,FALSE))*AC$57</f>
        <v>-278274.19407376758</v>
      </c>
      <c r="AD7" s="1">
        <f>('RECEITAS - BLOCOS PAN'!AC7-'OPEX - BLOCOS PAN'!AC7-VLOOKUP('FLUXO DE CAIXA DESC.-BLOCOS PAN'!$D7,'CAPEX - BLOCOS PAN'!$C$3:$AC$52,27,FALSE))*AD$57</f>
        <v>-244998.275610935</v>
      </c>
      <c r="AE7" s="1">
        <f>('RECEITAS - BLOCOS PAN'!AD7-'OPEX - BLOCOS PAN'!AD7-VLOOKUP('FLUXO DE CAIXA DESC.-BLOCOS PAN'!$D7,'CAPEX - BLOCOS PAN'!$C$3:$AD$52,28,FALSE))*AE$57</f>
        <v>-216403.48724790374</v>
      </c>
      <c r="AF7" s="1">
        <f>('RECEITAS - BLOCOS PAN'!AE7-'OPEX - BLOCOS PAN'!AE7-VLOOKUP('FLUXO DE CAIXA DESC.-BLOCOS PAN'!$D7,'CAPEX - BLOCOS PAN'!$C$3:$AE$52,29,FALSE))*AF$57</f>
        <v>-190744.67657181498</v>
      </c>
      <c r="AG7" s="1">
        <f>('RECEITAS - BLOCOS PAN'!AF7-'OPEX - BLOCOS PAN'!AF7-VLOOKUP('FLUXO DE CAIXA DESC.-BLOCOS PAN'!$D7,'CAPEX - BLOCOS PAN'!$C$3:$AF$52,30,FALSE))*AG$57</f>
        <v>-168796.8076041977</v>
      </c>
      <c r="AH7" s="1">
        <f>('RECEITAS - BLOCOS PAN'!AG7-'OPEX - BLOCOS PAN'!AG7-VLOOKUP('FLUXO DE CAIXA DESC.-BLOCOS PAN'!$D7,'CAPEX - BLOCOS PAN'!$C$3:$AG$52,31,FALSE))*AH$57</f>
        <v>-148189.72153267055</v>
      </c>
      <c r="AI7" s="1">
        <f>('RECEITAS - BLOCOS PAN'!AH7-'OPEX - BLOCOS PAN'!AH7-VLOOKUP('FLUXO DE CAIXA DESC.-BLOCOS PAN'!$D7,'CAPEX - BLOCOS PAN'!$C$3:$AH$52,32,FALSE))*AI$57</f>
        <v>-130935.31406411795</v>
      </c>
      <c r="AJ7" s="1">
        <f>('RECEITAS - BLOCOS PAN'!AI7-'OPEX - BLOCOS PAN'!AI7-VLOOKUP('FLUXO DE CAIXA DESC.-BLOCOS PAN'!$D7,'CAPEX - BLOCOS PAN'!$C$3:$AI$52,33,FALSE))*AJ$57</f>
        <v>-114722.31277114179</v>
      </c>
      <c r="AK7" s="1">
        <f>('RECEITAS - BLOCOS PAN'!AJ7-'OPEX - BLOCOS PAN'!AJ7-VLOOKUP('FLUXO DE CAIXA DESC.-BLOCOS PAN'!$D7,'CAPEX - BLOCOS PAN'!$C$3:$AJ$52,34,FALSE))*AK$57</f>
        <v>-100250.23316545674</v>
      </c>
      <c r="AL7" s="1">
        <f>('RECEITAS - BLOCOS PAN'!AK7-'OPEX - BLOCOS PAN'!AK7-VLOOKUP('FLUXO DE CAIXA DESC.-BLOCOS PAN'!$D7,'CAPEX - BLOCOS PAN'!$C$3:$AK$52,35,FALSE))*AL$57</f>
        <v>-87345.000547481381</v>
      </c>
      <c r="AM7" s="44">
        <f t="shared" si="0"/>
        <v>-144027585.40887821</v>
      </c>
      <c r="AN7">
        <v>1</v>
      </c>
      <c r="AO7" t="s">
        <v>312</v>
      </c>
      <c r="AP7">
        <v>-3.1166666666666667</v>
      </c>
      <c r="AQ7">
        <v>-58.466666666666669</v>
      </c>
      <c r="AR7" s="48">
        <f>VLOOKUP(D7,'Projeção - Demanda PAX'!$C$3:$H$37,6,FALSE)</f>
        <v>51486</v>
      </c>
      <c r="AS7" s="1">
        <f t="shared" si="1"/>
        <v>-140315026.45481497</v>
      </c>
      <c r="AT7" t="str">
        <f>VLOOKUP(D7,'CAPEX - BLOCOS PAN (ANO A ANO)'!$C$3:$AV$52,46,FALSE)</f>
        <v>Privada</v>
      </c>
      <c r="AU7" t="str">
        <f>VLOOKUP(D7,'FLUXO DE CAIXA DESC.-SEM MULT.'!$D$3:$AT$52,43,FALSE)</f>
        <v>Bloco 3 - AM2</v>
      </c>
    </row>
    <row r="8" spans="1:47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259</v>
      </c>
      <c r="H8" t="s">
        <v>33</v>
      </c>
      <c r="I8" s="1">
        <f>('RECEITAS - BLOCOS PAN'!H8-'OPEX - BLOCOS PAN'!H8-VLOOKUP('FLUXO DE CAIXA DESC.-BLOCOS PAN'!$D8,'CAPEX - BLOCOS PAN'!$C$3:$H$52,6,FALSE))*I$57</f>
        <v>-49365149.537933335</v>
      </c>
      <c r="J8" s="1">
        <f>('RECEITAS - BLOCOS PAN'!I8-'OPEX - BLOCOS PAN'!I8-VLOOKUP('FLUXO DE CAIXA DESC.-BLOCOS PAN'!$D8,'CAPEX - BLOCOS PAN'!$C$3:$I$52,7,FALSE))*J$57</f>
        <v>-45028244.107561238</v>
      </c>
      <c r="K8" s="1">
        <f>('RECEITAS - BLOCOS PAN'!J8-'OPEX - BLOCOS PAN'!J8-VLOOKUP('FLUXO DE CAIXA DESC.-BLOCOS PAN'!$D8,'CAPEX - BLOCOS PAN'!$C$3:$J$52,8,FALSE))*K$57</f>
        <v>-41077102.863095045</v>
      </c>
      <c r="L8" s="1">
        <f>('RECEITAS - BLOCOS PAN'!K8-'OPEX - BLOCOS PAN'!K8-VLOOKUP('FLUXO DE CAIXA DESC.-BLOCOS PAN'!$D8,'CAPEX - BLOCOS PAN'!$C$3:$K$52,9,FALSE))*L$57</f>
        <v>-1871038.7908944171</v>
      </c>
      <c r="M8" s="1">
        <f>('RECEITAS - BLOCOS PAN'!L8-'OPEX - BLOCOS PAN'!L8-VLOOKUP('FLUXO DE CAIXA DESC.-BLOCOS PAN'!$D8,'CAPEX - BLOCOS PAN'!$C$3:$L$52,10,FALSE))*M$57</f>
        <v>-1692164.634179007</v>
      </c>
      <c r="N8" s="1">
        <f>('RECEITAS - BLOCOS PAN'!M8-'OPEX - BLOCOS PAN'!M8-VLOOKUP('FLUXO DE CAIXA DESC.-BLOCOS PAN'!$D8,'CAPEX - BLOCOS PAN'!$C$3:$M$52,11,FALSE))*N$57</f>
        <v>-1530829.2212418679</v>
      </c>
      <c r="O8" s="1">
        <f>('RECEITAS - BLOCOS PAN'!N8-'OPEX - BLOCOS PAN'!N8-VLOOKUP('FLUXO DE CAIXA DESC.-BLOCOS PAN'!$D8,'CAPEX - BLOCOS PAN'!$C$3:$N$52,12,FALSE))*O$57</f>
        <v>-1475013.303242502</v>
      </c>
      <c r="P8" s="1">
        <f>('RECEITAS - BLOCOS PAN'!O8-'OPEX - BLOCOS PAN'!O8-VLOOKUP('FLUXO DE CAIXA DESC.-BLOCOS PAN'!$D8,'CAPEX - BLOCOS PAN'!$C$3:$O$52,13,FALSE))*P$57</f>
        <v>-1335155.7220262066</v>
      </c>
      <c r="Q8" s="1">
        <f>('RECEITAS - BLOCOS PAN'!P8-'OPEX - BLOCOS PAN'!P8-VLOOKUP('FLUXO DE CAIXA DESC.-BLOCOS PAN'!$D8,'CAPEX - BLOCOS PAN'!$C$3:$P$52,14,FALSE))*Q$57</f>
        <v>-1208631.0742751348</v>
      </c>
      <c r="R8" s="1">
        <f>('RECEITAS - BLOCOS PAN'!Q8-'OPEX - BLOCOS PAN'!Q8-VLOOKUP('FLUXO DE CAIXA DESC.-BLOCOS PAN'!$D8,'CAPEX - BLOCOS PAN'!$C$3:$Q$52,15,FALSE))*R$57</f>
        <v>-1094402.2695907748</v>
      </c>
      <c r="S8" s="1">
        <f>('RECEITAS - BLOCOS PAN'!R8-'OPEX - BLOCOS PAN'!R8-VLOOKUP('FLUXO DE CAIXA DESC.-BLOCOS PAN'!$D8,'CAPEX - BLOCOS PAN'!$C$3:$R$52,16,FALSE))*S$57</f>
        <v>-991116.21459551586</v>
      </c>
      <c r="T8" s="1">
        <f>('RECEITAS - BLOCOS PAN'!S8-'OPEX - BLOCOS PAN'!S8-VLOOKUP('FLUXO DE CAIXA DESC.-BLOCOS PAN'!$D8,'CAPEX - BLOCOS PAN'!$C$3:$S$52,17,FALSE))*T$57</f>
        <v>-897312.0511456005</v>
      </c>
      <c r="U8" s="1">
        <f>('RECEITAS - BLOCOS PAN'!T8-'OPEX - BLOCOS PAN'!T8-VLOOKUP('FLUXO DE CAIXA DESC.-BLOCOS PAN'!$D8,'CAPEX - BLOCOS PAN'!$C$3:$T$52,18,FALSE))*U$57</f>
        <v>-812163.62781062105</v>
      </c>
      <c r="V8" s="1">
        <f>('RECEITAS - BLOCOS PAN'!U8-'OPEX - BLOCOS PAN'!U8-VLOOKUP('FLUXO DE CAIXA DESC.-BLOCOS PAN'!$D8,'CAPEX - BLOCOS PAN'!$C$3:$U$52,19,FALSE))*V$57</f>
        <v>-734749.93668130424</v>
      </c>
      <c r="W8" s="1">
        <f>('RECEITAS - BLOCOS PAN'!V8-'OPEX - BLOCOS PAN'!V8-VLOOKUP('FLUXO DE CAIXA DESC.-BLOCOS PAN'!$D8,'CAPEX - BLOCOS PAN'!$C$3:$V$52,20,FALSE))*W$57</f>
        <v>-664641.3149024786</v>
      </c>
      <c r="X8" s="1">
        <f>('RECEITAS - BLOCOS PAN'!W8-'OPEX - BLOCOS PAN'!W8-VLOOKUP('FLUXO DE CAIXA DESC.-BLOCOS PAN'!$D8,'CAPEX - BLOCOS PAN'!$C$3:$W$52,21,FALSE))*X$57</f>
        <v>-600892.88788695459</v>
      </c>
      <c r="Y8" s="1">
        <f>('RECEITAS - BLOCOS PAN'!X8-'OPEX - BLOCOS PAN'!X8-VLOOKUP('FLUXO DE CAIXA DESC.-BLOCOS PAN'!$D8,'CAPEX - BLOCOS PAN'!$C$3:$X$52,22,FALSE))*Y$57</f>
        <v>-543145.1073006792</v>
      </c>
      <c r="Z8" s="1">
        <f>('RECEITAS - BLOCOS PAN'!Y8-'OPEX - BLOCOS PAN'!Y8-VLOOKUP('FLUXO DE CAIXA DESC.-BLOCOS PAN'!$D8,'CAPEX - BLOCOS PAN'!$C$3:$Y$52,23,FALSE))*Z$57</f>
        <v>-490596.69194664509</v>
      </c>
      <c r="AA8" s="1">
        <f>('RECEITAS - BLOCOS PAN'!Z8-'OPEX - BLOCOS PAN'!Z8-VLOOKUP('FLUXO DE CAIXA DESC.-BLOCOS PAN'!$D8,'CAPEX - BLOCOS PAN'!$C$3:$Z$52,24,FALSE))*AA$57</f>
        <v>-442955.45700910006</v>
      </c>
      <c r="AB8" s="1">
        <f>('RECEITAS - BLOCOS PAN'!AA8-'OPEX - BLOCOS PAN'!AA8-VLOOKUP('FLUXO DE CAIXA DESC.-BLOCOS PAN'!$D8,'CAPEX - BLOCOS PAN'!$C$3:$AA$52,25,FALSE))*AB$57</f>
        <v>-588272.52811492758</v>
      </c>
      <c r="AC8" s="1">
        <f>('RECEITAS - BLOCOS PAN'!AB8-'OPEX - BLOCOS PAN'!AB8-VLOOKUP('FLUXO DE CAIXA DESC.-BLOCOS PAN'!$D8,'CAPEX - BLOCOS PAN'!$C$3:$AB$52,26,FALSE))*AC$57</f>
        <v>-532322.00190296548</v>
      </c>
      <c r="AD8" s="1">
        <f>('RECEITAS - BLOCOS PAN'!AC8-'OPEX - BLOCOS PAN'!AC8-VLOOKUP('FLUXO DE CAIXA DESC.-BLOCOS PAN'!$D8,'CAPEX - BLOCOS PAN'!$C$3:$AC$52,27,FALSE))*AD$57</f>
        <v>-481539.96040151914</v>
      </c>
      <c r="AE8" s="1">
        <f>('RECEITAS - BLOCOS PAN'!AD8-'OPEX - BLOCOS PAN'!AD8-VLOOKUP('FLUXO DE CAIXA DESC.-BLOCOS PAN'!$D8,'CAPEX - BLOCOS PAN'!$C$3:$AD$52,28,FALSE))*AE$57</f>
        <v>-435437.5669637628</v>
      </c>
      <c r="AF8" s="1">
        <f>('RECEITAS - BLOCOS PAN'!AE8-'OPEX - BLOCOS PAN'!AE8-VLOOKUP('FLUXO DE CAIXA DESC.-BLOCOS PAN'!$D8,'CAPEX - BLOCOS PAN'!$C$3:$AE$52,29,FALSE))*AF$57</f>
        <v>-393494.17055484909</v>
      </c>
      <c r="AG8" s="1">
        <f>('RECEITAS - BLOCOS PAN'!AF8-'OPEX - BLOCOS PAN'!AF8-VLOOKUP('FLUXO DE CAIXA DESC.-BLOCOS PAN'!$D8,'CAPEX - BLOCOS PAN'!$C$3:$AF$52,30,FALSE))*AG$57</f>
        <v>-355394.07310123538</v>
      </c>
      <c r="AH8" s="1">
        <f>('RECEITAS - BLOCOS PAN'!AG8-'OPEX - BLOCOS PAN'!AG8-VLOOKUP('FLUXO DE CAIXA DESC.-BLOCOS PAN'!$D8,'CAPEX - BLOCOS PAN'!$C$3:$AG$52,31,FALSE))*AH$57</f>
        <v>-320851.60735129815</v>
      </c>
      <c r="AI8" s="1">
        <f>('RECEITAS - BLOCOS PAN'!AH8-'OPEX - BLOCOS PAN'!AH8-VLOOKUP('FLUXO DE CAIXA DESC.-BLOCOS PAN'!$D8,'CAPEX - BLOCOS PAN'!$C$3:$AH$52,32,FALSE))*AI$57</f>
        <v>-289597.02365034982</v>
      </c>
      <c r="AJ8" s="1">
        <f>('RECEITAS - BLOCOS PAN'!AI8-'OPEX - BLOCOS PAN'!AI8-VLOOKUP('FLUXO DE CAIXA DESC.-BLOCOS PAN'!$D8,'CAPEX - BLOCOS PAN'!$C$3:$AI$52,33,FALSE))*AJ$57</f>
        <v>-261243.68399290959</v>
      </c>
      <c r="AK8" s="1">
        <f>('RECEITAS - BLOCOS PAN'!AJ8-'OPEX - BLOCOS PAN'!AJ8-VLOOKUP('FLUXO DE CAIXA DESC.-BLOCOS PAN'!$D8,'CAPEX - BLOCOS PAN'!$C$3:$AJ$52,34,FALSE))*AK$57</f>
        <v>-235531.89914070716</v>
      </c>
      <c r="AL8" s="1">
        <f>('RECEITAS - BLOCOS PAN'!AK8-'OPEX - BLOCOS PAN'!AK8-VLOOKUP('FLUXO DE CAIXA DESC.-BLOCOS PAN'!$D8,'CAPEX - BLOCOS PAN'!$C$3:$AK$52,35,FALSE))*AL$57</f>
        <v>-212204.43821358524</v>
      </c>
      <c r="AM8" s="44">
        <f t="shared" si="0"/>
        <v>-155961193.76670653</v>
      </c>
      <c r="AN8">
        <v>1</v>
      </c>
      <c r="AO8" t="s">
        <v>391</v>
      </c>
      <c r="AP8">
        <v>-0.8833333333333333</v>
      </c>
      <c r="AQ8">
        <v>-52.6</v>
      </c>
      <c r="AR8" s="48">
        <f>VLOOKUP(D8,'Projeção - Demanda PAX'!$C$3:$H$37,6,FALSE)</f>
        <v>19347</v>
      </c>
      <c r="AS8" s="1">
        <f t="shared" si="1"/>
        <v>-149777714.66917506</v>
      </c>
      <c r="AT8" t="str">
        <f>VLOOKUP(D8,'CAPEX - BLOCOS PAN (ANO A ANO)'!$C$3:$AV$52,46,FALSE)</f>
        <v>Privada</v>
      </c>
      <c r="AU8" t="str">
        <f>VLOOKUP(D8,'FLUXO DE CAIXA DESC.-SEM MULT.'!$D$3:$AT$52,43,FALSE)</f>
        <v>Bloco 4 - PA3</v>
      </c>
    </row>
    <row r="9" spans="1:47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259</v>
      </c>
      <c r="H9" t="s">
        <v>33</v>
      </c>
      <c r="I9" s="1">
        <f>('RECEITAS - BLOCOS PAN'!H9-'OPEX - BLOCOS PAN'!H9-VLOOKUP('FLUXO DE CAIXA DESC.-BLOCOS PAN'!$D9,'CAPEX - BLOCOS PAN'!$C$3:$H$52,6,FALSE))*I$57</f>
        <v>-14179164.816299999</v>
      </c>
      <c r="J9" s="1">
        <f>('RECEITAS - BLOCOS PAN'!I9-'OPEX - BLOCOS PAN'!I9-VLOOKUP('FLUXO DE CAIXA DESC.-BLOCOS PAN'!$D9,'CAPEX - BLOCOS PAN'!$C$3:$I$52,7,FALSE))*J$57</f>
        <v>-12923844.889183022</v>
      </c>
      <c r="K9" s="1">
        <f>('RECEITAS - BLOCOS PAN'!J9-'OPEX - BLOCOS PAN'!J9-VLOOKUP('FLUXO DE CAIXA DESC.-BLOCOS PAN'!$D9,'CAPEX - BLOCOS PAN'!$C$3:$J$52,8,FALSE))*K$57</f>
        <v>-11782336.183561606</v>
      </c>
      <c r="L9" s="1">
        <f>('RECEITAS - BLOCOS PAN'!K9-'OPEX - BLOCOS PAN'!K9-VLOOKUP('FLUXO DE CAIXA DESC.-BLOCOS PAN'!$D9,'CAPEX - BLOCOS PAN'!$C$3:$K$52,9,FALSE))*L$57</f>
        <v>-1900077.3949048908</v>
      </c>
      <c r="M9" s="1">
        <f>('RECEITAS - BLOCOS PAN'!L9-'OPEX - BLOCOS PAN'!L9-VLOOKUP('FLUXO DE CAIXA DESC.-BLOCOS PAN'!$D9,'CAPEX - BLOCOS PAN'!$C$3:$L$52,10,FALSE))*M$57</f>
        <v>-1725596.2385925788</v>
      </c>
      <c r="N9" s="1">
        <f>('RECEITAS - BLOCOS PAN'!M9-'OPEX - BLOCOS PAN'!M9-VLOOKUP('FLUXO DE CAIXA DESC.-BLOCOS PAN'!$D9,'CAPEX - BLOCOS PAN'!$C$3:$M$52,11,FALSE))*N$57</f>
        <v>-1567246.7329788073</v>
      </c>
      <c r="O9" s="1">
        <f>('RECEITAS - BLOCOS PAN'!N9-'OPEX - BLOCOS PAN'!N9-VLOOKUP('FLUXO DE CAIXA DESC.-BLOCOS PAN'!$D9,'CAPEX - BLOCOS PAN'!$C$3:$N$52,12,FALSE))*O$57</f>
        <v>-1424045.0679601908</v>
      </c>
      <c r="P9" s="1">
        <f>('RECEITAS - BLOCOS PAN'!O9-'OPEX - BLOCOS PAN'!O9-VLOOKUP('FLUXO DE CAIXA DESC.-BLOCOS PAN'!$D9,'CAPEX - BLOCOS PAN'!$C$3:$O$52,13,FALSE))*P$57</f>
        <v>-1293530.6034470147</v>
      </c>
      <c r="Q9" s="1">
        <f>('RECEITAS - BLOCOS PAN'!P9-'OPEX - BLOCOS PAN'!P9-VLOOKUP('FLUXO DE CAIXA DESC.-BLOCOS PAN'!$D9,'CAPEX - BLOCOS PAN'!$C$3:$P$52,14,FALSE))*Q$57</f>
        <v>-1175070.9316775829</v>
      </c>
      <c r="R9" s="1">
        <f>('RECEITAS - BLOCOS PAN'!Q9-'OPEX - BLOCOS PAN'!Q9-VLOOKUP('FLUXO DE CAIXA DESC.-BLOCOS PAN'!$D9,'CAPEX - BLOCOS PAN'!$C$3:$Q$52,15,FALSE))*R$57</f>
        <v>-1067990.2998139011</v>
      </c>
      <c r="S9" s="1">
        <f>('RECEITAS - BLOCOS PAN'!R9-'OPEX - BLOCOS PAN'!R9-VLOOKUP('FLUXO DE CAIXA DESC.-BLOCOS PAN'!$D9,'CAPEX - BLOCOS PAN'!$C$3:$R$52,16,FALSE))*S$57</f>
        <v>-970758.59643885517</v>
      </c>
      <c r="T9" s="1">
        <f>('RECEITAS - BLOCOS PAN'!S9-'OPEX - BLOCOS PAN'!S9-VLOOKUP('FLUXO DE CAIXA DESC.-BLOCOS PAN'!$D9,'CAPEX - BLOCOS PAN'!$C$3:$S$52,17,FALSE))*T$57</f>
        <v>-882074.49453808391</v>
      </c>
      <c r="U9" s="1">
        <f>('RECEITAS - BLOCOS PAN'!T9-'OPEX - BLOCOS PAN'!T9-VLOOKUP('FLUXO DE CAIXA DESC.-BLOCOS PAN'!$D9,'CAPEX - BLOCOS PAN'!$C$3:$T$52,18,FALSE))*U$57</f>
        <v>-801690.75889777543</v>
      </c>
      <c r="V9" s="1">
        <f>('RECEITAS - BLOCOS PAN'!U9-'OPEX - BLOCOS PAN'!U9-VLOOKUP('FLUXO DE CAIXA DESC.-BLOCOS PAN'!$D9,'CAPEX - BLOCOS PAN'!$C$3:$U$52,19,FALSE))*V$57</f>
        <v>-728306.86885298323</v>
      </c>
      <c r="W9" s="1">
        <f>('RECEITAS - BLOCOS PAN'!V9-'OPEX - BLOCOS PAN'!V9-VLOOKUP('FLUXO DE CAIXA DESC.-BLOCOS PAN'!$D9,'CAPEX - BLOCOS PAN'!$C$3:$V$52,20,FALSE))*W$57</f>
        <v>-661526.74863964366</v>
      </c>
      <c r="X9" s="1">
        <f>('RECEITAS - BLOCOS PAN'!W9-'OPEX - BLOCOS PAN'!W9-VLOOKUP('FLUXO DE CAIXA DESC.-BLOCOS PAN'!$D9,'CAPEX - BLOCOS PAN'!$C$3:$W$52,21,FALSE))*X$57</f>
        <v>-600970.16943987599</v>
      </c>
      <c r="Y9" s="1">
        <f>('RECEITAS - BLOCOS PAN'!X9-'OPEX - BLOCOS PAN'!X9-VLOOKUP('FLUXO DE CAIXA DESC.-BLOCOS PAN'!$D9,'CAPEX - BLOCOS PAN'!$C$3:$X$52,22,FALSE))*Y$57</f>
        <v>-545754.7361305115</v>
      </c>
      <c r="Z9" s="1">
        <f>('RECEITAS - BLOCOS PAN'!Y9-'OPEX - BLOCOS PAN'!Y9-VLOOKUP('FLUXO DE CAIXA DESC.-BLOCOS PAN'!$D9,'CAPEX - BLOCOS PAN'!$C$3:$Y$52,23,FALSE))*Z$57</f>
        <v>-495571.33207891812</v>
      </c>
      <c r="AA9" s="1">
        <f>('RECEITAS - BLOCOS PAN'!Z9-'OPEX - BLOCOS PAN'!Z9-VLOOKUP('FLUXO DE CAIXA DESC.-BLOCOS PAN'!$D9,'CAPEX - BLOCOS PAN'!$C$3:$Z$52,24,FALSE))*AA$57</f>
        <v>-449955.41344920656</v>
      </c>
      <c r="AB9" s="1">
        <f>('RECEITAS - BLOCOS PAN'!AA9-'OPEX - BLOCOS PAN'!AA9-VLOOKUP('FLUXO DE CAIXA DESC.-BLOCOS PAN'!$D9,'CAPEX - BLOCOS PAN'!$C$3:$AA$52,25,FALSE))*AB$57</f>
        <v>-408395.20900405524</v>
      </c>
      <c r="AC9" s="1">
        <f>('RECEITAS - BLOCOS PAN'!AB9-'OPEX - BLOCOS PAN'!AB9-VLOOKUP('FLUXO DE CAIXA DESC.-BLOCOS PAN'!$D9,'CAPEX - BLOCOS PAN'!$C$3:$AB$52,26,FALSE))*AC$57</f>
        <v>-370684.58255448041</v>
      </c>
      <c r="AD9" s="1">
        <f>('RECEITAS - BLOCOS PAN'!AC9-'OPEX - BLOCOS PAN'!AC9-VLOOKUP('FLUXO DE CAIXA DESC.-BLOCOS PAN'!$D9,'CAPEX - BLOCOS PAN'!$C$3:$AC$52,27,FALSE))*AD$57</f>
        <v>-336324.48867136938</v>
      </c>
      <c r="AE9" s="1">
        <f>('RECEITAS - BLOCOS PAN'!AD9-'OPEX - BLOCOS PAN'!AD9-VLOOKUP('FLUXO DE CAIXA DESC.-BLOCOS PAN'!$D9,'CAPEX - BLOCOS PAN'!$C$3:$AD$52,28,FALSE))*AE$57</f>
        <v>-324586.49052613415</v>
      </c>
      <c r="AF9" s="1">
        <f>('RECEITAS - BLOCOS PAN'!AE9-'OPEX - BLOCOS PAN'!AE9-VLOOKUP('FLUXO DE CAIXA DESC.-BLOCOS PAN'!$D9,'CAPEX - BLOCOS PAN'!$C$3:$AE$52,29,FALSE))*AF$57</f>
        <v>-294596.76305414544</v>
      </c>
      <c r="AG9" s="1">
        <f>('RECEITAS - BLOCOS PAN'!AF9-'OPEX - BLOCOS PAN'!AF9-VLOOKUP('FLUXO DE CAIXA DESC.-BLOCOS PAN'!$D9,'CAPEX - BLOCOS PAN'!$C$3:$AF$52,30,FALSE))*AG$57</f>
        <v>-267217.22712318844</v>
      </c>
      <c r="AH9" s="1">
        <f>('RECEITAS - BLOCOS PAN'!AG9-'OPEX - BLOCOS PAN'!AG9-VLOOKUP('FLUXO DE CAIXA DESC.-BLOCOS PAN'!$D9,'CAPEX - BLOCOS PAN'!$C$3:$AG$52,31,FALSE))*AH$57</f>
        <v>-242441.06365834683</v>
      </c>
      <c r="AI9" s="1">
        <f>('RECEITAS - BLOCOS PAN'!AH9-'OPEX - BLOCOS PAN'!AH9-VLOOKUP('FLUXO DE CAIXA DESC.-BLOCOS PAN'!$D9,'CAPEX - BLOCOS PAN'!$C$3:$AH$52,32,FALSE))*AI$57</f>
        <v>-219925.95964768867</v>
      </c>
      <c r="AJ9" s="1">
        <f>('RECEITAS - BLOCOS PAN'!AI9-'OPEX - BLOCOS PAN'!AI9-VLOOKUP('FLUXO DE CAIXA DESC.-BLOCOS PAN'!$D9,'CAPEX - BLOCOS PAN'!$C$3:$AI$52,33,FALSE))*AJ$57</f>
        <v>-199441.74838332314</v>
      </c>
      <c r="AK9" s="1">
        <f>('RECEITAS - BLOCOS PAN'!AJ9-'OPEX - BLOCOS PAN'!AJ9-VLOOKUP('FLUXO DE CAIXA DESC.-BLOCOS PAN'!$D9,'CAPEX - BLOCOS PAN'!$C$3:$AJ$52,34,FALSE))*AK$57</f>
        <v>-180817.65709703666</v>
      </c>
      <c r="AL9" s="1">
        <f>('RECEITAS - BLOCOS PAN'!AK9-'OPEX - BLOCOS PAN'!AK9-VLOOKUP('FLUXO DE CAIXA DESC.-BLOCOS PAN'!$D9,'CAPEX - BLOCOS PAN'!$C$3:$AK$52,35,FALSE))*AL$57</f>
        <v>-163889.58772679823</v>
      </c>
      <c r="AM9" s="44">
        <f t="shared" si="0"/>
        <v>-58183833.054331996</v>
      </c>
      <c r="AN9">
        <v>1</v>
      </c>
      <c r="AO9" t="s">
        <v>311</v>
      </c>
      <c r="AP9">
        <v>-5.8166666666666664</v>
      </c>
      <c r="AQ9">
        <v>-61.283333333333331</v>
      </c>
      <c r="AR9" s="48">
        <f>VLOOKUP(D9,'Projeção - Demanda PAX'!$C$3:$H$37,6,FALSE)</f>
        <v>11043</v>
      </c>
      <c r="AS9" s="1">
        <f t="shared" si="1"/>
        <v>-53083260.625786923</v>
      </c>
      <c r="AT9" t="str">
        <f>VLOOKUP(D9,'CAPEX - BLOCOS PAN (ANO A ANO)'!$C$3:$AV$52,46,FALSE)</f>
        <v>Privada</v>
      </c>
      <c r="AU9" t="str">
        <f>VLOOKUP(D9,'FLUXO DE CAIXA DESC.-SEM MULT.'!$D$3:$AT$52,43,FALSE)</f>
        <v>Bloco 2 - AM1</v>
      </c>
    </row>
    <row r="10" spans="1:47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259</v>
      </c>
      <c r="H10" t="s">
        <v>33</v>
      </c>
      <c r="I10" s="1">
        <f>('RECEITAS - BLOCOS PAN'!H10-'OPEX - BLOCOS PAN'!H10-VLOOKUP('FLUXO DE CAIXA DESC.-BLOCOS PAN'!$D10,'CAPEX - BLOCOS PAN'!$C$3:$H$52,6,FALSE))*I$57</f>
        <v>-45067065.994233333</v>
      </c>
      <c r="J10" s="1">
        <f>('RECEITAS - BLOCOS PAN'!I10-'OPEX - BLOCOS PAN'!I10-VLOOKUP('FLUXO DE CAIXA DESC.-BLOCOS PAN'!$D10,'CAPEX - BLOCOS PAN'!$C$3:$I$52,7,FALSE))*J$57</f>
        <v>-41107351.381043665</v>
      </c>
      <c r="K10" s="1">
        <f>('RECEITAS - BLOCOS PAN'!J10-'OPEX - BLOCOS PAN'!J10-VLOOKUP('FLUXO DE CAIXA DESC.-BLOCOS PAN'!$D10,'CAPEX - BLOCOS PAN'!$C$3:$J$52,8,FALSE))*K$57</f>
        <v>-37500788.981465265</v>
      </c>
      <c r="L10" s="1">
        <f>('RECEITAS - BLOCOS PAN'!K10-'OPEX - BLOCOS PAN'!K10-VLOOKUP('FLUXO DE CAIXA DESC.-BLOCOS PAN'!$D10,'CAPEX - BLOCOS PAN'!$C$3:$K$52,9,FALSE))*L$57</f>
        <v>-1919371.1661332131</v>
      </c>
      <c r="M10" s="1">
        <f>('RECEITAS - BLOCOS PAN'!L10-'OPEX - BLOCOS PAN'!L10-VLOOKUP('FLUXO DE CAIXA DESC.-BLOCOS PAN'!$D10,'CAPEX - BLOCOS PAN'!$C$3:$L$52,10,FALSE))*M$57</f>
        <v>-1738673.2264343947</v>
      </c>
      <c r="N10" s="1">
        <f>('RECEITAS - BLOCOS PAN'!M10-'OPEX - BLOCOS PAN'!M10-VLOOKUP('FLUXO DE CAIXA DESC.-BLOCOS PAN'!$D10,'CAPEX - BLOCOS PAN'!$C$3:$M$52,11,FALSE))*N$57</f>
        <v>-1575685.4515814739</v>
      </c>
      <c r="O10" s="1">
        <f>('RECEITAS - BLOCOS PAN'!N10-'OPEX - BLOCOS PAN'!N10-VLOOKUP('FLUXO DE CAIXA DESC.-BLOCOS PAN'!$D10,'CAPEX - BLOCOS PAN'!$C$3:$N$52,12,FALSE))*O$57</f>
        <v>-1428126.7158497004</v>
      </c>
      <c r="P10" s="1">
        <f>('RECEITAS - BLOCOS PAN'!O10-'OPEX - BLOCOS PAN'!O10-VLOOKUP('FLUXO DE CAIXA DESC.-BLOCOS PAN'!$D10,'CAPEX - BLOCOS PAN'!$C$3:$O$52,13,FALSE))*P$57</f>
        <v>-1294503.0773929404</v>
      </c>
      <c r="Q10" s="1">
        <f>('RECEITAS - BLOCOS PAN'!P10-'OPEX - BLOCOS PAN'!P10-VLOOKUP('FLUXO DE CAIXA DESC.-BLOCOS PAN'!$D10,'CAPEX - BLOCOS PAN'!$C$3:$P$52,14,FALSE))*Q$57</f>
        <v>-1173706.9815146518</v>
      </c>
      <c r="R10" s="1">
        <f>('RECEITAS - BLOCOS PAN'!Q10-'OPEX - BLOCOS PAN'!Q10-VLOOKUP('FLUXO DE CAIXA DESC.-BLOCOS PAN'!$D10,'CAPEX - BLOCOS PAN'!$C$3:$Q$52,15,FALSE))*R$57</f>
        <v>-1064398.1749831804</v>
      </c>
      <c r="S10" s="1">
        <f>('RECEITAS - BLOCOS PAN'!R10-'OPEX - BLOCOS PAN'!R10-VLOOKUP('FLUXO DE CAIXA DESC.-BLOCOS PAN'!$D10,'CAPEX - BLOCOS PAN'!$C$3:$R$52,16,FALSE))*S$57</f>
        <v>-965449.95598453504</v>
      </c>
      <c r="T10" s="1">
        <f>('RECEITAS - BLOCOS PAN'!S10-'OPEX - BLOCOS PAN'!S10-VLOOKUP('FLUXO DE CAIXA DESC.-BLOCOS PAN'!$D10,'CAPEX - BLOCOS PAN'!$C$3:$S$52,17,FALSE))*T$57</f>
        <v>-932694.52825903555</v>
      </c>
      <c r="U10" s="1">
        <f>('RECEITAS - BLOCOS PAN'!T10-'OPEX - BLOCOS PAN'!T10-VLOOKUP('FLUXO DE CAIXA DESC.-BLOCOS PAN'!$D10,'CAPEX - BLOCOS PAN'!$C$3:$T$52,18,FALSE))*U$57</f>
        <v>-846160.727840523</v>
      </c>
      <c r="V10" s="1">
        <f>('RECEITAS - BLOCOS PAN'!U10-'OPEX - BLOCOS PAN'!U10-VLOOKUP('FLUXO DE CAIXA DESC.-BLOCOS PAN'!$D10,'CAPEX - BLOCOS PAN'!$C$3:$U$52,19,FALSE))*V$57</f>
        <v>-767447.67906561506</v>
      </c>
      <c r="W10" s="1">
        <f>('RECEITAS - BLOCOS PAN'!V10-'OPEX - BLOCOS PAN'!V10-VLOOKUP('FLUXO DE CAIXA DESC.-BLOCOS PAN'!$D10,'CAPEX - BLOCOS PAN'!$C$3:$V$52,20,FALSE))*W$57</f>
        <v>-695983.93644631701</v>
      </c>
      <c r="X10" s="1">
        <f>('RECEITAS - BLOCOS PAN'!W10-'OPEX - BLOCOS PAN'!W10-VLOOKUP('FLUXO DE CAIXA DESC.-BLOCOS PAN'!$D10,'CAPEX - BLOCOS PAN'!$C$3:$W$52,21,FALSE))*X$57</f>
        <v>-631024.26592607843</v>
      </c>
      <c r="Y10" s="1">
        <f>('RECEITAS - BLOCOS PAN'!X10-'OPEX - BLOCOS PAN'!X10-VLOOKUP('FLUXO DE CAIXA DESC.-BLOCOS PAN'!$D10,'CAPEX - BLOCOS PAN'!$C$3:$X$52,22,FALSE))*Y$57</f>
        <v>-572051.49015941052</v>
      </c>
      <c r="Z10" s="1">
        <f>('RECEITAS - BLOCOS PAN'!Y10-'OPEX - BLOCOS PAN'!Y10-VLOOKUP('FLUXO DE CAIXA DESC.-BLOCOS PAN'!$D10,'CAPEX - BLOCOS PAN'!$C$3:$Y$52,23,FALSE))*Z$57</f>
        <v>-518407.86775362759</v>
      </c>
      <c r="AA10" s="1">
        <f>('RECEITAS - BLOCOS PAN'!Z10-'OPEX - BLOCOS PAN'!Z10-VLOOKUP('FLUXO DE CAIXA DESC.-BLOCOS PAN'!$D10,'CAPEX - BLOCOS PAN'!$C$3:$Z$52,24,FALSE))*AA$57</f>
        <v>-469675.83609021205</v>
      </c>
      <c r="AB10" s="1">
        <f>('RECEITAS - BLOCOS PAN'!AA10-'OPEX - BLOCOS PAN'!AA10-VLOOKUP('FLUXO DE CAIXA DESC.-BLOCOS PAN'!$D10,'CAPEX - BLOCOS PAN'!$C$3:$AA$52,25,FALSE))*AB$57</f>
        <v>-425387.24464716553</v>
      </c>
      <c r="AC10" s="1">
        <f>('RECEITAS - BLOCOS PAN'!AB10-'OPEX - BLOCOS PAN'!AB10-VLOOKUP('FLUXO DE CAIXA DESC.-BLOCOS PAN'!$D10,'CAPEX - BLOCOS PAN'!$C$3:$AB$52,26,FALSE))*AC$57</f>
        <v>-385264.82241887436</v>
      </c>
      <c r="AD10" s="1">
        <f>('RECEITAS - BLOCOS PAN'!AC10-'OPEX - BLOCOS PAN'!AC10-VLOOKUP('FLUXO DE CAIXA DESC.-BLOCOS PAN'!$D10,'CAPEX - BLOCOS PAN'!$C$3:$AC$52,27,FALSE))*AD$57</f>
        <v>-348833.71306253428</v>
      </c>
      <c r="AE10" s="1">
        <f>('RECEITAS - BLOCOS PAN'!AD10-'OPEX - BLOCOS PAN'!AD10-VLOOKUP('FLUXO DE CAIXA DESC.-BLOCOS PAN'!$D10,'CAPEX - BLOCOS PAN'!$C$3:$AD$52,28,FALSE))*AE$57</f>
        <v>-315791.9576374311</v>
      </c>
      <c r="AF10" s="1">
        <f>('RECEITAS - BLOCOS PAN'!AE10-'OPEX - BLOCOS PAN'!AE10-VLOOKUP('FLUXO DE CAIXA DESC.-BLOCOS PAN'!$D10,'CAPEX - BLOCOS PAN'!$C$3:$AE$52,29,FALSE))*AF$57</f>
        <v>-285823.32690282911</v>
      </c>
      <c r="AG10" s="1">
        <f>('RECEITAS - BLOCOS PAN'!AF10-'OPEX - BLOCOS PAN'!AF10-VLOOKUP('FLUXO DE CAIXA DESC.-BLOCOS PAN'!$D10,'CAPEX - BLOCOS PAN'!$C$3:$AF$52,30,FALSE))*AG$57</f>
        <v>-258631.9488971575</v>
      </c>
      <c r="AH10" s="1">
        <f>('RECEITAS - BLOCOS PAN'!AG10-'OPEX - BLOCOS PAN'!AG10-VLOOKUP('FLUXO DE CAIXA DESC.-BLOCOS PAN'!$D10,'CAPEX - BLOCOS PAN'!$C$3:$AG$52,31,FALSE))*AH$57</f>
        <v>-233961.15875173654</v>
      </c>
      <c r="AI10" s="1">
        <f>('RECEITAS - BLOCOS PAN'!AH10-'OPEX - BLOCOS PAN'!AH10-VLOOKUP('FLUXO DE CAIXA DESC.-BLOCOS PAN'!$D10,'CAPEX - BLOCOS PAN'!$C$3:$AH$52,32,FALSE))*AI$57</f>
        <v>-311229.64022465871</v>
      </c>
      <c r="AJ10" s="1">
        <f>('RECEITAS - BLOCOS PAN'!AI10-'OPEX - BLOCOS PAN'!AI10-VLOOKUP('FLUXO DE CAIXA DESC.-BLOCOS PAN'!$D10,'CAPEX - BLOCOS PAN'!$C$3:$AI$52,33,FALSE))*AJ$57</f>
        <v>-282119.7209206032</v>
      </c>
      <c r="AK10" s="1">
        <f>('RECEITAS - BLOCOS PAN'!AJ10-'OPEX - BLOCOS PAN'!AJ10-VLOOKUP('FLUXO DE CAIXA DESC.-BLOCOS PAN'!$D10,'CAPEX - BLOCOS PAN'!$C$3:$AJ$52,34,FALSE))*AK$57</f>
        <v>-255667.16309013267</v>
      </c>
      <c r="AL10" s="1">
        <f>('RECEITAS - BLOCOS PAN'!AK10-'OPEX - BLOCOS PAN'!AK10-VLOOKUP('FLUXO DE CAIXA DESC.-BLOCOS PAN'!$D10,'CAPEX - BLOCOS PAN'!$C$3:$AK$52,35,FALSE))*AL$57</f>
        <v>-231627.54325690621</v>
      </c>
      <c r="AM10" s="44">
        <f t="shared" si="0"/>
        <v>-143602905.67796719</v>
      </c>
      <c r="AN10">
        <v>1</v>
      </c>
      <c r="AO10" t="s">
        <v>309</v>
      </c>
      <c r="AP10">
        <v>-1.4833333333333334</v>
      </c>
      <c r="AQ10">
        <v>-56.383333333333333</v>
      </c>
      <c r="AR10" s="48">
        <f>VLOOKUP(D10,'Projeção - Demanda PAX'!$C$3:$H$37,6,FALSE)</f>
        <v>15585</v>
      </c>
      <c r="AS10" s="1">
        <f t="shared" si="1"/>
        <v>-138077407.97822782</v>
      </c>
      <c r="AT10" t="str">
        <f>VLOOKUP(D10,'CAPEX - BLOCOS PAN (ANO A ANO)'!$C$3:$AV$52,46,FALSE)</f>
        <v>Privada</v>
      </c>
      <c r="AU10" t="str">
        <f>VLOOKUP(D10,'FLUXO DE CAIXA DESC.-SEM MULT.'!$D$3:$AT$52,43,FALSE)</f>
        <v>Bloco 5 - PA1</v>
      </c>
    </row>
    <row r="11" spans="1:47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259</v>
      </c>
      <c r="H11" t="s">
        <v>33</v>
      </c>
      <c r="I11" s="1">
        <f>('RECEITAS - BLOCOS PAN'!H11-'OPEX - BLOCOS PAN'!H11-VLOOKUP('FLUXO DE CAIXA DESC.-BLOCOS PAN'!$D11,'CAPEX - BLOCOS PAN'!$C$3:$H$52,6,FALSE))*I$57</f>
        <v>-23977397.402533334</v>
      </c>
      <c r="J11" s="1">
        <f>('RECEITAS - BLOCOS PAN'!I11-'OPEX - BLOCOS PAN'!I11-VLOOKUP('FLUXO DE CAIXA DESC.-BLOCOS PAN'!$D11,'CAPEX - BLOCOS PAN'!$C$3:$I$52,7,FALSE))*J$57</f>
        <v>-21877818.964795373</v>
      </c>
      <c r="K11" s="1">
        <f>('RECEITAS - BLOCOS PAN'!J11-'OPEX - BLOCOS PAN'!J11-VLOOKUP('FLUXO DE CAIXA DESC.-BLOCOS PAN'!$D11,'CAPEX - BLOCOS PAN'!$C$3:$J$52,8,FALSE))*K$57</f>
        <v>-19963653.888294391</v>
      </c>
      <c r="L11" s="1">
        <f>('RECEITAS - BLOCOS PAN'!K11-'OPEX - BLOCOS PAN'!K11-VLOOKUP('FLUXO DE CAIXA DESC.-BLOCOS PAN'!$D11,'CAPEX - BLOCOS PAN'!$C$3:$K$52,9,FALSE))*L$57</f>
        <v>-1936866.0905404971</v>
      </c>
      <c r="M11" s="1">
        <f>('RECEITAS - BLOCOS PAN'!L11-'OPEX - BLOCOS PAN'!L11-VLOOKUP('FLUXO DE CAIXA DESC.-BLOCOS PAN'!$D11,'CAPEX - BLOCOS PAN'!$C$3:$L$52,10,FALSE))*M$57</f>
        <v>-1764118.2942715366</v>
      </c>
      <c r="N11" s="1">
        <f>('RECEITAS - BLOCOS PAN'!M11-'OPEX - BLOCOS PAN'!M11-VLOOKUP('FLUXO DE CAIXA DESC.-BLOCOS PAN'!$D11,'CAPEX - BLOCOS PAN'!$C$3:$M$52,11,FALSE))*N$57</f>
        <v>-1606839.5093424446</v>
      </c>
      <c r="O11" s="1">
        <f>('RECEITAS - BLOCOS PAN'!N11-'OPEX - BLOCOS PAN'!N11-VLOOKUP('FLUXO DE CAIXA DESC.-BLOCOS PAN'!$D11,'CAPEX - BLOCOS PAN'!$C$3:$N$52,12,FALSE))*O$57</f>
        <v>-1463785.3582641229</v>
      </c>
      <c r="P11" s="1">
        <f>('RECEITAS - BLOCOS PAN'!O11-'OPEX - BLOCOS PAN'!O11-VLOOKUP('FLUXO DE CAIXA DESC.-BLOCOS PAN'!$D11,'CAPEX - BLOCOS PAN'!$C$3:$O$52,13,FALSE))*P$57</f>
        <v>-1333549.1699512659</v>
      </c>
      <c r="Q11" s="1">
        <f>('RECEITAS - BLOCOS PAN'!P11-'OPEX - BLOCOS PAN'!P11-VLOOKUP('FLUXO DE CAIXA DESC.-BLOCOS PAN'!$D11,'CAPEX - BLOCOS PAN'!$C$3:$P$52,14,FALSE))*Q$57</f>
        <v>-1214923.2877335425</v>
      </c>
      <c r="R11" s="1">
        <f>('RECEITAS - BLOCOS PAN'!Q11-'OPEX - BLOCOS PAN'!Q11-VLOOKUP('FLUXO DE CAIXA DESC.-BLOCOS PAN'!$D11,'CAPEX - BLOCOS PAN'!$C$3:$Q$52,15,FALSE))*R$57</f>
        <v>-1106992.7158003733</v>
      </c>
      <c r="S11" s="1">
        <f>('RECEITAS - BLOCOS PAN'!R11-'OPEX - BLOCOS PAN'!R11-VLOOKUP('FLUXO DE CAIXA DESC.-BLOCOS PAN'!$D11,'CAPEX - BLOCOS PAN'!$C$3:$R$52,16,FALSE))*S$57</f>
        <v>-1008842.3441459201</v>
      </c>
      <c r="T11" s="1">
        <f>('RECEITAS - BLOCOS PAN'!S11-'OPEX - BLOCOS PAN'!S11-VLOOKUP('FLUXO DE CAIXA DESC.-BLOCOS PAN'!$D11,'CAPEX - BLOCOS PAN'!$C$3:$S$52,17,FALSE))*T$57</f>
        <v>-919266.08404868341</v>
      </c>
      <c r="U11" s="1">
        <f>('RECEITAS - BLOCOS PAN'!T11-'OPEX - BLOCOS PAN'!T11-VLOOKUP('FLUXO DE CAIXA DESC.-BLOCOS PAN'!$D11,'CAPEX - BLOCOS PAN'!$C$3:$T$52,18,FALSE))*U$57</f>
        <v>-837679.05461564218</v>
      </c>
      <c r="V11" s="1">
        <f>('RECEITAS - BLOCOS PAN'!U11-'OPEX - BLOCOS PAN'!U11-VLOOKUP('FLUXO DE CAIXA DESC.-BLOCOS PAN'!$D11,'CAPEX - BLOCOS PAN'!$C$3:$U$52,19,FALSE))*V$57</f>
        <v>-763317.50675878732</v>
      </c>
      <c r="W11" s="1">
        <f>('RECEITAS - BLOCOS PAN'!V11-'OPEX - BLOCOS PAN'!V11-VLOOKUP('FLUXO DE CAIXA DESC.-BLOCOS PAN'!$D11,'CAPEX - BLOCOS PAN'!$C$3:$V$52,20,FALSE))*W$57</f>
        <v>-695563.09549449803</v>
      </c>
      <c r="X11" s="1">
        <f>('RECEITAS - BLOCOS PAN'!W11-'OPEX - BLOCOS PAN'!W11-VLOOKUP('FLUXO DE CAIXA DESC.-BLOCOS PAN'!$D11,'CAPEX - BLOCOS PAN'!$C$3:$W$52,21,FALSE))*X$57</f>
        <v>-633758.96237454342</v>
      </c>
      <c r="Y11" s="1">
        <f>('RECEITAS - BLOCOS PAN'!X11-'OPEX - BLOCOS PAN'!X11-VLOOKUP('FLUXO DE CAIXA DESC.-BLOCOS PAN'!$D11,'CAPEX - BLOCOS PAN'!$C$3:$X$52,22,FALSE))*Y$57</f>
        <v>-577424.52344546921</v>
      </c>
      <c r="Z11" s="1">
        <f>('RECEITAS - BLOCOS PAN'!Y11-'OPEX - BLOCOS PAN'!Y11-VLOOKUP('FLUXO DE CAIXA DESC.-BLOCOS PAN'!$D11,'CAPEX - BLOCOS PAN'!$C$3:$Y$52,23,FALSE))*Z$57</f>
        <v>-526101.8210118938</v>
      </c>
      <c r="AA11" s="1">
        <f>('RECEITAS - BLOCOS PAN'!Z11-'OPEX - BLOCOS PAN'!Z11-VLOOKUP('FLUXO DE CAIXA DESC.-BLOCOS PAN'!$D11,'CAPEX - BLOCOS PAN'!$C$3:$Z$52,24,FALSE))*AA$57</f>
        <v>-479325.26035393396</v>
      </c>
      <c r="AB11" s="1">
        <f>('RECEITAS - BLOCOS PAN'!AA11-'OPEX - BLOCOS PAN'!AA11-VLOOKUP('FLUXO DE CAIXA DESC.-BLOCOS PAN'!$D11,'CAPEX - BLOCOS PAN'!$C$3:$AA$52,25,FALSE))*AB$57</f>
        <v>-436655.44616739691</v>
      </c>
      <c r="AC11" s="1">
        <f>('RECEITAS - BLOCOS PAN'!AB11-'OPEX - BLOCOS PAN'!AB11-VLOOKUP('FLUXO DE CAIXA DESC.-BLOCOS PAN'!$D11,'CAPEX - BLOCOS PAN'!$C$3:$AB$52,26,FALSE))*AC$57</f>
        <v>-397807.95699618279</v>
      </c>
      <c r="AD11" s="1">
        <f>('RECEITAS - BLOCOS PAN'!AC11-'OPEX - BLOCOS PAN'!AC11-VLOOKUP('FLUXO DE CAIXA DESC.-BLOCOS PAN'!$D11,'CAPEX - BLOCOS PAN'!$C$3:$AC$52,27,FALSE))*AD$57</f>
        <v>-362436.23332009115</v>
      </c>
      <c r="AE11" s="1">
        <f>('RECEITAS - BLOCOS PAN'!AD11-'OPEX - BLOCOS PAN'!AD11-VLOOKUP('FLUXO DE CAIXA DESC.-BLOCOS PAN'!$D11,'CAPEX - BLOCOS PAN'!$C$3:$AD$52,28,FALSE))*AE$57</f>
        <v>-330179.59847203252</v>
      </c>
      <c r="AF11" s="1">
        <f>('RECEITAS - BLOCOS PAN'!AE11-'OPEX - BLOCOS PAN'!AE11-VLOOKUP('FLUXO DE CAIXA DESC.-BLOCOS PAN'!$D11,'CAPEX - BLOCOS PAN'!$C$3:$AE$52,29,FALSE))*AF$57</f>
        <v>-300852.24616869894</v>
      </c>
      <c r="AG11" s="1">
        <f>('RECEITAS - BLOCOS PAN'!AF11-'OPEX - BLOCOS PAN'!AF11-VLOOKUP('FLUXO DE CAIXA DESC.-BLOCOS PAN'!$D11,'CAPEX - BLOCOS PAN'!$C$3:$AF$52,30,FALSE))*AG$57</f>
        <v>-274104.25901237683</v>
      </c>
      <c r="AH11" s="1">
        <f>('RECEITAS - BLOCOS PAN'!AG11-'OPEX - BLOCOS PAN'!AG11-VLOOKUP('FLUXO DE CAIXA DESC.-BLOCOS PAN'!$D11,'CAPEX - BLOCOS PAN'!$C$3:$AG$52,31,FALSE))*AH$57</f>
        <v>-249766.21303418934</v>
      </c>
      <c r="AI11" s="1">
        <f>('RECEITAS - BLOCOS PAN'!AH11-'OPEX - BLOCOS PAN'!AH11-VLOOKUP('FLUXO DE CAIXA DESC.-BLOCOS PAN'!$D11,'CAPEX - BLOCOS PAN'!$C$3:$AH$52,32,FALSE))*AI$57</f>
        <v>-227600.46814100287</v>
      </c>
      <c r="AJ11" s="1">
        <f>('RECEITAS - BLOCOS PAN'!AI11-'OPEX - BLOCOS PAN'!AI11-VLOOKUP('FLUXO DE CAIXA DESC.-BLOCOS PAN'!$D11,'CAPEX - BLOCOS PAN'!$C$3:$AI$52,33,FALSE))*AJ$57</f>
        <v>-207397.57195544351</v>
      </c>
      <c r="AK11" s="1">
        <f>('RECEITAS - BLOCOS PAN'!AJ11-'OPEX - BLOCOS PAN'!AJ11-VLOOKUP('FLUXO DE CAIXA DESC.-BLOCOS PAN'!$D11,'CAPEX - BLOCOS PAN'!$C$3:$AJ$52,34,FALSE))*AK$57</f>
        <v>-188980.7320879692</v>
      </c>
      <c r="AL11" s="1">
        <f>('RECEITAS - BLOCOS PAN'!AK11-'OPEX - BLOCOS PAN'!AK11-VLOOKUP('FLUXO DE CAIXA DESC.-BLOCOS PAN'!$D11,'CAPEX - BLOCOS PAN'!$C$3:$AK$52,35,FALSE))*AL$57</f>
        <v>-172193.6780229733</v>
      </c>
      <c r="AM11" s="44">
        <f t="shared" si="0"/>
        <v>-85835197.737154618</v>
      </c>
      <c r="AN11">
        <v>1</v>
      </c>
      <c r="AO11" t="s">
        <v>308</v>
      </c>
      <c r="AP11">
        <v>-8.15</v>
      </c>
      <c r="AQ11">
        <v>-70.766666666666666</v>
      </c>
      <c r="AR11" s="48">
        <f>VLOOKUP(D11,'Projeção - Demanda PAX'!$C$3:$H$37,6,FALSE)</f>
        <v>4961</v>
      </c>
      <c r="AS11" s="1">
        <f t="shared" si="1"/>
        <v>-80470612.766590416</v>
      </c>
      <c r="AT11" t="str">
        <f>VLOOKUP(D11,'CAPEX - BLOCOS PAN (ANO A ANO)'!$C$3:$AV$52,46,FALSE)</f>
        <v>Privada</v>
      </c>
      <c r="AU11" t="str">
        <f>VLOOKUP(D11,'FLUXO DE CAIXA DESC.-SEM MULT.'!$D$3:$AT$52,43,FALSE)</f>
        <v>Bloco 1 - AC/AM</v>
      </c>
    </row>
    <row r="12" spans="1:47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259</v>
      </c>
      <c r="H12" t="s">
        <v>33</v>
      </c>
      <c r="I12" s="1">
        <f>('RECEITAS - BLOCOS PAN'!H12-'OPEX - BLOCOS PAN'!H12-VLOOKUP('FLUXO DE CAIXA DESC.-BLOCOS PAN'!$D12,'CAPEX - BLOCOS PAN'!$C$3:$H$52,6,FALSE))*I$57</f>
        <v>-57297531.987266667</v>
      </c>
      <c r="J12" s="1">
        <f>('RECEITAS - BLOCOS PAN'!I12-'OPEX - BLOCOS PAN'!I12-VLOOKUP('FLUXO DE CAIXA DESC.-BLOCOS PAN'!$D12,'CAPEX - BLOCOS PAN'!$C$3:$I$52,7,FALSE))*J$57</f>
        <v>-52265332.651270352</v>
      </c>
      <c r="K12" s="1">
        <f>('RECEITAS - BLOCOS PAN'!J12-'OPEX - BLOCOS PAN'!J12-VLOOKUP('FLUXO DE CAIXA DESC.-BLOCOS PAN'!$D12,'CAPEX - BLOCOS PAN'!$C$3:$J$52,8,FALSE))*K$57</f>
        <v>-47682624.246250883</v>
      </c>
      <c r="L12" s="1">
        <f>('RECEITAS - BLOCOS PAN'!K12-'OPEX - BLOCOS PAN'!K12-VLOOKUP('FLUXO DE CAIXA DESC.-BLOCOS PAN'!$D12,'CAPEX - BLOCOS PAN'!$C$3:$K$52,9,FALSE))*L$57</f>
        <v>-1942848.2278064922</v>
      </c>
      <c r="M12" s="1">
        <f>('RECEITAS - BLOCOS PAN'!L12-'OPEX - BLOCOS PAN'!L12-VLOOKUP('FLUXO DE CAIXA DESC.-BLOCOS PAN'!$D12,'CAPEX - BLOCOS PAN'!$C$3:$L$52,10,FALSE))*M$57</f>
        <v>-1760629.3034196</v>
      </c>
      <c r="N12" s="1">
        <f>('RECEITAS - BLOCOS PAN'!M12-'OPEX - BLOCOS PAN'!M12-VLOOKUP('FLUXO DE CAIXA DESC.-BLOCOS PAN'!$D12,'CAPEX - BLOCOS PAN'!$C$3:$M$52,11,FALSE))*N$57</f>
        <v>-1597566.5466534339</v>
      </c>
      <c r="O12" s="1">
        <f>('RECEITAS - BLOCOS PAN'!N12-'OPEX - BLOCOS PAN'!N12-VLOOKUP('FLUXO DE CAIXA DESC.-BLOCOS PAN'!$D12,'CAPEX - BLOCOS PAN'!$C$3:$N$52,12,FALSE))*O$57</f>
        <v>-1449215.6711226557</v>
      </c>
      <c r="P12" s="1">
        <f>('RECEITAS - BLOCOS PAN'!O12-'OPEX - BLOCOS PAN'!O12-VLOOKUP('FLUXO DE CAIXA DESC.-BLOCOS PAN'!$D12,'CAPEX - BLOCOS PAN'!$C$3:$O$52,13,FALSE))*P$57</f>
        <v>-1315651.2480311953</v>
      </c>
      <c r="Q12" s="1">
        <f>('RECEITAS - BLOCOS PAN'!P12-'OPEX - BLOCOS PAN'!P12-VLOOKUP('FLUXO DE CAIXA DESC.-BLOCOS PAN'!$D12,'CAPEX - BLOCOS PAN'!$C$3:$P$52,14,FALSE))*Q$57</f>
        <v>-1193920.2329935697</v>
      </c>
      <c r="R12" s="1">
        <f>('RECEITAS - BLOCOS PAN'!Q12-'OPEX - BLOCOS PAN'!Q12-VLOOKUP('FLUXO DE CAIXA DESC.-BLOCOS PAN'!$D12,'CAPEX - BLOCOS PAN'!$C$3:$Q$52,15,FALSE))*R$57</f>
        <v>-1084839.1381346707</v>
      </c>
      <c r="S12" s="1">
        <f>('RECEITAS - BLOCOS PAN'!R12-'OPEX - BLOCOS PAN'!R12-VLOOKUP('FLUXO DE CAIXA DESC.-BLOCOS PAN'!$D12,'CAPEX - BLOCOS PAN'!$C$3:$R$52,16,FALSE))*S$57</f>
        <v>-985348.29696603667</v>
      </c>
      <c r="T12" s="1">
        <f>('RECEITAS - BLOCOS PAN'!S12-'OPEX - BLOCOS PAN'!S12-VLOOKUP('FLUXO DE CAIXA DESC.-BLOCOS PAN'!$D12,'CAPEX - BLOCOS PAN'!$C$3:$S$52,17,FALSE))*T$57</f>
        <v>-895544.8179092072</v>
      </c>
      <c r="U12" s="1">
        <f>('RECEITAS - BLOCOS PAN'!T12-'OPEX - BLOCOS PAN'!T12-VLOOKUP('FLUXO DE CAIXA DESC.-BLOCOS PAN'!$D12,'CAPEX - BLOCOS PAN'!$C$3:$T$52,18,FALSE))*U$57</f>
        <v>-813404.75302134606</v>
      </c>
      <c r="V12" s="1">
        <f>('RECEITAS - BLOCOS PAN'!U12-'OPEX - BLOCOS PAN'!U12-VLOOKUP('FLUXO DE CAIXA DESC.-BLOCOS PAN'!$D12,'CAPEX - BLOCOS PAN'!$C$3:$U$52,19,FALSE))*V$57</f>
        <v>-739180.74070413539</v>
      </c>
      <c r="W12" s="1">
        <f>('RECEITAS - BLOCOS PAN'!V12-'OPEX - BLOCOS PAN'!V12-VLOOKUP('FLUXO DE CAIXA DESC.-BLOCOS PAN'!$D12,'CAPEX - BLOCOS PAN'!$C$3:$V$52,20,FALSE))*W$57</f>
        <v>-671203.31427750853</v>
      </c>
      <c r="X12" s="1">
        <f>('RECEITAS - BLOCOS PAN'!W12-'OPEX - BLOCOS PAN'!W12-VLOOKUP('FLUXO DE CAIXA DESC.-BLOCOS PAN'!$D12,'CAPEX - BLOCOS PAN'!$C$3:$W$52,21,FALSE))*X$57</f>
        <v>-609965.03373031388</v>
      </c>
      <c r="Y12" s="1">
        <f>('RECEITAS - BLOCOS PAN'!X12-'OPEX - BLOCOS PAN'!X12-VLOOKUP('FLUXO DE CAIXA DESC.-BLOCOS PAN'!$D12,'CAPEX - BLOCOS PAN'!$C$3:$X$52,22,FALSE))*Y$57</f>
        <v>-553792.38356327254</v>
      </c>
      <c r="Z12" s="1">
        <f>('RECEITAS - BLOCOS PAN'!Y12-'OPEX - BLOCOS PAN'!Y12-VLOOKUP('FLUXO DE CAIXA DESC.-BLOCOS PAN'!$D12,'CAPEX - BLOCOS PAN'!$C$3:$Y$52,23,FALSE))*Z$57</f>
        <v>-503225.83350352861</v>
      </c>
      <c r="AA12" s="1">
        <f>('RECEITAS - BLOCOS PAN'!Z12-'OPEX - BLOCOS PAN'!Z12-VLOOKUP('FLUXO DE CAIXA DESC.-BLOCOS PAN'!$D12,'CAPEX - BLOCOS PAN'!$C$3:$Z$52,24,FALSE))*AA$57</f>
        <v>-456791.97978245589</v>
      </c>
      <c r="AB12" s="1">
        <f>('RECEITAS - BLOCOS PAN'!AA12-'OPEX - BLOCOS PAN'!AA12-VLOOKUP('FLUXO DE CAIXA DESC.-BLOCOS PAN'!$D12,'CAPEX - BLOCOS PAN'!$C$3:$AA$52,25,FALSE))*AB$57</f>
        <v>-414959.79136924492</v>
      </c>
      <c r="AC12" s="1">
        <f>('RECEITAS - BLOCOS PAN'!AB12-'OPEX - BLOCOS PAN'!AB12-VLOOKUP('FLUXO DE CAIXA DESC.-BLOCOS PAN'!$D12,'CAPEX - BLOCOS PAN'!$C$3:$AB$52,26,FALSE))*AC$57</f>
        <v>-376687.48592999839</v>
      </c>
      <c r="AD12" s="1">
        <f>('RECEITAS - BLOCOS PAN'!AC12-'OPEX - BLOCOS PAN'!AC12-VLOOKUP('FLUXO DE CAIXA DESC.-BLOCOS PAN'!$D12,'CAPEX - BLOCOS PAN'!$C$3:$AC$52,27,FALSE))*AD$57</f>
        <v>-342192.70004545606</v>
      </c>
      <c r="AE12" s="1">
        <f>('RECEITAS - BLOCOS PAN'!AD12-'OPEX - BLOCOS PAN'!AD12-VLOOKUP('FLUXO DE CAIXA DESC.-BLOCOS PAN'!$D12,'CAPEX - BLOCOS PAN'!$C$3:$AD$52,28,FALSE))*AE$57</f>
        <v>-310556.22542078589</v>
      </c>
      <c r="AF12" s="1">
        <f>('RECEITAS - BLOCOS PAN'!AE12-'OPEX - BLOCOS PAN'!AE12-VLOOKUP('FLUXO DE CAIXA DESC.-BLOCOS PAN'!$D12,'CAPEX - BLOCOS PAN'!$C$3:$AE$52,29,FALSE))*AF$57</f>
        <v>-281994.24790429865</v>
      </c>
      <c r="AG12" s="1">
        <f>('RECEITAS - BLOCOS PAN'!AF12-'OPEX - BLOCOS PAN'!AF12-VLOOKUP('FLUXO DE CAIXA DESC.-BLOCOS PAN'!$D12,'CAPEX - BLOCOS PAN'!$C$3:$AF$52,30,FALSE))*AG$57</f>
        <v>-255802.78882099871</v>
      </c>
      <c r="AH12" s="1">
        <f>('RECEITAS - BLOCOS PAN'!AG12-'OPEX - BLOCOS PAN'!AG12-VLOOKUP('FLUXO DE CAIXA DESC.-BLOCOS PAN'!$D12,'CAPEX - BLOCOS PAN'!$C$3:$AG$52,31,FALSE))*AH$57</f>
        <v>-232225.88613331257</v>
      </c>
      <c r="AI12" s="1">
        <f>('RECEITAS - BLOCOS PAN'!AH12-'OPEX - BLOCOS PAN'!AH12-VLOOKUP('FLUXO DE CAIXA DESC.-BLOCOS PAN'!$D12,'CAPEX - BLOCOS PAN'!$C$3:$AH$52,32,FALSE))*AI$57</f>
        <v>-310172.16947518243</v>
      </c>
      <c r="AJ12" s="1">
        <f>('RECEITAS - BLOCOS PAN'!AI12-'OPEX - BLOCOS PAN'!AI12-VLOOKUP('FLUXO DE CAIXA DESC.-BLOCOS PAN'!$D12,'CAPEX - BLOCOS PAN'!$C$3:$AI$52,33,FALSE))*AJ$57</f>
        <v>-282045.67156273714</v>
      </c>
      <c r="AK12" s="1">
        <f>('RECEITAS - BLOCOS PAN'!AJ12-'OPEX - BLOCOS PAN'!AJ12-VLOOKUP('FLUXO DE CAIXA DESC.-BLOCOS PAN'!$D12,'CAPEX - BLOCOS PAN'!$C$3:$AJ$52,34,FALSE))*AK$57</f>
        <v>-256458.96797924055</v>
      </c>
      <c r="AL12" s="1">
        <f>('RECEITAS - BLOCOS PAN'!AK12-'OPEX - BLOCOS PAN'!AK12-VLOOKUP('FLUXO DE CAIXA DESC.-BLOCOS PAN'!$D12,'CAPEX - BLOCOS PAN'!$C$3:$AK$52,35,FALSE))*AL$57</f>
        <v>-233170.08306197354</v>
      </c>
      <c r="AM12" s="44">
        <f t="shared" si="0"/>
        <v>-177114882.42411059</v>
      </c>
      <c r="AN12">
        <v>1</v>
      </c>
      <c r="AO12" t="s">
        <v>313</v>
      </c>
      <c r="AP12">
        <v>-3.7666666666666666</v>
      </c>
      <c r="AQ12">
        <v>-49.716666666666669</v>
      </c>
      <c r="AR12" s="48">
        <f>VLOOKUP(D12,'Projeção - Demanda PAX'!$C$3:$H$37,6,FALSE)</f>
        <v>23561</v>
      </c>
      <c r="AS12" s="1">
        <f t="shared" si="1"/>
        <v>-171694841.17582777</v>
      </c>
      <c r="AT12" t="str">
        <f>VLOOKUP(D12,'CAPEX - BLOCOS PAN (ANO A ANO)'!$C$3:$AV$52,46,FALSE)</f>
        <v>Privada</v>
      </c>
      <c r="AU12" t="str">
        <f>VLOOKUP(D12,'FLUXO DE CAIXA DESC.-SEM MULT.'!$D$3:$AT$52,43,FALSE)</f>
        <v>Bloco 6 - PA2</v>
      </c>
    </row>
    <row r="13" spans="1:47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259</v>
      </c>
      <c r="H13" t="s">
        <v>33</v>
      </c>
      <c r="I13" s="1">
        <f>('RECEITAS - BLOCOS PAN'!H13-'OPEX - BLOCOS PAN'!H13-VLOOKUP('FLUXO DE CAIXA DESC.-BLOCOS PAN'!$D13,'CAPEX - BLOCOS PAN'!$C$3:$H$52,6,FALSE))*I$57</f>
        <v>-49873462.890699998</v>
      </c>
      <c r="J13" s="1">
        <f>('RECEITAS - BLOCOS PAN'!I13-'OPEX - BLOCOS PAN'!I13-VLOOKUP('FLUXO DE CAIXA DESC.-BLOCOS PAN'!$D13,'CAPEX - BLOCOS PAN'!$C$3:$I$52,7,FALSE))*J$57</f>
        <v>-45590060.560474671</v>
      </c>
      <c r="K13" s="1">
        <f>('RECEITAS - BLOCOS PAN'!J13-'OPEX - BLOCOS PAN'!J13-VLOOKUP('FLUXO DE CAIXA DESC.-BLOCOS PAN'!$D13,'CAPEX - BLOCOS PAN'!$C$3:$J$52,8,FALSE))*K$57</f>
        <v>-41575153.514991522</v>
      </c>
      <c r="L13" s="1">
        <f>('RECEITAS - BLOCOS PAN'!K13-'OPEX - BLOCOS PAN'!K13-VLOOKUP('FLUXO DE CAIXA DESC.-BLOCOS PAN'!$D13,'CAPEX - BLOCOS PAN'!$C$3:$K$52,9,FALSE))*L$57</f>
        <v>-1781087.1781411159</v>
      </c>
      <c r="M13" s="1">
        <f>('RECEITAS - BLOCOS PAN'!L13-'OPEX - BLOCOS PAN'!L13-VLOOKUP('FLUXO DE CAIXA DESC.-BLOCOS PAN'!$D13,'CAPEX - BLOCOS PAN'!$C$3:$L$52,10,FALSE))*M$57</f>
        <v>-1611504.4452879415</v>
      </c>
      <c r="N13" s="1">
        <f>('RECEITAS - BLOCOS PAN'!M13-'OPEX - BLOCOS PAN'!M13-VLOOKUP('FLUXO DE CAIXA DESC.-BLOCOS PAN'!$D13,'CAPEX - BLOCOS PAN'!$C$3:$M$52,11,FALSE))*N$57</f>
        <v>-1459688.331442147</v>
      </c>
      <c r="O13" s="1">
        <f>('RECEITAS - BLOCOS PAN'!N13-'OPEX - BLOCOS PAN'!N13-VLOOKUP('FLUXO DE CAIXA DESC.-BLOCOS PAN'!$D13,'CAPEX - BLOCOS PAN'!$C$3:$N$52,12,FALSE))*O$57</f>
        <v>-1323810.6974560162</v>
      </c>
      <c r="P13" s="1">
        <f>('RECEITAS - BLOCOS PAN'!O13-'OPEX - BLOCOS PAN'!O13-VLOOKUP('FLUXO DE CAIXA DESC.-BLOCOS PAN'!$D13,'CAPEX - BLOCOS PAN'!$C$3:$O$52,13,FALSE))*P$57</f>
        <v>-1201366.530270875</v>
      </c>
      <c r="Q13" s="1">
        <f>('RECEITAS - BLOCOS PAN'!P13-'OPEX - BLOCOS PAN'!P13-VLOOKUP('FLUXO DE CAIXA DESC.-BLOCOS PAN'!$D13,'CAPEX - BLOCOS PAN'!$C$3:$P$52,14,FALSE))*Q$57</f>
        <v>-1091585.1904100198</v>
      </c>
      <c r="R13" s="1">
        <f>('RECEITAS - BLOCOS PAN'!Q13-'OPEX - BLOCOS PAN'!Q13-VLOOKUP('FLUXO DE CAIXA DESC.-BLOCOS PAN'!$D13,'CAPEX - BLOCOS PAN'!$C$3:$Q$52,15,FALSE))*R$57</f>
        <v>-992278.50954280887</v>
      </c>
      <c r="S13" s="1">
        <f>('RECEITAS - BLOCOS PAN'!R13-'OPEX - BLOCOS PAN'!R13-VLOOKUP('FLUXO DE CAIXA DESC.-BLOCOS PAN'!$D13,'CAPEX - BLOCOS PAN'!$C$3:$R$52,16,FALSE))*S$57</f>
        <v>-902609.33716169454</v>
      </c>
      <c r="T13" s="1">
        <f>('RECEITAS - BLOCOS PAN'!S13-'OPEX - BLOCOS PAN'!S13-VLOOKUP('FLUXO DE CAIXA DESC.-BLOCOS PAN'!$D13,'CAPEX - BLOCOS PAN'!$C$3:$S$52,17,FALSE))*T$57</f>
        <v>-821650.14532736549</v>
      </c>
      <c r="U13" s="1">
        <f>('RECEITAS - BLOCOS PAN'!T13-'OPEX - BLOCOS PAN'!T13-VLOOKUP('FLUXO DE CAIXA DESC.-BLOCOS PAN'!$D13,'CAPEX - BLOCOS PAN'!$C$3:$T$52,18,FALSE))*U$57</f>
        <v>-747636.37862672366</v>
      </c>
      <c r="V13" s="1">
        <f>('RECEITAS - BLOCOS PAN'!U13-'OPEX - BLOCOS PAN'!U13-VLOOKUP('FLUXO DE CAIXA DESC.-BLOCOS PAN'!$D13,'CAPEX - BLOCOS PAN'!$C$3:$U$52,19,FALSE))*V$57</f>
        <v>-680208.93558352441</v>
      </c>
      <c r="W13" s="1">
        <f>('RECEITAS - BLOCOS PAN'!V13-'OPEX - BLOCOS PAN'!V13-VLOOKUP('FLUXO DE CAIXA DESC.-BLOCOS PAN'!$D13,'CAPEX - BLOCOS PAN'!$C$3:$V$52,20,FALSE))*W$57</f>
        <v>-619233.61972834333</v>
      </c>
      <c r="X13" s="1">
        <f>('RECEITAS - BLOCOS PAN'!W13-'OPEX - BLOCOS PAN'!W13-VLOOKUP('FLUXO DE CAIXA DESC.-BLOCOS PAN'!$D13,'CAPEX - BLOCOS PAN'!$C$3:$W$52,21,FALSE))*X$57</f>
        <v>-563487.61526199919</v>
      </c>
      <c r="Y13" s="1">
        <f>('RECEITAS - BLOCOS PAN'!X13-'OPEX - BLOCOS PAN'!X13-VLOOKUP('FLUXO DE CAIXA DESC.-BLOCOS PAN'!$D13,'CAPEX - BLOCOS PAN'!$C$3:$X$52,22,FALSE))*Y$57</f>
        <v>-512682.32403304451</v>
      </c>
      <c r="Z13" s="1">
        <f>('RECEITAS - BLOCOS PAN'!Y13-'OPEX - BLOCOS PAN'!Y13-VLOOKUP('FLUXO DE CAIXA DESC.-BLOCOS PAN'!$D13,'CAPEX - BLOCOS PAN'!$C$3:$Y$52,23,FALSE))*Z$57</f>
        <v>-466688.65918784449</v>
      </c>
      <c r="AA13" s="1">
        <f>('RECEITAS - BLOCOS PAN'!Z13-'OPEX - BLOCOS PAN'!Z13-VLOOKUP('FLUXO DE CAIXA DESC.-BLOCOS PAN'!$D13,'CAPEX - BLOCOS PAN'!$C$3:$Z$52,24,FALSE))*AA$57</f>
        <v>-424693.49015017773</v>
      </c>
      <c r="AB13" s="1">
        <f>('RECEITAS - BLOCOS PAN'!AA13-'OPEX - BLOCOS PAN'!AA13-VLOOKUP('FLUXO DE CAIXA DESC.-BLOCOS PAN'!$D13,'CAPEX - BLOCOS PAN'!$C$3:$AA$52,25,FALSE))*AB$57</f>
        <v>-386395.56966257049</v>
      </c>
      <c r="AC13" s="1">
        <f>('RECEITAS - BLOCOS PAN'!AB13-'OPEX - BLOCOS PAN'!AB13-VLOOKUP('FLUXO DE CAIXA DESC.-BLOCOS PAN'!$D13,'CAPEX - BLOCOS PAN'!$C$3:$AB$52,26,FALSE))*AC$57</f>
        <v>-351871.8442348619</v>
      </c>
      <c r="AD13" s="1">
        <f>('RECEITAS - BLOCOS PAN'!AC13-'OPEX - BLOCOS PAN'!AC13-VLOOKUP('FLUXO DE CAIXA DESC.-BLOCOS PAN'!$D13,'CAPEX - BLOCOS PAN'!$C$3:$AC$52,27,FALSE))*AD$57</f>
        <v>-320243.91232908535</v>
      </c>
      <c r="AE13" s="1">
        <f>('RECEITAS - BLOCOS PAN'!AD13-'OPEX - BLOCOS PAN'!AD13-VLOOKUP('FLUXO DE CAIXA DESC.-BLOCOS PAN'!$D13,'CAPEX - BLOCOS PAN'!$C$3:$AD$52,28,FALSE))*AE$57</f>
        <v>-291628.89307250653</v>
      </c>
      <c r="AF13" s="1">
        <f>('RECEITAS - BLOCOS PAN'!AE13-'OPEX - BLOCOS PAN'!AE13-VLOOKUP('FLUXO DE CAIXA DESC.-BLOCOS PAN'!$D13,'CAPEX - BLOCOS PAN'!$C$3:$AE$52,29,FALSE))*AF$57</f>
        <v>-265513.21590829827</v>
      </c>
      <c r="AG13" s="1">
        <f>('RECEITAS - BLOCOS PAN'!AF13-'OPEX - BLOCOS PAN'!AF13-VLOOKUP('FLUXO DE CAIXA DESC.-BLOCOS PAN'!$D13,'CAPEX - BLOCOS PAN'!$C$3:$AF$52,30,FALSE))*AG$57</f>
        <v>-241696.2409833445</v>
      </c>
      <c r="AH13" s="1">
        <f>('RECEITAS - BLOCOS PAN'!AG13-'OPEX - BLOCOS PAN'!AG13-VLOOKUP('FLUXO DE CAIXA DESC.-BLOCOS PAN'!$D13,'CAPEX - BLOCOS PAN'!$C$3:$AG$52,31,FALSE))*AH$57</f>
        <v>-220083.91660387532</v>
      </c>
      <c r="AI13" s="1">
        <f>('RECEITAS - BLOCOS PAN'!AH13-'OPEX - BLOCOS PAN'!AH13-VLOOKUP('FLUXO DE CAIXA DESC.-BLOCOS PAN'!$D13,'CAPEX - BLOCOS PAN'!$C$3:$AH$52,32,FALSE))*AI$57</f>
        <v>-200438.93470917022</v>
      </c>
      <c r="AJ13" s="1">
        <f>('RECEITAS - BLOCOS PAN'!AI13-'OPEX - BLOCOS PAN'!AI13-VLOOKUP('FLUXO DE CAIXA DESC.-BLOCOS PAN'!$D13,'CAPEX - BLOCOS PAN'!$C$3:$AI$52,33,FALSE))*AJ$57</f>
        <v>-182555.03678267688</v>
      </c>
      <c r="AK13" s="1">
        <f>('RECEITAS - BLOCOS PAN'!AJ13-'OPEX - BLOCOS PAN'!AJ13-VLOOKUP('FLUXO DE CAIXA DESC.-BLOCOS PAN'!$D13,'CAPEX - BLOCOS PAN'!$C$3:$AJ$52,34,FALSE))*AK$57</f>
        <v>-166264.85541743744</v>
      </c>
      <c r="AL13" s="1">
        <f>('RECEITAS - BLOCOS PAN'!AK13-'OPEX - BLOCOS PAN'!AK13-VLOOKUP('FLUXO DE CAIXA DESC.-BLOCOS PAN'!$D13,'CAPEX - BLOCOS PAN'!$C$3:$AK$52,35,FALSE))*AL$57</f>
        <v>-225491.43402203752</v>
      </c>
      <c r="AM13" s="44">
        <f t="shared" si="0"/>
        <v>-155091072.20750371</v>
      </c>
      <c r="AN13">
        <v>1</v>
      </c>
      <c r="AO13" t="s">
        <v>311</v>
      </c>
      <c r="AP13">
        <v>-0.13333333333333333</v>
      </c>
      <c r="AQ13">
        <v>-66.983333333333334</v>
      </c>
      <c r="AR13" s="48">
        <f>VLOOKUP(D13,'Projeção - Demanda PAX'!$C$3:$H$37,6,FALSE)</f>
        <v>25074</v>
      </c>
      <c r="AS13" s="1">
        <f t="shared" si="1"/>
        <v>-150271336.2651448</v>
      </c>
      <c r="AT13" t="str">
        <f>VLOOKUP(D13,'CAPEX - BLOCOS PAN (ANO A ANO)'!$C$3:$AV$52,46,FALSE)</f>
        <v>Privada</v>
      </c>
      <c r="AU13" t="str">
        <f>VLOOKUP(D13,'FLUXO DE CAIXA DESC.-SEM MULT.'!$D$3:$AT$52,43,FALSE)</f>
        <v>Bloco 2 - AM1</v>
      </c>
    </row>
    <row r="14" spans="1:47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258</v>
      </c>
      <c r="H14" t="s">
        <v>33</v>
      </c>
      <c r="I14" s="1">
        <f>('RECEITAS - BLOCOS PAN'!H14-'OPEX - BLOCOS PAN'!H14-VLOOKUP('FLUXO DE CAIXA DESC.-BLOCOS PAN'!$D14,'CAPEX - BLOCOS PAN'!$C$3:$H$52,6,FALSE))*I$57</f>
        <v>-25473327.004000001</v>
      </c>
      <c r="J14" s="1">
        <f>('RECEITAS - BLOCOS PAN'!I14-'OPEX - BLOCOS PAN'!I14-VLOOKUP('FLUXO DE CAIXA DESC.-BLOCOS PAN'!$D14,'CAPEX - BLOCOS PAN'!$C$3:$I$52,7,FALSE))*J$57</f>
        <v>-23224755.596348703</v>
      </c>
      <c r="K14" s="1">
        <f>('RECEITAS - BLOCOS PAN'!J14-'OPEX - BLOCOS PAN'!J14-VLOOKUP('FLUXO DE CAIXA DESC.-BLOCOS PAN'!$D14,'CAPEX - BLOCOS PAN'!$C$3:$J$52,8,FALSE))*K$57</f>
        <v>-21178360.407717478</v>
      </c>
      <c r="L14" s="1">
        <f>('RECEITAS - BLOCOS PAN'!K14-'OPEX - BLOCOS PAN'!K14-VLOOKUP('FLUXO DE CAIXA DESC.-BLOCOS PAN'!$D14,'CAPEX - BLOCOS PAN'!$C$3:$K$52,9,FALSE))*L$57</f>
        <v>-2179344.2823921512</v>
      </c>
      <c r="M14" s="1">
        <f>('RECEITAS - BLOCOS PAN'!L14-'OPEX - BLOCOS PAN'!L14-VLOOKUP('FLUXO DE CAIXA DESC.-BLOCOS PAN'!$D14,'CAPEX - BLOCOS PAN'!$C$3:$L$52,10,FALSE))*M$57</f>
        <v>-1976022.5470968743</v>
      </c>
      <c r="N14" s="1">
        <f>('RECEITAS - BLOCOS PAN'!M14-'OPEX - BLOCOS PAN'!M14-VLOOKUP('FLUXO DE CAIXA DESC.-BLOCOS PAN'!$D14,'CAPEX - BLOCOS PAN'!$C$3:$M$52,11,FALSE))*N$57</f>
        <v>-1791990.865061356</v>
      </c>
      <c r="O14" s="1">
        <f>('RECEITAS - BLOCOS PAN'!N14-'OPEX - BLOCOS PAN'!N14-VLOOKUP('FLUXO DE CAIXA DESC.-BLOCOS PAN'!$D14,'CAPEX - BLOCOS PAN'!$C$3:$N$52,12,FALSE))*O$57</f>
        <v>-1625383.3865302182</v>
      </c>
      <c r="P14" s="1">
        <f>('RECEITAS - BLOCOS PAN'!O14-'OPEX - BLOCOS PAN'!O14-VLOOKUP('FLUXO DE CAIXA DESC.-BLOCOS PAN'!$D14,'CAPEX - BLOCOS PAN'!$C$3:$O$52,13,FALSE))*P$57</f>
        <v>-1474243.4768408407</v>
      </c>
      <c r="Q14" s="1">
        <f>('RECEITAS - BLOCOS PAN'!P14-'OPEX - BLOCOS PAN'!P14-VLOOKUP('FLUXO DE CAIXA DESC.-BLOCOS PAN'!$D14,'CAPEX - BLOCOS PAN'!$C$3:$P$52,14,FALSE))*Q$57</f>
        <v>-1337433.878450392</v>
      </c>
      <c r="R14" s="1">
        <f>('RECEITAS - BLOCOS PAN'!Q14-'OPEX - BLOCOS PAN'!Q14-VLOOKUP('FLUXO DE CAIXA DESC.-BLOCOS PAN'!$D14,'CAPEX - BLOCOS PAN'!$C$3:$Q$52,15,FALSE))*R$57</f>
        <v>-1307317.5098566089</v>
      </c>
      <c r="S14" s="1">
        <f>('RECEITAS - BLOCOS PAN'!R14-'OPEX - BLOCOS PAN'!R14-VLOOKUP('FLUXO DE CAIXA DESC.-BLOCOS PAN'!$D14,'CAPEX - BLOCOS PAN'!$C$3:$R$52,16,FALSE))*S$57</f>
        <v>-1187005.9323772851</v>
      </c>
      <c r="T14" s="1">
        <f>('RECEITAS - BLOCOS PAN'!S14-'OPEX - BLOCOS PAN'!S14-VLOOKUP('FLUXO DE CAIXA DESC.-BLOCOS PAN'!$D14,'CAPEX - BLOCOS PAN'!$C$3:$S$52,17,FALSE))*T$57</f>
        <v>-1077672.756879315</v>
      </c>
      <c r="U14" s="1">
        <f>('RECEITAS - BLOCOS PAN'!T14-'OPEX - BLOCOS PAN'!T14-VLOOKUP('FLUXO DE CAIXA DESC.-BLOCOS PAN'!$D14,'CAPEX - BLOCOS PAN'!$C$3:$T$52,18,FALSE))*U$57</f>
        <v>-978314.37216431741</v>
      </c>
      <c r="V14" s="1">
        <f>('RECEITAS - BLOCOS PAN'!U14-'OPEX - BLOCOS PAN'!U14-VLOOKUP('FLUXO DE CAIXA DESC.-BLOCOS PAN'!$D14,'CAPEX - BLOCOS PAN'!$C$3:$U$52,19,FALSE))*V$57</f>
        <v>-887906.38702922361</v>
      </c>
      <c r="W14" s="1">
        <f>('RECEITAS - BLOCOS PAN'!V14-'OPEX - BLOCOS PAN'!V14-VLOOKUP('FLUXO DE CAIXA DESC.-BLOCOS PAN'!$D14,'CAPEX - BLOCOS PAN'!$C$3:$V$52,20,FALSE))*W$57</f>
        <v>-805850.21248120524</v>
      </c>
      <c r="X14" s="1">
        <f>('RECEITAS - BLOCOS PAN'!W14-'OPEX - BLOCOS PAN'!W14-VLOOKUP('FLUXO DE CAIXA DESC.-BLOCOS PAN'!$D14,'CAPEX - BLOCOS PAN'!$C$3:$W$52,21,FALSE))*X$57</f>
        <v>-731193.17469141516</v>
      </c>
      <c r="Y14" s="1">
        <f>('RECEITAS - BLOCOS PAN'!X14-'OPEX - BLOCOS PAN'!X14-VLOOKUP('FLUXO DE CAIXA DESC.-BLOCOS PAN'!$D14,'CAPEX - BLOCOS PAN'!$C$3:$X$52,22,FALSE))*Y$57</f>
        <v>-663398.87709057576</v>
      </c>
      <c r="Z14" s="1">
        <f>('RECEITAS - BLOCOS PAN'!Y14-'OPEX - BLOCOS PAN'!Y14-VLOOKUP('FLUXO DE CAIXA DESC.-BLOCOS PAN'!$D14,'CAPEX - BLOCOS PAN'!$C$3:$Y$52,23,FALSE))*Z$57</f>
        <v>-601720.78027880855</v>
      </c>
      <c r="AA14" s="1">
        <f>('RECEITAS - BLOCOS PAN'!Z14-'OPEX - BLOCOS PAN'!Z14-VLOOKUP('FLUXO DE CAIXA DESC.-BLOCOS PAN'!$D14,'CAPEX - BLOCOS PAN'!$C$3:$Z$52,24,FALSE))*AA$57</f>
        <v>-545658.56440834387</v>
      </c>
      <c r="AB14" s="1">
        <f>('RECEITAS - BLOCOS PAN'!AA14-'OPEX - BLOCOS PAN'!AA14-VLOOKUP('FLUXO DE CAIXA DESC.-BLOCOS PAN'!$D14,'CAPEX - BLOCOS PAN'!$C$3:$AA$52,25,FALSE))*AB$57</f>
        <v>-494723.446596472</v>
      </c>
      <c r="AC14" s="1">
        <f>('RECEITAS - BLOCOS PAN'!AB14-'OPEX - BLOCOS PAN'!AB14-VLOOKUP('FLUXO DE CAIXA DESC.-BLOCOS PAN'!$D14,'CAPEX - BLOCOS PAN'!$C$3:$AB$52,26,FALSE))*AC$57</f>
        <v>-448549.75230119535</v>
      </c>
      <c r="AD14" s="1">
        <f>('RECEITAS - BLOCOS PAN'!AC14-'OPEX - BLOCOS PAN'!AC14-VLOOKUP('FLUXO DE CAIXA DESC.-BLOCOS PAN'!$D14,'CAPEX - BLOCOS PAN'!$C$3:$AC$52,27,FALSE))*AD$57</f>
        <v>-406582.79257775366</v>
      </c>
      <c r="AE14" s="1">
        <f>('RECEITAS - BLOCOS PAN'!AD14-'OPEX - BLOCOS PAN'!AD14-VLOOKUP('FLUXO DE CAIXA DESC.-BLOCOS PAN'!$D14,'CAPEX - BLOCOS PAN'!$C$3:$AD$52,28,FALSE))*AE$57</f>
        <v>-368524.02600533457</v>
      </c>
      <c r="AF14" s="1">
        <f>('RECEITAS - BLOCOS PAN'!AE14-'OPEX - BLOCOS PAN'!AE14-VLOOKUP('FLUXO DE CAIXA DESC.-BLOCOS PAN'!$D14,'CAPEX - BLOCOS PAN'!$C$3:$AE$52,29,FALSE))*AF$57</f>
        <v>-333968.98733498965</v>
      </c>
      <c r="AG14" s="1">
        <f>('RECEITAS - BLOCOS PAN'!AF14-'OPEX - BLOCOS PAN'!AF14-VLOOKUP('FLUXO DE CAIXA DESC.-BLOCOS PAN'!$D14,'CAPEX - BLOCOS PAN'!$C$3:$AF$52,30,FALSE))*AG$57</f>
        <v>-302644.41706748557</v>
      </c>
      <c r="AH14" s="1">
        <f>('RECEITAS - BLOCOS PAN'!AG14-'OPEX - BLOCOS PAN'!AG14-VLOOKUP('FLUXO DE CAIXA DESC.-BLOCOS PAN'!$D14,'CAPEX - BLOCOS PAN'!$C$3:$AG$52,31,FALSE))*AH$57</f>
        <v>-338952.33346897591</v>
      </c>
      <c r="AI14" s="1">
        <f>('RECEITAS - BLOCOS PAN'!AH14-'OPEX - BLOCOS PAN'!AH14-VLOOKUP('FLUXO DE CAIXA DESC.-BLOCOS PAN'!$D14,'CAPEX - BLOCOS PAN'!$C$3:$AH$52,32,FALSE))*AI$57</f>
        <v>-307385.94844126311</v>
      </c>
      <c r="AJ14" s="1">
        <f>('RECEITAS - BLOCOS PAN'!AI14-'OPEX - BLOCOS PAN'!AI14-VLOOKUP('FLUXO DE CAIXA DESC.-BLOCOS PAN'!$D14,'CAPEX - BLOCOS PAN'!$C$3:$AI$52,33,FALSE))*AJ$57</f>
        <v>-278722.54987131018</v>
      </c>
      <c r="AK14" s="1">
        <f>('RECEITAS - BLOCOS PAN'!AJ14-'OPEX - BLOCOS PAN'!AJ14-VLOOKUP('FLUXO DE CAIXA DESC.-BLOCOS PAN'!$D14,'CAPEX - BLOCOS PAN'!$C$3:$AJ$52,34,FALSE))*AK$57</f>
        <v>-252671.44540890492</v>
      </c>
      <c r="AL14" s="1">
        <f>('RECEITAS - BLOCOS PAN'!AK14-'OPEX - BLOCOS PAN'!AK14-VLOOKUP('FLUXO DE CAIXA DESC.-BLOCOS PAN'!$D14,'CAPEX - BLOCOS PAN'!$C$3:$AK$52,35,FALSE))*AL$57</f>
        <v>-229004.27059708643</v>
      </c>
      <c r="AM14" s="44">
        <f t="shared" si="0"/>
        <v>-92808629.981365889</v>
      </c>
      <c r="AN14">
        <v>0</v>
      </c>
      <c r="AO14" t="s">
        <v>310</v>
      </c>
      <c r="AP14">
        <v>-9.4</v>
      </c>
      <c r="AQ14">
        <v>-38.25</v>
      </c>
      <c r="AR14" s="48">
        <f>VLOOKUP(D14,'Projeção - Demanda PAX'!$C$3:$H$37,6,FALSE)</f>
        <v>17631</v>
      </c>
      <c r="AS14" s="1">
        <f t="shared" si="1"/>
        <v>-86504928.615225971</v>
      </c>
      <c r="AT14" t="str">
        <f>VLOOKUP(D14,'CAPEX - BLOCOS PAN (ANO A ANO)'!$C$3:$AV$52,46,FALSE)</f>
        <v>Privada</v>
      </c>
      <c r="AU14" t="str">
        <f>VLOOKUP(D14,'FLUXO DE CAIXA DESC.-SEM MULT.'!$D$3:$AT$52,43,FALSE)</f>
        <v>Bloco 8 - Nordeste</v>
      </c>
    </row>
    <row r="15" spans="1:47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259</v>
      </c>
      <c r="H15" t="s">
        <v>33</v>
      </c>
      <c r="I15" s="1">
        <f>('RECEITAS - BLOCOS PAN'!H15-'OPEX - BLOCOS PAN'!H15-VLOOKUP('FLUXO DE CAIXA DESC.-BLOCOS PAN'!$D15,'CAPEX - BLOCOS PAN'!$C$3:$H$52,6,FALSE))*I$57</f>
        <v>-56720561.982733339</v>
      </c>
      <c r="J15" s="1">
        <f>('RECEITAS - BLOCOS PAN'!I15-'OPEX - BLOCOS PAN'!I15-VLOOKUP('FLUXO DE CAIXA DESC.-BLOCOS PAN'!$D15,'CAPEX - BLOCOS PAN'!$C$3:$I$52,7,FALSE))*J$57</f>
        <v>-51715389.18487753</v>
      </c>
      <c r="K15" s="1">
        <f>('RECEITAS - BLOCOS PAN'!J15-'OPEX - BLOCOS PAN'!J15-VLOOKUP('FLUXO DE CAIXA DESC.-BLOCOS PAN'!$D15,'CAPEX - BLOCOS PAN'!$C$3:$J$52,8,FALSE))*K$57</f>
        <v>-47161910.031460054</v>
      </c>
      <c r="L15" s="1">
        <f>('RECEITAS - BLOCOS PAN'!K15-'OPEX - BLOCOS PAN'!K15-VLOOKUP('FLUXO DE CAIXA DESC.-BLOCOS PAN'!$D15,'CAPEX - BLOCOS PAN'!$C$3:$K$52,9,FALSE))*L$57</f>
        <v>-1639013.1195425128</v>
      </c>
      <c r="M15" s="1">
        <f>('RECEITAS - BLOCOS PAN'!L15-'OPEX - BLOCOS PAN'!L15-VLOOKUP('FLUXO DE CAIXA DESC.-BLOCOS PAN'!$D15,'CAPEX - BLOCOS PAN'!$C$3:$L$52,10,FALSE))*M$57</f>
        <v>-2172002.119570144</v>
      </c>
      <c r="N15" s="1">
        <f>('RECEITAS - BLOCOS PAN'!M15-'OPEX - BLOCOS PAN'!M15-VLOOKUP('FLUXO DE CAIXA DESC.-BLOCOS PAN'!$D15,'CAPEX - BLOCOS PAN'!$C$3:$M$52,11,FALSE))*N$57</f>
        <v>-1958469.6679342645</v>
      </c>
      <c r="O15" s="1">
        <f>('RECEITAS - BLOCOS PAN'!N15-'OPEX - BLOCOS PAN'!N15-VLOOKUP('FLUXO DE CAIXA DESC.-BLOCOS PAN'!$D15,'CAPEX - BLOCOS PAN'!$C$3:$N$52,12,FALSE))*O$57</f>
        <v>-1766598.9620403098</v>
      </c>
      <c r="P15" s="1">
        <f>('RECEITAS - BLOCOS PAN'!O15-'OPEX - BLOCOS PAN'!O15-VLOOKUP('FLUXO DE CAIXA DESC.-BLOCOS PAN'!$D15,'CAPEX - BLOCOS PAN'!$C$3:$O$52,13,FALSE))*P$57</f>
        <v>-1594024.8904539419</v>
      </c>
      <c r="Q15" s="1">
        <f>('RECEITAS - BLOCOS PAN'!P15-'OPEX - BLOCOS PAN'!P15-VLOOKUP('FLUXO DE CAIXA DESC.-BLOCOS PAN'!$D15,'CAPEX - BLOCOS PAN'!$C$3:$P$52,14,FALSE))*Q$57</f>
        <v>-1439076.8211293158</v>
      </c>
      <c r="R15" s="1">
        <f>('RECEITAS - BLOCOS PAN'!Q15-'OPEX - BLOCOS PAN'!Q15-VLOOKUP('FLUXO DE CAIXA DESC.-BLOCOS PAN'!$D15,'CAPEX - BLOCOS PAN'!$C$3:$Q$52,15,FALSE))*R$57</f>
        <v>-1300042.7988405107</v>
      </c>
      <c r="S15" s="1">
        <f>('RECEITAS - BLOCOS PAN'!R15-'OPEX - BLOCOS PAN'!R15-VLOOKUP('FLUXO DE CAIXA DESC.-BLOCOS PAN'!$D15,'CAPEX - BLOCOS PAN'!$C$3:$R$52,16,FALSE))*S$57</f>
        <v>-1174953.1720871781</v>
      </c>
      <c r="T15" s="1">
        <f>('RECEITAS - BLOCOS PAN'!S15-'OPEX - BLOCOS PAN'!S15-VLOOKUP('FLUXO DE CAIXA DESC.-BLOCOS PAN'!$D15,'CAPEX - BLOCOS PAN'!$C$3:$S$52,17,FALSE))*T$57</f>
        <v>-1061834.8808705374</v>
      </c>
      <c r="U15" s="1">
        <f>('RECEITAS - BLOCOS PAN'!T15-'OPEX - BLOCOS PAN'!T15-VLOOKUP('FLUXO DE CAIXA DESC.-BLOCOS PAN'!$D15,'CAPEX - BLOCOS PAN'!$C$3:$T$52,18,FALSE))*U$57</f>
        <v>-959508.35837665689</v>
      </c>
      <c r="V15" s="1">
        <f>('RECEITAS - BLOCOS PAN'!U15-'OPEX - BLOCOS PAN'!U15-VLOOKUP('FLUXO DE CAIXA DESC.-BLOCOS PAN'!$D15,'CAPEX - BLOCOS PAN'!$C$3:$U$52,19,FALSE))*V$57</f>
        <v>-866698.32598980865</v>
      </c>
      <c r="W15" s="1">
        <f>('RECEITAS - BLOCOS PAN'!V15-'OPEX - BLOCOS PAN'!V15-VLOOKUP('FLUXO DE CAIXA DESC.-BLOCOS PAN'!$D15,'CAPEX - BLOCOS PAN'!$C$3:$V$52,20,FALSE))*W$57</f>
        <v>-782848.29728167027</v>
      </c>
      <c r="X15" s="1">
        <f>('RECEITAS - BLOCOS PAN'!W15-'OPEX - BLOCOS PAN'!W15-VLOOKUP('FLUXO DE CAIXA DESC.-BLOCOS PAN'!$D15,'CAPEX - BLOCOS PAN'!$C$3:$W$52,21,FALSE))*X$57</f>
        <v>-706899.64838645479</v>
      </c>
      <c r="Y15" s="1">
        <f>('RECEITAS - BLOCOS PAN'!X15-'OPEX - BLOCOS PAN'!X15-VLOOKUP('FLUXO DE CAIXA DESC.-BLOCOS PAN'!$D15,'CAPEX - BLOCOS PAN'!$C$3:$X$52,22,FALSE))*Y$57</f>
        <v>-638209.99643002695</v>
      </c>
      <c r="Z15" s="1">
        <f>('RECEITAS - BLOCOS PAN'!Y15-'OPEX - BLOCOS PAN'!Y15-VLOOKUP('FLUXO DE CAIXA DESC.-BLOCOS PAN'!$D15,'CAPEX - BLOCOS PAN'!$C$3:$Y$52,23,FALSE))*Z$57</f>
        <v>-575905.14600401255</v>
      </c>
      <c r="AA15" s="1">
        <f>('RECEITAS - BLOCOS PAN'!Z15-'OPEX - BLOCOS PAN'!Z15-VLOOKUP('FLUXO DE CAIXA DESC.-BLOCOS PAN'!$D15,'CAPEX - BLOCOS PAN'!$C$3:$Z$52,24,FALSE))*AA$57</f>
        <v>-519543.48057822371</v>
      </c>
      <c r="AB15" s="1">
        <f>('RECEITAS - BLOCOS PAN'!AA15-'OPEX - BLOCOS PAN'!AA15-VLOOKUP('FLUXO DE CAIXA DESC.-BLOCOS PAN'!$D15,'CAPEX - BLOCOS PAN'!$C$3:$AA$52,25,FALSE))*AB$57</f>
        <v>-468481.07587665715</v>
      </c>
      <c r="AC15" s="1">
        <f>('RECEITAS - BLOCOS PAN'!AB15-'OPEX - BLOCOS PAN'!AB15-VLOOKUP('FLUXO DE CAIXA DESC.-BLOCOS PAN'!$D15,'CAPEX - BLOCOS PAN'!$C$3:$AB$52,26,FALSE))*AC$57</f>
        <v>-422477.59472276305</v>
      </c>
      <c r="AD15" s="1">
        <f>('RECEITAS - BLOCOS PAN'!AC15-'OPEX - BLOCOS PAN'!AC15-VLOOKUP('FLUXO DE CAIXA DESC.-BLOCOS PAN'!$D15,'CAPEX - BLOCOS PAN'!$C$3:$AC$52,27,FALSE))*AD$57</f>
        <v>-380878.0884998148</v>
      </c>
      <c r="AE15" s="1">
        <f>('RECEITAS - BLOCOS PAN'!AD15-'OPEX - BLOCOS PAN'!AD15-VLOOKUP('FLUXO DE CAIXA DESC.-BLOCOS PAN'!$D15,'CAPEX - BLOCOS PAN'!$C$3:$AD$52,28,FALSE))*AE$57</f>
        <v>-343319.28503737476</v>
      </c>
      <c r="AF15" s="1">
        <f>('RECEITAS - BLOCOS PAN'!AE15-'OPEX - BLOCOS PAN'!AE15-VLOOKUP('FLUXO DE CAIXA DESC.-BLOCOS PAN'!$D15,'CAPEX - BLOCOS PAN'!$C$3:$AE$52,29,FALSE))*AF$57</f>
        <v>-309575.15025211201</v>
      </c>
      <c r="AG15" s="1">
        <f>('RECEITAS - BLOCOS PAN'!AF15-'OPEX - BLOCOS PAN'!AF15-VLOOKUP('FLUXO DE CAIXA DESC.-BLOCOS PAN'!$D15,'CAPEX - BLOCOS PAN'!$C$3:$AF$52,30,FALSE))*AG$57</f>
        <v>-279218.36062298802</v>
      </c>
      <c r="AH15" s="1">
        <f>('RECEITAS - BLOCOS PAN'!AG15-'OPEX - BLOCOS PAN'!AG15-VLOOKUP('FLUXO DE CAIXA DESC.-BLOCOS PAN'!$D15,'CAPEX - BLOCOS PAN'!$C$3:$AG$52,31,FALSE))*AH$57</f>
        <v>-251810.03304816788</v>
      </c>
      <c r="AI15" s="1">
        <f>('RECEITAS - BLOCOS PAN'!AH15-'OPEX - BLOCOS PAN'!AH15-VLOOKUP('FLUXO DE CAIXA DESC.-BLOCOS PAN'!$D15,'CAPEX - BLOCOS PAN'!$C$3:$AH$52,32,FALSE))*AI$57</f>
        <v>-227158.37046965395</v>
      </c>
      <c r="AJ15" s="1">
        <f>('RECEITAS - BLOCOS PAN'!AI15-'OPEX - BLOCOS PAN'!AI15-VLOOKUP('FLUXO DE CAIXA DESC.-BLOCOS PAN'!$D15,'CAPEX - BLOCOS PAN'!$C$3:$AI$52,33,FALSE))*AJ$57</f>
        <v>-204872.59915619899</v>
      </c>
      <c r="AK15" s="1">
        <f>('RECEITAS - BLOCOS PAN'!AJ15-'OPEX - BLOCOS PAN'!AJ15-VLOOKUP('FLUXO DE CAIXA DESC.-BLOCOS PAN'!$D15,'CAPEX - BLOCOS PAN'!$C$3:$AJ$52,34,FALSE))*AK$57</f>
        <v>-184696.24766886065</v>
      </c>
      <c r="AL15" s="1">
        <f>('RECEITAS - BLOCOS PAN'!AK15-'OPEX - BLOCOS PAN'!AK15-VLOOKUP('FLUXO DE CAIXA DESC.-BLOCOS PAN'!$D15,'CAPEX - BLOCOS PAN'!$C$3:$AK$52,35,FALSE))*AL$57</f>
        <v>-166452.35964563265</v>
      </c>
      <c r="AM15" s="44">
        <f t="shared" si="0"/>
        <v>-177992430.0495868</v>
      </c>
      <c r="AN15">
        <v>1</v>
      </c>
      <c r="AO15" t="s">
        <v>283</v>
      </c>
      <c r="AP15">
        <v>-12.683333333333334</v>
      </c>
      <c r="AQ15">
        <v>-60.083333333333336</v>
      </c>
      <c r="AR15" s="48">
        <f>VLOOKUP(D15,'Projeção - Demanda PAX'!$C$3:$H$37,6,FALSE)</f>
        <v>37278</v>
      </c>
      <c r="AS15" s="1">
        <f t="shared" si="1"/>
        <v>-172312932.61318782</v>
      </c>
      <c r="AT15" t="str">
        <f>VLOOKUP(D15,'CAPEX - BLOCOS PAN (ANO A ANO)'!$C$3:$AV$52,46,FALSE)</f>
        <v>Privada</v>
      </c>
      <c r="AU15" t="str">
        <f>VLOOKUP(D15,'FLUXO DE CAIXA DESC.-SEM MULT.'!$D$3:$AT$52,43,FALSE)</f>
        <v>Bloco 7 - RO</v>
      </c>
    </row>
    <row r="16" spans="1:47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259</v>
      </c>
      <c r="H16" t="s">
        <v>33</v>
      </c>
      <c r="I16" s="1">
        <f>('RECEITAS - BLOCOS PAN'!H16-'OPEX - BLOCOS PAN'!H16-VLOOKUP('FLUXO DE CAIXA DESC.-BLOCOS PAN'!$D16,'CAPEX - BLOCOS PAN'!$C$3:$H$52,6,FALSE))*I$57</f>
        <v>-17427614.374499999</v>
      </c>
      <c r="J16" s="1">
        <f>('RECEITAS - BLOCOS PAN'!I16-'OPEX - BLOCOS PAN'!I16-VLOOKUP('FLUXO DE CAIXA DESC.-BLOCOS PAN'!$D16,'CAPEX - BLOCOS PAN'!$C$3:$I$52,7,FALSE))*J$57</f>
        <v>-15892322.57708809</v>
      </c>
      <c r="K16" s="1">
        <f>('RECEITAS - BLOCOS PAN'!J16-'OPEX - BLOCOS PAN'!J16-VLOOKUP('FLUXO DE CAIXA DESC.-BLOCOS PAN'!$D16,'CAPEX - BLOCOS PAN'!$C$3:$J$52,8,FALSE))*K$57</f>
        <v>-14495258.822188862</v>
      </c>
      <c r="L16" s="1">
        <f>('RECEITAS - BLOCOS PAN'!K16-'OPEX - BLOCOS PAN'!K16-VLOOKUP('FLUXO DE CAIXA DESC.-BLOCOS PAN'!$D16,'CAPEX - BLOCOS PAN'!$C$3:$K$52,9,FALSE))*L$57</f>
        <v>-2013045.4923297921</v>
      </c>
      <c r="M16" s="1">
        <f>('RECEITAS - BLOCOS PAN'!L16-'OPEX - BLOCOS PAN'!L16-VLOOKUP('FLUXO DE CAIXA DESC.-BLOCOS PAN'!$D16,'CAPEX - BLOCOS PAN'!$C$3:$L$52,10,FALSE))*M$57</f>
        <v>-1831300.1638833256</v>
      </c>
      <c r="N16" s="1">
        <f>('RECEITAS - BLOCOS PAN'!M16-'OPEX - BLOCOS PAN'!M16-VLOOKUP('FLUXO DE CAIXA DESC.-BLOCOS PAN'!$D16,'CAPEX - BLOCOS PAN'!$C$3:$M$52,11,FALSE))*N$57</f>
        <v>-1666599.4776243565</v>
      </c>
      <c r="O16" s="1">
        <f>('RECEITAS - BLOCOS PAN'!N16-'OPEX - BLOCOS PAN'!N16-VLOOKUP('FLUXO DE CAIXA DESC.-BLOCOS PAN'!$D16,'CAPEX - BLOCOS PAN'!$C$3:$N$52,12,FALSE))*O$57</f>
        <v>-1516581.9167683516</v>
      </c>
      <c r="P16" s="1">
        <f>('RECEITAS - BLOCOS PAN'!O16-'OPEX - BLOCOS PAN'!O16-VLOOKUP('FLUXO DE CAIXA DESC.-BLOCOS PAN'!$D16,'CAPEX - BLOCOS PAN'!$C$3:$O$52,13,FALSE))*P$57</f>
        <v>-1379888.4884167425</v>
      </c>
      <c r="Q16" s="1">
        <f>('RECEITAS - BLOCOS PAN'!P16-'OPEX - BLOCOS PAN'!P16-VLOOKUP('FLUXO DE CAIXA DESC.-BLOCOS PAN'!$D16,'CAPEX - BLOCOS PAN'!$C$3:$P$52,14,FALSE))*Q$57</f>
        <v>-1255642.9313714623</v>
      </c>
      <c r="R16" s="1">
        <f>('RECEITAS - BLOCOS PAN'!Q16-'OPEX - BLOCOS PAN'!Q16-VLOOKUP('FLUXO DE CAIXA DESC.-BLOCOS PAN'!$D16,'CAPEX - BLOCOS PAN'!$C$3:$Q$52,15,FALSE))*R$57</f>
        <v>-1142677.6188628054</v>
      </c>
      <c r="S16" s="1">
        <f>('RECEITAS - BLOCOS PAN'!R16-'OPEX - BLOCOS PAN'!R16-VLOOKUP('FLUXO DE CAIXA DESC.-BLOCOS PAN'!$D16,'CAPEX - BLOCOS PAN'!$C$3:$R$52,16,FALSE))*S$57</f>
        <v>-1040072.352914843</v>
      </c>
      <c r="T16" s="1">
        <f>('RECEITAS - BLOCOS PAN'!S16-'OPEX - BLOCOS PAN'!S16-VLOOKUP('FLUXO DE CAIXA DESC.-BLOCOS PAN'!$D16,'CAPEX - BLOCOS PAN'!$C$3:$S$52,17,FALSE))*T$57</f>
        <v>-946520.30734080134</v>
      </c>
      <c r="U16" s="1">
        <f>('RECEITAS - BLOCOS PAN'!T16-'OPEX - BLOCOS PAN'!T16-VLOOKUP('FLUXO DE CAIXA DESC.-BLOCOS PAN'!$D16,'CAPEX - BLOCOS PAN'!$C$3:$T$52,18,FALSE))*U$57</f>
        <v>-861418.30599820463</v>
      </c>
      <c r="V16" s="1">
        <f>('RECEITAS - BLOCOS PAN'!U16-'OPEX - BLOCOS PAN'!U16-VLOOKUP('FLUXO DE CAIXA DESC.-BLOCOS PAN'!$D16,'CAPEX - BLOCOS PAN'!$C$3:$U$52,19,FALSE))*V$57</f>
        <v>-783873.39753432432</v>
      </c>
      <c r="W16" s="1">
        <f>('RECEITAS - BLOCOS PAN'!V16-'OPEX - BLOCOS PAN'!V16-VLOOKUP('FLUXO DE CAIXA DESC.-BLOCOS PAN'!$D16,'CAPEX - BLOCOS PAN'!$C$3:$V$52,20,FALSE))*W$57</f>
        <v>-713284.57402582827</v>
      </c>
      <c r="X16" s="1">
        <f>('RECEITAS - BLOCOS PAN'!W16-'OPEX - BLOCOS PAN'!W16-VLOOKUP('FLUXO DE CAIXA DESC.-BLOCOS PAN'!$D16,'CAPEX - BLOCOS PAN'!$C$3:$W$52,21,FALSE))*X$57</f>
        <v>-649029.12542597414</v>
      </c>
      <c r="Y16" s="1">
        <f>('RECEITAS - BLOCOS PAN'!X16-'OPEX - BLOCOS PAN'!X16-VLOOKUP('FLUXO DE CAIXA DESC.-BLOCOS PAN'!$D16,'CAPEX - BLOCOS PAN'!$C$3:$X$52,22,FALSE))*Y$57</f>
        <v>-590476.26888326183</v>
      </c>
      <c r="Z16" s="1">
        <f>('RECEITAS - BLOCOS PAN'!Y16-'OPEX - BLOCOS PAN'!Y16-VLOOKUP('FLUXO DE CAIXA DESC.-BLOCOS PAN'!$D16,'CAPEX - BLOCOS PAN'!$C$3:$Y$52,23,FALSE))*Z$57</f>
        <v>-537181.6179832886</v>
      </c>
      <c r="AA16" s="1">
        <f>('RECEITAS - BLOCOS PAN'!Z16-'OPEX - BLOCOS PAN'!Z16-VLOOKUP('FLUXO DE CAIXA DESC.-BLOCOS PAN'!$D16,'CAPEX - BLOCOS PAN'!$C$3:$Z$52,24,FALSE))*AA$57</f>
        <v>-488583.48402586463</v>
      </c>
      <c r="AB16" s="1">
        <f>('RECEITAS - BLOCOS PAN'!AA16-'OPEX - BLOCOS PAN'!AA16-VLOOKUP('FLUXO DE CAIXA DESC.-BLOCOS PAN'!$D16,'CAPEX - BLOCOS PAN'!$C$3:$AA$52,25,FALSE))*AB$57</f>
        <v>-444386.33835654118</v>
      </c>
      <c r="AC16" s="1">
        <f>('RECEITAS - BLOCOS PAN'!AB16-'OPEX - BLOCOS PAN'!AB16-VLOOKUP('FLUXO DE CAIXA DESC.-BLOCOS PAN'!$D16,'CAPEX - BLOCOS PAN'!$C$3:$AB$52,26,FALSE))*AC$57</f>
        <v>-404118.86625947064</v>
      </c>
      <c r="AD16" s="1">
        <f>('RECEITAS - BLOCOS PAN'!AC16-'OPEX - BLOCOS PAN'!AC16-VLOOKUP('FLUXO DE CAIXA DESC.-BLOCOS PAN'!$D16,'CAPEX - BLOCOS PAN'!$C$3:$AC$52,27,FALSE))*AD$57</f>
        <v>-367508.3100970792</v>
      </c>
      <c r="AE16" s="1">
        <f>('RECEITAS - BLOCOS PAN'!AD16-'OPEX - BLOCOS PAN'!AD16-VLOOKUP('FLUXO DE CAIXA DESC.-BLOCOS PAN'!$D16,'CAPEX - BLOCOS PAN'!$C$3:$AD$52,28,FALSE))*AE$57</f>
        <v>-334165.49360458838</v>
      </c>
      <c r="AF16" s="1">
        <f>('RECEITAS - BLOCOS PAN'!AE16-'OPEX - BLOCOS PAN'!AE16-VLOOKUP('FLUXO DE CAIXA DESC.-BLOCOS PAN'!$D16,'CAPEX - BLOCOS PAN'!$C$3:$AE$52,29,FALSE))*AF$57</f>
        <v>-303831.89777274261</v>
      </c>
      <c r="AG16" s="1">
        <f>('RECEITAS - BLOCOS PAN'!AF16-'OPEX - BLOCOS PAN'!AF16-VLOOKUP('FLUXO DE CAIXA DESC.-BLOCOS PAN'!$D16,'CAPEX - BLOCOS PAN'!$C$3:$AF$52,30,FALSE))*AG$57</f>
        <v>-276236.28105464706</v>
      </c>
      <c r="AH16" s="1">
        <f>('RECEITAS - BLOCOS PAN'!AG16-'OPEX - BLOCOS PAN'!AG16-VLOOKUP('FLUXO DE CAIXA DESC.-BLOCOS PAN'!$D16,'CAPEX - BLOCOS PAN'!$C$3:$AG$52,31,FALSE))*AH$57</f>
        <v>-251114.95490677361</v>
      </c>
      <c r="AI16" s="1">
        <f>('RECEITAS - BLOCOS PAN'!AH16-'OPEX - BLOCOS PAN'!AH16-VLOOKUP('FLUXO DE CAIXA DESC.-BLOCOS PAN'!$D16,'CAPEX - BLOCOS PAN'!$C$3:$AH$52,32,FALSE))*AI$57</f>
        <v>-228284.32562252949</v>
      </c>
      <c r="AJ16" s="1">
        <f>('RECEITAS - BLOCOS PAN'!AI16-'OPEX - BLOCOS PAN'!AI16-VLOOKUP('FLUXO DE CAIXA DESC.-BLOCOS PAN'!$D16,'CAPEX - BLOCOS PAN'!$C$3:$AI$52,33,FALSE))*AJ$57</f>
        <v>-207550.28735719511</v>
      </c>
      <c r="AK16" s="1">
        <f>('RECEITAS - BLOCOS PAN'!AJ16-'OPEX - BLOCOS PAN'!AJ16-VLOOKUP('FLUXO DE CAIXA DESC.-BLOCOS PAN'!$D16,'CAPEX - BLOCOS PAN'!$C$3:$AJ$52,34,FALSE))*AK$57</f>
        <v>-188672.9877559141</v>
      </c>
      <c r="AL16" s="1">
        <f>('RECEITAS - BLOCOS PAN'!AK16-'OPEX - BLOCOS PAN'!AK16-VLOOKUP('FLUXO DE CAIXA DESC.-BLOCOS PAN'!$D16,'CAPEX - BLOCOS PAN'!$C$3:$AK$52,35,FALSE))*AL$57</f>
        <v>-171493.46515100228</v>
      </c>
      <c r="AM16" s="44">
        <f t="shared" si="0"/>
        <v>-68408734.505104646</v>
      </c>
      <c r="AN16">
        <v>1</v>
      </c>
      <c r="AO16" t="s">
        <v>313</v>
      </c>
      <c r="AP16">
        <v>-8.0166666666666675</v>
      </c>
      <c r="AQ16">
        <v>-49.966666666666669</v>
      </c>
      <c r="AR16" s="48">
        <f>VLOOKUP(D16,'Projeção - Demanda PAX'!$C$3:$H$37,6,FALSE)</f>
        <v>9874</v>
      </c>
      <c r="AS16" s="1">
        <f t="shared" si="1"/>
        <v>-62966100.800847784</v>
      </c>
      <c r="AT16" t="str">
        <f>VLOOKUP(D16,'CAPEX - BLOCOS PAN (ANO A ANO)'!$C$3:$AV$52,46,FALSE)</f>
        <v>Privada</v>
      </c>
      <c r="AU16" t="str">
        <f>VLOOKUP(D16,'FLUXO DE CAIXA DESC.-SEM MULT.'!$D$3:$AT$52,43,FALSE)</f>
        <v>Bloco 6 - PA2</v>
      </c>
    </row>
    <row r="17" spans="1:47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259</v>
      </c>
      <c r="H17" t="s">
        <v>33</v>
      </c>
      <c r="I17" s="1">
        <f>('RECEITAS - BLOCOS PAN'!H17-'OPEX - BLOCOS PAN'!H17-VLOOKUP('FLUXO DE CAIXA DESC.-BLOCOS PAN'!$D17,'CAPEX - BLOCOS PAN'!$C$3:$H$52,6,FALSE))*I$57</f>
        <v>-62628857.632833332</v>
      </c>
      <c r="J17" s="1">
        <f>('RECEITAS - BLOCOS PAN'!I17-'OPEX - BLOCOS PAN'!I17-VLOOKUP('FLUXO DE CAIXA DESC.-BLOCOS PAN'!$D17,'CAPEX - BLOCOS PAN'!$C$3:$I$52,7,FALSE))*J$57</f>
        <v>-57140095.640833713</v>
      </c>
      <c r="K17" s="1">
        <f>('RECEITAS - BLOCOS PAN'!J17-'OPEX - BLOCOS PAN'!J17-VLOOKUP('FLUXO DE CAIXA DESC.-BLOCOS PAN'!$D17,'CAPEX - BLOCOS PAN'!$C$3:$J$52,8,FALSE))*K$57</f>
        <v>-52135659.764622204</v>
      </c>
      <c r="L17" s="1">
        <f>('RECEITAS - BLOCOS PAN'!K17-'OPEX - BLOCOS PAN'!K17-VLOOKUP('FLUXO DE CAIXA DESC.-BLOCOS PAN'!$D17,'CAPEX - BLOCOS PAN'!$C$3:$K$52,9,FALSE))*L$57</f>
        <v>-1940798.4577046807</v>
      </c>
      <c r="M17" s="1">
        <f>('RECEITAS - BLOCOS PAN'!L17-'OPEX - BLOCOS PAN'!L17-VLOOKUP('FLUXO DE CAIXA DESC.-BLOCOS PAN'!$D17,'CAPEX - BLOCOS PAN'!$C$3:$L$52,10,FALSE))*M$57</f>
        <v>-1757113.8534263372</v>
      </c>
      <c r="N17" s="1">
        <f>('RECEITAS - BLOCOS PAN'!M17-'OPEX - BLOCOS PAN'!M17-VLOOKUP('FLUXO DE CAIXA DESC.-BLOCOS PAN'!$D17,'CAPEX - BLOCOS PAN'!$C$3:$M$52,11,FALSE))*N$57</f>
        <v>-1592017.16850705</v>
      </c>
      <c r="O17" s="1">
        <f>('RECEITAS - BLOCOS PAN'!N17-'OPEX - BLOCOS PAN'!N17-VLOOKUP('FLUXO DE CAIXA DESC.-BLOCOS PAN'!$D17,'CAPEX - BLOCOS PAN'!$C$3:$N$52,12,FALSE))*O$57</f>
        <v>-1441584.8837607705</v>
      </c>
      <c r="P17" s="1">
        <f>('RECEITAS - BLOCOS PAN'!O17-'OPEX - BLOCOS PAN'!O17-VLOOKUP('FLUXO DE CAIXA DESC.-BLOCOS PAN'!$D17,'CAPEX - BLOCOS PAN'!$C$3:$O$52,13,FALSE))*P$57</f>
        <v>-1305958.8946735081</v>
      </c>
      <c r="Q17" s="1">
        <f>('RECEITAS - BLOCOS PAN'!P17-'OPEX - BLOCOS PAN'!P17-VLOOKUP('FLUXO DE CAIXA DESC.-BLOCOS PAN'!$D17,'CAPEX - BLOCOS PAN'!$C$3:$P$52,14,FALSE))*Q$57</f>
        <v>-1182302.9979557164</v>
      </c>
      <c r="R17" s="1">
        <f>('RECEITAS - BLOCOS PAN'!Q17-'OPEX - BLOCOS PAN'!Q17-VLOOKUP('FLUXO DE CAIXA DESC.-BLOCOS PAN'!$D17,'CAPEX - BLOCOS PAN'!$C$3:$Q$52,15,FALSE))*R$57</f>
        <v>-1071313.7938441492</v>
      </c>
      <c r="S17" s="1">
        <f>('RECEITAS - BLOCOS PAN'!R17-'OPEX - BLOCOS PAN'!R17-VLOOKUP('FLUXO DE CAIXA DESC.-BLOCOS PAN'!$D17,'CAPEX - BLOCOS PAN'!$C$3:$R$52,16,FALSE))*S$57</f>
        <v>-970207.96165017248</v>
      </c>
      <c r="T17" s="1">
        <f>('RECEITAS - BLOCOS PAN'!S17-'OPEX - BLOCOS PAN'!S17-VLOOKUP('FLUXO DE CAIXA DESC.-BLOCOS PAN'!$D17,'CAPEX - BLOCOS PAN'!$C$3:$S$52,17,FALSE))*T$57</f>
        <v>-936218.78020131099</v>
      </c>
      <c r="U17" s="1">
        <f>('RECEITAS - BLOCOS PAN'!T17-'OPEX - BLOCOS PAN'!T17-VLOOKUP('FLUXO DE CAIXA DESC.-BLOCOS PAN'!$D17,'CAPEX - BLOCOS PAN'!$C$3:$T$52,18,FALSE))*U$57</f>
        <v>-847988.89595046814</v>
      </c>
      <c r="V17" s="1">
        <f>('RECEITAS - BLOCOS PAN'!U17-'OPEX - BLOCOS PAN'!U17-VLOOKUP('FLUXO DE CAIXA DESC.-BLOCOS PAN'!$D17,'CAPEX - BLOCOS PAN'!$C$3:$U$52,19,FALSE))*V$57</f>
        <v>-768488.91784034774</v>
      </c>
      <c r="W17" s="1">
        <f>('RECEITAS - BLOCOS PAN'!V17-'OPEX - BLOCOS PAN'!V17-VLOOKUP('FLUXO DE CAIXA DESC.-BLOCOS PAN'!$D17,'CAPEX - BLOCOS PAN'!$C$3:$V$52,20,FALSE))*W$57</f>
        <v>-695804.97794633009</v>
      </c>
      <c r="X17" s="1">
        <f>('RECEITAS - BLOCOS PAN'!W17-'OPEX - BLOCOS PAN'!W17-VLOOKUP('FLUXO DE CAIXA DESC.-BLOCOS PAN'!$D17,'CAPEX - BLOCOS PAN'!$C$3:$W$52,21,FALSE))*X$57</f>
        <v>-630341.79297745309</v>
      </c>
      <c r="Y17" s="1">
        <f>('RECEITAS - BLOCOS PAN'!X17-'OPEX - BLOCOS PAN'!X17-VLOOKUP('FLUXO DE CAIXA DESC.-BLOCOS PAN'!$D17,'CAPEX - BLOCOS PAN'!$C$3:$X$52,22,FALSE))*Y$57</f>
        <v>-570513.92600540619</v>
      </c>
      <c r="Z17" s="1">
        <f>('RECEITAS - BLOCOS PAN'!Y17-'OPEX - BLOCOS PAN'!Y17-VLOOKUP('FLUXO DE CAIXA DESC.-BLOCOS PAN'!$D17,'CAPEX - BLOCOS PAN'!$C$3:$Y$52,23,FALSE))*Z$57</f>
        <v>-516732.10464859317</v>
      </c>
      <c r="AA17" s="1">
        <f>('RECEITAS - BLOCOS PAN'!Z17-'OPEX - BLOCOS PAN'!Z17-VLOOKUP('FLUXO DE CAIXA DESC.-BLOCOS PAN'!$D17,'CAPEX - BLOCOS PAN'!$C$3:$Z$52,24,FALSE))*AA$57</f>
        <v>-467448.78357564512</v>
      </c>
      <c r="AB17" s="1">
        <f>('RECEITAS - BLOCOS PAN'!AA17-'OPEX - BLOCOS PAN'!AA17-VLOOKUP('FLUXO DE CAIXA DESC.-BLOCOS PAN'!$D17,'CAPEX - BLOCOS PAN'!$C$3:$AA$52,25,FALSE))*AB$57</f>
        <v>-423222.17786877602</v>
      </c>
      <c r="AC17" s="1">
        <f>('RECEITAS - BLOCOS PAN'!AB17-'OPEX - BLOCOS PAN'!AB17-VLOOKUP('FLUXO DE CAIXA DESC.-BLOCOS PAN'!$D17,'CAPEX - BLOCOS PAN'!$C$3:$AB$52,26,FALSE))*AC$57</f>
        <v>-382745.52255742828</v>
      </c>
      <c r="AD17" s="1">
        <f>('RECEITAS - BLOCOS PAN'!AC17-'OPEX - BLOCOS PAN'!AC17-VLOOKUP('FLUXO DE CAIXA DESC.-BLOCOS PAN'!$D17,'CAPEX - BLOCOS PAN'!$C$3:$AC$52,27,FALSE))*AD$57</f>
        <v>-346433.1274659686</v>
      </c>
      <c r="AE17" s="1">
        <f>('RECEITAS - BLOCOS PAN'!AD17-'OPEX - BLOCOS PAN'!AD17-VLOOKUP('FLUXO DE CAIXA DESC.-BLOCOS PAN'!$D17,'CAPEX - BLOCOS PAN'!$C$3:$AD$52,28,FALSE))*AE$57</f>
        <v>-313142.45957045077</v>
      </c>
      <c r="AF17" s="1">
        <f>('RECEITAS - BLOCOS PAN'!AE17-'OPEX - BLOCOS PAN'!AE17-VLOOKUP('FLUXO DE CAIXA DESC.-BLOCOS PAN'!$D17,'CAPEX - BLOCOS PAN'!$C$3:$AE$52,29,FALSE))*AF$57</f>
        <v>-283859.78854365688</v>
      </c>
      <c r="AG17" s="1">
        <f>('RECEITAS - BLOCOS PAN'!AF17-'OPEX - BLOCOS PAN'!AF17-VLOOKUP('FLUXO DE CAIXA DESC.-BLOCOS PAN'!$D17,'CAPEX - BLOCOS PAN'!$C$3:$AF$52,30,FALSE))*AG$57</f>
        <v>-256988.14065429659</v>
      </c>
      <c r="AH17" s="1">
        <f>('RECEITAS - BLOCOS PAN'!AG17-'OPEX - BLOCOS PAN'!AG17-VLOOKUP('FLUXO DE CAIXA DESC.-BLOCOS PAN'!$D17,'CAPEX - BLOCOS PAN'!$C$3:$AG$52,31,FALSE))*AH$57</f>
        <v>-232868.93274723686</v>
      </c>
      <c r="AI17" s="1">
        <f>('RECEITAS - BLOCOS PAN'!AH17-'OPEX - BLOCOS PAN'!AH17-VLOOKUP('FLUXO DE CAIXA DESC.-BLOCOS PAN'!$D17,'CAPEX - BLOCOS PAN'!$C$3:$AH$52,32,FALSE))*AI$57</f>
        <v>-310288.05667357182</v>
      </c>
      <c r="AJ17" s="1">
        <f>('RECEITAS - BLOCOS PAN'!AI17-'OPEX - BLOCOS PAN'!AI17-VLOOKUP('FLUXO DE CAIXA DESC.-BLOCOS PAN'!$D17,'CAPEX - BLOCOS PAN'!$C$3:$AI$52,33,FALSE))*AJ$57</f>
        <v>-281678.06955734995</v>
      </c>
      <c r="AK17" s="1">
        <f>('RECEITAS - BLOCOS PAN'!AJ17-'OPEX - BLOCOS PAN'!AJ17-VLOOKUP('FLUXO DE CAIXA DESC.-BLOCOS PAN'!$D17,'CAPEX - BLOCOS PAN'!$C$3:$AJ$52,34,FALSE))*AK$57</f>
        <v>-255670.78421048055</v>
      </c>
      <c r="AL17" s="1">
        <f>('RECEITAS - BLOCOS PAN'!AK17-'OPEX - BLOCOS PAN'!AK17-VLOOKUP('FLUXO DE CAIXA DESC.-BLOCOS PAN'!$D17,'CAPEX - BLOCOS PAN'!$C$3:$AK$52,35,FALSE))*AL$57</f>
        <v>-232029.70543629385</v>
      </c>
      <c r="AM17" s="44">
        <f t="shared" si="0"/>
        <v>-191918375.99424273</v>
      </c>
      <c r="AN17">
        <v>1</v>
      </c>
      <c r="AO17" t="s">
        <v>313</v>
      </c>
      <c r="AP17">
        <v>-3.0166666666666666</v>
      </c>
      <c r="AQ17">
        <v>-47.3</v>
      </c>
      <c r="AR17" s="48">
        <f>VLOOKUP(D17,'Projeção - Demanda PAX'!$C$3:$H$37,6,FALSE)</f>
        <v>13750</v>
      </c>
      <c r="AS17" s="1">
        <f t="shared" si="1"/>
        <v>-186414412.62175012</v>
      </c>
      <c r="AT17" t="str">
        <f>VLOOKUP(D17,'CAPEX - BLOCOS PAN (ANO A ANO)'!$C$3:$AV$52,46,FALSE)</f>
        <v>Privada</v>
      </c>
      <c r="AU17" t="str">
        <f>VLOOKUP(D17,'FLUXO DE CAIXA DESC.-SEM MULT.'!$D$3:$AT$52,43,FALSE)</f>
        <v>Bloco 6 - PA2</v>
      </c>
    </row>
    <row r="18" spans="1:47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259</v>
      </c>
      <c r="H18" t="s">
        <v>33</v>
      </c>
      <c r="I18" s="1">
        <f>('RECEITAS - BLOCOS PAN'!H18-'OPEX - BLOCOS PAN'!H18-VLOOKUP('FLUXO DE CAIXA DESC.-BLOCOS PAN'!$D18,'CAPEX - BLOCOS PAN'!$C$3:$H$52,6,FALSE))*I$57</f>
        <v>-18380901.850200001</v>
      </c>
      <c r="J18" s="1">
        <f>('RECEITAS - BLOCOS PAN'!I18-'OPEX - BLOCOS PAN'!I18-VLOOKUP('FLUXO DE CAIXA DESC.-BLOCOS PAN'!$D18,'CAPEX - BLOCOS PAN'!$C$3:$I$52,7,FALSE))*J$57</f>
        <v>-16767215.941305343</v>
      </c>
      <c r="K18" s="1">
        <f>('RECEITAS - BLOCOS PAN'!J18-'OPEX - BLOCOS PAN'!J18-VLOOKUP('FLUXO DE CAIXA DESC.-BLOCOS PAN'!$D18,'CAPEX - BLOCOS PAN'!$C$3:$J$52,8,FALSE))*K$57</f>
        <v>-15297298.93441928</v>
      </c>
      <c r="L18" s="1">
        <f>('RECEITAS - BLOCOS PAN'!K18-'OPEX - BLOCOS PAN'!K18-VLOOKUP('FLUXO DE CAIXA DESC.-BLOCOS PAN'!$D18,'CAPEX - BLOCOS PAN'!$C$3:$K$52,9,FALSE))*L$57</f>
        <v>-2055758.6785662619</v>
      </c>
      <c r="M18" s="1">
        <f>('RECEITAS - BLOCOS PAN'!L18-'OPEX - BLOCOS PAN'!L18-VLOOKUP('FLUXO DE CAIXA DESC.-BLOCOS PAN'!$D18,'CAPEX - BLOCOS PAN'!$C$3:$L$52,10,FALSE))*M$57</f>
        <v>-1872279.0926948448</v>
      </c>
      <c r="N18" s="1">
        <f>('RECEITAS - BLOCOS PAN'!M18-'OPEX - BLOCOS PAN'!M18-VLOOKUP('FLUXO DE CAIXA DESC.-BLOCOS PAN'!$D18,'CAPEX - BLOCOS PAN'!$C$3:$M$52,11,FALSE))*N$57</f>
        <v>-1705519.9256972831</v>
      </c>
      <c r="O18" s="1">
        <f>('RECEITAS - BLOCOS PAN'!N18-'OPEX - BLOCOS PAN'!N18-VLOOKUP('FLUXO DE CAIXA DESC.-BLOCOS PAN'!$D18,'CAPEX - BLOCOS PAN'!$C$3:$N$52,12,FALSE))*O$57</f>
        <v>-1553631.3751703366</v>
      </c>
      <c r="P18" s="1">
        <f>('RECEITAS - BLOCOS PAN'!O18-'OPEX - BLOCOS PAN'!O18-VLOOKUP('FLUXO DE CAIXA DESC.-BLOCOS PAN'!$D18,'CAPEX - BLOCOS PAN'!$C$3:$O$52,13,FALSE))*P$57</f>
        <v>-1415195.8472297362</v>
      </c>
      <c r="Q18" s="1">
        <f>('RECEITAS - BLOCOS PAN'!P18-'OPEX - BLOCOS PAN'!P18-VLOOKUP('FLUXO DE CAIXA DESC.-BLOCOS PAN'!$D18,'CAPEX - BLOCOS PAN'!$C$3:$P$52,14,FALSE))*Q$57</f>
        <v>-1289151.8010247804</v>
      </c>
      <c r="R18" s="1">
        <f>('RECEITAS - BLOCOS PAN'!Q18-'OPEX - BLOCOS PAN'!Q18-VLOOKUP('FLUXO DE CAIXA DESC.-BLOCOS PAN'!$D18,'CAPEX - BLOCOS PAN'!$C$3:$Q$52,15,FALSE))*R$57</f>
        <v>-1174486.0907908056</v>
      </c>
      <c r="S18" s="1">
        <f>('RECEITAS - BLOCOS PAN'!R18-'OPEX - BLOCOS PAN'!R18-VLOOKUP('FLUXO DE CAIXA DESC.-BLOCOS PAN'!$D18,'CAPEX - BLOCOS PAN'!$C$3:$R$52,16,FALSE))*S$57</f>
        <v>-1070090.1324094778</v>
      </c>
      <c r="T18" s="1">
        <f>('RECEITAS - BLOCOS PAN'!S18-'OPEX - BLOCOS PAN'!S18-VLOOKUP('FLUXO DE CAIXA DESC.-BLOCOS PAN'!$D18,'CAPEX - BLOCOS PAN'!$C$3:$S$52,17,FALSE))*T$57</f>
        <v>-974933.2238725035</v>
      </c>
      <c r="U18" s="1">
        <f>('RECEITAS - BLOCOS PAN'!T18-'OPEX - BLOCOS PAN'!T18-VLOOKUP('FLUXO DE CAIXA DESC.-BLOCOS PAN'!$D18,'CAPEX - BLOCOS PAN'!$C$3:$T$52,18,FALSE))*U$57</f>
        <v>-888249.33184299048</v>
      </c>
      <c r="V18" s="1">
        <f>('RECEITAS - BLOCOS PAN'!U18-'OPEX - BLOCOS PAN'!U18-VLOOKUP('FLUXO DE CAIXA DESC.-BLOCOS PAN'!$D18,'CAPEX - BLOCOS PAN'!$C$3:$U$52,19,FALSE))*V$57</f>
        <v>-809204.25637137354</v>
      </c>
      <c r="W18" s="1">
        <f>('RECEITAS - BLOCOS PAN'!V18-'OPEX - BLOCOS PAN'!V18-VLOOKUP('FLUXO DE CAIXA DESC.-BLOCOS PAN'!$D18,'CAPEX - BLOCOS PAN'!$C$3:$V$52,20,FALSE))*W$57</f>
        <v>-737202.41977519728</v>
      </c>
      <c r="X18" s="1">
        <f>('RECEITAS - BLOCOS PAN'!W18-'OPEX - BLOCOS PAN'!W18-VLOOKUP('FLUXO DE CAIXA DESC.-BLOCOS PAN'!$D18,'CAPEX - BLOCOS PAN'!$C$3:$W$52,21,FALSE))*X$57</f>
        <v>-671552.29655403935</v>
      </c>
      <c r="Y18" s="1">
        <f>('RECEITAS - BLOCOS PAN'!X18-'OPEX - BLOCOS PAN'!X18-VLOOKUP('FLUXO DE CAIXA DESC.-BLOCOS PAN'!$D18,'CAPEX - BLOCOS PAN'!$C$3:$X$52,22,FALSE))*Y$57</f>
        <v>-611737.01640373573</v>
      </c>
      <c r="Z18" s="1">
        <f>('RECEITAS - BLOCOS PAN'!Y18-'OPEX - BLOCOS PAN'!Y18-VLOOKUP('FLUXO DE CAIXA DESC.-BLOCOS PAN'!$D18,'CAPEX - BLOCOS PAN'!$C$3:$Y$52,23,FALSE))*Z$57</f>
        <v>-557207.76284341211</v>
      </c>
      <c r="AA18" s="1">
        <f>('RECEITAS - BLOCOS PAN'!Z18-'OPEX - BLOCOS PAN'!Z18-VLOOKUP('FLUXO DE CAIXA DESC.-BLOCOS PAN'!$D18,'CAPEX - BLOCOS PAN'!$C$3:$Z$52,24,FALSE))*AA$57</f>
        <v>-507506.34268436197</v>
      </c>
      <c r="AB18" s="1">
        <f>('RECEITAS - BLOCOS PAN'!AA18-'OPEX - BLOCOS PAN'!AA18-VLOOKUP('FLUXO DE CAIXA DESC.-BLOCOS PAN'!$D18,'CAPEX - BLOCOS PAN'!$C$3:$AA$52,25,FALSE))*AB$57</f>
        <v>-462208.07235054177</v>
      </c>
      <c r="AC18" s="1">
        <f>('RECEITAS - BLOCOS PAN'!AB18-'OPEX - BLOCOS PAN'!AB18-VLOOKUP('FLUXO DE CAIXA DESC.-BLOCOS PAN'!$D18,'CAPEX - BLOCOS PAN'!$C$3:$AB$52,26,FALSE))*AC$57</f>
        <v>-420953.99523267563</v>
      </c>
      <c r="AD18" s="1">
        <f>('RECEITAS - BLOCOS PAN'!AC18-'OPEX - BLOCOS PAN'!AC18-VLOOKUP('FLUXO DE CAIXA DESC.-BLOCOS PAN'!$D18,'CAPEX - BLOCOS PAN'!$C$3:$AC$52,27,FALSE))*AD$57</f>
        <v>-383351.80841940438</v>
      </c>
      <c r="AE18" s="1">
        <f>('RECEITAS - BLOCOS PAN'!AD18-'OPEX - BLOCOS PAN'!AD18-VLOOKUP('FLUXO DE CAIXA DESC.-BLOCOS PAN'!$D18,'CAPEX - BLOCOS PAN'!$C$3:$AD$52,28,FALSE))*AE$57</f>
        <v>-349106.53079492599</v>
      </c>
      <c r="AF18" s="1">
        <f>('RECEITAS - BLOCOS PAN'!AE18-'OPEX - BLOCOS PAN'!AE18-VLOOKUP('FLUXO DE CAIXA DESC.-BLOCOS PAN'!$D18,'CAPEX - BLOCOS PAN'!$C$3:$AE$52,29,FALSE))*AF$57</f>
        <v>-317899.33877044573</v>
      </c>
      <c r="AG18" s="1">
        <f>('RECEITAS - BLOCOS PAN'!AF18-'OPEX - BLOCOS PAN'!AF18-VLOOKUP('FLUXO DE CAIXA DESC.-BLOCOS PAN'!$D18,'CAPEX - BLOCOS PAN'!$C$3:$AF$52,30,FALSE))*AG$57</f>
        <v>-289473.62396016729</v>
      </c>
      <c r="AH18" s="1">
        <f>('RECEITAS - BLOCOS PAN'!AG18-'OPEX - BLOCOS PAN'!AG18-VLOOKUP('FLUXO DE CAIXA DESC.-BLOCOS PAN'!$D18,'CAPEX - BLOCOS PAN'!$C$3:$AG$52,31,FALSE))*AH$57</f>
        <v>-263566.18399638723</v>
      </c>
      <c r="AI18" s="1">
        <f>('RECEITAS - BLOCOS PAN'!AH18-'OPEX - BLOCOS PAN'!AH18-VLOOKUP('FLUXO DE CAIXA DESC.-BLOCOS PAN'!$D18,'CAPEX - BLOCOS PAN'!$C$3:$AH$52,32,FALSE))*AI$57</f>
        <v>-239989.20445370299</v>
      </c>
      <c r="AJ18" s="1">
        <f>('RECEITAS - BLOCOS PAN'!AI18-'OPEX - BLOCOS PAN'!AI18-VLOOKUP('FLUXO DE CAIXA DESC.-BLOCOS PAN'!$D18,'CAPEX - BLOCOS PAN'!$C$3:$AI$52,33,FALSE))*AJ$57</f>
        <v>-218533.30753892087</v>
      </c>
      <c r="AK18" s="1">
        <f>('RECEITAS - BLOCOS PAN'!AJ18-'OPEX - BLOCOS PAN'!AJ18-VLOOKUP('FLUXO DE CAIXA DESC.-BLOCOS PAN'!$D18,'CAPEX - BLOCOS PAN'!$C$3:$AJ$52,34,FALSE))*AK$57</f>
        <v>-198978.48195049464</v>
      </c>
      <c r="AL18" s="1">
        <f>('RECEITAS - BLOCOS PAN'!AK18-'OPEX - BLOCOS PAN'!AK18-VLOOKUP('FLUXO DE CAIXA DESC.-BLOCOS PAN'!$D18,'CAPEX - BLOCOS PAN'!$C$3:$AK$52,35,FALSE))*AL$57</f>
        <v>-181159.42891425252</v>
      </c>
      <c r="AM18" s="44">
        <f t="shared" si="0"/>
        <v>-71664342.296237692</v>
      </c>
      <c r="AN18">
        <v>1</v>
      </c>
      <c r="AO18" t="s">
        <v>313</v>
      </c>
      <c r="AP18">
        <v>-6.6333333333333329</v>
      </c>
      <c r="AQ18">
        <v>-51.95</v>
      </c>
      <c r="AR18" s="48">
        <f>VLOOKUP(D18,'Projeção - Demanda PAX'!$C$3:$H$37,6,FALSE)</f>
        <v>6832</v>
      </c>
      <c r="AS18" s="1">
        <f t="shared" si="1"/>
        <v>-65991118.901370205</v>
      </c>
      <c r="AT18" t="str">
        <f>VLOOKUP(D18,'CAPEX - BLOCOS PAN (ANO A ANO)'!$C$3:$AV$52,46,FALSE)</f>
        <v>Privada</v>
      </c>
      <c r="AU18" t="str">
        <f>VLOOKUP(D18,'FLUXO DE CAIXA DESC.-SEM MULT.'!$D$3:$AT$52,43,FALSE)</f>
        <v>Bloco 6 - PA2</v>
      </c>
    </row>
    <row r="19" spans="1:47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258</v>
      </c>
      <c r="H19" t="s">
        <v>33</v>
      </c>
      <c r="I19" s="1">
        <f>('RECEITAS - BLOCOS PAN'!H19-'OPEX - BLOCOS PAN'!H19-VLOOKUP('FLUXO DE CAIXA DESC.-BLOCOS PAN'!$D19,'CAPEX - BLOCOS PAN'!$C$3:$H$52,6,FALSE))*I$57</f>
        <v>-37401018.336300001</v>
      </c>
      <c r="J19" s="1">
        <f>('RECEITAS - BLOCOS PAN'!I19-'OPEX - BLOCOS PAN'!I19-VLOOKUP('FLUXO DE CAIXA DESC.-BLOCOS PAN'!$D19,'CAPEX - BLOCOS PAN'!$C$3:$I$52,7,FALSE))*J$57</f>
        <v>-34079125.459242359</v>
      </c>
      <c r="K19" s="1">
        <f>('RECEITAS - BLOCOS PAN'!J19-'OPEX - BLOCOS PAN'!J19-VLOOKUP('FLUXO DE CAIXA DESC.-BLOCOS PAN'!$D19,'CAPEX - BLOCOS PAN'!$C$3:$J$52,8,FALSE))*K$57</f>
        <v>-31062513.289064165</v>
      </c>
      <c r="L19" s="1">
        <f>('RECEITAS - BLOCOS PAN'!K19-'OPEX - BLOCOS PAN'!K19-VLOOKUP('FLUXO DE CAIXA DESC.-BLOCOS PAN'!$D19,'CAPEX - BLOCOS PAN'!$C$3:$K$52,9,FALSE))*L$57</f>
        <v>-1727915.2876338721</v>
      </c>
      <c r="M19" s="1">
        <f>('RECEITAS - BLOCOS PAN'!L19-'OPEX - BLOCOS PAN'!L19-VLOOKUP('FLUXO DE CAIXA DESC.-BLOCOS PAN'!$D19,'CAPEX - BLOCOS PAN'!$C$3:$L$52,10,FALSE))*M$57</f>
        <v>-2288878.8201216548</v>
      </c>
      <c r="N19" s="1">
        <f>('RECEITAS - BLOCOS PAN'!M19-'OPEX - BLOCOS PAN'!M19-VLOOKUP('FLUXO DE CAIXA DESC.-BLOCOS PAN'!$D19,'CAPEX - BLOCOS PAN'!$C$3:$M$52,11,FALSE))*N$57</f>
        <v>-2065848.8475693755</v>
      </c>
      <c r="O19" s="1">
        <f>('RECEITAS - BLOCOS PAN'!N19-'OPEX - BLOCOS PAN'!N19-VLOOKUP('FLUXO DE CAIXA DESC.-BLOCOS PAN'!$D19,'CAPEX - BLOCOS PAN'!$C$3:$N$52,12,FALSE))*O$57</f>
        <v>-1863629.7723895069</v>
      </c>
      <c r="P19" s="1">
        <f>('RECEITAS - BLOCOS PAN'!O19-'OPEX - BLOCOS PAN'!O19-VLOOKUP('FLUXO DE CAIXA DESC.-BLOCOS PAN'!$D19,'CAPEX - BLOCOS PAN'!$C$3:$O$52,13,FALSE))*P$57</f>
        <v>-1682138.1048642185</v>
      </c>
      <c r="Q19" s="1">
        <f>('RECEITAS - BLOCOS PAN'!P19-'OPEX - BLOCOS PAN'!P19-VLOOKUP('FLUXO DE CAIXA DESC.-BLOCOS PAN'!$D19,'CAPEX - BLOCOS PAN'!$C$3:$P$52,14,FALSE))*Q$57</f>
        <v>-1520054.9797077365</v>
      </c>
      <c r="R19" s="1">
        <f>('RECEITAS - BLOCOS PAN'!Q19-'OPEX - BLOCOS PAN'!Q19-VLOOKUP('FLUXO DE CAIXA DESC.-BLOCOS PAN'!$D19,'CAPEX - BLOCOS PAN'!$C$3:$Q$52,15,FALSE))*R$57</f>
        <v>-1373517.7521978498</v>
      </c>
      <c r="S19" s="1">
        <f>('RECEITAS - BLOCOS PAN'!R19-'OPEX - BLOCOS PAN'!R19-VLOOKUP('FLUXO DE CAIXA DESC.-BLOCOS PAN'!$D19,'CAPEX - BLOCOS PAN'!$C$3:$R$52,16,FALSE))*S$57</f>
        <v>-1241767.3804107103</v>
      </c>
      <c r="T19" s="1">
        <f>('RECEITAS - BLOCOS PAN'!S19-'OPEX - BLOCOS PAN'!S19-VLOOKUP('FLUXO DE CAIXA DESC.-BLOCOS PAN'!$D19,'CAPEX - BLOCOS PAN'!$C$3:$S$52,17,FALSE))*T$57</f>
        <v>-1122938.4332763802</v>
      </c>
      <c r="U19" s="1">
        <f>('RECEITAS - BLOCOS PAN'!T19-'OPEX - BLOCOS PAN'!T19-VLOOKUP('FLUXO DE CAIXA DESC.-BLOCOS PAN'!$D19,'CAPEX - BLOCOS PAN'!$C$3:$T$52,18,FALSE))*U$57</f>
        <v>-1015373.4719385026</v>
      </c>
      <c r="V19" s="1">
        <f>('RECEITAS - BLOCOS PAN'!U19-'OPEX - BLOCOS PAN'!U19-VLOOKUP('FLUXO DE CAIXA DESC.-BLOCOS PAN'!$D19,'CAPEX - BLOCOS PAN'!$C$3:$U$52,19,FALSE))*V$57</f>
        <v>-918044.27255463449</v>
      </c>
      <c r="W19" s="1">
        <f>('RECEITAS - BLOCOS PAN'!V19-'OPEX - BLOCOS PAN'!V19-VLOOKUP('FLUXO DE CAIXA DESC.-BLOCOS PAN'!$D19,'CAPEX - BLOCOS PAN'!$C$3:$V$52,20,FALSE))*W$57</f>
        <v>-829644.59349109128</v>
      </c>
      <c r="X19" s="1">
        <f>('RECEITAS - BLOCOS PAN'!W19-'OPEX - BLOCOS PAN'!W19-VLOOKUP('FLUXO DE CAIXA DESC.-BLOCOS PAN'!$D19,'CAPEX - BLOCOS PAN'!$C$3:$W$52,21,FALSE))*X$57</f>
        <v>-749454.54329030507</v>
      </c>
      <c r="Y19" s="1">
        <f>('RECEITAS - BLOCOS PAN'!X19-'OPEX - BLOCOS PAN'!X19-VLOOKUP('FLUXO DE CAIXA DESC.-BLOCOS PAN'!$D19,'CAPEX - BLOCOS PAN'!$C$3:$X$52,22,FALSE))*Y$57</f>
        <v>-676925.31295766216</v>
      </c>
      <c r="Z19" s="1">
        <f>('RECEITAS - BLOCOS PAN'!Y19-'OPEX - BLOCOS PAN'!Y19-VLOOKUP('FLUXO DE CAIXA DESC.-BLOCOS PAN'!$D19,'CAPEX - BLOCOS PAN'!$C$3:$Y$52,23,FALSE))*Z$57</f>
        <v>-611103.90730303049</v>
      </c>
      <c r="AA19" s="1">
        <f>('RECEITAS - BLOCOS PAN'!Z19-'OPEX - BLOCOS PAN'!Z19-VLOOKUP('FLUXO DE CAIXA DESC.-BLOCOS PAN'!$D19,'CAPEX - BLOCOS PAN'!$C$3:$Z$52,24,FALSE))*AA$57</f>
        <v>-551649.78566264152</v>
      </c>
      <c r="AB19" s="1">
        <f>('RECEITAS - BLOCOS PAN'!AA19-'OPEX - BLOCOS PAN'!AA19-VLOOKUP('FLUXO DE CAIXA DESC.-BLOCOS PAN'!$D19,'CAPEX - BLOCOS PAN'!$C$3:$AA$52,25,FALSE))*AB$57</f>
        <v>-497706.22858289606</v>
      </c>
      <c r="AC19" s="1">
        <f>('RECEITAS - BLOCOS PAN'!AB19-'OPEX - BLOCOS PAN'!AB19-VLOOKUP('FLUXO DE CAIXA DESC.-BLOCOS PAN'!$D19,'CAPEX - BLOCOS PAN'!$C$3:$AB$52,26,FALSE))*AC$57</f>
        <v>-449155.02649963927</v>
      </c>
      <c r="AD19" s="1">
        <f>('RECEITAS - BLOCOS PAN'!AC19-'OPEX - BLOCOS PAN'!AC19-VLOOKUP('FLUXO DE CAIXA DESC.-BLOCOS PAN'!$D19,'CAPEX - BLOCOS PAN'!$C$3:$AC$52,27,FALSE))*AD$57</f>
        <v>-405125.35881257593</v>
      </c>
      <c r="AE19" s="1">
        <f>('RECEITAS - BLOCOS PAN'!AD19-'OPEX - BLOCOS PAN'!AD19-VLOOKUP('FLUXO DE CAIXA DESC.-BLOCOS PAN'!$D19,'CAPEX - BLOCOS PAN'!$C$3:$AD$52,28,FALSE))*AE$57</f>
        <v>-365239.46523381665</v>
      </c>
      <c r="AF19" s="1">
        <f>('RECEITAS - BLOCOS PAN'!AE19-'OPEX - BLOCOS PAN'!AE19-VLOOKUP('FLUXO DE CAIXA DESC.-BLOCOS PAN'!$D19,'CAPEX - BLOCOS PAN'!$C$3:$AE$52,29,FALSE))*AF$57</f>
        <v>-329210.6583923244</v>
      </c>
      <c r="AG19" s="1">
        <f>('RECEITAS - BLOCOS PAN'!AF19-'OPEX - BLOCOS PAN'!AF19-VLOOKUP('FLUXO DE CAIXA DESC.-BLOCOS PAN'!$D19,'CAPEX - BLOCOS PAN'!$C$3:$AF$52,30,FALSE))*AG$57</f>
        <v>-296940.94050559623</v>
      </c>
      <c r="AH19" s="1">
        <f>('RECEITAS - BLOCOS PAN'!AG19-'OPEX - BLOCOS PAN'!AG19-VLOOKUP('FLUXO DE CAIXA DESC.-BLOCOS PAN'!$D19,'CAPEX - BLOCOS PAN'!$C$3:$AG$52,31,FALSE))*AH$57</f>
        <v>-267475.07207455934</v>
      </c>
      <c r="AI19" s="1">
        <f>('RECEITAS - BLOCOS PAN'!AH19-'OPEX - BLOCOS PAN'!AH19-VLOOKUP('FLUXO DE CAIXA DESC.-BLOCOS PAN'!$D19,'CAPEX - BLOCOS PAN'!$C$3:$AH$52,32,FALSE))*AI$57</f>
        <v>-241178.24889568487</v>
      </c>
      <c r="AJ19" s="1">
        <f>('RECEITAS - BLOCOS PAN'!AI19-'OPEX - BLOCOS PAN'!AI19-VLOOKUP('FLUXO DE CAIXA DESC.-BLOCOS PAN'!$D19,'CAPEX - BLOCOS PAN'!$C$3:$AI$52,33,FALSE))*AJ$57</f>
        <v>-217072.25277301378</v>
      </c>
      <c r="AK19" s="1">
        <f>('RECEITAS - BLOCOS PAN'!AJ19-'OPEX - BLOCOS PAN'!AJ19-VLOOKUP('FLUXO DE CAIXA DESC.-BLOCOS PAN'!$D19,'CAPEX - BLOCOS PAN'!$C$3:$AJ$52,34,FALSE))*AK$57</f>
        <v>-195334.52684839349</v>
      </c>
      <c r="AL19" s="1">
        <f>('RECEITAS - BLOCOS PAN'!AK19-'OPEX - BLOCOS PAN'!AK19-VLOOKUP('FLUXO DE CAIXA DESC.-BLOCOS PAN'!$D19,'CAPEX - BLOCOS PAN'!$C$3:$AK$52,35,FALSE))*AL$57</f>
        <v>-175601.33422780197</v>
      </c>
      <c r="AM19" s="44">
        <f t="shared" si="0"/>
        <v>-126221581.46282201</v>
      </c>
      <c r="AN19">
        <v>0</v>
      </c>
      <c r="AO19" t="s">
        <v>310</v>
      </c>
      <c r="AP19">
        <v>-14.2</v>
      </c>
      <c r="AQ19">
        <v>-42.733333333333334</v>
      </c>
      <c r="AR19" s="48">
        <f>VLOOKUP(D19,'Projeção - Demanda PAX'!$C$3:$H$37,6,FALSE)</f>
        <v>37772</v>
      </c>
      <c r="AS19" s="1">
        <f t="shared" si="1"/>
        <v>-120192408.80076207</v>
      </c>
      <c r="AT19" t="str">
        <f>VLOOKUP(D19,'CAPEX - BLOCOS PAN (ANO A ANO)'!$C$3:$AV$52,46,FALSE)</f>
        <v>Privada</v>
      </c>
      <c r="AU19" t="str">
        <f>VLOOKUP(D19,'FLUXO DE CAIXA DESC.-SEM MULT.'!$D$3:$AT$52,43,FALSE)</f>
        <v>Bloco 8 - Nordeste</v>
      </c>
    </row>
    <row r="20" spans="1:47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258</v>
      </c>
      <c r="H20" t="s">
        <v>33</v>
      </c>
      <c r="I20" s="1">
        <f>('RECEITAS - BLOCOS PAN'!H20-'OPEX - BLOCOS PAN'!H20-VLOOKUP('FLUXO DE CAIXA DESC.-BLOCOS PAN'!$D20,'CAPEX - BLOCOS PAN'!$C$3:$H$52,6,FALSE))*I$57</f>
        <v>-16963823.427900001</v>
      </c>
      <c r="J20" s="1">
        <f>('RECEITAS - BLOCOS PAN'!I20-'OPEX - BLOCOS PAN'!I20-VLOOKUP('FLUXO DE CAIXA DESC.-BLOCOS PAN'!$D20,'CAPEX - BLOCOS PAN'!$C$3:$I$52,7,FALSE))*J$57</f>
        <v>-15478099.76668188</v>
      </c>
      <c r="K20" s="1">
        <f>('RECEITAS - BLOCOS PAN'!J20-'OPEX - BLOCOS PAN'!J20-VLOOKUP('FLUXO DE CAIXA DESC.-BLOCOS PAN'!$D20,'CAPEX - BLOCOS PAN'!$C$3:$J$52,8,FALSE))*K$57</f>
        <v>-14123842.655433904</v>
      </c>
      <c r="L20" s="1">
        <f>('RECEITAS - BLOCOS PAN'!K20-'OPEX - BLOCOS PAN'!K20-VLOOKUP('FLUXO DE CAIXA DESC.-BLOCOS PAN'!$D20,'CAPEX - BLOCOS PAN'!$C$3:$K$52,9,FALSE))*L$57</f>
        <v>-2388947.9424390458</v>
      </c>
      <c r="M20" s="1">
        <f>('RECEITAS - BLOCOS PAN'!L20-'OPEX - BLOCOS PAN'!L20-VLOOKUP('FLUXO DE CAIXA DESC.-BLOCOS PAN'!$D20,'CAPEX - BLOCOS PAN'!$C$3:$L$52,10,FALSE))*M$57</f>
        <v>-2178050.9086895837</v>
      </c>
      <c r="N20" s="1">
        <f>('RECEITAS - BLOCOS PAN'!M20-'OPEX - BLOCOS PAN'!M20-VLOOKUP('FLUXO DE CAIXA DESC.-BLOCOS PAN'!$D20,'CAPEX - BLOCOS PAN'!$C$3:$M$52,11,FALSE))*N$57</f>
        <v>-1985959.3286027077</v>
      </c>
      <c r="O20" s="1">
        <f>('RECEITAS - BLOCOS PAN'!N20-'OPEX - BLOCOS PAN'!N20-VLOOKUP('FLUXO DE CAIXA DESC.-BLOCOS PAN'!$D20,'CAPEX - BLOCOS PAN'!$C$3:$N$52,12,FALSE))*O$57</f>
        <v>-1810889.5875612441</v>
      </c>
      <c r="P20" s="1">
        <f>('RECEITAS - BLOCOS PAN'!O20-'OPEX - BLOCOS PAN'!O20-VLOOKUP('FLUXO DE CAIXA DESC.-BLOCOS PAN'!$D20,'CAPEX - BLOCOS PAN'!$C$3:$O$52,13,FALSE))*P$57</f>
        <v>-1651326.5130071985</v>
      </c>
      <c r="Q20" s="1">
        <f>('RECEITAS - BLOCOS PAN'!P20-'OPEX - BLOCOS PAN'!P20-VLOOKUP('FLUXO DE CAIXA DESC.-BLOCOS PAN'!$D20,'CAPEX - BLOCOS PAN'!$C$3:$P$52,14,FALSE))*Q$57</f>
        <v>-1505876.3248638501</v>
      </c>
      <c r="R20" s="1">
        <f>('RECEITAS - BLOCOS PAN'!Q20-'OPEX - BLOCOS PAN'!Q20-VLOOKUP('FLUXO DE CAIXA DESC.-BLOCOS PAN'!$D20,'CAPEX - BLOCOS PAN'!$C$3:$Q$52,15,FALSE))*R$57</f>
        <v>-1373330.7773164567</v>
      </c>
      <c r="S20" s="1">
        <f>('RECEITAS - BLOCOS PAN'!R20-'OPEX - BLOCOS PAN'!R20-VLOOKUP('FLUXO DE CAIXA DESC.-BLOCOS PAN'!$D20,'CAPEX - BLOCOS PAN'!$C$3:$R$52,16,FALSE))*S$57</f>
        <v>-1252571.2896766702</v>
      </c>
      <c r="T20" s="1">
        <f>('RECEITAS - BLOCOS PAN'!S20-'OPEX - BLOCOS PAN'!S20-VLOOKUP('FLUXO DE CAIXA DESC.-BLOCOS PAN'!$D20,'CAPEX - BLOCOS PAN'!$C$3:$S$52,17,FALSE))*T$57</f>
        <v>-1142429.6172296768</v>
      </c>
      <c r="U20" s="1">
        <f>('RECEITAS - BLOCOS PAN'!T20-'OPEX - BLOCOS PAN'!T20-VLOOKUP('FLUXO DE CAIXA DESC.-BLOCOS PAN'!$D20,'CAPEX - BLOCOS PAN'!$C$3:$T$52,18,FALSE))*U$57</f>
        <v>-1041967.4676626385</v>
      </c>
      <c r="V20" s="1">
        <f>('RECEITAS - BLOCOS PAN'!U20-'OPEX - BLOCOS PAN'!U20-VLOOKUP('FLUXO DE CAIXA DESC.-BLOCOS PAN'!$D20,'CAPEX - BLOCOS PAN'!$C$3:$U$52,19,FALSE))*V$57</f>
        <v>-950289.57018155849</v>
      </c>
      <c r="W20" s="1">
        <f>('RECEITAS - BLOCOS PAN'!V20-'OPEX - BLOCOS PAN'!V20-VLOOKUP('FLUXO DE CAIXA DESC.-BLOCOS PAN'!$D20,'CAPEX - BLOCOS PAN'!$C$3:$V$52,20,FALSE))*W$57</f>
        <v>-866726.43121350487</v>
      </c>
      <c r="X20" s="1">
        <f>('RECEITAS - BLOCOS PAN'!W20-'OPEX - BLOCOS PAN'!W20-VLOOKUP('FLUXO DE CAIXA DESC.-BLOCOS PAN'!$D20,'CAPEX - BLOCOS PAN'!$C$3:$W$52,21,FALSE))*X$57</f>
        <v>-790503.53704396565</v>
      </c>
      <c r="Y20" s="1">
        <f>('RECEITAS - BLOCOS PAN'!X20-'OPEX - BLOCOS PAN'!X20-VLOOKUP('FLUXO DE CAIXA DESC.-BLOCOS PAN'!$D20,'CAPEX - BLOCOS PAN'!$C$3:$X$52,22,FALSE))*Y$57</f>
        <v>-720973.46459801635</v>
      </c>
      <c r="Z20" s="1">
        <f>('RECEITAS - BLOCOS PAN'!Y20-'OPEX - BLOCOS PAN'!Y20-VLOOKUP('FLUXO DE CAIXA DESC.-BLOCOS PAN'!$D20,'CAPEX - BLOCOS PAN'!$C$3:$Y$52,23,FALSE))*Z$57</f>
        <v>-657536.10465313564</v>
      </c>
      <c r="AA20" s="1">
        <f>('RECEITAS - BLOCOS PAN'!Z20-'OPEX - BLOCOS PAN'!Z20-VLOOKUP('FLUXO DE CAIXA DESC.-BLOCOS PAN'!$D20,'CAPEX - BLOCOS PAN'!$C$3:$Z$52,24,FALSE))*AA$57</f>
        <v>-599711.58278387622</v>
      </c>
      <c r="AB20" s="1">
        <f>('RECEITAS - BLOCOS PAN'!AA20-'OPEX - BLOCOS PAN'!AA20-VLOOKUP('FLUXO DE CAIXA DESC.-BLOCOS PAN'!$D20,'CAPEX - BLOCOS PAN'!$C$3:$AA$52,25,FALSE))*AB$57</f>
        <v>-546932.93906449398</v>
      </c>
      <c r="AC20" s="1">
        <f>('RECEITAS - BLOCOS PAN'!AB20-'OPEX - BLOCOS PAN'!AB20-VLOOKUP('FLUXO DE CAIXA DESC.-BLOCOS PAN'!$D20,'CAPEX - BLOCOS PAN'!$C$3:$AB$52,26,FALSE))*AC$57</f>
        <v>-498825.02989214845</v>
      </c>
      <c r="AD20" s="1">
        <f>('RECEITAS - BLOCOS PAN'!AC20-'OPEX - BLOCOS PAN'!AC20-VLOOKUP('FLUXO DE CAIXA DESC.-BLOCOS PAN'!$D20,'CAPEX - BLOCOS PAN'!$C$3:$AC$52,27,FALSE))*AD$57</f>
        <v>-454946.22230562719</v>
      </c>
      <c r="AE20" s="1">
        <f>('RECEITAS - BLOCOS PAN'!AD20-'OPEX - BLOCOS PAN'!AD20-VLOOKUP('FLUXO DE CAIXA DESC.-BLOCOS PAN'!$D20,'CAPEX - BLOCOS PAN'!$C$3:$AD$52,28,FALSE))*AE$57</f>
        <v>-414926.87351911678</v>
      </c>
      <c r="AF20" s="1">
        <f>('RECEITAS - BLOCOS PAN'!AE20-'OPEX - BLOCOS PAN'!AE20-VLOOKUP('FLUXO DE CAIXA DESC.-BLOCOS PAN'!$D20,'CAPEX - BLOCOS PAN'!$C$3:$AE$52,29,FALSE))*AF$57</f>
        <v>-378431.05269593833</v>
      </c>
      <c r="AG20" s="1">
        <f>('RECEITAS - BLOCOS PAN'!AF20-'OPEX - BLOCOS PAN'!AF20-VLOOKUP('FLUXO DE CAIXA DESC.-BLOCOS PAN'!$D20,'CAPEX - BLOCOS PAN'!$C$3:$AF$52,30,FALSE))*AG$57</f>
        <v>-345151.45710086788</v>
      </c>
      <c r="AH20" s="1">
        <f>('RECEITAS - BLOCOS PAN'!AG20-'OPEX - BLOCOS PAN'!AG20-VLOOKUP('FLUXO DE CAIXA DESC.-BLOCOS PAN'!$D20,'CAPEX - BLOCOS PAN'!$C$3:$AG$52,31,FALSE))*AH$57</f>
        <v>-314792.43028520857</v>
      </c>
      <c r="AI20" s="1">
        <f>('RECEITAS - BLOCOS PAN'!AH20-'OPEX - BLOCOS PAN'!AH20-VLOOKUP('FLUXO DE CAIXA DESC.-BLOCOS PAN'!$D20,'CAPEX - BLOCOS PAN'!$C$3:$AH$52,32,FALSE))*AI$57</f>
        <v>-287114.20615293906</v>
      </c>
      <c r="AJ20" s="1">
        <f>('RECEITAS - BLOCOS PAN'!AI20-'OPEX - BLOCOS PAN'!AI20-VLOOKUP('FLUXO DE CAIXA DESC.-BLOCOS PAN'!$D20,'CAPEX - BLOCOS PAN'!$C$3:$AI$52,33,FALSE))*AJ$57</f>
        <v>-261866.93839481854</v>
      </c>
      <c r="AK20" s="1">
        <f>('RECEITAS - BLOCOS PAN'!AJ20-'OPEX - BLOCOS PAN'!AJ20-VLOOKUP('FLUXO DE CAIXA DESC.-BLOCOS PAN'!$D20,'CAPEX - BLOCOS PAN'!$C$3:$AJ$52,34,FALSE))*AK$57</f>
        <v>-238837.43049895001</v>
      </c>
      <c r="AL20" s="1">
        <f>('RECEITAS - BLOCOS PAN'!AK20-'OPEX - BLOCOS PAN'!AK20-VLOOKUP('FLUXO DE CAIXA DESC.-BLOCOS PAN'!$D20,'CAPEX - BLOCOS PAN'!$C$3:$AK$52,35,FALSE))*AL$57</f>
        <v>-217831.03406154097</v>
      </c>
      <c r="AM20" s="44">
        <f t="shared" si="0"/>
        <v>-71442511.911510572</v>
      </c>
      <c r="AN20">
        <v>0</v>
      </c>
      <c r="AO20" t="s">
        <v>310</v>
      </c>
      <c r="AP20">
        <v>-8.0500000000000007</v>
      </c>
      <c r="AQ20">
        <v>-38.31666666666667</v>
      </c>
      <c r="AR20" s="48">
        <f>VLOOKUP(D20,'Projeção - Demanda PAX'!$C$3:$H$37,6,FALSE)</f>
        <v>4022</v>
      </c>
      <c r="AS20" s="1">
        <f t="shared" si="1"/>
        <v>-64714131.608459935</v>
      </c>
      <c r="AT20" t="str">
        <f>VLOOKUP(D20,'CAPEX - BLOCOS PAN (ANO A ANO)'!$C$3:$AV$52,46,FALSE)</f>
        <v>Privada</v>
      </c>
      <c r="AU20" t="str">
        <f>VLOOKUP(D20,'FLUXO DE CAIXA DESC.-SEM MULT.'!$D$3:$AT$52,43,FALSE)</f>
        <v>Bloco 8 - Nordeste</v>
      </c>
    </row>
    <row r="21" spans="1:47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259</v>
      </c>
      <c r="H21" t="s">
        <v>33</v>
      </c>
      <c r="I21" s="1">
        <f>('RECEITAS - BLOCOS PAN'!H21-'OPEX - BLOCOS PAN'!H21-VLOOKUP('FLUXO DE CAIXA DESC.-BLOCOS PAN'!$D21,'CAPEX - BLOCOS PAN'!$C$3:$H$52,6,FALSE))*I$57</f>
        <v>-19837632.531966668</v>
      </c>
      <c r="J21" s="1">
        <f>('RECEITAS - BLOCOS PAN'!I21-'OPEX - BLOCOS PAN'!I21-VLOOKUP('FLUXO DE CAIXA DESC.-BLOCOS PAN'!$D21,'CAPEX - BLOCOS PAN'!$C$3:$I$52,7,FALSE))*J$57</f>
        <v>-18076187.721831739</v>
      </c>
      <c r="K21" s="1">
        <f>('RECEITAS - BLOCOS PAN'!J21-'OPEX - BLOCOS PAN'!J21-VLOOKUP('FLUXO DE CAIXA DESC.-BLOCOS PAN'!$D21,'CAPEX - BLOCOS PAN'!$C$3:$J$52,8,FALSE))*K$57</f>
        <v>-16476933.628081577</v>
      </c>
      <c r="L21" s="1">
        <f>('RECEITAS - BLOCOS PAN'!K21-'OPEX - BLOCOS PAN'!K21-VLOOKUP('FLUXO DE CAIXA DESC.-BLOCOS PAN'!$D21,'CAPEX - BLOCOS PAN'!$C$3:$K$52,9,FALSE))*L$57</f>
        <v>-1889224.3454710387</v>
      </c>
      <c r="M21" s="1">
        <f>('RECEITAS - BLOCOS PAN'!L21-'OPEX - BLOCOS PAN'!L21-VLOOKUP('FLUXO DE CAIXA DESC.-BLOCOS PAN'!$D21,'CAPEX - BLOCOS PAN'!$C$3:$L$52,10,FALSE))*M$57</f>
        <v>-1711451.614108661</v>
      </c>
      <c r="N21" s="1">
        <f>('RECEITAS - BLOCOS PAN'!M21-'OPEX - BLOCOS PAN'!M21-VLOOKUP('FLUXO DE CAIXA DESC.-BLOCOS PAN'!$D21,'CAPEX - BLOCOS PAN'!$C$3:$M$52,11,FALSE))*N$57</f>
        <v>-1551493.0118637038</v>
      </c>
      <c r="O21" s="1">
        <f>('RECEITAS - BLOCOS PAN'!N21-'OPEX - BLOCOS PAN'!N21-VLOOKUP('FLUXO DE CAIXA DESC.-BLOCOS PAN'!$D21,'CAPEX - BLOCOS PAN'!$C$3:$N$52,12,FALSE))*O$57</f>
        <v>-1406678.4861291714</v>
      </c>
      <c r="P21" s="1">
        <f>('RECEITAS - BLOCOS PAN'!O21-'OPEX - BLOCOS PAN'!O21-VLOOKUP('FLUXO DE CAIXA DESC.-BLOCOS PAN'!$D21,'CAPEX - BLOCOS PAN'!$C$3:$O$52,13,FALSE))*P$57</f>
        <v>-1275736.8837418049</v>
      </c>
      <c r="Q21" s="1">
        <f>('RECEITAS - BLOCOS PAN'!P21-'OPEX - BLOCOS PAN'!P21-VLOOKUP('FLUXO DE CAIXA DESC.-BLOCOS PAN'!$D21,'CAPEX - BLOCOS PAN'!$C$3:$P$52,14,FALSE))*Q$57</f>
        <v>-1157263.3231895783</v>
      </c>
      <c r="R21" s="1">
        <f>('RECEITAS - BLOCOS PAN'!Q21-'OPEX - BLOCOS PAN'!Q21-VLOOKUP('FLUXO DE CAIXA DESC.-BLOCOS PAN'!$D21,'CAPEX - BLOCOS PAN'!$C$3:$Q$52,15,FALSE))*R$57</f>
        <v>-1118918.9018233649</v>
      </c>
      <c r="S21" s="1">
        <f>('RECEITAS - BLOCOS PAN'!R21-'OPEX - BLOCOS PAN'!R21-VLOOKUP('FLUXO DE CAIXA DESC.-BLOCOS PAN'!$D21,'CAPEX - BLOCOS PAN'!$C$3:$R$52,16,FALSE))*S$57</f>
        <v>-1015987.2168432447</v>
      </c>
      <c r="T21" s="1">
        <f>('RECEITAS - BLOCOS PAN'!S21-'OPEX - BLOCOS PAN'!S21-VLOOKUP('FLUXO DE CAIXA DESC.-BLOCOS PAN'!$D21,'CAPEX - BLOCOS PAN'!$C$3:$S$52,17,FALSE))*T$57</f>
        <v>-922801.96234666195</v>
      </c>
      <c r="U21" s="1">
        <f>('RECEITAS - BLOCOS PAN'!T21-'OPEX - BLOCOS PAN'!T21-VLOOKUP('FLUXO DE CAIXA DESC.-BLOCOS PAN'!$D21,'CAPEX - BLOCOS PAN'!$C$3:$T$52,18,FALSE))*U$57</f>
        <v>-837941.90481202351</v>
      </c>
      <c r="V21" s="1">
        <f>('RECEITAS - BLOCOS PAN'!U21-'OPEX - BLOCOS PAN'!U21-VLOOKUP('FLUXO DE CAIXA DESC.-BLOCOS PAN'!$D21,'CAPEX - BLOCOS PAN'!$C$3:$U$52,19,FALSE))*V$57</f>
        <v>-761038.84876861877</v>
      </c>
      <c r="W21" s="1">
        <f>('RECEITAS - BLOCOS PAN'!V21-'OPEX - BLOCOS PAN'!V21-VLOOKUP('FLUXO DE CAIXA DESC.-BLOCOS PAN'!$D21,'CAPEX - BLOCOS PAN'!$C$3:$V$52,20,FALSE))*W$57</f>
        <v>-691008.70351061877</v>
      </c>
      <c r="X21" s="1">
        <f>('RECEITAS - BLOCOS PAN'!W21-'OPEX - BLOCOS PAN'!W21-VLOOKUP('FLUXO DE CAIXA DESC.-BLOCOS PAN'!$D21,'CAPEX - BLOCOS PAN'!$C$3:$W$52,21,FALSE))*X$57</f>
        <v>-627441.11429679813</v>
      </c>
      <c r="Y21" s="1">
        <f>('RECEITAS - BLOCOS PAN'!X21-'OPEX - BLOCOS PAN'!X21-VLOOKUP('FLUXO DE CAIXA DESC.-BLOCOS PAN'!$D21,'CAPEX - BLOCOS PAN'!$C$3:$X$52,22,FALSE))*Y$57</f>
        <v>-569649.04628351703</v>
      </c>
      <c r="Z21" s="1">
        <f>('RECEITAS - BLOCOS PAN'!Y21-'OPEX - BLOCOS PAN'!Y21-VLOOKUP('FLUXO DE CAIXA DESC.-BLOCOS PAN'!$D21,'CAPEX - BLOCOS PAN'!$C$3:$Y$52,23,FALSE))*Z$57</f>
        <v>-517179.78130765457</v>
      </c>
      <c r="AA21" s="1">
        <f>('RECEITAS - BLOCOS PAN'!Z21-'OPEX - BLOCOS PAN'!Z21-VLOOKUP('FLUXO DE CAIXA DESC.-BLOCOS PAN'!$D21,'CAPEX - BLOCOS PAN'!$C$3:$Z$52,24,FALSE))*AA$57</f>
        <v>-469413.52638589835</v>
      </c>
      <c r="AB21" s="1">
        <f>('RECEITAS - BLOCOS PAN'!AA21-'OPEX - BLOCOS PAN'!AA21-VLOOKUP('FLUXO DE CAIXA DESC.-BLOCOS PAN'!$D21,'CAPEX - BLOCOS PAN'!$C$3:$AA$52,25,FALSE))*AB$57</f>
        <v>-426077.96478508966</v>
      </c>
      <c r="AC21" s="1">
        <f>('RECEITAS - BLOCOS PAN'!AB21-'OPEX - BLOCOS PAN'!AB21-VLOOKUP('FLUXO DE CAIXA DESC.-BLOCOS PAN'!$D21,'CAPEX - BLOCOS PAN'!$C$3:$AB$52,26,FALSE))*AC$57</f>
        <v>-386700.58489194984</v>
      </c>
      <c r="AD21" s="1">
        <f>('RECEITAS - BLOCOS PAN'!AC21-'OPEX - BLOCOS PAN'!AC21-VLOOKUP('FLUXO DE CAIXA DESC.-BLOCOS PAN'!$D21,'CAPEX - BLOCOS PAN'!$C$3:$AC$52,27,FALSE))*AD$57</f>
        <v>-350996.88272286212</v>
      </c>
      <c r="AE21" s="1">
        <f>('RECEITAS - BLOCOS PAN'!AD21-'OPEX - BLOCOS PAN'!AD21-VLOOKUP('FLUXO DE CAIXA DESC.-BLOCOS PAN'!$D21,'CAPEX - BLOCOS PAN'!$C$3:$AD$52,28,FALSE))*AE$57</f>
        <v>-318544.97803943814</v>
      </c>
      <c r="AF21" s="1">
        <f>('RECEITAS - BLOCOS PAN'!AE21-'OPEX - BLOCOS PAN'!AE21-VLOOKUP('FLUXO DE CAIXA DESC.-BLOCOS PAN'!$D21,'CAPEX - BLOCOS PAN'!$C$3:$AE$52,29,FALSE))*AF$57</f>
        <v>-289293.58249747002</v>
      </c>
      <c r="AG21" s="1">
        <f>('RECEITAS - BLOCOS PAN'!AF21-'OPEX - BLOCOS PAN'!AF21-VLOOKUP('FLUXO DE CAIXA DESC.-BLOCOS PAN'!$D21,'CAPEX - BLOCOS PAN'!$C$3:$AF$52,30,FALSE))*AG$57</f>
        <v>-262604.77986448747</v>
      </c>
      <c r="AH21" s="1">
        <f>('RECEITAS - BLOCOS PAN'!AG21-'OPEX - BLOCOS PAN'!AG21-VLOOKUP('FLUXO DE CAIXA DESC.-BLOCOS PAN'!$D21,'CAPEX - BLOCOS PAN'!$C$3:$AG$52,31,FALSE))*AH$57</f>
        <v>-238448.03832791408</v>
      </c>
      <c r="AI21" s="1">
        <f>('RECEITAS - BLOCOS PAN'!AH21-'OPEX - BLOCOS PAN'!AH21-VLOOKUP('FLUXO DE CAIXA DESC.-BLOCOS PAN'!$D21,'CAPEX - BLOCOS PAN'!$C$3:$AH$52,32,FALSE))*AI$57</f>
        <v>-216456.72300428676</v>
      </c>
      <c r="AJ21" s="1">
        <f>('RECEITAS - BLOCOS PAN'!AI21-'OPEX - BLOCOS PAN'!AI21-VLOOKUP('FLUXO DE CAIXA DESC.-BLOCOS PAN'!$D21,'CAPEX - BLOCOS PAN'!$C$3:$AI$52,33,FALSE))*AJ$57</f>
        <v>-196557.98223729254</v>
      </c>
      <c r="AK21" s="1">
        <f>('RECEITAS - BLOCOS PAN'!AJ21-'OPEX - BLOCOS PAN'!AJ21-VLOOKUP('FLUXO DE CAIXA DESC.-BLOCOS PAN'!$D21,'CAPEX - BLOCOS PAN'!$C$3:$AJ$52,34,FALSE))*AK$57</f>
        <v>-178470.37016013692</v>
      </c>
      <c r="AL21" s="1">
        <f>('RECEITAS - BLOCOS PAN'!AK21-'OPEX - BLOCOS PAN'!AK21-VLOOKUP('FLUXO DE CAIXA DESC.-BLOCOS PAN'!$D21,'CAPEX - BLOCOS PAN'!$C$3:$AK$52,35,FALSE))*AL$57</f>
        <v>-162023.31166666292</v>
      </c>
      <c r="AM21" s="44">
        <f t="shared" si="0"/>
        <v>-73940157.750959933</v>
      </c>
      <c r="AN21">
        <v>1</v>
      </c>
      <c r="AO21" t="s">
        <v>391</v>
      </c>
      <c r="AP21">
        <v>-1.6333333333333333</v>
      </c>
      <c r="AQ21">
        <v>-50.43333333333333</v>
      </c>
      <c r="AR21" s="48">
        <f>VLOOKUP(D21,'Projeção - Demanda PAX'!$C$3:$H$37,6,FALSE)</f>
        <v>18258</v>
      </c>
      <c r="AS21" s="1">
        <f t="shared" si="1"/>
        <v>-68730299.084488481</v>
      </c>
      <c r="AT21" t="str">
        <f>VLOOKUP(D21,'CAPEX - BLOCOS PAN (ANO A ANO)'!$C$3:$AV$52,46,FALSE)</f>
        <v>Privada</v>
      </c>
      <c r="AU21" t="str">
        <f>VLOOKUP(D21,'FLUXO DE CAIXA DESC.-SEM MULT.'!$D$3:$AT$52,43,FALSE)</f>
        <v>Bloco 4 - PA3</v>
      </c>
    </row>
    <row r="22" spans="1:47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259</v>
      </c>
      <c r="H22" t="s">
        <v>33</v>
      </c>
      <c r="I22" s="1">
        <f>('RECEITAS - BLOCOS PAN'!H22-'OPEX - BLOCOS PAN'!H22-VLOOKUP('FLUXO DE CAIXA DESC.-BLOCOS PAN'!$D22,'CAPEX - BLOCOS PAN'!$C$3:$H$52,6,FALSE))*I$57</f>
        <v>-42141266.214766666</v>
      </c>
      <c r="J22" s="1">
        <f>('RECEITAS - BLOCOS PAN'!I22-'OPEX - BLOCOS PAN'!I22-VLOOKUP('FLUXO DE CAIXA DESC.-BLOCOS PAN'!$D22,'CAPEX - BLOCOS PAN'!$C$3:$I$52,7,FALSE))*J$57</f>
        <v>-38396002.209828086</v>
      </c>
      <c r="K22" s="1">
        <f>('RECEITAS - BLOCOS PAN'!J22-'OPEX - BLOCOS PAN'!J22-VLOOKUP('FLUXO DE CAIXA DESC.-BLOCOS PAN'!$D22,'CAPEX - BLOCOS PAN'!$C$3:$J$52,8,FALSE))*K$57</f>
        <v>-35839386.628770463</v>
      </c>
      <c r="L22" s="1">
        <f>('RECEITAS - BLOCOS PAN'!K22-'OPEX - BLOCOS PAN'!K22-VLOOKUP('FLUXO DE CAIXA DESC.-BLOCOS PAN'!$D22,'CAPEX - BLOCOS PAN'!$C$3:$K$52,9,FALSE))*L$57</f>
        <v>-2343340.2980390205</v>
      </c>
      <c r="M22" s="1">
        <f>('RECEITAS - BLOCOS PAN'!L22-'OPEX - BLOCOS PAN'!L22-VLOOKUP('FLUXO DE CAIXA DESC.-BLOCOS PAN'!$D22,'CAPEX - BLOCOS PAN'!$C$3:$L$52,10,FALSE))*M$57</f>
        <v>-2108009.2962744096</v>
      </c>
      <c r="N22" s="1">
        <f>('RECEITAS - BLOCOS PAN'!M22-'OPEX - BLOCOS PAN'!M22-VLOOKUP('FLUXO DE CAIXA DESC.-BLOCOS PAN'!$D22,'CAPEX - BLOCOS PAN'!$C$3:$M$52,11,FALSE))*N$57</f>
        <v>-1897911.222840721</v>
      </c>
      <c r="O22" s="1">
        <f>('RECEITAS - BLOCOS PAN'!N22-'OPEX - BLOCOS PAN'!N22-VLOOKUP('FLUXO DE CAIXA DESC.-BLOCOS PAN'!$D22,'CAPEX - BLOCOS PAN'!$C$3:$N$52,12,FALSE))*O$57</f>
        <v>-1709683.3715737851</v>
      </c>
      <c r="P22" s="1">
        <f>('RECEITAS - BLOCOS PAN'!O22-'OPEX - BLOCOS PAN'!O22-VLOOKUP('FLUXO DE CAIXA DESC.-BLOCOS PAN'!$D22,'CAPEX - BLOCOS PAN'!$C$3:$O$52,13,FALSE))*P$57</f>
        <v>-1540683.2035977577</v>
      </c>
      <c r="Q22" s="1">
        <f>('RECEITAS - BLOCOS PAN'!P22-'OPEX - BLOCOS PAN'!P22-VLOOKUP('FLUXO DE CAIXA DESC.-BLOCOS PAN'!$D22,'CAPEX - BLOCOS PAN'!$C$3:$P$52,14,FALSE))*Q$57</f>
        <v>-1389265.1264487028</v>
      </c>
      <c r="R22" s="1">
        <f>('RECEITAS - BLOCOS PAN'!Q22-'OPEX - BLOCOS PAN'!Q22-VLOOKUP('FLUXO DE CAIXA DESC.-BLOCOS PAN'!$D22,'CAPEX - BLOCOS PAN'!$C$3:$Q$52,15,FALSE))*R$57</f>
        <v>-1253622.3372104615</v>
      </c>
      <c r="S22" s="1">
        <f>('RECEITAS - BLOCOS PAN'!R22-'OPEX - BLOCOS PAN'!R22-VLOOKUP('FLUXO DE CAIXA DESC.-BLOCOS PAN'!$D22,'CAPEX - BLOCOS PAN'!$C$3:$R$52,16,FALSE))*S$57</f>
        <v>-1131897.2297412148</v>
      </c>
      <c r="T22" s="1">
        <f>('RECEITAS - BLOCOS PAN'!S22-'OPEX - BLOCOS PAN'!S22-VLOOKUP('FLUXO DE CAIXA DESC.-BLOCOS PAN'!$D22,'CAPEX - BLOCOS PAN'!$C$3:$S$52,17,FALSE))*T$57</f>
        <v>-1021923.5300445845</v>
      </c>
      <c r="U22" s="1">
        <f>('RECEITAS - BLOCOS PAN'!T22-'OPEX - BLOCOS PAN'!T22-VLOOKUP('FLUXO DE CAIXA DESC.-BLOCOS PAN'!$D22,'CAPEX - BLOCOS PAN'!$C$3:$T$52,18,FALSE))*U$57</f>
        <v>-922520.49270143162</v>
      </c>
      <c r="V22" s="1">
        <f>('RECEITAS - BLOCOS PAN'!U22-'OPEX - BLOCOS PAN'!U22-VLOOKUP('FLUXO DE CAIXA DESC.-BLOCOS PAN'!$D22,'CAPEX - BLOCOS PAN'!$C$3:$U$52,19,FALSE))*V$57</f>
        <v>-832413.98772233422</v>
      </c>
      <c r="W22" s="1">
        <f>('RECEITAS - BLOCOS PAN'!V22-'OPEX - BLOCOS PAN'!V22-VLOOKUP('FLUXO DE CAIXA DESC.-BLOCOS PAN'!$D22,'CAPEX - BLOCOS PAN'!$C$3:$V$52,20,FALSE))*W$57</f>
        <v>-751170.72510834481</v>
      </c>
      <c r="X22" s="1">
        <f>('RECEITAS - BLOCOS PAN'!W22-'OPEX - BLOCOS PAN'!W22-VLOOKUP('FLUXO DE CAIXA DESC.-BLOCOS PAN'!$D22,'CAPEX - BLOCOS PAN'!$C$3:$W$52,21,FALSE))*X$57</f>
        <v>-677596.42530317511</v>
      </c>
      <c r="Y22" s="1">
        <f>('RECEITAS - BLOCOS PAN'!X22-'OPEX - BLOCOS PAN'!X22-VLOOKUP('FLUXO DE CAIXA DESC.-BLOCOS PAN'!$D22,'CAPEX - BLOCOS PAN'!$C$3:$X$52,22,FALSE))*Y$57</f>
        <v>-611115.1012341216</v>
      </c>
      <c r="Z22" s="1">
        <f>('RECEITAS - BLOCOS PAN'!Y22-'OPEX - BLOCOS PAN'!Y22-VLOOKUP('FLUXO DE CAIXA DESC.-BLOCOS PAN'!$D22,'CAPEX - BLOCOS PAN'!$C$3:$Y$52,23,FALSE))*Z$57</f>
        <v>-550895.21896142024</v>
      </c>
      <c r="AA22" s="1">
        <f>('RECEITAS - BLOCOS PAN'!Z22-'OPEX - BLOCOS PAN'!Z22-VLOOKUP('FLUXO DE CAIXA DESC.-BLOCOS PAN'!$D22,'CAPEX - BLOCOS PAN'!$C$3:$Z$52,24,FALSE))*AA$57</f>
        <v>-496408.03870899783</v>
      </c>
      <c r="AB22" s="1">
        <f>('RECEITAS - BLOCOS PAN'!AA22-'OPEX - BLOCOS PAN'!AA22-VLOOKUP('FLUXO DE CAIXA DESC.-BLOCOS PAN'!$D22,'CAPEX - BLOCOS PAN'!$C$3:$AA$52,25,FALSE))*AB$57</f>
        <v>-447170.42142638436</v>
      </c>
      <c r="AC22" s="1">
        <f>('RECEITAS - BLOCOS PAN'!AB22-'OPEX - BLOCOS PAN'!AB22-VLOOKUP('FLUXO DE CAIXA DESC.-BLOCOS PAN'!$D22,'CAPEX - BLOCOS PAN'!$C$3:$AB$52,26,FALSE))*AC$57</f>
        <v>-402853.61827061721</v>
      </c>
      <c r="AD22" s="1">
        <f>('RECEITAS - BLOCOS PAN'!AC22-'OPEX - BLOCOS PAN'!AC22-VLOOKUP('FLUXO DE CAIXA DESC.-BLOCOS PAN'!$D22,'CAPEX - BLOCOS PAN'!$C$3:$AC$52,27,FALSE))*AD$57</f>
        <v>-362809.4050152977</v>
      </c>
      <c r="AE22" s="1">
        <f>('RECEITAS - BLOCOS PAN'!AD22-'OPEX - BLOCOS PAN'!AD22-VLOOKUP('FLUXO DE CAIXA DESC.-BLOCOS PAN'!$D22,'CAPEX - BLOCOS PAN'!$C$3:$AD$52,28,FALSE))*AE$57</f>
        <v>-326718.78215962846</v>
      </c>
      <c r="AF22" s="1">
        <f>('RECEITAS - BLOCOS PAN'!AE22-'OPEX - BLOCOS PAN'!AE22-VLOOKUP('FLUXO DE CAIXA DESC.-BLOCOS PAN'!$D22,'CAPEX - BLOCOS PAN'!$C$3:$AE$52,29,FALSE))*AF$57</f>
        <v>-294441.47112647205</v>
      </c>
      <c r="AG22" s="1">
        <f>('RECEITAS - BLOCOS PAN'!AF22-'OPEX - BLOCOS PAN'!AF22-VLOOKUP('FLUXO DE CAIXA DESC.-BLOCOS PAN'!$D22,'CAPEX - BLOCOS PAN'!$C$3:$AF$52,30,FALSE))*AG$57</f>
        <v>-265449.15735050937</v>
      </c>
      <c r="AH22" s="1">
        <f>('RECEITAS - BLOCOS PAN'!AG22-'OPEX - BLOCOS PAN'!AG22-VLOOKUP('FLUXO DE CAIXA DESC.-BLOCOS PAN'!$D22,'CAPEX - BLOCOS PAN'!$C$3:$AG$52,31,FALSE))*AH$57</f>
        <v>-239307.80856439771</v>
      </c>
      <c r="AI22" s="1">
        <f>('RECEITAS - BLOCOS PAN'!AH22-'OPEX - BLOCOS PAN'!AH22-VLOOKUP('FLUXO DE CAIXA DESC.-BLOCOS PAN'!$D22,'CAPEX - BLOCOS PAN'!$C$3:$AH$52,32,FALSE))*AI$57</f>
        <v>-215813.02634386034</v>
      </c>
      <c r="AJ22" s="1">
        <f>('RECEITAS - BLOCOS PAN'!AI22-'OPEX - BLOCOS PAN'!AI22-VLOOKUP('FLUXO DE CAIXA DESC.-BLOCOS PAN'!$D22,'CAPEX - BLOCOS PAN'!$C$3:$AI$52,33,FALSE))*AJ$57</f>
        <v>-194595.62184843089</v>
      </c>
      <c r="AK22" s="1">
        <f>('RECEITAS - BLOCOS PAN'!AJ22-'OPEX - BLOCOS PAN'!AJ22-VLOOKUP('FLUXO DE CAIXA DESC.-BLOCOS PAN'!$D22,'CAPEX - BLOCOS PAN'!$C$3:$AJ$52,34,FALSE))*AK$57</f>
        <v>-175386.37904977862</v>
      </c>
      <c r="AL22" s="1">
        <f>('RECEITAS - BLOCOS PAN'!AK22-'OPEX - BLOCOS PAN'!AK22-VLOOKUP('FLUXO DE CAIXA DESC.-BLOCOS PAN'!$D22,'CAPEX - BLOCOS PAN'!$C$3:$AK$52,35,FALSE))*AL$57</f>
        <v>-158023.49126630576</v>
      </c>
      <c r="AM22" s="44">
        <f t="shared" si="0"/>
        <v>-138697679.84129736</v>
      </c>
      <c r="AN22">
        <v>1</v>
      </c>
      <c r="AO22" t="s">
        <v>283</v>
      </c>
      <c r="AP22">
        <v>-11.483333333333333</v>
      </c>
      <c r="AQ22">
        <v>-61.45</v>
      </c>
      <c r="AR22" s="48">
        <f>VLOOKUP(D22,'Projeção - Demanda PAX'!$C$3:$H$37,6,FALSE)</f>
        <v>41162</v>
      </c>
      <c r="AS22" s="1">
        <f t="shared" si="1"/>
        <v>-133279095.874668</v>
      </c>
      <c r="AT22" t="str">
        <f>VLOOKUP(D22,'CAPEX - BLOCOS PAN (ANO A ANO)'!$C$3:$AV$52,46,FALSE)</f>
        <v>Privada</v>
      </c>
      <c r="AU22" t="str">
        <f>VLOOKUP(D22,'FLUXO DE CAIXA DESC.-SEM MULT.'!$D$3:$AT$52,43,FALSE)</f>
        <v>Bloco 7 - RO</v>
      </c>
    </row>
    <row r="23" spans="1:47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257</v>
      </c>
      <c r="H23" t="s">
        <v>33</v>
      </c>
      <c r="I23" s="1">
        <f>('RECEITAS - BLOCOS PAN'!H23-'OPEX - BLOCOS PAN'!H23-VLOOKUP('FLUXO DE CAIXA DESC.-BLOCOS PAN'!$D23,'CAPEX - BLOCOS PAN'!$C$3:$H$52,6,FALSE))*I$57</f>
        <v>-24181631.125700001</v>
      </c>
      <c r="J23" s="1">
        <f>('RECEITAS - BLOCOS PAN'!I23-'OPEX - BLOCOS PAN'!I23-VLOOKUP('FLUXO DE CAIXA DESC.-BLOCOS PAN'!$D23,'CAPEX - BLOCOS PAN'!$C$3:$I$52,7,FALSE))*J$57</f>
        <v>-22069224.107439525</v>
      </c>
      <c r="K23" s="1">
        <f>('RECEITAS - BLOCOS PAN'!J23-'OPEX - BLOCOS PAN'!J23-VLOOKUP('FLUXO DE CAIXA DESC.-BLOCOS PAN'!$D23,'CAPEX - BLOCOS PAN'!$C$3:$J$52,8,FALSE))*K$57</f>
        <v>-20142150.475587759</v>
      </c>
      <c r="L23" s="1">
        <f>('RECEITAS - BLOCOS PAN'!K23-'OPEX - BLOCOS PAN'!K23-VLOOKUP('FLUXO DE CAIXA DESC.-BLOCOS PAN'!$D23,'CAPEX - BLOCOS PAN'!$C$3:$K$52,9,FALSE))*L$57</f>
        <v>-2698279.7444495894</v>
      </c>
      <c r="M23" s="1">
        <f>('RECEITAS - BLOCOS PAN'!L23-'OPEX - BLOCOS PAN'!L23-VLOOKUP('FLUXO DE CAIXA DESC.-BLOCOS PAN'!$D23,'CAPEX - BLOCOS PAN'!$C$3:$L$52,10,FALSE))*M$57</f>
        <v>-2461250.757875999</v>
      </c>
      <c r="N23" s="1">
        <f>('RECEITAS - BLOCOS PAN'!M23-'OPEX - BLOCOS PAN'!M23-VLOOKUP('FLUXO DE CAIXA DESC.-BLOCOS PAN'!$D23,'CAPEX - BLOCOS PAN'!$C$3:$M$52,11,FALSE))*N$57</f>
        <v>-2245141.9424409857</v>
      </c>
      <c r="O23" s="1">
        <f>('RECEITAS - BLOCOS PAN'!N23-'OPEX - BLOCOS PAN'!N23-VLOOKUP('FLUXO DE CAIXA DESC.-BLOCOS PAN'!$D23,'CAPEX - BLOCOS PAN'!$C$3:$N$52,12,FALSE))*O$57</f>
        <v>-2048073.6529977995</v>
      </c>
      <c r="P23" s="1">
        <f>('RECEITAS - BLOCOS PAN'!O23-'OPEX - BLOCOS PAN'!O23-VLOOKUP('FLUXO DE CAIXA DESC.-BLOCOS PAN'!$D23,'CAPEX - BLOCOS PAN'!$C$3:$O$52,13,FALSE))*P$57</f>
        <v>-1868347.6168123502</v>
      </c>
      <c r="Q23" s="1">
        <f>('RECEITAS - BLOCOS PAN'!P23-'OPEX - BLOCOS PAN'!P23-VLOOKUP('FLUXO DE CAIXA DESC.-BLOCOS PAN'!$D23,'CAPEX - BLOCOS PAN'!$C$3:$P$52,14,FALSE))*Q$57</f>
        <v>-1704454.5589086749</v>
      </c>
      <c r="R23" s="1">
        <f>('RECEITAS - BLOCOS PAN'!Q23-'OPEX - BLOCOS PAN'!Q23-VLOOKUP('FLUXO DE CAIXA DESC.-BLOCOS PAN'!$D23,'CAPEX - BLOCOS PAN'!$C$3:$Q$52,15,FALSE))*R$57</f>
        <v>-1555007.0003592945</v>
      </c>
      <c r="S23" s="1">
        <f>('RECEITAS - BLOCOS PAN'!R23-'OPEX - BLOCOS PAN'!R23-VLOOKUP('FLUXO DE CAIXA DESC.-BLOCOS PAN'!$D23,'CAPEX - BLOCOS PAN'!$C$3:$R$52,16,FALSE))*S$57</f>
        <v>-1418720.0928159959</v>
      </c>
      <c r="T23" s="1">
        <f>('RECEITAS - BLOCOS PAN'!S23-'OPEX - BLOCOS PAN'!S23-VLOOKUP('FLUXO DE CAIXA DESC.-BLOCOS PAN'!$D23,'CAPEX - BLOCOS PAN'!$C$3:$S$52,17,FALSE))*T$57</f>
        <v>-1294356.3907143082</v>
      </c>
      <c r="U23" s="1">
        <f>('RECEITAS - BLOCOS PAN'!T23-'OPEX - BLOCOS PAN'!T23-VLOOKUP('FLUXO DE CAIXA DESC.-BLOCOS PAN'!$D23,'CAPEX - BLOCOS PAN'!$C$3:$T$52,18,FALSE))*U$57</f>
        <v>-1180918.0757337336</v>
      </c>
      <c r="V23" s="1">
        <f>('RECEITAS - BLOCOS PAN'!U23-'OPEX - BLOCOS PAN'!U23-VLOOKUP('FLUXO DE CAIXA DESC.-BLOCOS PAN'!$D23,'CAPEX - BLOCOS PAN'!$C$3:$U$52,19,FALSE))*V$57</f>
        <v>-1077399.4499570348</v>
      </c>
      <c r="W23" s="1">
        <f>('RECEITAS - BLOCOS PAN'!V23-'OPEX - BLOCOS PAN'!V23-VLOOKUP('FLUXO DE CAIXA DESC.-BLOCOS PAN'!$D23,'CAPEX - BLOCOS PAN'!$C$3:$V$52,20,FALSE))*W$57</f>
        <v>-982974.87222629669</v>
      </c>
      <c r="X23" s="1">
        <f>('RECEITAS - BLOCOS PAN'!W23-'OPEX - BLOCOS PAN'!W23-VLOOKUP('FLUXO DE CAIXA DESC.-BLOCOS PAN'!$D23,'CAPEX - BLOCOS PAN'!$C$3:$W$52,21,FALSE))*X$57</f>
        <v>-896807.34153956338</v>
      </c>
      <c r="Y23" s="1">
        <f>('RECEITAS - BLOCOS PAN'!X23-'OPEX - BLOCOS PAN'!X23-VLOOKUP('FLUXO DE CAIXA DESC.-BLOCOS PAN'!$D23,'CAPEX - BLOCOS PAN'!$C$3:$X$52,22,FALSE))*Y$57</f>
        <v>-818197.7914081855</v>
      </c>
      <c r="Z23" s="1">
        <f>('RECEITAS - BLOCOS PAN'!Y23-'OPEX - BLOCOS PAN'!Y23-VLOOKUP('FLUXO DE CAIXA DESC.-BLOCOS PAN'!$D23,'CAPEX - BLOCOS PAN'!$C$3:$Y$52,23,FALSE))*Z$57</f>
        <v>-746468.1249593735</v>
      </c>
      <c r="AA23" s="1">
        <f>('RECEITAS - BLOCOS PAN'!Z23-'OPEX - BLOCOS PAN'!Z23-VLOOKUP('FLUXO DE CAIXA DESC.-BLOCOS PAN'!$D23,'CAPEX - BLOCOS PAN'!$C$3:$Z$52,24,FALSE))*AA$57</f>
        <v>-681021.10959980183</v>
      </c>
      <c r="AB23" s="1">
        <f>('RECEITAS - BLOCOS PAN'!AA23-'OPEX - BLOCOS PAN'!AA23-VLOOKUP('FLUXO DE CAIXA DESC.-BLOCOS PAN'!$D23,'CAPEX - BLOCOS PAN'!$C$3:$AA$52,25,FALSE))*AB$57</f>
        <v>-621306.95639426226</v>
      </c>
      <c r="AC23" s="1">
        <f>('RECEITAS - BLOCOS PAN'!AB23-'OPEX - BLOCOS PAN'!AB23-VLOOKUP('FLUXO DE CAIXA DESC.-BLOCOS PAN'!$D23,'CAPEX - BLOCOS PAN'!$C$3:$AB$52,26,FALSE))*AC$57</f>
        <v>-566837.7874987016</v>
      </c>
      <c r="AD23" s="1">
        <f>('RECEITAS - BLOCOS PAN'!AC23-'OPEX - BLOCOS PAN'!AC23-VLOOKUP('FLUXO DE CAIXA DESC.-BLOCOS PAN'!$D23,'CAPEX - BLOCOS PAN'!$C$3:$AC$52,27,FALSE))*AD$57</f>
        <v>-517137.38970589172</v>
      </c>
      <c r="AE23" s="1">
        <f>('RECEITAS - BLOCOS PAN'!AD23-'OPEX - BLOCOS PAN'!AD23-VLOOKUP('FLUXO DE CAIXA DESC.-BLOCOS PAN'!$D23,'CAPEX - BLOCOS PAN'!$C$3:$AD$52,28,FALSE))*AE$57</f>
        <v>-471800.35078374582</v>
      </c>
      <c r="AF23" s="1">
        <f>('RECEITAS - BLOCOS PAN'!AE23-'OPEX - BLOCOS PAN'!AE23-VLOOKUP('FLUXO DE CAIXA DESC.-BLOCOS PAN'!$D23,'CAPEX - BLOCOS PAN'!$C$3:$AE$52,29,FALSE))*AF$57</f>
        <v>-430437.84903541656</v>
      </c>
      <c r="AG23" s="1">
        <f>('RECEITAS - BLOCOS PAN'!AF23-'OPEX - BLOCOS PAN'!AF23-VLOOKUP('FLUXO DE CAIXA DESC.-BLOCOS PAN'!$D23,'CAPEX - BLOCOS PAN'!$C$3:$AF$52,30,FALSE))*AG$57</f>
        <v>-392709.47104688385</v>
      </c>
      <c r="AH23" s="1">
        <f>('RECEITAS - BLOCOS PAN'!AG23-'OPEX - BLOCOS PAN'!AG23-VLOOKUP('FLUXO DE CAIXA DESC.-BLOCOS PAN'!$D23,'CAPEX - BLOCOS PAN'!$C$3:$AG$52,31,FALSE))*AH$57</f>
        <v>-358282.02737478563</v>
      </c>
      <c r="AI23" s="1">
        <f>('RECEITAS - BLOCOS PAN'!AH23-'OPEX - BLOCOS PAN'!AH23-VLOOKUP('FLUXO DE CAIXA DESC.-BLOCOS PAN'!$D23,'CAPEX - BLOCOS PAN'!$C$3:$AH$52,32,FALSE))*AI$57</f>
        <v>-326884.68385052978</v>
      </c>
      <c r="AJ23" s="1">
        <f>('RECEITAS - BLOCOS PAN'!AI23-'OPEX - BLOCOS PAN'!AI23-VLOOKUP('FLUXO DE CAIXA DESC.-BLOCOS PAN'!$D23,'CAPEX - BLOCOS PAN'!$C$3:$AI$52,33,FALSE))*AJ$57</f>
        <v>-298237.49139012501</v>
      </c>
      <c r="AK23" s="1">
        <f>('RECEITAS - BLOCOS PAN'!AJ23-'OPEX - BLOCOS PAN'!AJ23-VLOOKUP('FLUXO DE CAIXA DESC.-BLOCOS PAN'!$D23,'CAPEX - BLOCOS PAN'!$C$3:$AJ$52,34,FALSE))*AK$57</f>
        <v>-272098.55861422716</v>
      </c>
      <c r="AL23" s="1">
        <f>('RECEITAS - BLOCOS PAN'!AK23-'OPEX - BLOCOS PAN'!AK23-VLOOKUP('FLUXO DE CAIXA DESC.-BLOCOS PAN'!$D23,'CAPEX - BLOCOS PAN'!$C$3:$AK$52,35,FALSE))*AL$57</f>
        <v>-248248.46823554626</v>
      </c>
      <c r="AM23" s="44">
        <f t="shared" si="0"/>
        <v>-94574405.265456364</v>
      </c>
      <c r="AN23">
        <v>1</v>
      </c>
      <c r="AO23" t="s">
        <v>314</v>
      </c>
      <c r="AP23">
        <v>-10.183333333333334</v>
      </c>
      <c r="AQ23">
        <v>-59.45</v>
      </c>
      <c r="AR23" s="48">
        <f>VLOOKUP(D23,'Projeção - Demanda PAX'!$C$3:$H$37,6,FALSE)</f>
        <v>2567</v>
      </c>
      <c r="AS23" s="1">
        <f t="shared" si="1"/>
        <v>-86927929.864019334</v>
      </c>
      <c r="AT23" t="str">
        <f>VLOOKUP(D23,'CAPEX - BLOCOS PAN (ANO A ANO)'!$C$3:$AV$52,46,FALSE)</f>
        <v>Privada</v>
      </c>
      <c r="AU23" t="str">
        <f>VLOOKUP(D23,'FLUXO DE CAIXA DESC.-SEM MULT.'!$D$3:$AT$52,43,FALSE)</f>
        <v>Bloco 10 - MT1</v>
      </c>
    </row>
    <row r="24" spans="1:47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259</v>
      </c>
      <c r="H24" t="s">
        <v>33</v>
      </c>
      <c r="I24" s="1">
        <f>('RECEITAS - BLOCOS PAN'!H24-'OPEX - BLOCOS PAN'!H24-VLOOKUP('FLUXO DE CAIXA DESC.-BLOCOS PAN'!$D24,'CAPEX - BLOCOS PAN'!$C$3:$H$52,6,FALSE))*I$57</f>
        <v>-20667660.143166669</v>
      </c>
      <c r="J24" s="1">
        <f>('RECEITAS - BLOCOS PAN'!I24-'OPEX - BLOCOS PAN'!I24-VLOOKUP('FLUXO DE CAIXA DESC.-BLOCOS PAN'!$D24,'CAPEX - BLOCOS PAN'!$C$3:$I$52,7,FALSE))*J$57</f>
        <v>-18854766.90631371</v>
      </c>
      <c r="K24" s="1">
        <f>('RECEITAS - BLOCOS PAN'!J24-'OPEX - BLOCOS PAN'!J24-VLOOKUP('FLUXO DE CAIXA DESC.-BLOCOS PAN'!$D24,'CAPEX - BLOCOS PAN'!$C$3:$J$52,8,FALSE))*K$57</f>
        <v>-17201525.904397223</v>
      </c>
      <c r="L24" s="1">
        <f>('RECEITAS - BLOCOS PAN'!K24-'OPEX - BLOCOS PAN'!K24-VLOOKUP('FLUXO DE CAIXA DESC.-BLOCOS PAN'!$D24,'CAPEX - BLOCOS PAN'!$C$3:$K$52,9,FALSE))*L$57</f>
        <v>-1982169.2964077883</v>
      </c>
      <c r="M24" s="1">
        <f>('RECEITAS - BLOCOS PAN'!L24-'OPEX - BLOCOS PAN'!L24-VLOOKUP('FLUXO DE CAIXA DESC.-BLOCOS PAN'!$D24,'CAPEX - BLOCOS PAN'!$C$3:$L$52,10,FALSE))*M$57</f>
        <v>-1803542.9196069855</v>
      </c>
      <c r="N24" s="1">
        <f>('RECEITAS - BLOCOS PAN'!M24-'OPEX - BLOCOS PAN'!M24-VLOOKUP('FLUXO DE CAIXA DESC.-BLOCOS PAN'!$D24,'CAPEX - BLOCOS PAN'!$C$3:$M$52,11,FALSE))*N$57</f>
        <v>-1641874.984064647</v>
      </c>
      <c r="O24" s="1">
        <f>('RECEITAS - BLOCOS PAN'!N24-'OPEX - BLOCOS PAN'!N24-VLOOKUP('FLUXO DE CAIXA DESC.-BLOCOS PAN'!$D24,'CAPEX - BLOCOS PAN'!$C$3:$N$52,12,FALSE))*O$57</f>
        <v>-1495308.4025164067</v>
      </c>
      <c r="P24" s="1">
        <f>('RECEITAS - BLOCOS PAN'!O24-'OPEX - BLOCOS PAN'!O24-VLOOKUP('FLUXO DE CAIXA DESC.-BLOCOS PAN'!$D24,'CAPEX - BLOCOS PAN'!$C$3:$O$52,13,FALSE))*P$57</f>
        <v>-1361723.0663207744</v>
      </c>
      <c r="Q24" s="1">
        <f>('RECEITAS - BLOCOS PAN'!P24-'OPEX - BLOCOS PAN'!P24-VLOOKUP('FLUXO DE CAIXA DESC.-BLOCOS PAN'!$D24,'CAPEX - BLOCOS PAN'!$C$3:$P$52,14,FALSE))*Q$57</f>
        <v>-1240368.0729040888</v>
      </c>
      <c r="R24" s="1">
        <f>('RECEITAS - BLOCOS PAN'!Q24-'OPEX - BLOCOS PAN'!Q24-VLOOKUP('FLUXO DE CAIXA DESC.-BLOCOS PAN'!$D24,'CAPEX - BLOCOS PAN'!$C$3:$Q$52,15,FALSE))*R$57</f>
        <v>-1129804.056603844</v>
      </c>
      <c r="S24" s="1">
        <f>('RECEITAS - BLOCOS PAN'!R24-'OPEX - BLOCOS PAN'!R24-VLOOKUP('FLUXO DE CAIXA DESC.-BLOCOS PAN'!$D24,'CAPEX - BLOCOS PAN'!$C$3:$R$52,16,FALSE))*S$57</f>
        <v>-1029343.2357311446</v>
      </c>
      <c r="T24" s="1">
        <f>('RECEITAS - BLOCOS PAN'!S24-'OPEX - BLOCOS PAN'!S24-VLOOKUP('FLUXO DE CAIXA DESC.-BLOCOS PAN'!$D24,'CAPEX - BLOCOS PAN'!$C$3:$S$52,17,FALSE))*T$57</f>
        <v>-937633.76512403553</v>
      </c>
      <c r="U24" s="1">
        <f>('RECEITAS - BLOCOS PAN'!T24-'OPEX - BLOCOS PAN'!T24-VLOOKUP('FLUXO DE CAIXA DESC.-BLOCOS PAN'!$D24,'CAPEX - BLOCOS PAN'!$C$3:$T$52,18,FALSE))*U$57</f>
        <v>-854287.59549717419</v>
      </c>
      <c r="V24" s="1">
        <f>('RECEITAS - BLOCOS PAN'!U24-'OPEX - BLOCOS PAN'!U24-VLOOKUP('FLUXO DE CAIXA DESC.-BLOCOS PAN'!$D24,'CAPEX - BLOCOS PAN'!$C$3:$U$52,19,FALSE))*V$57</f>
        <v>-778107.01308823354</v>
      </c>
      <c r="W24" s="1">
        <f>('RECEITAS - BLOCOS PAN'!V24-'OPEX - BLOCOS PAN'!V24-VLOOKUP('FLUXO DE CAIXA DESC.-BLOCOS PAN'!$D24,'CAPEX - BLOCOS PAN'!$C$3:$V$52,20,FALSE))*W$57</f>
        <v>-708907.79695303878</v>
      </c>
      <c r="X24" s="1">
        <f>('RECEITAS - BLOCOS PAN'!W24-'OPEX - BLOCOS PAN'!W24-VLOOKUP('FLUXO DE CAIXA DESC.-BLOCOS PAN'!$D24,'CAPEX - BLOCOS PAN'!$C$3:$W$52,21,FALSE))*X$57</f>
        <v>-645678.09846154635</v>
      </c>
      <c r="Y24" s="1">
        <f>('RECEITAS - BLOCOS PAN'!X24-'OPEX - BLOCOS PAN'!X24-VLOOKUP('FLUXO DE CAIXA DESC.-BLOCOS PAN'!$D24,'CAPEX - BLOCOS PAN'!$C$3:$X$52,22,FALSE))*Y$57</f>
        <v>-588224.85878554243</v>
      </c>
      <c r="Z24" s="1">
        <f>('RECEITAS - BLOCOS PAN'!Y24-'OPEX - BLOCOS PAN'!Y24-VLOOKUP('FLUXO DE CAIXA DESC.-BLOCOS PAN'!$D24,'CAPEX - BLOCOS PAN'!$C$3:$Y$52,23,FALSE))*Z$57</f>
        <v>-535702.80636088387</v>
      </c>
      <c r="AA24" s="1">
        <f>('RECEITAS - BLOCOS PAN'!Z24-'OPEX - BLOCOS PAN'!Z24-VLOOKUP('FLUXO DE CAIXA DESC.-BLOCOS PAN'!$D24,'CAPEX - BLOCOS PAN'!$C$3:$Z$52,24,FALSE))*AA$57</f>
        <v>-488047.74839788745</v>
      </c>
      <c r="AB24" s="1">
        <f>('RECEITAS - BLOCOS PAN'!AA24-'OPEX - BLOCOS PAN'!AA24-VLOOKUP('FLUXO DE CAIXA DESC.-BLOCOS PAN'!$D24,'CAPEX - BLOCOS PAN'!$C$3:$AA$52,25,FALSE))*AB$57</f>
        <v>-444439.71756362787</v>
      </c>
      <c r="AC24" s="1">
        <f>('RECEITAS - BLOCOS PAN'!AB24-'OPEX - BLOCOS PAN'!AB24-VLOOKUP('FLUXO DE CAIXA DESC.-BLOCOS PAN'!$D24,'CAPEX - BLOCOS PAN'!$C$3:$AB$52,26,FALSE))*AC$57</f>
        <v>-404881.33544426656</v>
      </c>
      <c r="AD24" s="1">
        <f>('RECEITAS - BLOCOS PAN'!AC24-'OPEX - BLOCOS PAN'!AC24-VLOOKUP('FLUXO DE CAIXA DESC.-BLOCOS PAN'!$D24,'CAPEX - BLOCOS PAN'!$C$3:$AC$52,27,FALSE))*AD$57</f>
        <v>-368692.91607027885</v>
      </c>
      <c r="AE24" s="1">
        <f>('RECEITAS - BLOCOS PAN'!AD24-'OPEX - BLOCOS PAN'!AD24-VLOOKUP('FLUXO DE CAIXA DESC.-BLOCOS PAN'!$D24,'CAPEX - BLOCOS PAN'!$C$3:$AD$52,28,FALSE))*AE$57</f>
        <v>-335835.10485266318</v>
      </c>
      <c r="AF24" s="1">
        <f>('RECEITAS - BLOCOS PAN'!AE24-'OPEX - BLOCOS PAN'!AE24-VLOOKUP('FLUXO DE CAIXA DESC.-BLOCOS PAN'!$D24,'CAPEX - BLOCOS PAN'!$C$3:$AE$52,29,FALSE))*AF$57</f>
        <v>-305918.21698876121</v>
      </c>
      <c r="AG24" s="1">
        <f>('RECEITAS - BLOCOS PAN'!AF24-'OPEX - BLOCOS PAN'!AF24-VLOOKUP('FLUXO DE CAIXA DESC.-BLOCOS PAN'!$D24,'CAPEX - BLOCOS PAN'!$C$3:$AF$52,30,FALSE))*AG$57</f>
        <v>-278745.89740155218</v>
      </c>
      <c r="AH24" s="1">
        <f>('RECEITAS - BLOCOS PAN'!AG24-'OPEX - BLOCOS PAN'!AG24-VLOOKUP('FLUXO DE CAIXA DESC.-BLOCOS PAN'!$D24,'CAPEX - BLOCOS PAN'!$C$3:$AG$52,31,FALSE))*AH$57</f>
        <v>-253890.6245516825</v>
      </c>
      <c r="AI24" s="1">
        <f>('RECEITAS - BLOCOS PAN'!AH24-'OPEX - BLOCOS PAN'!AH24-VLOOKUP('FLUXO DE CAIXA DESC.-BLOCOS PAN'!$D24,'CAPEX - BLOCOS PAN'!$C$3:$AH$52,32,FALSE))*AI$57</f>
        <v>-231334.63509893429</v>
      </c>
      <c r="AJ24" s="1">
        <f>('RECEITAS - BLOCOS PAN'!AI24-'OPEX - BLOCOS PAN'!AI24-VLOOKUP('FLUXO DE CAIXA DESC.-BLOCOS PAN'!$D24,'CAPEX - BLOCOS PAN'!$C$3:$AI$52,33,FALSE))*AJ$57</f>
        <v>-210718.48770337304</v>
      </c>
      <c r="AK24" s="1">
        <f>('RECEITAS - BLOCOS PAN'!AJ24-'OPEX - BLOCOS PAN'!AJ24-VLOOKUP('FLUXO DE CAIXA DESC.-BLOCOS PAN'!$D24,'CAPEX - BLOCOS PAN'!$C$3:$AJ$52,34,FALSE))*AK$57</f>
        <v>-191929.8447622699</v>
      </c>
      <c r="AL24" s="1">
        <f>('RECEITAS - BLOCOS PAN'!AK24-'OPEX - BLOCOS PAN'!AK24-VLOOKUP('FLUXO DE CAIXA DESC.-BLOCOS PAN'!$D24,'CAPEX - BLOCOS PAN'!$C$3:$AK$52,35,FALSE))*AL$57</f>
        <v>-174803.42912618347</v>
      </c>
      <c r="AM24" s="44">
        <f t="shared" si="0"/>
        <v>-77145866.880265221</v>
      </c>
      <c r="AN24">
        <v>1</v>
      </c>
      <c r="AO24" t="s">
        <v>312</v>
      </c>
      <c r="AP24">
        <v>-4.4000000000000004</v>
      </c>
      <c r="AQ24">
        <v>-59.583333333333336</v>
      </c>
      <c r="AR24" s="48">
        <f>VLOOKUP(D24,'Projeção - Demanda PAX'!$C$3:$H$37,6,FALSE)</f>
        <v>4718</v>
      </c>
      <c r="AS24" s="1">
        <f t="shared" si="1"/>
        <v>-71687023.158695757</v>
      </c>
      <c r="AT24" t="str">
        <f>VLOOKUP(D24,'CAPEX - BLOCOS PAN (ANO A ANO)'!$C$3:$AV$52,46,FALSE)</f>
        <v>Privada</v>
      </c>
      <c r="AU24" t="str">
        <f>VLOOKUP(D24,'FLUXO DE CAIXA DESC.-SEM MULT.'!$D$3:$AT$52,43,FALSE)</f>
        <v>Bloco 3 - AM2</v>
      </c>
    </row>
    <row r="25" spans="1:47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259</v>
      </c>
      <c r="H25" t="s">
        <v>33</v>
      </c>
      <c r="I25" s="1">
        <f>('RECEITAS - BLOCOS PAN'!H25-'OPEX - BLOCOS PAN'!H25-VLOOKUP('FLUXO DE CAIXA DESC.-BLOCOS PAN'!$D25,'CAPEX - BLOCOS PAN'!$C$3:$H$52,6,FALSE))*I$57</f>
        <v>-24307656.595133334</v>
      </c>
      <c r="J25" s="1">
        <f>('RECEITAS - BLOCOS PAN'!I25-'OPEX - BLOCOS PAN'!I25-VLOOKUP('FLUXO DE CAIXA DESC.-BLOCOS PAN'!$D25,'CAPEX - BLOCOS PAN'!$C$3:$I$52,7,FALSE))*J$57</f>
        <v>-22155450.722075157</v>
      </c>
      <c r="K25" s="1">
        <f>('RECEITAS - BLOCOS PAN'!J25-'OPEX - BLOCOS PAN'!J25-VLOOKUP('FLUXO DE CAIXA DESC.-BLOCOS PAN'!$D25,'CAPEX - BLOCOS PAN'!$C$3:$J$52,8,FALSE))*K$57</f>
        <v>-20200866.534860432</v>
      </c>
      <c r="L25" s="1">
        <f>('RECEITAS - BLOCOS PAN'!K25-'OPEX - BLOCOS PAN'!K25-VLOOKUP('FLUXO DE CAIXA DESC.-BLOCOS PAN'!$D25,'CAPEX - BLOCOS PAN'!$C$3:$K$52,9,FALSE))*L$57</f>
        <v>-1761859.6578427406</v>
      </c>
      <c r="M25" s="1">
        <f>('RECEITAS - BLOCOS PAN'!L25-'OPEX - BLOCOS PAN'!L25-VLOOKUP('FLUXO DE CAIXA DESC.-BLOCOS PAN'!$D25,'CAPEX - BLOCOS PAN'!$C$3:$L$52,10,FALSE))*M$57</f>
        <v>-1597030.5322883478</v>
      </c>
      <c r="N25" s="1">
        <f>('RECEITAS - BLOCOS PAN'!M25-'OPEX - BLOCOS PAN'!M25-VLOOKUP('FLUXO DE CAIXA DESC.-BLOCOS PAN'!$D25,'CAPEX - BLOCOS PAN'!$C$3:$M$52,11,FALSE))*N$57</f>
        <v>-1448526.0208327444</v>
      </c>
      <c r="O25" s="1">
        <f>('RECEITAS - BLOCOS PAN'!N25-'OPEX - BLOCOS PAN'!N25-VLOOKUP('FLUXO DE CAIXA DESC.-BLOCOS PAN'!$D25,'CAPEX - BLOCOS PAN'!$C$3:$N$52,12,FALSE))*O$57</f>
        <v>-1397812.960275521</v>
      </c>
      <c r="P25" s="1">
        <f>('RECEITAS - BLOCOS PAN'!O25-'OPEX - BLOCOS PAN'!O25-VLOOKUP('FLUXO DE CAIXA DESC.-BLOCOS PAN'!$D25,'CAPEX - BLOCOS PAN'!$C$3:$O$52,13,FALSE))*P$57</f>
        <v>-1269535.3272900856</v>
      </c>
      <c r="Q25" s="1">
        <f>('RECEITAS - BLOCOS PAN'!P25-'OPEX - BLOCOS PAN'!P25-VLOOKUP('FLUXO DE CAIXA DESC.-BLOCOS PAN'!$D25,'CAPEX - BLOCOS PAN'!$C$3:$P$52,14,FALSE))*Q$57</f>
        <v>-1153529.2294038017</v>
      </c>
      <c r="R25" s="1">
        <f>('RECEITAS - BLOCOS PAN'!Q25-'OPEX - BLOCOS PAN'!Q25-VLOOKUP('FLUXO DE CAIXA DESC.-BLOCOS PAN'!$D25,'CAPEX - BLOCOS PAN'!$C$3:$Q$52,15,FALSE))*R$57</f>
        <v>-1048847.9795789057</v>
      </c>
      <c r="S25" s="1">
        <f>('RECEITAS - BLOCOS PAN'!R25-'OPEX - BLOCOS PAN'!R25-VLOOKUP('FLUXO DE CAIXA DESC.-BLOCOS PAN'!$D25,'CAPEX - BLOCOS PAN'!$C$3:$R$52,16,FALSE))*S$57</f>
        <v>-953937.80649099417</v>
      </c>
      <c r="T25" s="1">
        <f>('RECEITAS - BLOCOS PAN'!S25-'OPEX - BLOCOS PAN'!S25-VLOOKUP('FLUXO DE CAIXA DESC.-BLOCOS PAN'!$D25,'CAPEX - BLOCOS PAN'!$C$3:$S$52,17,FALSE))*T$57</f>
        <v>-867782.53250136098</v>
      </c>
      <c r="U25" s="1">
        <f>('RECEITAS - BLOCOS PAN'!T25-'OPEX - BLOCOS PAN'!T25-VLOOKUP('FLUXO DE CAIXA DESC.-BLOCOS PAN'!$D25,'CAPEX - BLOCOS PAN'!$C$3:$T$52,18,FALSE))*U$57</f>
        <v>-789489.67860631028</v>
      </c>
      <c r="V25" s="1">
        <f>('RECEITAS - BLOCOS PAN'!U25-'OPEX - BLOCOS PAN'!U25-VLOOKUP('FLUXO DE CAIXA DESC.-BLOCOS PAN'!$D25,'CAPEX - BLOCOS PAN'!$C$3:$U$52,19,FALSE))*V$57</f>
        <v>-718143.36822457425</v>
      </c>
      <c r="W25" s="1">
        <f>('RECEITAS - BLOCOS PAN'!V25-'OPEX - BLOCOS PAN'!V25-VLOOKUP('FLUXO DE CAIXA DESC.-BLOCOS PAN'!$D25,'CAPEX - BLOCOS PAN'!$C$3:$V$52,20,FALSE))*W$57</f>
        <v>-653324.24983918539</v>
      </c>
      <c r="X25" s="1">
        <f>('RECEITAS - BLOCOS PAN'!W25-'OPEX - BLOCOS PAN'!W25-VLOOKUP('FLUXO DE CAIXA DESC.-BLOCOS PAN'!$D25,'CAPEX - BLOCOS PAN'!$C$3:$W$52,21,FALSE))*X$57</f>
        <v>-594443.0432236325</v>
      </c>
      <c r="Y25" s="1">
        <f>('RECEITAS - BLOCOS PAN'!X25-'OPEX - BLOCOS PAN'!X25-VLOOKUP('FLUXO DE CAIXA DESC.-BLOCOS PAN'!$D25,'CAPEX - BLOCOS PAN'!$C$3:$X$52,22,FALSE))*Y$57</f>
        <v>-540869.63064060581</v>
      </c>
      <c r="Z25" s="1">
        <f>('RECEITAS - BLOCOS PAN'!Y25-'OPEX - BLOCOS PAN'!Y25-VLOOKUP('FLUXO DE CAIXA DESC.-BLOCOS PAN'!$D25,'CAPEX - BLOCOS PAN'!$C$3:$Y$52,23,FALSE))*Z$57</f>
        <v>-492064.83622107439</v>
      </c>
      <c r="AA25" s="1">
        <f>('RECEITAS - BLOCOS PAN'!Z25-'OPEX - BLOCOS PAN'!Z25-VLOOKUP('FLUXO DE CAIXA DESC.-BLOCOS PAN'!$D25,'CAPEX - BLOCOS PAN'!$C$3:$Z$52,24,FALSE))*AA$57</f>
        <v>-447622.80580098409</v>
      </c>
      <c r="AB25" s="1">
        <f>('RECEITAS - BLOCOS PAN'!AA25-'OPEX - BLOCOS PAN'!AA25-VLOOKUP('FLUXO DE CAIXA DESC.-BLOCOS PAN'!$D25,'CAPEX - BLOCOS PAN'!$C$3:$AA$52,25,FALSE))*AB$57</f>
        <v>-407270.57684588176</v>
      </c>
      <c r="AC25" s="1">
        <f>('RECEITAS - BLOCOS PAN'!AB25-'OPEX - BLOCOS PAN'!AB25-VLOOKUP('FLUXO DE CAIXA DESC.-BLOCOS PAN'!$D25,'CAPEX - BLOCOS PAN'!$C$3:$AB$52,26,FALSE))*AC$57</f>
        <v>-370591.1699948695</v>
      </c>
      <c r="AD25" s="1">
        <f>('RECEITAS - BLOCOS PAN'!AC25-'OPEX - BLOCOS PAN'!AC25-VLOOKUP('FLUXO DE CAIXA DESC.-BLOCOS PAN'!$D25,'CAPEX - BLOCOS PAN'!$C$3:$AC$52,27,FALSE))*AD$57</f>
        <v>-337217.97549920098</v>
      </c>
      <c r="AE25" s="1">
        <f>('RECEITAS - BLOCOS PAN'!AD25-'OPEX - BLOCOS PAN'!AD25-VLOOKUP('FLUXO DE CAIXA DESC.-BLOCOS PAN'!$D25,'CAPEX - BLOCOS PAN'!$C$3:$AD$52,28,FALSE))*AE$57</f>
        <v>-306895.94464715134</v>
      </c>
      <c r="AF25" s="1">
        <f>('RECEITAS - BLOCOS PAN'!AE25-'OPEX - BLOCOS PAN'!AE25-VLOOKUP('FLUXO DE CAIXA DESC.-BLOCOS PAN'!$D25,'CAPEX - BLOCOS PAN'!$C$3:$AE$52,29,FALSE))*AF$57</f>
        <v>-279336.65190731396</v>
      </c>
      <c r="AG25" s="1">
        <f>('RECEITAS - BLOCOS PAN'!AF25-'OPEX - BLOCOS PAN'!AF25-VLOOKUP('FLUXO DE CAIXA DESC.-BLOCOS PAN'!$D25,'CAPEX - BLOCOS PAN'!$C$3:$AF$52,30,FALSE))*AG$57</f>
        <v>-254284.19671355936</v>
      </c>
      <c r="AH25" s="1">
        <f>('RECEITAS - BLOCOS PAN'!AG25-'OPEX - BLOCOS PAN'!AG25-VLOOKUP('FLUXO DE CAIXA DESC.-BLOCOS PAN'!$D25,'CAPEX - BLOCOS PAN'!$C$3:$AG$52,31,FALSE))*AH$57</f>
        <v>-231478.349032742</v>
      </c>
      <c r="AI25" s="1">
        <f>('RECEITAS - BLOCOS PAN'!AH25-'OPEX - BLOCOS PAN'!AH25-VLOOKUP('FLUXO DE CAIXA DESC.-BLOCOS PAN'!$D25,'CAPEX - BLOCOS PAN'!$C$3:$AH$52,32,FALSE))*AI$57</f>
        <v>-210797.46643824957</v>
      </c>
      <c r="AJ25" s="1">
        <f>('RECEITAS - BLOCOS PAN'!AI25-'OPEX - BLOCOS PAN'!AI25-VLOOKUP('FLUXO DE CAIXA DESC.-BLOCOS PAN'!$D25,'CAPEX - BLOCOS PAN'!$C$3:$AI$52,33,FALSE))*AJ$57</f>
        <v>-191971.62893374971</v>
      </c>
      <c r="AK25" s="1">
        <f>('RECEITAS - BLOCOS PAN'!AJ25-'OPEX - BLOCOS PAN'!AJ25-VLOOKUP('FLUXO DE CAIXA DESC.-BLOCOS PAN'!$D25,'CAPEX - BLOCOS PAN'!$C$3:$AJ$52,34,FALSE))*AK$57</f>
        <v>-174827.28530913551</v>
      </c>
      <c r="AL25" s="1">
        <f>('RECEITAS - BLOCOS PAN'!AK25-'OPEX - BLOCOS PAN'!AK25-VLOOKUP('FLUXO DE CAIXA DESC.-BLOCOS PAN'!$D25,'CAPEX - BLOCOS PAN'!$C$3:$AK$52,35,FALSE))*AL$57</f>
        <v>-159209.12352715089</v>
      </c>
      <c r="AM25" s="44">
        <f t="shared" si="0"/>
        <v>-85322673.879978821</v>
      </c>
      <c r="AN25">
        <v>1</v>
      </c>
      <c r="AO25" t="s">
        <v>308</v>
      </c>
      <c r="AP25">
        <v>-4.8666666666666671</v>
      </c>
      <c r="AQ25">
        <v>-66.88333333333334</v>
      </c>
      <c r="AR25" s="48">
        <f>VLOOKUP(D25,'Projeção - Demanda PAX'!$C$3:$H$37,6,FALSE)</f>
        <v>21568</v>
      </c>
      <c r="AS25" s="1">
        <f t="shared" si="1"/>
        <v>-80323793.195243508</v>
      </c>
      <c r="AT25" t="str">
        <f>VLOOKUP(D25,'CAPEX - BLOCOS PAN (ANO A ANO)'!$C$3:$AV$52,46,FALSE)</f>
        <v>Privada</v>
      </c>
      <c r="AU25" t="str">
        <f>VLOOKUP(D25,'FLUXO DE CAIXA DESC.-SEM MULT.'!$D$3:$AT$52,43,FALSE)</f>
        <v>Bloco 1 - AC/AM</v>
      </c>
    </row>
    <row r="26" spans="1:47" x14ac:dyDescent="0.35">
      <c r="A26" t="s">
        <v>126</v>
      </c>
      <c r="B26" t="s">
        <v>175</v>
      </c>
      <c r="C26">
        <v>130140</v>
      </c>
      <c r="D26" t="s">
        <v>128</v>
      </c>
      <c r="E26" t="s">
        <v>127</v>
      </c>
      <c r="F26" t="s">
        <v>35</v>
      </c>
      <c r="G26" t="s">
        <v>259</v>
      </c>
      <c r="H26" t="s">
        <v>33</v>
      </c>
      <c r="I26" s="1">
        <f>('RECEITAS - BLOCOS PAN'!H26-'OPEX - BLOCOS PAN'!H26-VLOOKUP('FLUXO DE CAIXA DESC.-BLOCOS PAN'!$D26,'CAPEX - BLOCOS PAN'!$C$3:$H$52,6,FALSE))*I$57</f>
        <v>-14879548.6489</v>
      </c>
      <c r="J26" s="1">
        <f>('RECEITAS - BLOCOS PAN'!I26-'OPEX - BLOCOS PAN'!I26-VLOOKUP('FLUXO DE CAIXA DESC.-BLOCOS PAN'!$D26,'CAPEX - BLOCOS PAN'!$C$3:$I$52,7,FALSE))*J$57</f>
        <v>-13555672.983569147</v>
      </c>
      <c r="K26" s="1">
        <f>('RECEITAS - BLOCOS PAN'!J26-'OPEX - BLOCOS PAN'!J26-VLOOKUP('FLUXO DE CAIXA DESC.-BLOCOS PAN'!$D26,'CAPEX - BLOCOS PAN'!$C$3:$J$52,8,FALSE))*K$57</f>
        <v>-12355931.516112657</v>
      </c>
      <c r="L26" s="1">
        <f>('RECEITAS - BLOCOS PAN'!K26-'OPEX - BLOCOS PAN'!K26-VLOOKUP('FLUXO DE CAIXA DESC.-BLOCOS PAN'!$D26,'CAPEX - BLOCOS PAN'!$C$3:$K$52,9,FALSE))*L$57</f>
        <v>-1860403.5128070856</v>
      </c>
      <c r="M26" s="1">
        <f>('RECEITAS - BLOCOS PAN'!L26-'OPEX - BLOCOS PAN'!L26-VLOOKUP('FLUXO DE CAIXA DESC.-BLOCOS PAN'!$D26,'CAPEX - BLOCOS PAN'!$C$3:$L$52,10,FALSE))*M$57</f>
        <v>-1689651.0214463554</v>
      </c>
      <c r="N26" s="1">
        <f>('RECEITAS - BLOCOS PAN'!M26-'OPEX - BLOCOS PAN'!M26-VLOOKUP('FLUXO DE CAIXA DESC.-BLOCOS PAN'!$D26,'CAPEX - BLOCOS PAN'!$C$3:$M$52,11,FALSE))*N$57</f>
        <v>-1535486.3314707095</v>
      </c>
      <c r="O26" s="1">
        <f>('RECEITAS - BLOCOS PAN'!N26-'OPEX - BLOCOS PAN'!N26-VLOOKUP('FLUXO DE CAIXA DESC.-BLOCOS PAN'!$D26,'CAPEX - BLOCOS PAN'!$C$3:$N$52,12,FALSE))*O$57</f>
        <v>-1395914.0633645372</v>
      </c>
      <c r="P26" s="1">
        <f>('RECEITAS - BLOCOS PAN'!O26-'OPEX - BLOCOS PAN'!O26-VLOOKUP('FLUXO DE CAIXA DESC.-BLOCOS PAN'!$D26,'CAPEX - BLOCOS PAN'!$C$3:$O$52,13,FALSE))*P$57</f>
        <v>-1269331.7556830933</v>
      </c>
      <c r="Q26" s="1">
        <f>('RECEITAS - BLOCOS PAN'!P26-'OPEX - BLOCOS PAN'!P26-VLOOKUP('FLUXO DE CAIXA DESC.-BLOCOS PAN'!$D26,'CAPEX - BLOCOS PAN'!$C$3:$P$52,14,FALSE))*Q$57</f>
        <v>-1154659.1791437489</v>
      </c>
      <c r="R26" s="1">
        <f>('RECEITAS - BLOCOS PAN'!Q26-'OPEX - BLOCOS PAN'!Q26-VLOOKUP('FLUXO DE CAIXA DESC.-BLOCOS PAN'!$D26,'CAPEX - BLOCOS PAN'!$C$3:$Q$52,15,FALSE))*R$57</f>
        <v>-1050740.5023866126</v>
      </c>
      <c r="S26" s="1">
        <f>('RECEITAS - BLOCOS PAN'!R26-'OPEX - BLOCOS PAN'!R26-VLOOKUP('FLUXO DE CAIXA DESC.-BLOCOS PAN'!$D26,'CAPEX - BLOCOS PAN'!$C$3:$R$52,16,FALSE))*S$57</f>
        <v>-956488.50867943396</v>
      </c>
      <c r="T26" s="1">
        <f>('RECEITAS - BLOCOS PAN'!S26-'OPEX - BLOCOS PAN'!S26-VLOOKUP('FLUXO DE CAIXA DESC.-BLOCOS PAN'!$D26,'CAPEX - BLOCOS PAN'!$C$3:$S$52,17,FALSE))*T$57</f>
        <v>-870752.62679456046</v>
      </c>
      <c r="U26" s="1">
        <f>('RECEITAS - BLOCOS PAN'!T26-'OPEX - BLOCOS PAN'!T26-VLOOKUP('FLUXO DE CAIXA DESC.-BLOCOS PAN'!$D26,'CAPEX - BLOCOS PAN'!$C$3:$T$52,18,FALSE))*U$57</f>
        <v>-792762.98418570461</v>
      </c>
      <c r="V26" s="1">
        <f>('RECEITAS - BLOCOS PAN'!U26-'OPEX - BLOCOS PAN'!U26-VLOOKUP('FLUXO DE CAIXA DESC.-BLOCOS PAN'!$D26,'CAPEX - BLOCOS PAN'!$C$3:$U$52,19,FALSE))*V$57</f>
        <v>-721734.52078487724</v>
      </c>
      <c r="W26" s="1">
        <f>('RECEITAS - BLOCOS PAN'!V26-'OPEX - BLOCOS PAN'!V26-VLOOKUP('FLUXO DE CAIXA DESC.-BLOCOS PAN'!$D26,'CAPEX - BLOCOS PAN'!$C$3:$V$52,20,FALSE))*W$57</f>
        <v>-657062.57771452679</v>
      </c>
      <c r="X26" s="1">
        <f>('RECEITAS - BLOCOS PAN'!W26-'OPEX - BLOCOS PAN'!W26-VLOOKUP('FLUXO DE CAIXA DESC.-BLOCOS PAN'!$D26,'CAPEX - BLOCOS PAN'!$C$3:$W$52,21,FALSE))*X$57</f>
        <v>-598261.60522971326</v>
      </c>
      <c r="Y26" s="1">
        <f>('RECEITAS - BLOCOS PAN'!X26-'OPEX - BLOCOS PAN'!X26-VLOOKUP('FLUXO DE CAIXA DESC.-BLOCOS PAN'!$D26,'CAPEX - BLOCOS PAN'!$C$3:$X$52,22,FALSE))*Y$57</f>
        <v>-544668.11181281938</v>
      </c>
      <c r="Z26" s="1">
        <f>('RECEITAS - BLOCOS PAN'!Y26-'OPEX - BLOCOS PAN'!Y26-VLOOKUP('FLUXO DE CAIXA DESC.-BLOCOS PAN'!$D26,'CAPEX - BLOCOS PAN'!$C$3:$Y$52,23,FALSE))*Z$57</f>
        <v>-495880.73149804882</v>
      </c>
      <c r="AA26" s="1">
        <f>('RECEITAS - BLOCOS PAN'!Z26-'OPEX - BLOCOS PAN'!Z26-VLOOKUP('FLUXO DE CAIXA DESC.-BLOCOS PAN'!$D26,'CAPEX - BLOCOS PAN'!$C$3:$Z$52,24,FALSE))*AA$57</f>
        <v>-451414.62275020825</v>
      </c>
      <c r="AB26" s="1">
        <f>('RECEITAS - BLOCOS PAN'!AA26-'OPEX - BLOCOS PAN'!AA26-VLOOKUP('FLUXO DE CAIXA DESC.-BLOCOS PAN'!$D26,'CAPEX - BLOCOS PAN'!$C$3:$AA$52,25,FALSE))*AB$57</f>
        <v>-411001.08210929594</v>
      </c>
      <c r="AC26" s="1">
        <f>('RECEITAS - BLOCOS PAN'!AB26-'OPEX - BLOCOS PAN'!AB26-VLOOKUP('FLUXO DE CAIXA DESC.-BLOCOS PAN'!$D26,'CAPEX - BLOCOS PAN'!$C$3:$AB$52,26,FALSE))*AC$57</f>
        <v>-374228.50437872572</v>
      </c>
      <c r="AD26" s="1">
        <f>('RECEITAS - BLOCOS PAN'!AC26-'OPEX - BLOCOS PAN'!AC26-VLOOKUP('FLUXO DE CAIXA DESC.-BLOCOS PAN'!$D26,'CAPEX - BLOCOS PAN'!$C$3:$AC$52,27,FALSE))*AD$57</f>
        <v>-340722.76971094316</v>
      </c>
      <c r="AE26" s="1">
        <f>('RECEITAS - BLOCOS PAN'!AD26-'OPEX - BLOCOS PAN'!AD26-VLOOKUP('FLUXO DE CAIXA DESC.-BLOCOS PAN'!$D26,'CAPEX - BLOCOS PAN'!$C$3:$AD$52,28,FALSE))*AE$57</f>
        <v>-310253.19390987814</v>
      </c>
      <c r="AF26" s="1">
        <f>('RECEITAS - BLOCOS PAN'!AE26-'OPEX - BLOCOS PAN'!AE26-VLOOKUP('FLUXO DE CAIXA DESC.-BLOCOS PAN'!$D26,'CAPEX - BLOCOS PAN'!$C$3:$AE$52,29,FALSE))*AF$57</f>
        <v>-282466.376588516</v>
      </c>
      <c r="AG26" s="1">
        <f>('RECEITAS - BLOCOS PAN'!AF26-'OPEX - BLOCOS PAN'!AF26-VLOOKUP('FLUXO DE CAIXA DESC.-BLOCOS PAN'!$D26,'CAPEX - BLOCOS PAN'!$C$3:$AF$52,30,FALSE))*AG$57</f>
        <v>-257198.46520701228</v>
      </c>
      <c r="AH26" s="1">
        <f>('RECEITAS - BLOCOS PAN'!AG26-'OPEX - BLOCOS PAN'!AG26-VLOOKUP('FLUXO DE CAIXA DESC.-BLOCOS PAN'!$D26,'CAPEX - BLOCOS PAN'!$C$3:$AG$52,31,FALSE))*AH$57</f>
        <v>-234187.9539435003</v>
      </c>
      <c r="AI26" s="1">
        <f>('RECEITAS - BLOCOS PAN'!AH26-'OPEX - BLOCOS PAN'!AH26-VLOOKUP('FLUXO DE CAIXA DESC.-BLOCOS PAN'!$D26,'CAPEX - BLOCOS PAN'!$C$3:$AH$52,32,FALSE))*AI$57</f>
        <v>-213260.96573891374</v>
      </c>
      <c r="AJ26" s="1">
        <f>('RECEITAS - BLOCOS PAN'!AI26-'OPEX - BLOCOS PAN'!AI26-VLOOKUP('FLUXO DE CAIXA DESC.-BLOCOS PAN'!$D26,'CAPEX - BLOCOS PAN'!$C$3:$AI$52,33,FALSE))*AJ$57</f>
        <v>-194228.86984931375</v>
      </c>
      <c r="AK26" s="1">
        <f>('RECEITAS - BLOCOS PAN'!AJ26-'OPEX - BLOCOS PAN'!AJ26-VLOOKUP('FLUXO DE CAIXA DESC.-BLOCOS PAN'!$D26,'CAPEX - BLOCOS PAN'!$C$3:$AJ$52,34,FALSE))*AK$57</f>
        <v>-188085.77922700293</v>
      </c>
      <c r="AL26" s="1">
        <f>('RECEITAS - BLOCOS PAN'!AK26-'OPEX - BLOCOS PAN'!AK26-VLOOKUP('FLUXO DE CAIXA DESC.-BLOCOS PAN'!$D26,'CAPEX - BLOCOS PAN'!$C$3:$AK$52,35,FALSE))*AL$57</f>
        <v>-171314.80107467866</v>
      </c>
      <c r="AM26" s="44">
        <f t="shared" si="0"/>
        <v>-59813314.566071622</v>
      </c>
      <c r="AN26">
        <v>1</v>
      </c>
      <c r="AO26" t="s">
        <v>308</v>
      </c>
      <c r="AP26">
        <v>-6.6333333333333329</v>
      </c>
      <c r="AQ26">
        <v>-69.86666666666666</v>
      </c>
      <c r="AR26" s="48">
        <f>VLOOKUP(D26,'Projeção - Demanda PAX'!$C$3:$H$37,6,FALSE)</f>
        <v>13770</v>
      </c>
      <c r="AS26" s="1">
        <f t="shared" si="1"/>
        <v>-54746140.733043052</v>
      </c>
      <c r="AT26" t="str">
        <f>VLOOKUP(D26,'CAPEX - BLOCOS PAN (ANO A ANO)'!$C$3:$AV$52,46,FALSE)</f>
        <v>Privada</v>
      </c>
      <c r="AU26" t="str">
        <f>VLOOKUP(D26,'FLUXO DE CAIXA DESC.-SEM MULT.'!$D$3:$AT$52,43,FALSE)</f>
        <v>Bloco 1 - AC/AM</v>
      </c>
    </row>
    <row r="27" spans="1:47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257</v>
      </c>
      <c r="H27" t="s">
        <v>33</v>
      </c>
      <c r="I27" s="1">
        <f>('RECEITAS - BLOCOS PAN'!H27-'OPEX - BLOCOS PAN'!H27-VLOOKUP('FLUXO DE CAIXA DESC.-BLOCOS PAN'!$D27,'CAPEX - BLOCOS PAN'!$C$3:$H$52,6,FALSE))*I$57</f>
        <v>-32570421.112099998</v>
      </c>
      <c r="J27" s="1">
        <f>('RECEITAS - BLOCOS PAN'!I27-'OPEX - BLOCOS PAN'!I27-VLOOKUP('FLUXO DE CAIXA DESC.-BLOCOS PAN'!$D27,'CAPEX - BLOCOS PAN'!$C$3:$I$52,7,FALSE))*J$57</f>
        <v>-29699389.558922868</v>
      </c>
      <c r="K27" s="1">
        <f>('RECEITAS - BLOCOS PAN'!J27-'OPEX - BLOCOS PAN'!J27-VLOOKUP('FLUXO DE CAIXA DESC.-BLOCOS PAN'!$D27,'CAPEX - BLOCOS PAN'!$C$3:$J$52,8,FALSE))*K$57</f>
        <v>-27087599.985834755</v>
      </c>
      <c r="L27" s="1">
        <f>('RECEITAS - BLOCOS PAN'!K27-'OPEX - BLOCOS PAN'!K27-VLOOKUP('FLUXO DE CAIXA DESC.-BLOCOS PAN'!$D27,'CAPEX - BLOCOS PAN'!$C$3:$K$52,9,FALSE))*L$57</f>
        <v>-2451881.4957017577</v>
      </c>
      <c r="M27" s="1">
        <f>('RECEITAS - BLOCOS PAN'!L27-'OPEX - BLOCOS PAN'!L27-VLOOKUP('FLUXO DE CAIXA DESC.-BLOCOS PAN'!$D27,'CAPEX - BLOCOS PAN'!$C$3:$L$52,10,FALSE))*M$57</f>
        <v>-2226314.0728930021</v>
      </c>
      <c r="N27" s="1">
        <f>('RECEITAS - BLOCOS PAN'!M27-'OPEX - BLOCOS PAN'!M27-VLOOKUP('FLUXO DE CAIXA DESC.-BLOCOS PAN'!$D27,'CAPEX - BLOCOS PAN'!$C$3:$M$52,11,FALSE))*N$57</f>
        <v>-2022411.0323557649</v>
      </c>
      <c r="O27" s="1">
        <f>('RECEITAS - BLOCOS PAN'!N27-'OPEX - BLOCOS PAN'!N27-VLOOKUP('FLUXO DE CAIXA DESC.-BLOCOS PAN'!$D27,'CAPEX - BLOCOS PAN'!$C$3:$N$52,12,FALSE))*O$57</f>
        <v>-1837462.6061173684</v>
      </c>
      <c r="P27" s="1">
        <f>('RECEITAS - BLOCOS PAN'!O27-'OPEX - BLOCOS PAN'!O27-VLOOKUP('FLUXO DE CAIXA DESC.-BLOCOS PAN'!$D27,'CAPEX - BLOCOS PAN'!$C$3:$O$52,13,FALSE))*P$57</f>
        <v>-1752672.3170763515</v>
      </c>
      <c r="Q27" s="1">
        <f>('RECEITAS - BLOCOS PAN'!P27-'OPEX - BLOCOS PAN'!P27-VLOOKUP('FLUXO DE CAIXA DESC.-BLOCOS PAN'!$D27,'CAPEX - BLOCOS PAN'!$C$3:$P$52,14,FALSE))*Q$57</f>
        <v>-1592933.4387409582</v>
      </c>
      <c r="R27" s="1">
        <f>('RECEITAS - BLOCOS PAN'!Q27-'OPEX - BLOCOS PAN'!Q27-VLOOKUP('FLUXO DE CAIXA DESC.-BLOCOS PAN'!$D27,'CAPEX - BLOCOS PAN'!$C$3:$Q$52,15,FALSE))*R$57</f>
        <v>-1448183.6939283856</v>
      </c>
      <c r="S27" s="1">
        <f>('RECEITAS - BLOCOS PAN'!R27-'OPEX - BLOCOS PAN'!R27-VLOOKUP('FLUXO DE CAIXA DESC.-BLOCOS PAN'!$D27,'CAPEX - BLOCOS PAN'!$C$3:$R$52,16,FALSE))*S$57</f>
        <v>-1316938.1719811151</v>
      </c>
      <c r="T27" s="1">
        <f>('RECEITAS - BLOCOS PAN'!S27-'OPEX - BLOCOS PAN'!S27-VLOOKUP('FLUXO DE CAIXA DESC.-BLOCOS PAN'!$D27,'CAPEX - BLOCOS PAN'!$C$3:$S$52,17,FALSE))*T$57</f>
        <v>-1197580.0756358933</v>
      </c>
      <c r="U27" s="1">
        <f>('RECEITAS - BLOCOS PAN'!T27-'OPEX - BLOCOS PAN'!T27-VLOOKUP('FLUXO DE CAIXA DESC.-BLOCOS PAN'!$D27,'CAPEX - BLOCOS PAN'!$C$3:$T$52,18,FALSE))*U$57</f>
        <v>-1089071.7426114383</v>
      </c>
      <c r="V27" s="1">
        <f>('RECEITAS - BLOCOS PAN'!U27-'OPEX - BLOCOS PAN'!U27-VLOOKUP('FLUXO DE CAIXA DESC.-BLOCOS PAN'!$D27,'CAPEX - BLOCOS PAN'!$C$3:$U$52,19,FALSE))*V$57</f>
        <v>-990302.63189479942</v>
      </c>
      <c r="W27" s="1">
        <f>('RECEITAS - BLOCOS PAN'!V27-'OPEX - BLOCOS PAN'!V27-VLOOKUP('FLUXO DE CAIXA DESC.-BLOCOS PAN'!$D27,'CAPEX - BLOCOS PAN'!$C$3:$V$52,20,FALSE))*W$57</f>
        <v>-900537.00261945825</v>
      </c>
      <c r="X27" s="1">
        <f>('RECEITAS - BLOCOS PAN'!W27-'OPEX - BLOCOS PAN'!W27-VLOOKUP('FLUXO DE CAIXA DESC.-BLOCOS PAN'!$D27,'CAPEX - BLOCOS PAN'!$C$3:$W$52,21,FALSE))*X$57</f>
        <v>-818852.66177316103</v>
      </c>
      <c r="Y27" s="1">
        <f>('RECEITAS - BLOCOS PAN'!X27-'OPEX - BLOCOS PAN'!X27-VLOOKUP('FLUXO DE CAIXA DESC.-BLOCOS PAN'!$D27,'CAPEX - BLOCOS PAN'!$C$3:$X$52,22,FALSE))*Y$57</f>
        <v>-744589.72068105242</v>
      </c>
      <c r="Z27" s="1">
        <f>('RECEITAS - BLOCOS PAN'!Y27-'OPEX - BLOCOS PAN'!Y27-VLOOKUP('FLUXO DE CAIXA DESC.-BLOCOS PAN'!$D27,'CAPEX - BLOCOS PAN'!$C$3:$Y$52,23,FALSE))*Z$57</f>
        <v>-676963.80667391396</v>
      </c>
      <c r="AA27" s="1">
        <f>('RECEITAS - BLOCOS PAN'!Z27-'OPEX - BLOCOS PAN'!Z27-VLOOKUP('FLUXO DE CAIXA DESC.-BLOCOS PAN'!$D27,'CAPEX - BLOCOS PAN'!$C$3:$Z$52,24,FALSE))*AA$57</f>
        <v>-615434.27637550095</v>
      </c>
      <c r="AB27" s="1">
        <f>('RECEITAS - BLOCOS PAN'!AA27-'OPEX - BLOCOS PAN'!AA27-VLOOKUP('FLUXO DE CAIXA DESC.-BLOCOS PAN'!$D27,'CAPEX - BLOCOS PAN'!$C$3:$AA$52,25,FALSE))*AB$57</f>
        <v>-559462.46127295902</v>
      </c>
      <c r="AC27" s="1">
        <f>('RECEITAS - BLOCOS PAN'!AB27-'OPEX - BLOCOS PAN'!AB27-VLOOKUP('FLUXO DE CAIXA DESC.-BLOCOS PAN'!$D27,'CAPEX - BLOCOS PAN'!$C$3:$AB$52,26,FALSE))*AC$57</f>
        <v>-508636.77060871909</v>
      </c>
      <c r="AD27" s="1">
        <f>('RECEITAS - BLOCOS PAN'!AC27-'OPEX - BLOCOS PAN'!AC27-VLOOKUP('FLUXO DE CAIXA DESC.-BLOCOS PAN'!$D27,'CAPEX - BLOCOS PAN'!$C$3:$AC$52,27,FALSE))*AD$57</f>
        <v>-462402.11025235039</v>
      </c>
      <c r="AE27" s="1">
        <f>('RECEITAS - BLOCOS PAN'!AD27-'OPEX - BLOCOS PAN'!AD27-VLOOKUP('FLUXO DE CAIXA DESC.-BLOCOS PAN'!$D27,'CAPEX - BLOCOS PAN'!$C$3:$AD$52,28,FALSE))*AE$57</f>
        <v>-420376.41764420917</v>
      </c>
      <c r="AF27" s="1">
        <f>('RECEITAS - BLOCOS PAN'!AE27-'OPEX - BLOCOS PAN'!AE27-VLOOKUP('FLUXO DE CAIXA DESC.-BLOCOS PAN'!$D27,'CAPEX - BLOCOS PAN'!$C$3:$AE$52,29,FALSE))*AF$57</f>
        <v>-382162.13792623754</v>
      </c>
      <c r="AG27" s="1">
        <f>('RECEITAS - BLOCOS PAN'!AF27-'OPEX - BLOCOS PAN'!AF27-VLOOKUP('FLUXO DE CAIXA DESC.-BLOCOS PAN'!$D27,'CAPEX - BLOCOS PAN'!$C$3:$AF$52,30,FALSE))*AG$57</f>
        <v>-347438.31270827627</v>
      </c>
      <c r="AH27" s="1">
        <f>('RECEITAS - BLOCOS PAN'!AG27-'OPEX - BLOCOS PAN'!AG27-VLOOKUP('FLUXO DE CAIXA DESC.-BLOCOS PAN'!$D27,'CAPEX - BLOCOS PAN'!$C$3:$AG$52,31,FALSE))*AH$57</f>
        <v>-315848.24475288729</v>
      </c>
      <c r="AI27" s="1">
        <f>('RECEITAS - BLOCOS PAN'!AH27-'OPEX - BLOCOS PAN'!AH27-VLOOKUP('FLUXO DE CAIXA DESC.-BLOCOS PAN'!$D27,'CAPEX - BLOCOS PAN'!$C$3:$AH$52,32,FALSE))*AI$57</f>
        <v>-287172.20205644018</v>
      </c>
      <c r="AJ27" s="1">
        <f>('RECEITAS - BLOCOS PAN'!AI27-'OPEX - BLOCOS PAN'!AI27-VLOOKUP('FLUXO DE CAIXA DESC.-BLOCOS PAN'!$D27,'CAPEX - BLOCOS PAN'!$C$3:$AI$52,33,FALSE))*AJ$57</f>
        <v>-261083.33786776965</v>
      </c>
      <c r="AK27" s="1">
        <f>('RECEITAS - BLOCOS PAN'!AJ27-'OPEX - BLOCOS PAN'!AJ27-VLOOKUP('FLUXO DE CAIXA DESC.-BLOCOS PAN'!$D27,'CAPEX - BLOCOS PAN'!$C$3:$AJ$52,34,FALSE))*AK$57</f>
        <v>-237344.07087752133</v>
      </c>
      <c r="AL27" s="1">
        <f>('RECEITAS - BLOCOS PAN'!AK27-'OPEX - BLOCOS PAN'!AK27-VLOOKUP('FLUXO DE CAIXA DESC.-BLOCOS PAN'!$D27,'CAPEX - BLOCOS PAN'!$C$3:$AK$52,35,FALSE))*AL$57</f>
        <v>-215745.52023151531</v>
      </c>
      <c r="AM27" s="44">
        <f t="shared" si="0"/>
        <v>-115037210.99011642</v>
      </c>
      <c r="AN27">
        <v>1</v>
      </c>
      <c r="AO27" t="s">
        <v>315</v>
      </c>
      <c r="AP27">
        <v>-13.566666666666666</v>
      </c>
      <c r="AQ27">
        <v>-52.266666666666666</v>
      </c>
      <c r="AR27" s="48">
        <f>VLOOKUP(D27,'Projeção - Demanda PAX'!$C$3:$H$37,6,FALSE)</f>
        <v>20223</v>
      </c>
      <c r="AS27" s="1">
        <f t="shared" si="1"/>
        <v>-108183698.93841392</v>
      </c>
      <c r="AT27" t="str">
        <f>VLOOKUP(D27,'CAPEX - BLOCOS PAN (ANO A ANO)'!$C$3:$AV$52,46,FALSE)</f>
        <v>Privada</v>
      </c>
      <c r="AU27" t="str">
        <f>VLOOKUP(D27,'FLUXO DE CAIXA DESC.-SEM MULT.'!$D$3:$AT$52,43,FALSE)</f>
        <v>Bloco 11 - MT2</v>
      </c>
    </row>
    <row r="28" spans="1:47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259</v>
      </c>
      <c r="H28" t="s">
        <v>33</v>
      </c>
      <c r="I28" s="1">
        <f>('RECEITAS - BLOCOS PAN'!H28-'OPEX - BLOCOS PAN'!H28-VLOOKUP('FLUXO DE CAIXA DESC.-BLOCOS PAN'!$D28,'CAPEX - BLOCOS PAN'!$C$3:$H$52,6,FALSE))*I$57</f>
        <v>-35210191.359099999</v>
      </c>
      <c r="J28" s="1">
        <f>('RECEITAS - BLOCOS PAN'!I28-'OPEX - BLOCOS PAN'!I28-VLOOKUP('FLUXO DE CAIXA DESC.-BLOCOS PAN'!$D28,'CAPEX - BLOCOS PAN'!$C$3:$I$52,7,FALSE))*J$57</f>
        <v>-32254297.374532178</v>
      </c>
      <c r="K28" s="1">
        <f>('RECEITAS - BLOCOS PAN'!J28-'OPEX - BLOCOS PAN'!J28-VLOOKUP('FLUXO DE CAIXA DESC.-BLOCOS PAN'!$D28,'CAPEX - BLOCOS PAN'!$C$3:$J$52,8,FALSE))*K$57</f>
        <v>-29403026.590543747</v>
      </c>
      <c r="L28" s="1">
        <f>('RECEITAS - BLOCOS PAN'!K28-'OPEX - BLOCOS PAN'!K28-VLOOKUP('FLUXO DE CAIXA DESC.-BLOCOS PAN'!$D28,'CAPEX - BLOCOS PAN'!$C$3:$K$52,9,FALSE))*L$57</f>
        <v>-2180985.3398371106</v>
      </c>
      <c r="M28" s="1">
        <f>('RECEITAS - BLOCOS PAN'!L28-'OPEX - BLOCOS PAN'!L28-VLOOKUP('FLUXO DE CAIXA DESC.-BLOCOS PAN'!$D28,'CAPEX - BLOCOS PAN'!$C$3:$L$52,10,FALSE))*M$57</f>
        <v>-1973343.650824792</v>
      </c>
      <c r="N28" s="1">
        <f>('RECEITAS - BLOCOS PAN'!M28-'OPEX - BLOCOS PAN'!M28-VLOOKUP('FLUXO DE CAIXA DESC.-BLOCOS PAN'!$D28,'CAPEX - BLOCOS PAN'!$C$3:$M$52,11,FALSE))*N$57</f>
        <v>-1787435.6808767573</v>
      </c>
      <c r="O28" s="1">
        <f>('RECEITAS - BLOCOS PAN'!N28-'OPEX - BLOCOS PAN'!N28-VLOOKUP('FLUXO DE CAIXA DESC.-BLOCOS PAN'!$D28,'CAPEX - BLOCOS PAN'!$C$3:$N$52,12,FALSE))*O$57</f>
        <v>-1619951.0439816669</v>
      </c>
      <c r="P28" s="1">
        <f>('RECEITAS - BLOCOS PAN'!O28-'OPEX - BLOCOS PAN'!O28-VLOOKUP('FLUXO DE CAIXA DESC.-BLOCOS PAN'!$D28,'CAPEX - BLOCOS PAN'!$C$3:$O$52,13,FALSE))*P$57</f>
        <v>-1468731.2062063063</v>
      </c>
      <c r="Q28" s="1">
        <f>('RECEITAS - BLOCOS PAN'!P28-'OPEX - BLOCOS PAN'!P28-VLOOKUP('FLUXO DE CAIXA DESC.-BLOCOS PAN'!$D28,'CAPEX - BLOCOS PAN'!$C$3:$P$52,14,FALSE))*Q$57</f>
        <v>-1332301.282718627</v>
      </c>
      <c r="R28" s="1">
        <f>('RECEITAS - BLOCOS PAN'!Q28-'OPEX - BLOCOS PAN'!Q28-VLOOKUP('FLUXO DE CAIXA DESC.-BLOCOS PAN'!$D28,'CAPEX - BLOCOS PAN'!$C$3:$Q$52,15,FALSE))*R$57</f>
        <v>-1209318.6126665354</v>
      </c>
      <c r="S28" s="1">
        <f>('RECEITAS - BLOCOS PAN'!R28-'OPEX - BLOCOS PAN'!R28-VLOOKUP('FLUXO DE CAIXA DESC.-BLOCOS PAN'!$D28,'CAPEX - BLOCOS PAN'!$C$3:$R$52,16,FALSE))*S$57</f>
        <v>-1098156.9531645791</v>
      </c>
      <c r="T28" s="1">
        <f>('RECEITAS - BLOCOS PAN'!S28-'OPEX - BLOCOS PAN'!S28-VLOOKUP('FLUXO DE CAIXA DESC.-BLOCOS PAN'!$D28,'CAPEX - BLOCOS PAN'!$C$3:$S$52,17,FALSE))*T$57</f>
        <v>-997238.41874834441</v>
      </c>
      <c r="U28" s="1">
        <f>('RECEITAS - BLOCOS PAN'!T28-'OPEX - BLOCOS PAN'!T28-VLOOKUP('FLUXO DE CAIXA DESC.-BLOCOS PAN'!$D28,'CAPEX - BLOCOS PAN'!$C$3:$T$52,18,FALSE))*U$57</f>
        <v>-905645.96933107637</v>
      </c>
      <c r="V28" s="1">
        <f>('RECEITAS - BLOCOS PAN'!U28-'OPEX - BLOCOS PAN'!U28-VLOOKUP('FLUXO DE CAIXA DESC.-BLOCOS PAN'!$D28,'CAPEX - BLOCOS PAN'!$C$3:$U$52,19,FALSE))*V$57</f>
        <v>-822326.74022656947</v>
      </c>
      <c r="W28" s="1">
        <f>('RECEITAS - BLOCOS PAN'!V28-'OPEX - BLOCOS PAN'!V28-VLOOKUP('FLUXO DE CAIXA DESC.-BLOCOS PAN'!$D28,'CAPEX - BLOCOS PAN'!$C$3:$V$52,20,FALSE))*W$57</f>
        <v>-746782.82999570156</v>
      </c>
      <c r="X28" s="1">
        <f>('RECEITAS - BLOCOS PAN'!W28-'OPEX - BLOCOS PAN'!W28-VLOOKUP('FLUXO DE CAIXA DESC.-BLOCOS PAN'!$D28,'CAPEX - BLOCOS PAN'!$C$3:$W$52,21,FALSE))*X$57</f>
        <v>-831370.14235730213</v>
      </c>
      <c r="Y28" s="1">
        <f>('RECEITAS - BLOCOS PAN'!X28-'OPEX - BLOCOS PAN'!X28-VLOOKUP('FLUXO DE CAIXA DESC.-BLOCOS PAN'!$D28,'CAPEX - BLOCOS PAN'!$C$3:$X$52,22,FALSE))*Y$57</f>
        <v>-755404.65330882184</v>
      </c>
      <c r="Z28" s="1">
        <f>('RECEITAS - BLOCOS PAN'!Y28-'OPEX - BLOCOS PAN'!Y28-VLOOKUP('FLUXO DE CAIXA DESC.-BLOCOS PAN'!$D28,'CAPEX - BLOCOS PAN'!$C$3:$Y$52,23,FALSE))*Z$57</f>
        <v>-686236.47908948513</v>
      </c>
      <c r="AA28" s="1">
        <f>('RECEITAS - BLOCOS PAN'!Z28-'OPEX - BLOCOS PAN'!Z28-VLOOKUP('FLUXO DE CAIXA DESC.-BLOCOS PAN'!$D28,'CAPEX - BLOCOS PAN'!$C$3:$Z$52,24,FALSE))*AA$57</f>
        <v>-623387.94065345323</v>
      </c>
      <c r="AB28" s="1">
        <f>('RECEITAS - BLOCOS PAN'!AA28-'OPEX - BLOCOS PAN'!AA28-VLOOKUP('FLUXO DE CAIXA DESC.-BLOCOS PAN'!$D28,'CAPEX - BLOCOS PAN'!$C$3:$AA$52,25,FALSE))*AB$57</f>
        <v>-566229.8585824141</v>
      </c>
      <c r="AC28" s="1">
        <f>('RECEITAS - BLOCOS PAN'!AB28-'OPEX - BLOCOS PAN'!AB28-VLOOKUP('FLUXO DE CAIXA DESC.-BLOCOS PAN'!$D28,'CAPEX - BLOCOS PAN'!$C$3:$AB$52,26,FALSE))*AC$57</f>
        <v>-514400.65224828728</v>
      </c>
      <c r="AD28" s="1">
        <f>('RECEITAS - BLOCOS PAN'!AC28-'OPEX - BLOCOS PAN'!AC28-VLOOKUP('FLUXO DE CAIXA DESC.-BLOCOS PAN'!$D28,'CAPEX - BLOCOS PAN'!$C$3:$AC$52,27,FALSE))*AD$57</f>
        <v>-467281.40202188218</v>
      </c>
      <c r="AE28" s="1">
        <f>('RECEITAS - BLOCOS PAN'!AD28-'OPEX - BLOCOS PAN'!AD28-VLOOKUP('FLUXO DE CAIXA DESC.-BLOCOS PAN'!$D28,'CAPEX - BLOCOS PAN'!$C$3:$AD$52,28,FALSE))*AE$57</f>
        <v>-424524.52677457256</v>
      </c>
      <c r="AF28" s="1">
        <f>('RECEITAS - BLOCOS PAN'!AE28-'OPEX - BLOCOS PAN'!AE28-VLOOKUP('FLUXO DE CAIXA DESC.-BLOCOS PAN'!$D28,'CAPEX - BLOCOS PAN'!$C$3:$AE$52,29,FALSE))*AF$57</f>
        <v>-385762.63235214446</v>
      </c>
      <c r="AG28" s="1">
        <f>('RECEITAS - BLOCOS PAN'!AF28-'OPEX - BLOCOS PAN'!AF28-VLOOKUP('FLUXO DE CAIXA DESC.-BLOCOS PAN'!$D28,'CAPEX - BLOCOS PAN'!$C$3:$AF$52,30,FALSE))*AG$57</f>
        <v>-350593.57128322107</v>
      </c>
      <c r="AH28" s="1">
        <f>('RECEITAS - BLOCOS PAN'!AG28-'OPEX - BLOCOS PAN'!AG28-VLOOKUP('FLUXO DE CAIXA DESC.-BLOCOS PAN'!$D28,'CAPEX - BLOCOS PAN'!$C$3:$AG$52,31,FALSE))*AH$57</f>
        <v>-318597.2136082853</v>
      </c>
      <c r="AI28" s="1">
        <f>('RECEITAS - BLOCOS PAN'!AH28-'OPEX - BLOCOS PAN'!AH28-VLOOKUP('FLUXO DE CAIXA DESC.-BLOCOS PAN'!$D28,'CAPEX - BLOCOS PAN'!$C$3:$AH$52,32,FALSE))*AI$57</f>
        <v>-289612.54204448324</v>
      </c>
      <c r="AJ28" s="1">
        <f>('RECEITAS - BLOCOS PAN'!AI28-'OPEX - BLOCOS PAN'!AI28-VLOOKUP('FLUXO DE CAIXA DESC.-BLOCOS PAN'!$D28,'CAPEX - BLOCOS PAN'!$C$3:$AI$52,33,FALSE))*AJ$57</f>
        <v>-263280.02157942182</v>
      </c>
      <c r="AK28" s="1">
        <f>('RECEITAS - BLOCOS PAN'!AJ28-'OPEX - BLOCOS PAN'!AJ28-VLOOKUP('FLUXO DE CAIXA DESC.-BLOCOS PAN'!$D28,'CAPEX - BLOCOS PAN'!$C$3:$AJ$52,34,FALSE))*AK$57</f>
        <v>-239325.58864835554</v>
      </c>
      <c r="AL28" s="1">
        <f>('RECEITAS - BLOCOS PAN'!AK28-'OPEX - BLOCOS PAN'!AK28-VLOOKUP('FLUXO DE CAIXA DESC.-BLOCOS PAN'!$D28,'CAPEX - BLOCOS PAN'!$C$3:$AK$52,35,FALSE))*AL$57</f>
        <v>-217532.49579601921</v>
      </c>
      <c r="AM28" s="44">
        <f t="shared" si="0"/>
        <v>-119943272.77310213</v>
      </c>
      <c r="AN28">
        <v>1</v>
      </c>
      <c r="AO28" t="s">
        <v>316</v>
      </c>
      <c r="AP28">
        <v>-7.2166666666666668</v>
      </c>
      <c r="AQ28">
        <v>-48.233333333333334</v>
      </c>
      <c r="AR28" s="48">
        <f>VLOOKUP(D28,'Projeção - Demanda PAX'!$C$3:$H$37,6,FALSE)</f>
        <v>25831</v>
      </c>
      <c r="AS28" s="1">
        <f t="shared" si="1"/>
        <v>-113009733.05275398</v>
      </c>
      <c r="AT28" t="str">
        <f>VLOOKUP(D28,'CAPEX - BLOCOS PAN (ANO A ANO)'!$C$3:$AV$52,46,FALSE)</f>
        <v>Privada</v>
      </c>
      <c r="AU28" t="str">
        <f>VLOOKUP(D28,'FLUXO DE CAIXA DESC.-SEM MULT.'!$D$3:$AT$52,43,FALSE)</f>
        <v>Bloco 9 - MA/TO</v>
      </c>
    </row>
    <row r="29" spans="1:47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257</v>
      </c>
      <c r="H29" t="s">
        <v>33</v>
      </c>
      <c r="I29" s="1">
        <f>('RECEITAS - BLOCOS PAN'!H29-'OPEX - BLOCOS PAN'!H29-VLOOKUP('FLUXO DE CAIXA DESC.-BLOCOS PAN'!$D29,'CAPEX - BLOCOS PAN'!$C$3:$H$52,6,FALSE))*I$57</f>
        <v>-5489252.4978999998</v>
      </c>
      <c r="J29" s="1">
        <f>('RECEITAS - BLOCOS PAN'!I29-'OPEX - BLOCOS PAN'!I29-VLOOKUP('FLUXO DE CAIXA DESC.-BLOCOS PAN'!$D29,'CAPEX - BLOCOS PAN'!$C$3:$I$52,7,FALSE))*J$57</f>
        <v>-5009607.1143769966</v>
      </c>
      <c r="K29" s="1">
        <f>('RECEITAS - BLOCOS PAN'!J29-'OPEX - BLOCOS PAN'!J29-VLOOKUP('FLUXO DE CAIXA DESC.-BLOCOS PAN'!$D29,'CAPEX - BLOCOS PAN'!$C$3:$J$52,8,FALSE))*K$57</f>
        <v>-4572070.8211531304</v>
      </c>
      <c r="L29" s="1">
        <f>('RECEITAS - BLOCOS PAN'!K29-'OPEX - BLOCOS PAN'!K29-VLOOKUP('FLUXO DE CAIXA DESC.-BLOCOS PAN'!$D29,'CAPEX - BLOCOS PAN'!$C$3:$K$52,9,FALSE))*L$57</f>
        <v>-1497477.6917396481</v>
      </c>
      <c r="M29" s="1">
        <f>('RECEITAS - BLOCOS PAN'!L29-'OPEX - BLOCOS PAN'!L29-VLOOKUP('FLUXO DE CAIXA DESC.-BLOCOS PAN'!$D29,'CAPEX - BLOCOS PAN'!$C$3:$L$52,10,FALSE))*M$57</f>
        <v>-1366492.8978403546</v>
      </c>
      <c r="N29" s="1">
        <f>('RECEITAS - BLOCOS PAN'!M29-'OPEX - BLOCOS PAN'!M29-VLOOKUP('FLUXO DE CAIXA DESC.-BLOCOS PAN'!$D29,'CAPEX - BLOCOS PAN'!$C$3:$M$52,11,FALSE))*N$57</f>
        <v>-1246973.8436756474</v>
      </c>
      <c r="O29" s="1">
        <f>('RECEITAS - BLOCOS PAN'!N29-'OPEX - BLOCOS PAN'!N29-VLOOKUP('FLUXO DE CAIXA DESC.-BLOCOS PAN'!$D29,'CAPEX - BLOCOS PAN'!$C$3:$N$52,12,FALSE))*O$57</f>
        <v>-1137939.67711673</v>
      </c>
      <c r="P29" s="1">
        <f>('RECEITAS - BLOCOS PAN'!O29-'OPEX - BLOCOS PAN'!O29-VLOOKUP('FLUXO DE CAIXA DESC.-BLOCOS PAN'!$D29,'CAPEX - BLOCOS PAN'!$C$3:$O$52,13,FALSE))*P$57</f>
        <v>-1038442.4210298944</v>
      </c>
      <c r="Q29" s="1">
        <f>('RECEITAS - BLOCOS PAN'!P29-'OPEX - BLOCOS PAN'!P29-VLOOKUP('FLUXO DE CAIXA DESC.-BLOCOS PAN'!$D29,'CAPEX - BLOCOS PAN'!$C$3:$P$52,14,FALSE))*Q$57</f>
        <v>-947661.48779541464</v>
      </c>
      <c r="R29" s="1">
        <f>('RECEITAS - BLOCOS PAN'!Q29-'OPEX - BLOCOS PAN'!Q29-VLOOKUP('FLUXO DE CAIXA DESC.-BLOCOS PAN'!$D29,'CAPEX - BLOCOS PAN'!$C$3:$Q$52,15,FALSE))*R$57</f>
        <v>-864828.52041474264</v>
      </c>
      <c r="S29" s="1">
        <f>('RECEITAS - BLOCOS PAN'!R29-'OPEX - BLOCOS PAN'!R29-VLOOKUP('FLUXO DE CAIXA DESC.-BLOCOS PAN'!$D29,'CAPEX - BLOCOS PAN'!$C$3:$R$52,16,FALSE))*S$57</f>
        <v>-789257.5312913534</v>
      </c>
      <c r="T29" s="1">
        <f>('RECEITAS - BLOCOS PAN'!S29-'OPEX - BLOCOS PAN'!S29-VLOOKUP('FLUXO DE CAIXA DESC.-BLOCOS PAN'!$D29,'CAPEX - BLOCOS PAN'!$C$3:$S$52,17,FALSE))*T$57</f>
        <v>-720285.12477445556</v>
      </c>
      <c r="U29" s="1">
        <f>('RECEITAS - BLOCOS PAN'!T29-'OPEX - BLOCOS PAN'!T29-VLOOKUP('FLUXO DE CAIXA DESC.-BLOCOS PAN'!$D29,'CAPEX - BLOCOS PAN'!$C$3:$T$52,18,FALSE))*U$57</f>
        <v>-657342.11060051166</v>
      </c>
      <c r="V29" s="1">
        <f>('RECEITAS - BLOCOS PAN'!U29-'OPEX - BLOCOS PAN'!U29-VLOOKUP('FLUXO DE CAIXA DESC.-BLOCOS PAN'!$D29,'CAPEX - BLOCOS PAN'!$C$3:$U$52,19,FALSE))*V$57</f>
        <v>-599893.44937764993</v>
      </c>
      <c r="W29" s="1">
        <f>('RECEITAS - BLOCOS PAN'!V29-'OPEX - BLOCOS PAN'!V29-VLOOKUP('FLUXO DE CAIXA DESC.-BLOCOS PAN'!$D29,'CAPEX - BLOCOS PAN'!$C$3:$V$52,20,FALSE))*W$57</f>
        <v>-547473.0663787697</v>
      </c>
      <c r="X29" s="1">
        <f>('RECEITAS - BLOCOS PAN'!W29-'OPEX - BLOCOS PAN'!W29-VLOOKUP('FLUXO DE CAIXA DESC.-BLOCOS PAN'!$D29,'CAPEX - BLOCOS PAN'!$C$3:$W$52,21,FALSE))*X$57</f>
        <v>-499629.84661471826</v>
      </c>
      <c r="Y29" s="1">
        <f>('RECEITAS - BLOCOS PAN'!X29-'OPEX - BLOCOS PAN'!X29-VLOOKUP('FLUXO DE CAIXA DESC.-BLOCOS PAN'!$D29,'CAPEX - BLOCOS PAN'!$C$3:$X$52,22,FALSE))*Y$57</f>
        <v>-455967.58116388816</v>
      </c>
      <c r="Z29" s="1">
        <f>('RECEITAS - BLOCOS PAN'!Y29-'OPEX - BLOCOS PAN'!Y29-VLOOKUP('FLUXO DE CAIXA DESC.-BLOCOS PAN'!$D29,'CAPEX - BLOCOS PAN'!$C$3:$Y$52,23,FALSE))*Z$57</f>
        <v>-416116.41976103868</v>
      </c>
      <c r="AA29" s="1">
        <f>('RECEITAS - BLOCOS PAN'!Z29-'OPEX - BLOCOS PAN'!Z29-VLOOKUP('FLUXO DE CAIXA DESC.-BLOCOS PAN'!$D29,'CAPEX - BLOCOS PAN'!$C$3:$Z$52,24,FALSE))*AA$57</f>
        <v>-379752.28531685175</v>
      </c>
      <c r="AB29" s="1">
        <f>('RECEITAS - BLOCOS PAN'!AA29-'OPEX - BLOCOS PAN'!AA29-VLOOKUP('FLUXO DE CAIXA DESC.-BLOCOS PAN'!$D29,'CAPEX - BLOCOS PAN'!$C$3:$AA$52,25,FALSE))*AB$57</f>
        <v>-346561.1755252899</v>
      </c>
      <c r="AC29" s="1">
        <f>('RECEITAS - BLOCOS PAN'!AB29-'OPEX - BLOCOS PAN'!AB29-VLOOKUP('FLUXO DE CAIXA DESC.-BLOCOS PAN'!$D29,'CAPEX - BLOCOS PAN'!$C$3:$AB$52,26,FALSE))*AC$57</f>
        <v>-316275.39102505613</v>
      </c>
      <c r="AD29" s="1">
        <f>('RECEITAS - BLOCOS PAN'!AC29-'OPEX - BLOCOS PAN'!AC29-VLOOKUP('FLUXO DE CAIXA DESC.-BLOCOS PAN'!$D29,'CAPEX - BLOCOS PAN'!$C$3:$AC$52,27,FALSE))*AD$57</f>
        <v>-288630.2571844242</v>
      </c>
      <c r="AE29" s="1">
        <f>('RECEITAS - BLOCOS PAN'!AD29-'OPEX - BLOCOS PAN'!AD29-VLOOKUP('FLUXO DE CAIXA DESC.-BLOCOS PAN'!$D29,'CAPEX - BLOCOS PAN'!$C$3:$AD$52,28,FALSE))*AE$57</f>
        <v>-263405.97316473298</v>
      </c>
      <c r="AF29" s="1">
        <f>('RECEITAS - BLOCOS PAN'!AE29-'OPEX - BLOCOS PAN'!AE29-VLOOKUP('FLUXO DE CAIXA DESC.-BLOCOS PAN'!$D29,'CAPEX - BLOCOS PAN'!$C$3:$AE$52,29,FALSE))*AF$57</f>
        <v>-240385.36929861212</v>
      </c>
      <c r="AG29" s="1">
        <f>('RECEITAS - BLOCOS PAN'!AF29-'OPEX - BLOCOS PAN'!AF29-VLOOKUP('FLUXO DE CAIXA DESC.-BLOCOS PAN'!$D29,'CAPEX - BLOCOS PAN'!$C$3:$AF$52,30,FALSE))*AG$57</f>
        <v>-219378.17806499416</v>
      </c>
      <c r="AH29" s="1">
        <f>('RECEITAS - BLOCOS PAN'!AG29-'OPEX - BLOCOS PAN'!AG29-VLOOKUP('FLUXO DE CAIXA DESC.-BLOCOS PAN'!$D29,'CAPEX - BLOCOS PAN'!$C$3:$AG$52,31,FALSE))*AH$57</f>
        <v>-200209.55971697666</v>
      </c>
      <c r="AI29" s="1">
        <f>('RECEITAS - BLOCOS PAN'!AH29-'OPEX - BLOCOS PAN'!AH29-VLOOKUP('FLUXO DE CAIXA DESC.-BLOCOS PAN'!$D29,'CAPEX - BLOCOS PAN'!$C$3:$AH$52,32,FALSE))*AI$57</f>
        <v>-182715.82966297097</v>
      </c>
      <c r="AJ29" s="1">
        <f>('RECEITAS - BLOCOS PAN'!AI29-'OPEX - BLOCOS PAN'!AI29-VLOOKUP('FLUXO DE CAIXA DESC.-BLOCOS PAN'!$D29,'CAPEX - BLOCOS PAN'!$C$3:$AI$52,33,FALSE))*AJ$57</f>
        <v>-166751.79816514667</v>
      </c>
      <c r="AK29" s="1">
        <f>('RECEITAS - BLOCOS PAN'!AJ29-'OPEX - BLOCOS PAN'!AJ29-VLOOKUP('FLUXO DE CAIXA DESC.-BLOCOS PAN'!$D29,'CAPEX - BLOCOS PAN'!$C$3:$AJ$52,34,FALSE))*AK$57</f>
        <v>-152180.90575276228</v>
      </c>
      <c r="AL29" s="1">
        <f>('RECEITAS - BLOCOS PAN'!AK29-'OPEX - BLOCOS PAN'!AK29-VLOOKUP('FLUXO DE CAIXA DESC.-BLOCOS PAN'!$D29,'CAPEX - BLOCOS PAN'!$C$3:$AK$52,35,FALSE))*AL$57</f>
        <v>-138882.79703824647</v>
      </c>
      <c r="AM29" s="44">
        <f t="shared" si="0"/>
        <v>-30751841.622921009</v>
      </c>
      <c r="AN29">
        <v>1</v>
      </c>
      <c r="AO29" t="s">
        <v>314</v>
      </c>
      <c r="AP29">
        <v>-11.416666666666666</v>
      </c>
      <c r="AQ29">
        <v>-58.7</v>
      </c>
      <c r="AR29" s="48">
        <f>VLOOKUP(D29,'Projeção - Demanda PAX'!$C$3:$H$37,6,FALSE)</f>
        <v>808</v>
      </c>
      <c r="AS29" s="1">
        <f t="shared" si="1"/>
        <v>-26484998.255465303</v>
      </c>
      <c r="AT29" t="str">
        <f>VLOOKUP(D29,'CAPEX - BLOCOS PAN (ANO A ANO)'!$C$3:$AV$52,46,FALSE)</f>
        <v>Privada</v>
      </c>
      <c r="AU29" t="str">
        <f>VLOOKUP(D29,'FLUXO DE CAIXA DESC.-SEM MULT.'!$D$3:$AT$52,43,FALSE)</f>
        <v>Bloco 10 - MT1</v>
      </c>
    </row>
    <row r="30" spans="1:47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257</v>
      </c>
      <c r="H30" t="s">
        <v>33</v>
      </c>
      <c r="I30" s="1">
        <f>('RECEITAS - BLOCOS PAN'!H30-'OPEX - BLOCOS PAN'!H30-VLOOKUP('FLUXO DE CAIXA DESC.-BLOCOS PAN'!$D30,'CAPEX - BLOCOS PAN'!$C$3:$H$52,6,FALSE))*I$57</f>
        <v>-13321816.509300001</v>
      </c>
      <c r="J30" s="1">
        <f>('RECEITAS - BLOCOS PAN'!I30-'OPEX - BLOCOS PAN'!I30-VLOOKUP('FLUXO DE CAIXA DESC.-BLOCOS PAN'!$D30,'CAPEX - BLOCOS PAN'!$C$3:$I$52,7,FALSE))*J$57</f>
        <v>-12144251.047010498</v>
      </c>
      <c r="K30" s="1">
        <f>('RECEITAS - BLOCOS PAN'!J30-'OPEX - BLOCOS PAN'!J30-VLOOKUP('FLUXO DE CAIXA DESC.-BLOCOS PAN'!$D30,'CAPEX - BLOCOS PAN'!$C$3:$J$52,8,FALSE))*K$57</f>
        <v>-11073984.728280354</v>
      </c>
      <c r="L30" s="1">
        <f>('RECEITAS - BLOCOS PAN'!K30-'OPEX - BLOCOS PAN'!K30-VLOOKUP('FLUXO DE CAIXA DESC.-BLOCOS PAN'!$D30,'CAPEX - BLOCOS PAN'!$C$3:$K$52,9,FALSE))*L$57</f>
        <v>-2599152.4660535008</v>
      </c>
      <c r="M30" s="1">
        <f>('RECEITAS - BLOCOS PAN'!L30-'OPEX - BLOCOS PAN'!L30-VLOOKUP('FLUXO DE CAIXA DESC.-BLOCOS PAN'!$D30,'CAPEX - BLOCOS PAN'!$C$3:$L$52,10,FALSE))*M$57</f>
        <v>-2366485.729652008</v>
      </c>
      <c r="N30" s="1">
        <f>('RECEITAS - BLOCOS PAN'!M30-'OPEX - BLOCOS PAN'!M30-VLOOKUP('FLUXO DE CAIXA DESC.-BLOCOS PAN'!$D30,'CAPEX - BLOCOS PAN'!$C$3:$M$52,11,FALSE))*N$57</f>
        <v>-2155018.3309658938</v>
      </c>
      <c r="O30" s="1">
        <f>('RECEITAS - BLOCOS PAN'!N30-'OPEX - BLOCOS PAN'!N30-VLOOKUP('FLUXO DE CAIXA DESC.-BLOCOS PAN'!$D30,'CAPEX - BLOCOS PAN'!$C$3:$N$52,12,FALSE))*O$57</f>
        <v>-1962820.0482991294</v>
      </c>
      <c r="P30" s="1">
        <f>('RECEITAS - BLOCOS PAN'!O30-'OPEX - BLOCOS PAN'!O30-VLOOKUP('FLUXO DE CAIXA DESC.-BLOCOS PAN'!$D30,'CAPEX - BLOCOS PAN'!$C$3:$O$52,13,FALSE))*P$57</f>
        <v>-1787913.1000780754</v>
      </c>
      <c r="Q30" s="1">
        <f>('RECEITAS - BLOCOS PAN'!P30-'OPEX - BLOCOS PAN'!P30-VLOOKUP('FLUXO DE CAIXA DESC.-BLOCOS PAN'!$D30,'CAPEX - BLOCOS PAN'!$C$3:$P$52,14,FALSE))*Q$57</f>
        <v>-1628881.1780339743</v>
      </c>
      <c r="R30" s="1">
        <f>('RECEITAS - BLOCOS PAN'!Q30-'OPEX - BLOCOS PAN'!Q30-VLOOKUP('FLUXO DE CAIXA DESC.-BLOCOS PAN'!$D30,'CAPEX - BLOCOS PAN'!$C$3:$Q$52,15,FALSE))*R$57</f>
        <v>-1484224.581389159</v>
      </c>
      <c r="S30" s="1">
        <f>('RECEITAS - BLOCOS PAN'!R30-'OPEX - BLOCOS PAN'!R30-VLOOKUP('FLUXO DE CAIXA DESC.-BLOCOS PAN'!$D30,'CAPEX - BLOCOS PAN'!$C$3:$R$52,16,FALSE))*S$57</f>
        <v>-1352614.7066686314</v>
      </c>
      <c r="T30" s="1">
        <f>('RECEITAS - BLOCOS PAN'!S30-'OPEX - BLOCOS PAN'!S30-VLOOKUP('FLUXO DE CAIXA DESC.-BLOCOS PAN'!$D30,'CAPEX - BLOCOS PAN'!$C$3:$S$52,17,FALSE))*T$57</f>
        <v>-1232687.4060041732</v>
      </c>
      <c r="U30" s="1">
        <f>('RECEITAS - BLOCOS PAN'!T30-'OPEX - BLOCOS PAN'!T30-VLOOKUP('FLUXO DE CAIXA DESC.-BLOCOS PAN'!$D30,'CAPEX - BLOCOS PAN'!$C$3:$T$52,18,FALSE))*U$57</f>
        <v>-1123438.1211638339</v>
      </c>
      <c r="V30" s="1">
        <f>('RECEITAS - BLOCOS PAN'!U30-'OPEX - BLOCOS PAN'!U30-VLOOKUP('FLUXO DE CAIXA DESC.-BLOCOS PAN'!$D30,'CAPEX - BLOCOS PAN'!$C$3:$U$52,19,FALSE))*V$57</f>
        <v>-1023824.9756642664</v>
      </c>
      <c r="W30" s="1">
        <f>('RECEITAS - BLOCOS PAN'!V30-'OPEX - BLOCOS PAN'!V30-VLOOKUP('FLUXO DE CAIXA DESC.-BLOCOS PAN'!$D30,'CAPEX - BLOCOS PAN'!$C$3:$V$52,20,FALSE))*W$57</f>
        <v>-933053.6483039119</v>
      </c>
      <c r="X30" s="1">
        <f>('RECEITAS - BLOCOS PAN'!W30-'OPEX - BLOCOS PAN'!W30-VLOOKUP('FLUXO DE CAIXA DESC.-BLOCOS PAN'!$D30,'CAPEX - BLOCOS PAN'!$C$3:$W$52,21,FALSE))*X$57</f>
        <v>-850338.8221428066</v>
      </c>
      <c r="Y30" s="1">
        <f>('RECEITAS - BLOCOS PAN'!X30-'OPEX - BLOCOS PAN'!X30-VLOOKUP('FLUXO DE CAIXA DESC.-BLOCOS PAN'!$D30,'CAPEX - BLOCOS PAN'!$C$3:$X$52,22,FALSE))*Y$57</f>
        <v>-774941.31022044376</v>
      </c>
      <c r="Z30" s="1">
        <f>('RECEITAS - BLOCOS PAN'!Y30-'OPEX - BLOCOS PAN'!Y30-VLOOKUP('FLUXO DE CAIXA DESC.-BLOCOS PAN'!$D30,'CAPEX - BLOCOS PAN'!$C$3:$Y$52,23,FALSE))*Z$57</f>
        <v>-706212.05387751502</v>
      </c>
      <c r="AA30" s="1">
        <f>('RECEITAS - BLOCOS PAN'!Z30-'OPEX - BLOCOS PAN'!Z30-VLOOKUP('FLUXO DE CAIXA DESC.-BLOCOS PAN'!$D30,'CAPEX - BLOCOS PAN'!$C$3:$Z$52,24,FALSE))*AA$57</f>
        <v>-643553.33975188644</v>
      </c>
      <c r="AB30" s="1">
        <f>('RECEITAS - BLOCOS PAN'!AA30-'OPEX - BLOCOS PAN'!AA30-VLOOKUP('FLUXO DE CAIXA DESC.-BLOCOS PAN'!$D30,'CAPEX - BLOCOS PAN'!$C$3:$AA$52,25,FALSE))*AB$57</f>
        <v>-586440.69429800531</v>
      </c>
      <c r="AC30" s="1">
        <f>('RECEITAS - BLOCOS PAN'!AB30-'OPEX - BLOCOS PAN'!AB30-VLOOKUP('FLUXO DE CAIXA DESC.-BLOCOS PAN'!$D30,'CAPEX - BLOCOS PAN'!$C$3:$AB$52,26,FALSE))*AC$57</f>
        <v>-534436.49616146996</v>
      </c>
      <c r="AD30" s="1">
        <f>('RECEITAS - BLOCOS PAN'!AC30-'OPEX - BLOCOS PAN'!AC30-VLOOKUP('FLUXO DE CAIXA DESC.-BLOCOS PAN'!$D30,'CAPEX - BLOCOS PAN'!$C$3:$AC$52,27,FALSE))*AD$57</f>
        <v>-487021.52452000353</v>
      </c>
      <c r="AE30" s="1">
        <f>('RECEITAS - BLOCOS PAN'!AD30-'OPEX - BLOCOS PAN'!AD30-VLOOKUP('FLUXO DE CAIXA DESC.-BLOCOS PAN'!$D30,'CAPEX - BLOCOS PAN'!$C$3:$AD$52,28,FALSE))*AE$57</f>
        <v>-443833.06009790022</v>
      </c>
      <c r="AF30" s="1">
        <f>('RECEITAS - BLOCOS PAN'!AE30-'OPEX - BLOCOS PAN'!AE30-VLOOKUP('FLUXO DE CAIXA DESC.-BLOCOS PAN'!$D30,'CAPEX - BLOCOS PAN'!$C$3:$AE$52,29,FALSE))*AF$57</f>
        <v>-404429.45538390335</v>
      </c>
      <c r="AG30" s="1">
        <f>('RECEITAS - BLOCOS PAN'!AF30-'OPEX - BLOCOS PAN'!AF30-VLOOKUP('FLUXO DE CAIXA DESC.-BLOCOS PAN'!$D30,'CAPEX - BLOCOS PAN'!$C$3:$AF$52,30,FALSE))*AG$57</f>
        <v>-368548.65891739907</v>
      </c>
      <c r="AH30" s="1">
        <f>('RECEITAS - BLOCOS PAN'!AG30-'OPEX - BLOCOS PAN'!AG30-VLOOKUP('FLUXO DE CAIXA DESC.-BLOCOS PAN'!$D30,'CAPEX - BLOCOS PAN'!$C$3:$AG$52,31,FALSE))*AH$57</f>
        <v>-335838.52733571298</v>
      </c>
      <c r="AI30" s="1">
        <f>('RECEITAS - BLOCOS PAN'!AH30-'OPEX - BLOCOS PAN'!AH30-VLOOKUP('FLUXO DE CAIXA DESC.-BLOCOS PAN'!$D30,'CAPEX - BLOCOS PAN'!$C$3:$AH$52,32,FALSE))*AI$57</f>
        <v>-306061.32842761604</v>
      </c>
      <c r="AJ30" s="1">
        <f>('RECEITAS - BLOCOS PAN'!AI30-'OPEX - BLOCOS PAN'!AI30-VLOOKUP('FLUXO DE CAIXA DESC.-BLOCOS PAN'!$D30,'CAPEX - BLOCOS PAN'!$C$3:$AI$52,33,FALSE))*AJ$57</f>
        <v>-278914.66785220365</v>
      </c>
      <c r="AK30" s="1">
        <f>('RECEITAS - BLOCOS PAN'!AJ30-'OPEX - BLOCOS PAN'!AJ30-VLOOKUP('FLUXO DE CAIXA DESC.-BLOCOS PAN'!$D30,'CAPEX - BLOCOS PAN'!$C$3:$AJ$52,34,FALSE))*AK$57</f>
        <v>-254170.98426425006</v>
      </c>
      <c r="AL30" s="1">
        <f>('RECEITAS - BLOCOS PAN'!AK30-'OPEX - BLOCOS PAN'!AK30-VLOOKUP('FLUXO DE CAIXA DESC.-BLOCOS PAN'!$D30,'CAPEX - BLOCOS PAN'!$C$3:$AK$52,35,FALSE))*AL$57</f>
        <v>-231619.76301985251</v>
      </c>
      <c r="AM30" s="44">
        <f t="shared" si="0"/>
        <v>-63396527.263138369</v>
      </c>
      <c r="AN30">
        <v>1</v>
      </c>
      <c r="AO30" t="s">
        <v>314</v>
      </c>
      <c r="AP30">
        <v>-16.033333333333335</v>
      </c>
      <c r="AQ30">
        <v>-57.616666666666667</v>
      </c>
      <c r="AR30" s="48">
        <f>VLOOKUP(D30,'Projeção - Demanda PAX'!$C$3:$H$37,6,FALSE)</f>
        <v>9515</v>
      </c>
      <c r="AS30" s="1">
        <f t="shared" si="1"/>
        <v>-56190166.576867409</v>
      </c>
      <c r="AT30" t="str">
        <f>VLOOKUP(D30,'CAPEX - BLOCOS PAN (ANO A ANO)'!$C$3:$AV$52,46,FALSE)</f>
        <v>Privada</v>
      </c>
      <c r="AU30" t="str">
        <f>VLOOKUP(D30,'FLUXO DE CAIXA DESC.-SEM MULT.'!$D$3:$AT$52,43,FALSE)</f>
        <v>Bloco 10 - MT1</v>
      </c>
    </row>
    <row r="31" spans="1:47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258</v>
      </c>
      <c r="H31" t="s">
        <v>33</v>
      </c>
      <c r="I31" s="1">
        <f>('RECEITAS - BLOCOS PAN'!H31-'OPEX - BLOCOS PAN'!H31-VLOOKUP('FLUXO DE CAIXA DESC.-BLOCOS PAN'!$D31,'CAPEX - BLOCOS PAN'!$C$3:$H$52,6,FALSE))*I$57</f>
        <v>-8248507.3093999997</v>
      </c>
      <c r="J31" s="1">
        <f>('RECEITAS - BLOCOS PAN'!I31-'OPEX - BLOCOS PAN'!I31-VLOOKUP('FLUXO DE CAIXA DESC.-BLOCOS PAN'!$D31,'CAPEX - BLOCOS PAN'!$C$3:$I$52,7,FALSE))*J$57</f>
        <v>-7487565.42026472</v>
      </c>
      <c r="K31" s="1">
        <f>('RECEITAS - BLOCOS PAN'!J31-'OPEX - BLOCOS PAN'!J31-VLOOKUP('FLUXO DE CAIXA DESC.-BLOCOS PAN'!$D31,'CAPEX - BLOCOS PAN'!$C$3:$J$52,8,FALSE))*K$57</f>
        <v>-6811515.3733969582</v>
      </c>
      <c r="L31" s="1">
        <f>('RECEITAS - BLOCOS PAN'!K31-'OPEX - BLOCOS PAN'!K31-VLOOKUP('FLUXO DE CAIXA DESC.-BLOCOS PAN'!$D31,'CAPEX - BLOCOS PAN'!$C$3:$K$52,9,FALSE))*L$57</f>
        <v>-2517527.1868920228</v>
      </c>
      <c r="M31" s="1">
        <f>('RECEITAS - BLOCOS PAN'!L31-'OPEX - BLOCOS PAN'!L31-VLOOKUP('FLUXO DE CAIXA DESC.-BLOCOS PAN'!$D31,'CAPEX - BLOCOS PAN'!$C$3:$L$52,10,FALSE))*M$57</f>
        <v>-2284589.3717861096</v>
      </c>
      <c r="N31" s="1">
        <f>('RECEITAS - BLOCOS PAN'!M31-'OPEX - BLOCOS PAN'!M31-VLOOKUP('FLUXO DE CAIXA DESC.-BLOCOS PAN'!$D31,'CAPEX - BLOCOS PAN'!$C$3:$M$52,11,FALSE))*N$57</f>
        <v>-2073974.8678658761</v>
      </c>
      <c r="O31" s="1">
        <f>('RECEITAS - BLOCOS PAN'!N31-'OPEX - BLOCOS PAN'!N31-VLOOKUP('FLUXO DE CAIXA DESC.-BLOCOS PAN'!$D31,'CAPEX - BLOCOS PAN'!$C$3:$N$52,12,FALSE))*O$57</f>
        <v>-2062860.2008649039</v>
      </c>
      <c r="P31" s="1">
        <f>('RECEITAS - BLOCOS PAN'!O31-'OPEX - BLOCOS PAN'!O31-VLOOKUP('FLUXO DE CAIXA DESC.-BLOCOS PAN'!$D31,'CAPEX - BLOCOS PAN'!$C$3:$O$52,13,FALSE))*P$57</f>
        <v>-1879957.9493859238</v>
      </c>
      <c r="Q31" s="1">
        <f>('RECEITAS - BLOCOS PAN'!P31-'OPEX - BLOCOS PAN'!P31-VLOOKUP('FLUXO DE CAIXA DESC.-BLOCOS PAN'!$D31,'CAPEX - BLOCOS PAN'!$C$3:$P$52,14,FALSE))*Q$57</f>
        <v>-1705672.1843410484</v>
      </c>
      <c r="R31" s="1">
        <f>('RECEITAS - BLOCOS PAN'!Q31-'OPEX - BLOCOS PAN'!Q31-VLOOKUP('FLUXO DE CAIXA DESC.-BLOCOS PAN'!$D31,'CAPEX - BLOCOS PAN'!$C$3:$Q$52,15,FALSE))*R$57</f>
        <v>-1547536.633072475</v>
      </c>
      <c r="S31" s="1">
        <f>('RECEITAS - BLOCOS PAN'!R31-'OPEX - BLOCOS PAN'!R31-VLOOKUP('FLUXO DE CAIXA DESC.-BLOCOS PAN'!$D31,'CAPEX - BLOCOS PAN'!$C$3:$R$52,16,FALSE))*S$57</f>
        <v>-1410551.227754513</v>
      </c>
      <c r="T31" s="1">
        <f>('RECEITAS - BLOCOS PAN'!S31-'OPEX - BLOCOS PAN'!S31-VLOOKUP('FLUXO DE CAIXA DESC.-BLOCOS PAN'!$D31,'CAPEX - BLOCOS PAN'!$C$3:$S$52,17,FALSE))*T$57</f>
        <v>-1279780.303743528</v>
      </c>
      <c r="U31" s="1">
        <f>('RECEITAS - BLOCOS PAN'!T31-'OPEX - BLOCOS PAN'!T31-VLOOKUP('FLUXO DE CAIXA DESC.-BLOCOS PAN'!$D31,'CAPEX - BLOCOS PAN'!$C$3:$T$52,18,FALSE))*U$57</f>
        <v>-1166521.3929885912</v>
      </c>
      <c r="V31" s="1">
        <f>('RECEITAS - BLOCOS PAN'!U31-'OPEX - BLOCOS PAN'!U31-VLOOKUP('FLUXO DE CAIXA DESC.-BLOCOS PAN'!$D31,'CAPEX - BLOCOS PAN'!$C$3:$U$52,19,FALSE))*V$57</f>
        <v>-1058194.7409005393</v>
      </c>
      <c r="W31" s="1">
        <f>('RECEITAS - BLOCOS PAN'!V31-'OPEX - BLOCOS PAN'!V31-VLOOKUP('FLUXO DE CAIXA DESC.-BLOCOS PAN'!$D31,'CAPEX - BLOCOS PAN'!$C$3:$V$52,20,FALSE))*W$57</f>
        <v>-964570.64240276301</v>
      </c>
      <c r="X31" s="1">
        <f>('RECEITAS - BLOCOS PAN'!W31-'OPEX - BLOCOS PAN'!W31-VLOOKUP('FLUXO DE CAIXA DESC.-BLOCOS PAN'!$D31,'CAPEX - BLOCOS PAN'!$C$3:$W$52,21,FALSE))*X$57</f>
        <v>-879231.9731666412</v>
      </c>
      <c r="Y31" s="1">
        <f>('RECEITAS - BLOCOS PAN'!X31-'OPEX - BLOCOS PAN'!X31-VLOOKUP('FLUXO DE CAIXA DESC.-BLOCOS PAN'!$D31,'CAPEX - BLOCOS PAN'!$C$3:$X$52,22,FALSE))*Y$57</f>
        <v>-797548.09460952948</v>
      </c>
      <c r="Z31" s="1">
        <f>('RECEITAS - BLOCOS PAN'!Y31-'OPEX - BLOCOS PAN'!Y31-VLOOKUP('FLUXO DE CAIXA DESC.-BLOCOS PAN'!$D31,'CAPEX - BLOCOS PAN'!$C$3:$Y$52,23,FALSE))*Z$57</f>
        <v>-726931.33841670107</v>
      </c>
      <c r="AA31" s="1">
        <f>('RECEITAS - BLOCOS PAN'!Z31-'OPEX - BLOCOS PAN'!Z31-VLOOKUP('FLUXO DE CAIXA DESC.-BLOCOS PAN'!$D31,'CAPEX - BLOCOS PAN'!$C$3:$Z$52,24,FALSE))*AA$57</f>
        <v>-659222.2107932003</v>
      </c>
      <c r="AB31" s="1">
        <f>('RECEITAS - BLOCOS PAN'!AA31-'OPEX - BLOCOS PAN'!AA31-VLOOKUP('FLUXO DE CAIXA DESC.-BLOCOS PAN'!$D31,'CAPEX - BLOCOS PAN'!$C$3:$AA$52,25,FALSE))*AB$57</f>
        <v>-600834.56123300281</v>
      </c>
      <c r="AC31" s="1">
        <f>('RECEITAS - BLOCOS PAN'!AB31-'OPEX - BLOCOS PAN'!AB31-VLOOKUP('FLUXO DE CAIXA DESC.-BLOCOS PAN'!$D31,'CAPEX - BLOCOS PAN'!$C$3:$AB$52,26,FALSE))*AC$57</f>
        <v>-544881.48317561951</v>
      </c>
      <c r="AD31" s="1">
        <f>('RECEITAS - BLOCOS PAN'!AC31-'OPEX - BLOCOS PAN'!AC31-VLOOKUP('FLUXO DE CAIXA DESC.-BLOCOS PAN'!$D31,'CAPEX - BLOCOS PAN'!$C$3:$AC$52,27,FALSE))*AD$57</f>
        <v>-496673.78997158381</v>
      </c>
      <c r="AE31" s="1">
        <f>('RECEITAS - BLOCOS PAN'!AD31-'OPEX - BLOCOS PAN'!AD31-VLOOKUP('FLUXO DE CAIXA DESC.-BLOCOS PAN'!$D31,'CAPEX - BLOCOS PAN'!$C$3:$AD$52,28,FALSE))*AE$57</f>
        <v>-450395.19527924305</v>
      </c>
      <c r="AF31" s="1">
        <f>('RECEITAS - BLOCOS PAN'!AE31-'OPEX - BLOCOS PAN'!AE31-VLOOKUP('FLUXO DE CAIXA DESC.-BLOCOS PAN'!$D31,'CAPEX - BLOCOS PAN'!$C$3:$AE$52,29,FALSE))*AF$57</f>
        <v>-410584.3434842538</v>
      </c>
      <c r="AG31" s="1">
        <f>('RECEITAS - BLOCOS PAN'!AF31-'OPEX - BLOCOS PAN'!AF31-VLOOKUP('FLUXO DE CAIXA DESC.-BLOCOS PAN'!$D31,'CAPEX - BLOCOS PAN'!$C$3:$AF$52,30,FALSE))*AG$57</f>
        <v>-372309.28477600223</v>
      </c>
      <c r="AH31" s="1">
        <f>('RECEITAS - BLOCOS PAN'!AG31-'OPEX - BLOCOS PAN'!AG31-VLOOKUP('FLUXO DE CAIXA DESC.-BLOCOS PAN'!$D31,'CAPEX - BLOCOS PAN'!$C$3:$AG$52,31,FALSE))*AH$57</f>
        <v>-339428.90429893957</v>
      </c>
      <c r="AI31" s="1">
        <f>('RECEITAS - BLOCOS PAN'!AH31-'OPEX - BLOCOS PAN'!AH31-VLOOKUP('FLUXO DE CAIXA DESC.-BLOCOS PAN'!$D31,'CAPEX - BLOCOS PAN'!$C$3:$AH$52,32,FALSE))*AI$57</f>
        <v>-307825.32861290273</v>
      </c>
      <c r="AJ31" s="1">
        <f>('RECEITAS - BLOCOS PAN'!AI31-'OPEX - BLOCOS PAN'!AI31-VLOOKUP('FLUXO DE CAIXA DESC.-BLOCOS PAN'!$D31,'CAPEX - BLOCOS PAN'!$C$3:$AI$52,33,FALSE))*AJ$57</f>
        <v>-280712.47845320136</v>
      </c>
      <c r="AK31" s="1">
        <f>('RECEITAS - BLOCOS PAN'!AJ31-'OPEX - BLOCOS PAN'!AJ31-VLOOKUP('FLUXO DE CAIXA DESC.-BLOCOS PAN'!$D31,'CAPEX - BLOCOS PAN'!$C$3:$AJ$52,34,FALSE))*AK$57</f>
        <v>-255986.33194702494</v>
      </c>
      <c r="AL31" s="1">
        <f>('RECEITAS - BLOCOS PAN'!AK31-'OPEX - BLOCOS PAN'!AK31-VLOOKUP('FLUXO DE CAIXA DESC.-BLOCOS PAN'!$D31,'CAPEX - BLOCOS PAN'!$C$3:$AK$52,35,FALSE))*AL$57</f>
        <v>-233436.90757436413</v>
      </c>
      <c r="AM31" s="44">
        <f t="shared" si="0"/>
        <v>-49855327.030852176</v>
      </c>
      <c r="AN31">
        <v>0</v>
      </c>
      <c r="AO31" t="s">
        <v>310</v>
      </c>
      <c r="AP31">
        <v>-9.0666666666666664</v>
      </c>
      <c r="AQ31">
        <v>-42.633333333333333</v>
      </c>
      <c r="AR31" s="48">
        <f>VLOOKUP(D31,'Projeção - Demanda PAX'!$C$3:$H$37,6,FALSE)</f>
        <v>19650</v>
      </c>
      <c r="AS31" s="1">
        <f t="shared" si="1"/>
        <v>-42499324.805059962</v>
      </c>
      <c r="AT31" t="str">
        <f>VLOOKUP(D31,'CAPEX - BLOCOS PAN (ANO A ANO)'!$C$3:$AV$52,46,FALSE)</f>
        <v>Privada</v>
      </c>
      <c r="AU31" t="str">
        <f>VLOOKUP(D31,'FLUXO DE CAIXA DESC.-SEM MULT.'!$D$3:$AT$52,43,FALSE)</f>
        <v>Bloco 8 - Nordeste</v>
      </c>
    </row>
    <row r="32" spans="1:47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259</v>
      </c>
      <c r="H32" t="s">
        <v>33</v>
      </c>
      <c r="I32" s="1">
        <f>('RECEITAS - BLOCOS PAN'!H32-'OPEX - BLOCOS PAN'!H32-VLOOKUP('FLUXO DE CAIXA DESC.-BLOCOS PAN'!$D32,'CAPEX - BLOCOS PAN'!$C$3:$H$52,6,FALSE))*I$57</f>
        <v>-21387244.780733332</v>
      </c>
      <c r="J32" s="1">
        <f>('RECEITAS - BLOCOS PAN'!I32-'OPEX - BLOCOS PAN'!I32-VLOOKUP('FLUXO DE CAIXA DESC.-BLOCOS PAN'!$D32,'CAPEX - BLOCOS PAN'!$C$3:$I$52,7,FALSE))*J$57</f>
        <v>-19511928.990993459</v>
      </c>
      <c r="K32" s="1">
        <f>('RECEITAS - BLOCOS PAN'!J32-'OPEX - BLOCOS PAN'!J32-VLOOKUP('FLUXO DE CAIXA DESC.-BLOCOS PAN'!$D32,'CAPEX - BLOCOS PAN'!$C$3:$J$52,8,FALSE))*K$57</f>
        <v>-17803378.403233621</v>
      </c>
      <c r="L32" s="1">
        <f>('RECEITAS - BLOCOS PAN'!K32-'OPEX - BLOCOS PAN'!K32-VLOOKUP('FLUXO DE CAIXA DESC.-BLOCOS PAN'!$D32,'CAPEX - BLOCOS PAN'!$C$3:$K$52,9,FALSE))*L$57</f>
        <v>-1975117.7958916519</v>
      </c>
      <c r="M32" s="1">
        <f>('RECEITAS - BLOCOS PAN'!L32-'OPEX - BLOCOS PAN'!L32-VLOOKUP('FLUXO DE CAIXA DESC.-BLOCOS PAN'!$D32,'CAPEX - BLOCOS PAN'!$C$3:$L$52,10,FALSE))*M$57</f>
        <v>-1798822.9715134236</v>
      </c>
      <c r="N32" s="1">
        <f>('RECEITAS - BLOCOS PAN'!M32-'OPEX - BLOCOS PAN'!M32-VLOOKUP('FLUXO DE CAIXA DESC.-BLOCOS PAN'!$D32,'CAPEX - BLOCOS PAN'!$C$3:$M$52,11,FALSE))*N$57</f>
        <v>-1638391.3052267339</v>
      </c>
      <c r="O32" s="1">
        <f>('RECEITAS - BLOCOS PAN'!N32-'OPEX - BLOCOS PAN'!N32-VLOOKUP('FLUXO DE CAIXA DESC.-BLOCOS PAN'!$D32,'CAPEX - BLOCOS PAN'!$C$3:$N$52,12,FALSE))*O$57</f>
        <v>-1492454.2664140936</v>
      </c>
      <c r="P32" s="1">
        <f>('RECEITAS - BLOCOS PAN'!O32-'OPEX - BLOCOS PAN'!O32-VLOOKUP('FLUXO DE CAIXA DESC.-BLOCOS PAN'!$D32,'CAPEX - BLOCOS PAN'!$C$3:$O$52,13,FALSE))*P$57</f>
        <v>-1359721.8731894705</v>
      </c>
      <c r="Q32" s="1">
        <f>('RECEITAS - BLOCOS PAN'!P32-'OPEX - BLOCOS PAN'!P32-VLOOKUP('FLUXO DE CAIXA DESC.-BLOCOS PAN'!$D32,'CAPEX - BLOCOS PAN'!$C$3:$P$52,14,FALSE))*Q$57</f>
        <v>-1238796.3877337524</v>
      </c>
      <c r="R32" s="1">
        <f>('RECEITAS - BLOCOS PAN'!Q32-'OPEX - BLOCOS PAN'!Q32-VLOOKUP('FLUXO DE CAIXA DESC.-BLOCOS PAN'!$D32,'CAPEX - BLOCOS PAN'!$C$3:$Q$52,15,FALSE))*R$57</f>
        <v>-1128746.6898915619</v>
      </c>
      <c r="S32" s="1">
        <f>('RECEITAS - BLOCOS PAN'!R32-'OPEX - BLOCOS PAN'!R32-VLOOKUP('FLUXO DE CAIXA DESC.-BLOCOS PAN'!$D32,'CAPEX - BLOCOS PAN'!$C$3:$R$52,16,FALSE))*S$57</f>
        <v>-1028579.2982679019</v>
      </c>
      <c r="T32" s="1">
        <f>('RECEITAS - BLOCOS PAN'!S32-'OPEX - BLOCOS PAN'!S32-VLOOKUP('FLUXO DE CAIXA DESC.-BLOCOS PAN'!$D32,'CAPEX - BLOCOS PAN'!$C$3:$S$52,17,FALSE))*T$57</f>
        <v>-937282.47287690011</v>
      </c>
      <c r="U32" s="1">
        <f>('RECEITAS - BLOCOS PAN'!T32-'OPEX - BLOCOS PAN'!T32-VLOOKUP('FLUXO DE CAIXA DESC.-BLOCOS PAN'!$D32,'CAPEX - BLOCOS PAN'!$C$3:$T$52,18,FALSE))*U$57</f>
        <v>-854081.79358177958</v>
      </c>
      <c r="V32" s="1">
        <f>('RECEITAS - BLOCOS PAN'!U32-'OPEX - BLOCOS PAN'!U32-VLOOKUP('FLUXO DE CAIXA DESC.-BLOCOS PAN'!$D32,'CAPEX - BLOCOS PAN'!$C$3:$U$52,19,FALSE))*V$57</f>
        <v>-778220.60370652855</v>
      </c>
      <c r="W32" s="1">
        <f>('RECEITAS - BLOCOS PAN'!V32-'OPEX - BLOCOS PAN'!V32-VLOOKUP('FLUXO DE CAIXA DESC.-BLOCOS PAN'!$D32,'CAPEX - BLOCOS PAN'!$C$3:$V$52,20,FALSE))*W$57</f>
        <v>-709043.38935533364</v>
      </c>
      <c r="X32" s="1">
        <f>('RECEITAS - BLOCOS PAN'!W32-'OPEX - BLOCOS PAN'!W32-VLOOKUP('FLUXO DE CAIXA DESC.-BLOCOS PAN'!$D32,'CAPEX - BLOCOS PAN'!$C$3:$W$52,21,FALSE))*X$57</f>
        <v>-646031.21327575366</v>
      </c>
      <c r="Y32" s="1">
        <f>('RECEITAS - BLOCOS PAN'!X32-'OPEX - BLOCOS PAN'!X32-VLOOKUP('FLUXO DE CAIXA DESC.-BLOCOS PAN'!$D32,'CAPEX - BLOCOS PAN'!$C$3:$X$52,22,FALSE))*Y$57</f>
        <v>-588563.80584919988</v>
      </c>
      <c r="Z32" s="1">
        <f>('RECEITAS - BLOCOS PAN'!Y32-'OPEX - BLOCOS PAN'!Y32-VLOOKUP('FLUXO DE CAIXA DESC.-BLOCOS PAN'!$D32,'CAPEX - BLOCOS PAN'!$C$3:$Y$52,23,FALSE))*Z$57</f>
        <v>-536221.50556488323</v>
      </c>
      <c r="AA32" s="1">
        <f>('RECEITAS - BLOCOS PAN'!Z32-'OPEX - BLOCOS PAN'!Z32-VLOOKUP('FLUXO DE CAIXA DESC.-BLOCOS PAN'!$D32,'CAPEX - BLOCOS PAN'!$C$3:$Z$52,24,FALSE))*AA$57</f>
        <v>-488468.62086654227</v>
      </c>
      <c r="AB32" s="1">
        <f>('RECEITAS - BLOCOS PAN'!AA32-'OPEX - BLOCOS PAN'!AA32-VLOOKUP('FLUXO DE CAIXA DESC.-BLOCOS PAN'!$D32,'CAPEX - BLOCOS PAN'!$C$3:$AA$52,25,FALSE))*AB$57</f>
        <v>-444942.78977225506</v>
      </c>
      <c r="AC32" s="1">
        <f>('RECEITAS - BLOCOS PAN'!AB32-'OPEX - BLOCOS PAN'!AB32-VLOOKUP('FLUXO DE CAIXA DESC.-BLOCOS PAN'!$D32,'CAPEX - BLOCOS PAN'!$C$3:$AB$52,26,FALSE))*AC$57</f>
        <v>-405312.77889740677</v>
      </c>
      <c r="AD32" s="1">
        <f>('RECEITAS - BLOCOS PAN'!AC32-'OPEX - BLOCOS PAN'!AC32-VLOOKUP('FLUXO DE CAIXA DESC.-BLOCOS PAN'!$D32,'CAPEX - BLOCOS PAN'!$C$3:$AC$52,27,FALSE))*AD$57</f>
        <v>-369160.46043003304</v>
      </c>
      <c r="AE32" s="1">
        <f>('RECEITAS - BLOCOS PAN'!AD32-'OPEX - BLOCOS PAN'!AD32-VLOOKUP('FLUXO DE CAIXA DESC.-BLOCOS PAN'!$D32,'CAPEX - BLOCOS PAN'!$C$3:$AD$52,28,FALSE))*AE$57</f>
        <v>-336265.73595164716</v>
      </c>
      <c r="AF32" s="1">
        <f>('RECEITAS - BLOCOS PAN'!AE32-'OPEX - BLOCOS PAN'!AE32-VLOOKUP('FLUXO DE CAIXA DESC.-BLOCOS PAN'!$D32,'CAPEX - BLOCOS PAN'!$C$3:$AE$52,29,FALSE))*AF$57</f>
        <v>-306195.48653430585</v>
      </c>
      <c r="AG32" s="1">
        <f>('RECEITAS - BLOCOS PAN'!AF32-'OPEX - BLOCOS PAN'!AF32-VLOOKUP('FLUXO DE CAIXA DESC.-BLOCOS PAN'!$D32,'CAPEX - BLOCOS PAN'!$C$3:$AF$52,30,FALSE))*AG$57</f>
        <v>-278817.98246941151</v>
      </c>
      <c r="AH32" s="1">
        <f>('RECEITAS - BLOCOS PAN'!AG32-'OPEX - BLOCOS PAN'!AG32-VLOOKUP('FLUXO DE CAIXA DESC.-BLOCOS PAN'!$D32,'CAPEX - BLOCOS PAN'!$C$3:$AG$52,31,FALSE))*AH$57</f>
        <v>-253861.37968456565</v>
      </c>
      <c r="AI32" s="1">
        <f>('RECEITAS - BLOCOS PAN'!AH32-'OPEX - BLOCOS PAN'!AH32-VLOOKUP('FLUXO DE CAIXA DESC.-BLOCOS PAN'!$D32,'CAPEX - BLOCOS PAN'!$C$3:$AH$52,32,FALSE))*AI$57</f>
        <v>-231175.79688482362</v>
      </c>
      <c r="AJ32" s="1">
        <f>('RECEITAS - BLOCOS PAN'!AI32-'OPEX - BLOCOS PAN'!AI32-VLOOKUP('FLUXO DE CAIXA DESC.-BLOCOS PAN'!$D32,'CAPEX - BLOCOS PAN'!$C$3:$AI$52,33,FALSE))*AJ$57</f>
        <v>-210490.64391464519</v>
      </c>
      <c r="AK32" s="1">
        <f>('RECEITAS - BLOCOS PAN'!AJ32-'OPEX - BLOCOS PAN'!AJ32-VLOOKUP('FLUXO DE CAIXA DESC.-BLOCOS PAN'!$D32,'CAPEX - BLOCOS PAN'!$C$3:$AJ$52,34,FALSE))*AK$57</f>
        <v>-191644.00921359228</v>
      </c>
      <c r="AL32" s="1">
        <f>('RECEITAS - BLOCOS PAN'!AK32-'OPEX - BLOCOS PAN'!AK32-VLOOKUP('FLUXO DE CAIXA DESC.-BLOCOS PAN'!$D32,'CAPEX - BLOCOS PAN'!$C$3:$AK$52,35,FALSE))*AL$57</f>
        <v>-174468.39831765759</v>
      </c>
      <c r="AM32" s="44">
        <f t="shared" si="0"/>
        <v>-79103431.630236253</v>
      </c>
      <c r="AN32">
        <v>1</v>
      </c>
      <c r="AO32" t="s">
        <v>308</v>
      </c>
      <c r="AP32">
        <v>-7.2666666666666666</v>
      </c>
      <c r="AQ32">
        <v>-64.766666666666666</v>
      </c>
      <c r="AR32" s="48">
        <f>VLOOKUP(D32,'Projeção - Demanda PAX'!$C$3:$H$37,6,FALSE)</f>
        <v>5912</v>
      </c>
      <c r="AS32" s="1">
        <f t="shared" si="1"/>
        <v>-73641811.022609532</v>
      </c>
      <c r="AT32" t="str">
        <f>VLOOKUP(D32,'CAPEX - BLOCOS PAN (ANO A ANO)'!$C$3:$AV$52,46,FALSE)</f>
        <v>Privada</v>
      </c>
      <c r="AU32" t="str">
        <f>VLOOKUP(D32,'FLUXO DE CAIXA DESC.-SEM MULT.'!$D$3:$AT$52,43,FALSE)</f>
        <v>Bloco 1 - AC/AM</v>
      </c>
    </row>
    <row r="33" spans="1:47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259</v>
      </c>
      <c r="H33" t="s">
        <v>33</v>
      </c>
      <c r="I33" s="1">
        <f>('RECEITAS - BLOCOS PAN'!H33-'OPEX - BLOCOS PAN'!H33-VLOOKUP('FLUXO DE CAIXA DESC.-BLOCOS PAN'!$D33,'CAPEX - BLOCOS PAN'!$C$3:$H$52,6,FALSE))*I$57</f>
        <v>-6171897.2343333326</v>
      </c>
      <c r="J33" s="1">
        <f>('RECEITAS - BLOCOS PAN'!I33-'OPEX - BLOCOS PAN'!I33-VLOOKUP('FLUXO DE CAIXA DESC.-BLOCOS PAN'!$D33,'CAPEX - BLOCOS PAN'!$C$3:$I$52,7,FALSE))*J$57</f>
        <v>-5633113.7419747459</v>
      </c>
      <c r="K33" s="1">
        <f>('RECEITAS - BLOCOS PAN'!J33-'OPEX - BLOCOS PAN'!J33-VLOOKUP('FLUXO DE CAIXA DESC.-BLOCOS PAN'!$D33,'CAPEX - BLOCOS PAN'!$C$3:$J$52,8,FALSE))*K$57</f>
        <v>-5141528.4288664684</v>
      </c>
      <c r="L33" s="1">
        <f>('RECEITAS - BLOCOS PAN'!K33-'OPEX - BLOCOS PAN'!K33-VLOOKUP('FLUXO DE CAIXA DESC.-BLOCOS PAN'!$D33,'CAPEX - BLOCOS PAN'!$C$3:$K$52,9,FALSE))*L$57</f>
        <v>-1089696.0975281459</v>
      </c>
      <c r="M33" s="1">
        <f>('RECEITAS - BLOCOS PAN'!L33-'OPEX - BLOCOS PAN'!L33-VLOOKUP('FLUXO DE CAIXA DESC.-BLOCOS PAN'!$D33,'CAPEX - BLOCOS PAN'!$C$3:$L$52,10,FALSE))*M$57</f>
        <v>-994457.28315844899</v>
      </c>
      <c r="N33" s="1">
        <f>('RECEITAS - BLOCOS PAN'!M33-'OPEX - BLOCOS PAN'!M33-VLOOKUP('FLUXO DE CAIXA DESC.-BLOCOS PAN'!$D33,'CAPEX - BLOCOS PAN'!$C$3:$M$52,11,FALSE))*N$57</f>
        <v>-907568.0113982039</v>
      </c>
      <c r="O33" s="1">
        <f>('RECEITAS - BLOCOS PAN'!N33-'OPEX - BLOCOS PAN'!N33-VLOOKUP('FLUXO DE CAIXA DESC.-BLOCOS PAN'!$D33,'CAPEX - BLOCOS PAN'!$C$3:$N$52,12,FALSE))*O$57</f>
        <v>-828278.37015844032</v>
      </c>
      <c r="P33" s="1">
        <f>('RECEITAS - BLOCOS PAN'!O33-'OPEX - BLOCOS PAN'!O33-VLOOKUP('FLUXO DE CAIXA DESC.-BLOCOS PAN'!$D33,'CAPEX - BLOCOS PAN'!$C$3:$O$52,13,FALSE))*P$57</f>
        <v>-755930.15309992817</v>
      </c>
      <c r="Q33" s="1">
        <f>('RECEITAS - BLOCOS PAN'!P33-'OPEX - BLOCOS PAN'!P33-VLOOKUP('FLUXO DE CAIXA DESC.-BLOCOS PAN'!$D33,'CAPEX - BLOCOS PAN'!$C$3:$P$52,14,FALSE))*Q$57</f>
        <v>-689897.70751550607</v>
      </c>
      <c r="R33" s="1">
        <f>('RECEITAS - BLOCOS PAN'!Q33-'OPEX - BLOCOS PAN'!Q33-VLOOKUP('FLUXO DE CAIXA DESC.-BLOCOS PAN'!$D33,'CAPEX - BLOCOS PAN'!$C$3:$Q$52,15,FALSE))*R$57</f>
        <v>-629636.67843795312</v>
      </c>
      <c r="S33" s="1">
        <f>('RECEITAS - BLOCOS PAN'!R33-'OPEX - BLOCOS PAN'!R33-VLOOKUP('FLUXO DE CAIXA DESC.-BLOCOS PAN'!$D33,'CAPEX - BLOCOS PAN'!$C$3:$R$52,16,FALSE))*S$57</f>
        <v>-574655.63485982677</v>
      </c>
      <c r="T33" s="1">
        <f>('RECEITAS - BLOCOS PAN'!S33-'OPEX - BLOCOS PAN'!S33-VLOOKUP('FLUXO DE CAIXA DESC.-BLOCOS PAN'!$D33,'CAPEX - BLOCOS PAN'!$C$3:$S$52,17,FALSE))*T$57</f>
        <v>-524470.6524691059</v>
      </c>
      <c r="U33" s="1">
        <f>('RECEITAS - BLOCOS PAN'!T33-'OPEX - BLOCOS PAN'!T33-VLOOKUP('FLUXO DE CAIXA DESC.-BLOCOS PAN'!$D33,'CAPEX - BLOCOS PAN'!$C$3:$T$52,18,FALSE))*U$57</f>
        <v>-478672.87561317428</v>
      </c>
      <c r="V33" s="1">
        <f>('RECEITAS - BLOCOS PAN'!U33-'OPEX - BLOCOS PAN'!U33-VLOOKUP('FLUXO DE CAIXA DESC.-BLOCOS PAN'!$D33,'CAPEX - BLOCOS PAN'!$C$3:$U$52,19,FALSE))*V$57</f>
        <v>-436874.2368353114</v>
      </c>
      <c r="W33" s="1">
        <f>('RECEITAS - BLOCOS PAN'!V33-'OPEX - BLOCOS PAN'!V33-VLOOKUP('FLUXO DE CAIXA DESC.-BLOCOS PAN'!$D33,'CAPEX - BLOCOS PAN'!$C$3:$V$52,20,FALSE))*W$57</f>
        <v>-398725.52515035612</v>
      </c>
      <c r="X33" s="1">
        <f>('RECEITAS - BLOCOS PAN'!W33-'OPEX - BLOCOS PAN'!W33-VLOOKUP('FLUXO DE CAIXA DESC.-BLOCOS PAN'!$D33,'CAPEX - BLOCOS PAN'!$C$3:$W$52,21,FALSE))*X$57</f>
        <v>-363908.02407527313</v>
      </c>
      <c r="Y33" s="1">
        <f>('RECEITAS - BLOCOS PAN'!X33-'OPEX - BLOCOS PAN'!X33-VLOOKUP('FLUXO DE CAIXA DESC.-BLOCOS PAN'!$D33,'CAPEX - BLOCOS PAN'!$C$3:$X$52,22,FALSE))*Y$57</f>
        <v>-332130.84757271281</v>
      </c>
      <c r="Z33" s="1">
        <f>('RECEITAS - BLOCOS PAN'!Y33-'OPEX - BLOCOS PAN'!Y33-VLOOKUP('FLUXO DE CAIXA DESC.-BLOCOS PAN'!$D33,'CAPEX - BLOCOS PAN'!$C$3:$Y$52,23,FALSE))*Z$57</f>
        <v>-303128.50960345351</v>
      </c>
      <c r="AA33" s="1">
        <f>('RECEITAS - BLOCOS PAN'!Z33-'OPEX - BLOCOS PAN'!Z33-VLOOKUP('FLUXO DE CAIXA DESC.-BLOCOS PAN'!$D33,'CAPEX - BLOCOS PAN'!$C$3:$Z$52,24,FALSE))*AA$57</f>
        <v>-276654.61380247591</v>
      </c>
      <c r="AB33" s="1">
        <f>('RECEITAS - BLOCOS PAN'!AA33-'OPEX - BLOCOS PAN'!AA33-VLOOKUP('FLUXO DE CAIXA DESC.-BLOCOS PAN'!$D33,'CAPEX - BLOCOS PAN'!$C$3:$AA$52,25,FALSE))*AB$57</f>
        <v>-252489.36937887868</v>
      </c>
      <c r="AC33" s="1">
        <f>('RECEITAS - BLOCOS PAN'!AB33-'OPEX - BLOCOS PAN'!AB33-VLOOKUP('FLUXO DE CAIXA DESC.-BLOCOS PAN'!$D33,'CAPEX - BLOCOS PAN'!$C$3:$AB$52,26,FALSE))*AC$57</f>
        <v>-230441.46689138049</v>
      </c>
      <c r="AD33" s="1">
        <f>('RECEITAS - BLOCOS PAN'!AC33-'OPEX - BLOCOS PAN'!AC33-VLOOKUP('FLUXO DE CAIXA DESC.-BLOCOS PAN'!$D33,'CAPEX - BLOCOS PAN'!$C$3:$AC$52,27,FALSE))*AD$57</f>
        <v>-210318.82826482446</v>
      </c>
      <c r="AE33" s="1">
        <f>('RECEITAS - BLOCOS PAN'!AD33-'OPEX - BLOCOS PAN'!AD33-VLOOKUP('FLUXO DE CAIXA DESC.-BLOCOS PAN'!$D33,'CAPEX - BLOCOS PAN'!$C$3:$AD$52,28,FALSE))*AE$57</f>
        <v>-191953.33608581341</v>
      </c>
      <c r="AF33" s="1">
        <f>('RECEITAS - BLOCOS PAN'!AE33-'OPEX - BLOCOS PAN'!AE33-VLOOKUP('FLUXO DE CAIXA DESC.-BLOCOS PAN'!$D33,'CAPEX - BLOCOS PAN'!$C$3:$AE$52,29,FALSE))*AF$57</f>
        <v>-175191.55371844734</v>
      </c>
      <c r="AG33" s="1">
        <f>('RECEITAS - BLOCOS PAN'!AF33-'OPEX - BLOCOS PAN'!AF33-VLOOKUP('FLUXO DE CAIXA DESC.-BLOCOS PAN'!$D33,'CAPEX - BLOCOS PAN'!$C$3:$AF$52,30,FALSE))*AG$57</f>
        <v>-159893.44233655665</v>
      </c>
      <c r="AH33" s="1">
        <f>('RECEITAS - BLOCOS PAN'!AG33-'OPEX - BLOCOS PAN'!AG33-VLOOKUP('FLUXO DE CAIXA DESC.-BLOCOS PAN'!$D33,'CAPEX - BLOCOS PAN'!$C$3:$AG$52,31,FALSE))*AH$57</f>
        <v>-145927.03233212599</v>
      </c>
      <c r="AI33" s="1">
        <f>('RECEITAS - BLOCOS PAN'!AH33-'OPEX - BLOCOS PAN'!AH33-VLOOKUP('FLUXO DE CAIXA DESC.-BLOCOS PAN'!$D33,'CAPEX - BLOCOS PAN'!$C$3:$AH$52,32,FALSE))*AI$57</f>
        <v>-133184.35568378522</v>
      </c>
      <c r="AJ33" s="1">
        <f>('RECEITAS - BLOCOS PAN'!AI33-'OPEX - BLOCOS PAN'!AI33-VLOOKUP('FLUXO DE CAIXA DESC.-BLOCOS PAN'!$D33,'CAPEX - BLOCOS PAN'!$C$3:$AI$52,33,FALSE))*AJ$57</f>
        <v>-121556.70573201971</v>
      </c>
      <c r="AK33" s="1">
        <f>('RECEITAS - BLOCOS PAN'!AJ33-'OPEX - BLOCOS PAN'!AJ33-VLOOKUP('FLUXO DE CAIXA DESC.-BLOCOS PAN'!$D33,'CAPEX - BLOCOS PAN'!$C$3:$AJ$52,34,FALSE))*AK$57</f>
        <v>-110938.34191651722</v>
      </c>
      <c r="AL33" s="1">
        <f>('RECEITAS - BLOCOS PAN'!AK33-'OPEX - BLOCOS PAN'!AK33-VLOOKUP('FLUXO DE CAIXA DESC.-BLOCOS PAN'!$D33,'CAPEX - BLOCOS PAN'!$C$3:$AK$52,35,FALSE))*AL$57</f>
        <v>-101250.94823112944</v>
      </c>
      <c r="AM33" s="44">
        <f t="shared" ref="AM33:AM52" si="2">SUM(I33:AL33)</f>
        <v>-28364370.007024348</v>
      </c>
      <c r="AN33">
        <v>1</v>
      </c>
      <c r="AO33" t="s">
        <v>312</v>
      </c>
      <c r="AP33">
        <v>-3.3666666666666667</v>
      </c>
      <c r="AQ33">
        <v>-57.716666666666669</v>
      </c>
      <c r="AR33" s="48">
        <f>VLOOKUP(D33,'Projeção - Demanda PAX'!$C$3:$H$37,6,FALSE)</f>
        <v>397</v>
      </c>
      <c r="AS33" s="1">
        <f t="shared" si="1"/>
        <v>-25255402.631398946</v>
      </c>
      <c r="AT33" t="str">
        <f>VLOOKUP(D33,'CAPEX - BLOCOS PAN (ANO A ANO)'!$C$3:$AV$52,46,FALSE)</f>
        <v>Privada</v>
      </c>
      <c r="AU33" t="str">
        <f>VLOOKUP(D33,'FLUXO DE CAIXA DESC.-SEM MULT.'!$D$3:$AT$52,43,FALSE)</f>
        <v>Bloco 3 - AM2</v>
      </c>
    </row>
    <row r="34" spans="1:47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259</v>
      </c>
      <c r="H34" t="s">
        <v>33</v>
      </c>
      <c r="I34" s="1">
        <f>('RECEITAS - BLOCOS PAN'!H34-'OPEX - BLOCOS PAN'!H34-VLOOKUP('FLUXO DE CAIXA DESC.-BLOCOS PAN'!$D34,'CAPEX - BLOCOS PAN'!$C$3:$H$52,6,FALSE))*I$57</f>
        <v>-41253016.314199999</v>
      </c>
      <c r="J34" s="1">
        <f>('RECEITAS - BLOCOS PAN'!I34-'OPEX - BLOCOS PAN'!I34-VLOOKUP('FLUXO DE CAIXA DESC.-BLOCOS PAN'!$D34,'CAPEX - BLOCOS PAN'!$C$3:$I$52,7,FALSE))*J$57</f>
        <v>-37516265.649931543</v>
      </c>
      <c r="K34" s="1">
        <f>('RECEITAS - BLOCOS PAN'!J34-'OPEX - BLOCOS PAN'!J34-VLOOKUP('FLUXO DE CAIXA DESC.-BLOCOS PAN'!$D34,'CAPEX - BLOCOS PAN'!$C$3:$J$52,8,FALSE))*K$57</f>
        <v>-34144230.045030907</v>
      </c>
      <c r="L34" s="1">
        <f>('RECEITAS - BLOCOS PAN'!K34-'OPEX - BLOCOS PAN'!K34-VLOOKUP('FLUXO DE CAIXA DESC.-BLOCOS PAN'!$D34,'CAPEX - BLOCOS PAN'!$C$3:$K$52,9,FALSE))*L$57</f>
        <v>-2033398.0686087059</v>
      </c>
      <c r="M34" s="1">
        <f>('RECEITAS - BLOCOS PAN'!L34-'OPEX - BLOCOS PAN'!L34-VLOOKUP('FLUXO DE CAIXA DESC.-BLOCOS PAN'!$D34,'CAPEX - BLOCOS PAN'!$C$3:$L$52,10,FALSE))*M$57</f>
        <v>-1800807.2754031483</v>
      </c>
      <c r="N34" s="1">
        <f>('RECEITAS - BLOCOS PAN'!M34-'OPEX - BLOCOS PAN'!M34-VLOOKUP('FLUXO DE CAIXA DESC.-BLOCOS PAN'!$D34,'CAPEX - BLOCOS PAN'!$C$3:$M$52,11,FALSE))*N$57</f>
        <v>-1597736.3027433758</v>
      </c>
      <c r="O34" s="1">
        <f>('RECEITAS - BLOCOS PAN'!N34-'OPEX - BLOCOS PAN'!N34-VLOOKUP('FLUXO DE CAIXA DESC.-BLOCOS PAN'!$D34,'CAPEX - BLOCOS PAN'!$C$3:$N$52,12,FALSE))*O$57</f>
        <v>-1418976.6285601633</v>
      </c>
      <c r="P34" s="1">
        <f>('RECEITAS - BLOCOS PAN'!O34-'OPEX - BLOCOS PAN'!O34-VLOOKUP('FLUXO DE CAIXA DESC.-BLOCOS PAN'!$D34,'CAPEX - BLOCOS PAN'!$C$3:$O$52,13,FALSE))*P$57</f>
        <v>-1260157.3141067002</v>
      </c>
      <c r="Q34" s="1">
        <f>('RECEITAS - BLOCOS PAN'!P34-'OPEX - BLOCOS PAN'!P34-VLOOKUP('FLUXO DE CAIXA DESC.-BLOCOS PAN'!$D34,'CAPEX - BLOCOS PAN'!$C$3:$P$52,14,FALSE))*Q$57</f>
        <v>-1119961.835806879</v>
      </c>
      <c r="R34" s="1">
        <f>('RECEITAS - BLOCOS PAN'!Q34-'OPEX - BLOCOS PAN'!Q34-VLOOKUP('FLUXO DE CAIXA DESC.-BLOCOS PAN'!$D34,'CAPEX - BLOCOS PAN'!$C$3:$Q$52,15,FALSE))*R$57</f>
        <v>-996090.63314762735</v>
      </c>
      <c r="S34" s="1">
        <f>('RECEITAS - BLOCOS PAN'!R34-'OPEX - BLOCOS PAN'!R34-VLOOKUP('FLUXO DE CAIXA DESC.-BLOCOS PAN'!$D34,'CAPEX - BLOCOS PAN'!$C$3:$R$52,16,FALSE))*S$57</f>
        <v>-886771.90897840436</v>
      </c>
      <c r="T34" s="1">
        <f>('RECEITAS - BLOCOS PAN'!S34-'OPEX - BLOCOS PAN'!S34-VLOOKUP('FLUXO DE CAIXA DESC.-BLOCOS PAN'!$D34,'CAPEX - BLOCOS PAN'!$C$3:$S$52,17,FALSE))*T$57</f>
        <v>-788399.16287290014</v>
      </c>
      <c r="U34" s="1">
        <f>('RECEITAS - BLOCOS PAN'!T34-'OPEX - BLOCOS PAN'!T34-VLOOKUP('FLUXO DE CAIXA DESC.-BLOCOS PAN'!$D34,'CAPEX - BLOCOS PAN'!$C$3:$T$52,18,FALSE))*U$57</f>
        <v>-700749.50417240942</v>
      </c>
      <c r="V34" s="1">
        <f>('RECEITAS - BLOCOS PAN'!U34-'OPEX - BLOCOS PAN'!U34-VLOOKUP('FLUXO DE CAIXA DESC.-BLOCOS PAN'!$D34,'CAPEX - BLOCOS PAN'!$C$3:$U$52,19,FALSE))*V$57</f>
        <v>-621576.90607958194</v>
      </c>
      <c r="W34" s="1">
        <f>('RECEITAS - BLOCOS PAN'!V34-'OPEX - BLOCOS PAN'!V34-VLOOKUP('FLUXO DE CAIXA DESC.-BLOCOS PAN'!$D34,'CAPEX - BLOCOS PAN'!$C$3:$V$52,20,FALSE))*W$57</f>
        <v>-551255.17870863411</v>
      </c>
      <c r="X34" s="1">
        <f>('RECEITAS - BLOCOS PAN'!W34-'OPEX - BLOCOS PAN'!W34-VLOOKUP('FLUXO DE CAIXA DESC.-BLOCOS PAN'!$D34,'CAPEX - BLOCOS PAN'!$C$3:$W$52,21,FALSE))*X$57</f>
        <v>-487913.64615537616</v>
      </c>
      <c r="Y34" s="1">
        <f>('RECEITAS - BLOCOS PAN'!X34-'OPEX - BLOCOS PAN'!X34-VLOOKUP('FLUXO DE CAIXA DESC.-BLOCOS PAN'!$D34,'CAPEX - BLOCOS PAN'!$C$3:$X$52,22,FALSE))*Y$57</f>
        <v>-431460.29291539919</v>
      </c>
      <c r="Z34" s="1">
        <f>('RECEITAS - BLOCOS PAN'!Y34-'OPEX - BLOCOS PAN'!Y34-VLOOKUP('FLUXO DE CAIXA DESC.-BLOCOS PAN'!$D34,'CAPEX - BLOCOS PAN'!$C$3:$Y$52,23,FALSE))*Z$57</f>
        <v>-380580.28784006304</v>
      </c>
      <c r="AA34" s="1">
        <f>('RECEITAS - BLOCOS PAN'!Z34-'OPEX - BLOCOS PAN'!Z34-VLOOKUP('FLUXO DE CAIXA DESC.-BLOCOS PAN'!$D34,'CAPEX - BLOCOS PAN'!$C$3:$Z$52,24,FALSE))*AA$57</f>
        <v>-335257.65062910941</v>
      </c>
      <c r="AB34" s="1">
        <f>('RECEITAS - BLOCOS PAN'!AA34-'OPEX - BLOCOS PAN'!AA34-VLOOKUP('FLUXO DE CAIXA DESC.-BLOCOS PAN'!$D34,'CAPEX - BLOCOS PAN'!$C$3:$AA$52,25,FALSE))*AB$57</f>
        <v>-294444.33403268101</v>
      </c>
      <c r="AC34" s="1">
        <f>('RECEITAS - BLOCOS PAN'!AB34-'OPEX - BLOCOS PAN'!AB34-VLOOKUP('FLUXO DE CAIXA DESC.-BLOCOS PAN'!$D34,'CAPEX - BLOCOS PAN'!$C$3:$AB$52,26,FALSE))*AC$57</f>
        <v>-258515.83912139211</v>
      </c>
      <c r="AD34" s="1">
        <f>('RECEITAS - BLOCOS PAN'!AC34-'OPEX - BLOCOS PAN'!AC34-VLOOKUP('FLUXO DE CAIXA DESC.-BLOCOS PAN'!$D34,'CAPEX - BLOCOS PAN'!$C$3:$AC$52,27,FALSE))*AD$57</f>
        <v>-226249.20974622073</v>
      </c>
      <c r="AE34" s="1">
        <f>('RECEITAS - BLOCOS PAN'!AD34-'OPEX - BLOCOS PAN'!AD34-VLOOKUP('FLUXO DE CAIXA DESC.-BLOCOS PAN'!$D34,'CAPEX - BLOCOS PAN'!$C$3:$AD$52,28,FALSE))*AE$57</f>
        <v>-197781.96811621613</v>
      </c>
      <c r="AF34" s="1">
        <f>('RECEITAS - BLOCOS PAN'!AE34-'OPEX - BLOCOS PAN'!AE34-VLOOKUP('FLUXO DE CAIXA DESC.-BLOCOS PAN'!$D34,'CAPEX - BLOCOS PAN'!$C$3:$AE$52,29,FALSE))*AF$57</f>
        <v>-172445.72459595246</v>
      </c>
      <c r="AG34" s="1">
        <f>('RECEITAS - BLOCOS PAN'!AF34-'OPEX - BLOCOS PAN'!AF34-VLOOKUP('FLUXO DE CAIXA DESC.-BLOCOS PAN'!$D34,'CAPEX - BLOCOS PAN'!$C$3:$AF$52,30,FALSE))*AG$57</f>
        <v>-150065.87144654323</v>
      </c>
      <c r="AH34" s="1">
        <f>('RECEITAS - BLOCOS PAN'!AG34-'OPEX - BLOCOS PAN'!AG34-VLOOKUP('FLUXO DE CAIXA DESC.-BLOCOS PAN'!$D34,'CAPEX - BLOCOS PAN'!$C$3:$AG$52,31,FALSE))*AH$57</f>
        <v>-129996.25140607535</v>
      </c>
      <c r="AI34" s="1">
        <f>('RECEITAS - BLOCOS PAN'!AH34-'OPEX - BLOCOS PAN'!AH34-VLOOKUP('FLUXO DE CAIXA DESC.-BLOCOS PAN'!$D34,'CAPEX - BLOCOS PAN'!$C$3:$AH$52,32,FALSE))*AI$57</f>
        <v>-112497.21970708881</v>
      </c>
      <c r="AJ34" s="1">
        <f>('RECEITAS - BLOCOS PAN'!AI34-'OPEX - BLOCOS PAN'!AI34-VLOOKUP('FLUXO DE CAIXA DESC.-BLOCOS PAN'!$D34,'CAPEX - BLOCOS PAN'!$C$3:$AI$52,33,FALSE))*AJ$57</f>
        <v>-96835.322303960173</v>
      </c>
      <c r="AK34" s="1">
        <f>('RECEITAS - BLOCOS PAN'!AJ34-'OPEX - BLOCOS PAN'!AJ34-VLOOKUP('FLUXO DE CAIXA DESC.-BLOCOS PAN'!$D34,'CAPEX - BLOCOS PAN'!$C$3:$AJ$52,34,FALSE))*AK$57</f>
        <v>-82949.677159444123</v>
      </c>
      <c r="AL34" s="1">
        <f>('RECEITAS - BLOCOS PAN'!AK34-'OPEX - BLOCOS PAN'!AK34-VLOOKUP('FLUXO DE CAIXA DESC.-BLOCOS PAN'!$D34,'CAPEX - BLOCOS PAN'!$C$3:$AK$52,35,FALSE))*AL$57</f>
        <v>-70630.388040023652</v>
      </c>
      <c r="AM34" s="44">
        <f t="shared" si="2"/>
        <v>-130117016.4115665</v>
      </c>
      <c r="AN34">
        <v>1</v>
      </c>
      <c r="AO34" t="s">
        <v>312</v>
      </c>
      <c r="AP34">
        <v>-2.6666666666666665</v>
      </c>
      <c r="AQ34">
        <v>-56.766666666666666</v>
      </c>
      <c r="AR34" s="48">
        <f>VLOOKUP(D34,'Projeção - Demanda PAX'!$C$3:$H$37,6,FALSE)</f>
        <v>58695</v>
      </c>
      <c r="AS34" s="1">
        <f t="shared" si="1"/>
        <v>-126689392.72835095</v>
      </c>
      <c r="AT34" t="str">
        <f>VLOOKUP(D34,'CAPEX - BLOCOS PAN (ANO A ANO)'!$C$3:$AV$52,46,FALSE)</f>
        <v>Privada</v>
      </c>
      <c r="AU34" t="str">
        <f>VLOOKUP(D34,'FLUXO DE CAIXA DESC.-SEM MULT.'!$D$3:$AT$52,43,FALSE)</f>
        <v>Bloco 3 - AM2</v>
      </c>
    </row>
    <row r="35" spans="1:47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257</v>
      </c>
      <c r="H35" t="s">
        <v>33</v>
      </c>
      <c r="I35" s="1">
        <f>('RECEITAS - BLOCOS PAN'!H35-'OPEX - BLOCOS PAN'!H35-VLOOKUP('FLUXO DE CAIXA DESC.-BLOCOS PAN'!$D35,'CAPEX - BLOCOS PAN'!$C$3:$H$52,6,FALSE))*I$57</f>
        <v>-21973333.684</v>
      </c>
      <c r="J35" s="1">
        <f>('RECEITAS - BLOCOS PAN'!I35-'OPEX - BLOCOS PAN'!I35-VLOOKUP('FLUXO DE CAIXA DESC.-BLOCOS PAN'!$D35,'CAPEX - BLOCOS PAN'!$C$3:$I$52,7,FALSE))*J$57</f>
        <v>-20026714.638338659</v>
      </c>
      <c r="K35" s="1">
        <f>('RECEITAS - BLOCOS PAN'!J35-'OPEX - BLOCOS PAN'!J35-VLOOKUP('FLUXO DE CAIXA DESC.-BLOCOS PAN'!$D35,'CAPEX - BLOCOS PAN'!$C$3:$J$52,8,FALSE))*K$57</f>
        <v>-18258305.922094062</v>
      </c>
      <c r="L35" s="1">
        <f>('RECEITAS - BLOCOS PAN'!K35-'OPEX - BLOCOS PAN'!K35-VLOOKUP('FLUXO DE CAIXA DESC.-BLOCOS PAN'!$D35,'CAPEX - BLOCOS PAN'!$C$3:$K$52,9,FALSE))*L$57</f>
        <v>-2473203.4191616699</v>
      </c>
      <c r="M35" s="1">
        <f>('RECEITAS - BLOCOS PAN'!L35-'OPEX - BLOCOS PAN'!L35-VLOOKUP('FLUXO DE CAIXA DESC.-BLOCOS PAN'!$D35,'CAPEX - BLOCOS PAN'!$C$3:$L$52,10,FALSE))*M$57</f>
        <v>-2245323.0567349414</v>
      </c>
      <c r="N35" s="1">
        <f>('RECEITAS - BLOCOS PAN'!M35-'OPEX - BLOCOS PAN'!M35-VLOOKUP('FLUXO DE CAIXA DESC.-BLOCOS PAN'!$D35,'CAPEX - BLOCOS PAN'!$C$3:$M$52,11,FALSE))*N$57</f>
        <v>-2039295.5867765369</v>
      </c>
      <c r="O35" s="1">
        <f>('RECEITAS - BLOCOS PAN'!N35-'OPEX - BLOCOS PAN'!N35-VLOOKUP('FLUXO DE CAIXA DESC.-BLOCOS PAN'!$D35,'CAPEX - BLOCOS PAN'!$C$3:$N$52,12,FALSE))*O$57</f>
        <v>-1852651.8862574324</v>
      </c>
      <c r="P35" s="1">
        <f>('RECEITAS - BLOCOS PAN'!O35-'OPEX - BLOCOS PAN'!O35-VLOOKUP('FLUXO DE CAIXA DESC.-BLOCOS PAN'!$D35,'CAPEX - BLOCOS PAN'!$C$3:$O$52,13,FALSE))*P$57</f>
        <v>-1683270.6365820162</v>
      </c>
      <c r="Q35" s="1">
        <f>('RECEITAS - BLOCOS PAN'!P35-'OPEX - BLOCOS PAN'!P35-VLOOKUP('FLUXO DE CAIXA DESC.-BLOCOS PAN'!$D35,'CAPEX - BLOCOS PAN'!$C$3:$P$52,14,FALSE))*Q$57</f>
        <v>-1529941.7959497443</v>
      </c>
      <c r="R35" s="1">
        <f>('RECEITAS - BLOCOS PAN'!Q35-'OPEX - BLOCOS PAN'!Q35-VLOOKUP('FLUXO DE CAIXA DESC.-BLOCOS PAN'!$D35,'CAPEX - BLOCOS PAN'!$C$3:$Q$52,15,FALSE))*R$57</f>
        <v>-1460451.5679644342</v>
      </c>
      <c r="S35" s="1">
        <f>('RECEITAS - BLOCOS PAN'!R35-'OPEX - BLOCOS PAN'!R35-VLOOKUP('FLUXO DE CAIXA DESC.-BLOCOS PAN'!$D35,'CAPEX - BLOCOS PAN'!$C$3:$R$52,16,FALSE))*S$57</f>
        <v>-1328405.5384662391</v>
      </c>
      <c r="T35" s="1">
        <f>('RECEITAS - BLOCOS PAN'!S35-'OPEX - BLOCOS PAN'!S35-VLOOKUP('FLUXO DE CAIXA DESC.-BLOCOS PAN'!$D35,'CAPEX - BLOCOS PAN'!$C$3:$S$52,17,FALSE))*T$57</f>
        <v>-1208309.2018549978</v>
      </c>
      <c r="U35" s="1">
        <f>('RECEITAS - BLOCOS PAN'!T35-'OPEX - BLOCOS PAN'!T35-VLOOKUP('FLUXO DE CAIXA DESC.-BLOCOS PAN'!$D35,'CAPEX - BLOCOS PAN'!$C$3:$T$52,18,FALSE))*U$57</f>
        <v>-1099080.552354774</v>
      </c>
      <c r="V35" s="1">
        <f>('RECEITAS - BLOCOS PAN'!U35-'OPEX - BLOCOS PAN'!U35-VLOOKUP('FLUXO DE CAIXA DESC.-BLOCOS PAN'!$D35,'CAPEX - BLOCOS PAN'!$C$3:$U$52,19,FALSE))*V$57</f>
        <v>-999643.48582171497</v>
      </c>
      <c r="W35" s="1">
        <f>('RECEITAS - BLOCOS PAN'!V35-'OPEX - BLOCOS PAN'!V35-VLOOKUP('FLUXO DE CAIXA DESC.-BLOCOS PAN'!$D35,'CAPEX - BLOCOS PAN'!$C$3:$V$52,20,FALSE))*W$57</f>
        <v>-909270.55054592341</v>
      </c>
      <c r="X35" s="1">
        <f>('RECEITAS - BLOCOS PAN'!W35-'OPEX - BLOCOS PAN'!W35-VLOOKUP('FLUXO DE CAIXA DESC.-BLOCOS PAN'!$D35,'CAPEX - BLOCOS PAN'!$C$3:$W$52,21,FALSE))*X$57</f>
        <v>-826991.85248418699</v>
      </c>
      <c r="Y35" s="1">
        <f>('RECEITAS - BLOCOS PAN'!X35-'OPEX - BLOCOS PAN'!X35-VLOOKUP('FLUXO DE CAIXA DESC.-BLOCOS PAN'!$D35,'CAPEX - BLOCOS PAN'!$C$3:$X$52,22,FALSE))*Y$57</f>
        <v>-752161.71526372747</v>
      </c>
      <c r="Z35" s="1">
        <f>('RECEITAS - BLOCOS PAN'!Y35-'OPEX - BLOCOS PAN'!Y35-VLOOKUP('FLUXO DE CAIXA DESC.-BLOCOS PAN'!$D35,'CAPEX - BLOCOS PAN'!$C$3:$Y$52,23,FALSE))*Z$57</f>
        <v>-684008.94741414499</v>
      </c>
      <c r="AA35" s="1">
        <f>('RECEITAS - BLOCOS PAN'!Z35-'OPEX - BLOCOS PAN'!Z35-VLOOKUP('FLUXO DE CAIXA DESC.-BLOCOS PAN'!$D35,'CAPEX - BLOCOS PAN'!$C$3:$Z$52,24,FALSE))*AA$57</f>
        <v>-622027.96959072328</v>
      </c>
      <c r="AB35" s="1">
        <f>('RECEITAS - BLOCOS PAN'!AA35-'OPEX - BLOCOS PAN'!AA35-VLOOKUP('FLUXO DE CAIXA DESC.-BLOCOS PAN'!$D35,'CAPEX - BLOCOS PAN'!$C$3:$AA$52,25,FALSE))*AB$57</f>
        <v>-565604.96931139834</v>
      </c>
      <c r="AC35" s="1">
        <f>('RECEITAS - BLOCOS PAN'!AB35-'OPEX - BLOCOS PAN'!AB35-VLOOKUP('FLUXO DE CAIXA DESC.-BLOCOS PAN'!$D35,'CAPEX - BLOCOS PAN'!$C$3:$AB$52,26,FALSE))*AC$57</f>
        <v>-514349.64050837833</v>
      </c>
      <c r="AD35" s="1">
        <f>('RECEITAS - BLOCOS PAN'!AC35-'OPEX - BLOCOS PAN'!AC35-VLOOKUP('FLUXO DE CAIXA DESC.-BLOCOS PAN'!$D35,'CAPEX - BLOCOS PAN'!$C$3:$AC$52,27,FALSE))*AD$57</f>
        <v>-467696.72292591858</v>
      </c>
      <c r="AE35" s="1">
        <f>('RECEITAS - BLOCOS PAN'!AD35-'OPEX - BLOCOS PAN'!AD35-VLOOKUP('FLUXO DE CAIXA DESC.-BLOCOS PAN'!$D35,'CAPEX - BLOCOS PAN'!$C$3:$AD$52,28,FALSE))*AE$57</f>
        <v>-425295.83110780339</v>
      </c>
      <c r="AF35" s="1">
        <f>('RECEITAS - BLOCOS PAN'!AE35-'OPEX - BLOCOS PAN'!AE35-VLOOKUP('FLUXO DE CAIXA DESC.-BLOCOS PAN'!$D35,'CAPEX - BLOCOS PAN'!$C$3:$AE$52,29,FALSE))*AF$57</f>
        <v>-386747.2003568433</v>
      </c>
      <c r="AG35" s="1">
        <f>('RECEITAS - BLOCOS PAN'!AF35-'OPEX - BLOCOS PAN'!AF35-VLOOKUP('FLUXO DE CAIXA DESC.-BLOCOS PAN'!$D35,'CAPEX - BLOCOS PAN'!$C$3:$AF$52,30,FALSE))*AG$57</f>
        <v>-351722.71260124119</v>
      </c>
      <c r="AH35" s="1">
        <f>('RECEITAS - BLOCOS PAN'!AG35-'OPEX - BLOCOS PAN'!AG35-VLOOKUP('FLUXO DE CAIXA DESC.-BLOCOS PAN'!$D35,'CAPEX - BLOCOS PAN'!$C$3:$AG$52,31,FALSE))*AH$57</f>
        <v>-319858.30749068042</v>
      </c>
      <c r="AI35" s="1">
        <f>('RECEITAS - BLOCOS PAN'!AH35-'OPEX - BLOCOS PAN'!AH35-VLOOKUP('FLUXO DE CAIXA DESC.-BLOCOS PAN'!$D35,'CAPEX - BLOCOS PAN'!$C$3:$AH$52,32,FALSE))*AI$57</f>
        <v>-290911.21971956972</v>
      </c>
      <c r="AJ35" s="1">
        <f>('RECEITAS - BLOCOS PAN'!AI35-'OPEX - BLOCOS PAN'!AI35-VLOOKUP('FLUXO DE CAIXA DESC.-BLOCOS PAN'!$D35,'CAPEX - BLOCOS PAN'!$C$3:$AI$52,33,FALSE))*AJ$57</f>
        <v>-264580.24300027592</v>
      </c>
      <c r="AK35" s="1">
        <f>('RECEITAS - BLOCOS PAN'!AJ35-'OPEX - BLOCOS PAN'!AJ35-VLOOKUP('FLUXO DE CAIXA DESC.-BLOCOS PAN'!$D35,'CAPEX - BLOCOS PAN'!$C$3:$AJ$52,34,FALSE))*AK$57</f>
        <v>-240613.77032145418</v>
      </c>
      <c r="AL35" s="1">
        <f>('RECEITAS - BLOCOS PAN'!AK35-'OPEX - BLOCOS PAN'!AK35-VLOOKUP('FLUXO DE CAIXA DESC.-BLOCOS PAN'!$D35,'CAPEX - BLOCOS PAN'!$C$3:$AK$52,35,FALSE))*AL$57</f>
        <v>-218804.08975374559</v>
      </c>
      <c r="AM35" s="44">
        <f t="shared" si="2"/>
        <v>-86018576.71475324</v>
      </c>
      <c r="AN35">
        <v>1</v>
      </c>
      <c r="AO35" t="s">
        <v>314</v>
      </c>
      <c r="AP35">
        <v>-14.65</v>
      </c>
      <c r="AQ35">
        <v>-57.43333333333333</v>
      </c>
      <c r="AR35" s="48">
        <f>VLOOKUP(D35,'Projeção - Demanda PAX'!$C$3:$H$37,6,FALSE)</f>
        <v>18307</v>
      </c>
      <c r="AS35" s="1">
        <f t="shared" si="1"/>
        <v>-79087201.522903144</v>
      </c>
      <c r="AT35" t="str">
        <f>VLOOKUP(D35,'CAPEX - BLOCOS PAN (ANO A ANO)'!$C$3:$AV$52,46,FALSE)</f>
        <v>Privada</v>
      </c>
      <c r="AU35" t="str">
        <f>VLOOKUP(D35,'FLUXO DE CAIXA DESC.-SEM MULT.'!$D$3:$AT$52,43,FALSE)</f>
        <v>Bloco 10 - MT1</v>
      </c>
    </row>
    <row r="36" spans="1:47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259</v>
      </c>
      <c r="H36" t="s">
        <v>33</v>
      </c>
      <c r="I36" s="1">
        <f>('RECEITAS - BLOCOS PAN'!H36-'OPEX - BLOCOS PAN'!H36-VLOOKUP('FLUXO DE CAIXA DESC.-BLOCOS PAN'!$D36,'CAPEX - BLOCOS PAN'!$C$3:$H$52,6,FALSE))*I$57</f>
        <v>-54043520.896266662</v>
      </c>
      <c r="J36" s="1">
        <f>('RECEITAS - BLOCOS PAN'!I36-'OPEX - BLOCOS PAN'!I36-VLOOKUP('FLUXO DE CAIXA DESC.-BLOCOS PAN'!$D36,'CAPEX - BLOCOS PAN'!$C$3:$I$52,7,FALSE))*J$57</f>
        <v>-49249667.737075917</v>
      </c>
      <c r="K36" s="1">
        <f>('RECEITAS - BLOCOS PAN'!J36-'OPEX - BLOCOS PAN'!J36-VLOOKUP('FLUXO DE CAIXA DESC.-BLOCOS PAN'!$D36,'CAPEX - BLOCOS PAN'!$C$3:$J$52,8,FALSE))*K$57</f>
        <v>-45778974.065696061</v>
      </c>
      <c r="L36" s="1">
        <f>('RECEITAS - BLOCOS PAN'!K36-'OPEX - BLOCOS PAN'!K36-VLOOKUP('FLUXO DE CAIXA DESC.-BLOCOS PAN'!$D36,'CAPEX - BLOCOS PAN'!$C$3:$K$52,9,FALSE))*L$57</f>
        <v>-2473039.0183988139</v>
      </c>
      <c r="M36" s="1">
        <f>('RECEITAS - BLOCOS PAN'!L36-'OPEX - BLOCOS PAN'!L36-VLOOKUP('FLUXO DE CAIXA DESC.-BLOCOS PAN'!$D36,'CAPEX - BLOCOS PAN'!$C$3:$L$52,10,FALSE))*M$57</f>
        <v>-2214575.8036806621</v>
      </c>
      <c r="N36" s="1">
        <f>('RECEITAS - BLOCOS PAN'!M36-'OPEX - BLOCOS PAN'!M36-VLOOKUP('FLUXO DE CAIXA DESC.-BLOCOS PAN'!$D36,'CAPEX - BLOCOS PAN'!$C$3:$M$52,11,FALSE))*N$57</f>
        <v>-1988285.8352788647</v>
      </c>
      <c r="O36" s="1">
        <f>('RECEITAS - BLOCOS PAN'!N36-'OPEX - BLOCOS PAN'!N36-VLOOKUP('FLUXO DE CAIXA DESC.-BLOCOS PAN'!$D36,'CAPEX - BLOCOS PAN'!$C$3:$N$52,12,FALSE))*O$57</f>
        <v>-1781591.3912951567</v>
      </c>
      <c r="P36" s="1">
        <f>('RECEITAS - BLOCOS PAN'!O36-'OPEX - BLOCOS PAN'!O36-VLOOKUP('FLUXO DE CAIXA DESC.-BLOCOS PAN'!$D36,'CAPEX - BLOCOS PAN'!$C$3:$O$52,13,FALSE))*P$57</f>
        <v>-1599422.3696401108</v>
      </c>
      <c r="Q36" s="1">
        <f>('RECEITAS - BLOCOS PAN'!P36-'OPEX - BLOCOS PAN'!P36-VLOOKUP('FLUXO DE CAIXA DESC.-BLOCOS PAN'!$D36,'CAPEX - BLOCOS PAN'!$C$3:$P$52,14,FALSE))*Q$57</f>
        <v>-1432471.8475895273</v>
      </c>
      <c r="R36" s="1">
        <f>('RECEITAS - BLOCOS PAN'!Q36-'OPEX - BLOCOS PAN'!Q36-VLOOKUP('FLUXO DE CAIXA DESC.-BLOCOS PAN'!$D36,'CAPEX - BLOCOS PAN'!$C$3:$Q$52,15,FALSE))*R$57</f>
        <v>-1286957.4106907626</v>
      </c>
      <c r="S36" s="1">
        <f>('RECEITAS - BLOCOS PAN'!R36-'OPEX - BLOCOS PAN'!R36-VLOOKUP('FLUXO DE CAIXA DESC.-BLOCOS PAN'!$D36,'CAPEX - BLOCOS PAN'!$C$3:$R$52,16,FALSE))*S$57</f>
        <v>-1154726.9120340548</v>
      </c>
      <c r="T36" s="1">
        <f>('RECEITAS - BLOCOS PAN'!S36-'OPEX - BLOCOS PAN'!S36-VLOOKUP('FLUXO DE CAIXA DESC.-BLOCOS PAN'!$D36,'CAPEX - BLOCOS PAN'!$C$3:$S$52,17,FALSE))*T$57</f>
        <v>-1037186.6521828671</v>
      </c>
      <c r="U36" s="1">
        <f>('RECEITAS - BLOCOS PAN'!T36-'OPEX - BLOCOS PAN'!T36-VLOOKUP('FLUXO DE CAIXA DESC.-BLOCOS PAN'!$D36,'CAPEX - BLOCOS PAN'!$C$3:$T$52,18,FALSE))*U$57</f>
        <v>-929830.49730736681</v>
      </c>
      <c r="V36" s="1">
        <f>('RECEITAS - BLOCOS PAN'!U36-'OPEX - BLOCOS PAN'!U36-VLOOKUP('FLUXO DE CAIXA DESC.-BLOCOS PAN'!$D36,'CAPEX - BLOCOS PAN'!$C$3:$U$52,19,FALSE))*V$57</f>
        <v>-834592.42591381015</v>
      </c>
      <c r="W36" s="1">
        <f>('RECEITAS - BLOCOS PAN'!V36-'OPEX - BLOCOS PAN'!V36-VLOOKUP('FLUXO DE CAIXA DESC.-BLOCOS PAN'!$D36,'CAPEX - BLOCOS PAN'!$C$3:$V$52,20,FALSE))*W$57</f>
        <v>-747348.4135424362</v>
      </c>
      <c r="X36" s="1">
        <f>('RECEITAS - BLOCOS PAN'!W36-'OPEX - BLOCOS PAN'!W36-VLOOKUP('FLUXO DE CAIXA DESC.-BLOCOS PAN'!$D36,'CAPEX - BLOCOS PAN'!$C$3:$W$52,21,FALSE))*X$57</f>
        <v>-670393.59954131988</v>
      </c>
      <c r="Y36" s="1">
        <f>('RECEITAS - BLOCOS PAN'!X36-'OPEX - BLOCOS PAN'!X36-VLOOKUP('FLUXO DE CAIXA DESC.-BLOCOS PAN'!$D36,'CAPEX - BLOCOS PAN'!$C$3:$X$52,22,FALSE))*Y$57</f>
        <v>-599856.46441521449</v>
      </c>
      <c r="Z36" s="1">
        <f>('RECEITAS - BLOCOS PAN'!Y36-'OPEX - BLOCOS PAN'!Y36-VLOOKUP('FLUXO DE CAIXA DESC.-BLOCOS PAN'!$D36,'CAPEX - BLOCOS PAN'!$C$3:$Y$52,23,FALSE))*Z$57</f>
        <v>-537749.84061907686</v>
      </c>
      <c r="AA36" s="1">
        <f>('RECEITAS - BLOCOS PAN'!Z36-'OPEX - BLOCOS PAN'!Z36-VLOOKUP('FLUXO DE CAIXA DESC.-BLOCOS PAN'!$D36,'CAPEX - BLOCOS PAN'!$C$3:$Z$52,24,FALSE))*AA$57</f>
        <v>-480568.2737400239</v>
      </c>
      <c r="AB36" s="1">
        <f>('RECEITAS - BLOCOS PAN'!AA36-'OPEX - BLOCOS PAN'!AA36-VLOOKUP('FLUXO DE CAIXA DESC.-BLOCOS PAN'!$D36,'CAPEX - BLOCOS PAN'!$C$3:$AA$52,25,FALSE))*AB$57</f>
        <v>-430609.56774259661</v>
      </c>
      <c r="AC36" s="1">
        <f>('RECEITAS - BLOCOS PAN'!AB36-'OPEX - BLOCOS PAN'!AB36-VLOOKUP('FLUXO DE CAIXA DESC.-BLOCOS PAN'!$D36,'CAPEX - BLOCOS PAN'!$C$3:$AB$52,26,FALSE))*AC$57</f>
        <v>-384562.97942054848</v>
      </c>
      <c r="AD36" s="1">
        <f>('RECEITAS - BLOCOS PAN'!AC36-'OPEX - BLOCOS PAN'!AC36-VLOOKUP('FLUXO DE CAIXA DESC.-BLOCOS PAN'!$D36,'CAPEX - BLOCOS PAN'!$C$3:$AC$52,27,FALSE))*AD$57</f>
        <v>-344351.04498769954</v>
      </c>
      <c r="AE36" s="1">
        <f>('RECEITAS - BLOCOS PAN'!AD36-'OPEX - BLOCOS PAN'!AD36-VLOOKUP('FLUXO DE CAIXA DESC.-BLOCOS PAN'!$D36,'CAPEX - BLOCOS PAN'!$C$3:$AD$52,28,FALSE))*AE$57</f>
        <v>-307007.86614399729</v>
      </c>
      <c r="AF36" s="1">
        <f>('RECEITAS - BLOCOS PAN'!AE36-'OPEX - BLOCOS PAN'!AE36-VLOOKUP('FLUXO DE CAIXA DESC.-BLOCOS PAN'!$D36,'CAPEX - BLOCOS PAN'!$C$3:$AE$52,29,FALSE))*AF$57</f>
        <v>-275757.99564612255</v>
      </c>
      <c r="AG36" s="1">
        <f>('RECEITAS - BLOCOS PAN'!AF36-'OPEX - BLOCOS PAN'!AF36-VLOOKUP('FLUXO DE CAIXA DESC.-BLOCOS PAN'!$D36,'CAPEX - BLOCOS PAN'!$C$3:$AF$52,30,FALSE))*AG$57</f>
        <v>-246582.91181935373</v>
      </c>
      <c r="AH36" s="1">
        <f>('RECEITAS - BLOCOS PAN'!AG36-'OPEX - BLOCOS PAN'!AG36-VLOOKUP('FLUXO DE CAIXA DESC.-BLOCOS PAN'!$D36,'CAPEX - BLOCOS PAN'!$C$3:$AG$52,31,FALSE))*AH$57</f>
        <v>-211178.78015991999</v>
      </c>
      <c r="AI36" s="1">
        <f>('RECEITAS - BLOCOS PAN'!AH36-'OPEX - BLOCOS PAN'!AH36-VLOOKUP('FLUXO DE CAIXA DESC.-BLOCOS PAN'!$D36,'CAPEX - BLOCOS PAN'!$C$3:$AH$52,32,FALSE))*AI$57</f>
        <v>-188121.16573994386</v>
      </c>
      <c r="AJ36" s="1">
        <f>('RECEITAS - BLOCOS PAN'!AI36-'OPEX - BLOCOS PAN'!AI36-VLOOKUP('FLUXO DE CAIXA DESC.-BLOCOS PAN'!$D36,'CAPEX - BLOCOS PAN'!$C$3:$AI$52,33,FALSE))*AJ$57</f>
        <v>-168560.11039934243</v>
      </c>
      <c r="AK36" s="1">
        <f>('RECEITAS - BLOCOS PAN'!AJ36-'OPEX - BLOCOS PAN'!AJ36-VLOOKUP('FLUXO DE CAIXA DESC.-BLOCOS PAN'!$D36,'CAPEX - BLOCOS PAN'!$C$3:$AJ$52,34,FALSE))*AK$57</f>
        <v>-150921.63360497338</v>
      </c>
      <c r="AL36" s="1">
        <f>('RECEITAS - BLOCOS PAN'!AK36-'OPEX - BLOCOS PAN'!AK36-VLOOKUP('FLUXO DE CAIXA DESC.-BLOCOS PAN'!$D36,'CAPEX - BLOCOS PAN'!$C$3:$AK$52,35,FALSE))*AL$57</f>
        <v>-135025.05192747017</v>
      </c>
      <c r="AM36" s="44">
        <f t="shared" si="2"/>
        <v>-171683438.56250072</v>
      </c>
      <c r="AN36">
        <v>1</v>
      </c>
      <c r="AO36" t="s">
        <v>391</v>
      </c>
      <c r="AP36">
        <v>-0.68333333333333335</v>
      </c>
      <c r="AQ36">
        <v>-47.333333333333336</v>
      </c>
      <c r="AR36" s="48">
        <f>VLOOKUP(D36,'Projeção - Demanda PAX'!$C$3:$H$37,6,FALSE)</f>
        <v>39679</v>
      </c>
      <c r="AS36" s="1">
        <f t="shared" si="1"/>
        <v>-166552191.27659309</v>
      </c>
      <c r="AT36" t="str">
        <f>VLOOKUP(D36,'CAPEX - BLOCOS PAN (ANO A ANO)'!$C$3:$AV$52,46,FALSE)</f>
        <v>Privada</v>
      </c>
      <c r="AU36" t="str">
        <f>VLOOKUP(D36,'FLUXO DE CAIXA DESC.-SEM MULT.'!$D$3:$AT$52,43,FALSE)</f>
        <v>Bloco 4 - PA3</v>
      </c>
    </row>
    <row r="37" spans="1:47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258</v>
      </c>
      <c r="H37" t="s">
        <v>33</v>
      </c>
      <c r="I37" s="1">
        <f>('RECEITAS - BLOCOS PAN'!H37-'OPEX - BLOCOS PAN'!H37-VLOOKUP('FLUXO DE CAIXA DESC.-BLOCOS PAN'!$D37,'CAPEX - BLOCOS PAN'!$C$3:$H$52,6,FALSE))*I$57</f>
        <v>-30466652.9375</v>
      </c>
      <c r="J37" s="1">
        <f>('RECEITAS - BLOCOS PAN'!I37-'OPEX - BLOCOS PAN'!I37-VLOOKUP('FLUXO DE CAIXA DESC.-BLOCOS PAN'!$D37,'CAPEX - BLOCOS PAN'!$C$3:$I$52,7,FALSE))*J$57</f>
        <v>-27677550.249475125</v>
      </c>
      <c r="K37" s="1">
        <f>('RECEITAS - BLOCOS PAN'!J37-'OPEX - BLOCOS PAN'!J37-VLOOKUP('FLUXO DE CAIXA DESC.-BLOCOS PAN'!$D37,'CAPEX - BLOCOS PAN'!$C$3:$J$52,8,FALSE))*K$57</f>
        <v>-25167573.534568727</v>
      </c>
      <c r="L37" s="1">
        <f>('RECEITAS - BLOCOS PAN'!K37-'OPEX - BLOCOS PAN'!K37-VLOOKUP('FLUXO DE CAIXA DESC.-BLOCOS PAN'!$D37,'CAPEX - BLOCOS PAN'!$C$3:$K$52,9,FALSE))*L$57</f>
        <v>-2411759.9637261597</v>
      </c>
      <c r="M37" s="1">
        <f>('RECEITAS - BLOCOS PAN'!L37-'OPEX - BLOCOS PAN'!L37-VLOOKUP('FLUXO DE CAIXA DESC.-BLOCOS PAN'!$D37,'CAPEX - BLOCOS PAN'!$C$3:$L$52,10,FALSE))*M$57</f>
        <v>-2148564.1007167799</v>
      </c>
      <c r="N37" s="1">
        <f>('RECEITAS - BLOCOS PAN'!M37-'OPEX - BLOCOS PAN'!M37-VLOOKUP('FLUXO DE CAIXA DESC.-BLOCOS PAN'!$D37,'CAPEX - BLOCOS PAN'!$C$3:$M$52,11,FALSE))*N$57</f>
        <v>-1916415.3021760692</v>
      </c>
      <c r="O37" s="1">
        <f>('RECEITAS - BLOCOS PAN'!N37-'OPEX - BLOCOS PAN'!N37-VLOOKUP('FLUXO DE CAIXA DESC.-BLOCOS PAN'!$D37,'CAPEX - BLOCOS PAN'!$C$3:$N$52,12,FALSE))*O$57</f>
        <v>-1710653.4217635007</v>
      </c>
      <c r="P37" s="1">
        <f>('RECEITAS - BLOCOS PAN'!O37-'OPEX - BLOCOS PAN'!O37-VLOOKUP('FLUXO DE CAIXA DESC.-BLOCOS PAN'!$D37,'CAPEX - BLOCOS PAN'!$C$3:$O$52,13,FALSE))*P$57</f>
        <v>-1525598.1907270248</v>
      </c>
      <c r="Q37" s="1">
        <f>('RECEITAS - BLOCOS PAN'!P37-'OPEX - BLOCOS PAN'!P37-VLOOKUP('FLUXO DE CAIXA DESC.-BLOCOS PAN'!$D37,'CAPEX - BLOCOS PAN'!$C$3:$P$52,14,FALSE))*Q$57</f>
        <v>-1361852.6285783502</v>
      </c>
      <c r="R37" s="1">
        <f>('RECEITAS - BLOCOS PAN'!Q37-'OPEX - BLOCOS PAN'!Q37-VLOOKUP('FLUXO DE CAIXA DESC.-BLOCOS PAN'!$D37,'CAPEX - BLOCOS PAN'!$C$3:$Q$52,15,FALSE))*R$57</f>
        <v>-1217553.8805476949</v>
      </c>
      <c r="S37" s="1">
        <f>('RECEITAS - BLOCOS PAN'!R37-'OPEX - BLOCOS PAN'!R37-VLOOKUP('FLUXO DE CAIXA DESC.-BLOCOS PAN'!$D37,'CAPEX - BLOCOS PAN'!$C$3:$R$52,16,FALSE))*S$57</f>
        <v>-1088720.3928783454</v>
      </c>
      <c r="T37" s="1">
        <f>('RECEITAS - BLOCOS PAN'!S37-'OPEX - BLOCOS PAN'!S37-VLOOKUP('FLUXO DE CAIXA DESC.-BLOCOS PAN'!$D37,'CAPEX - BLOCOS PAN'!$C$3:$S$52,17,FALSE))*T$57</f>
        <v>-974151.65104953898</v>
      </c>
      <c r="U37" s="1">
        <f>('RECEITAS - BLOCOS PAN'!T37-'OPEX - BLOCOS PAN'!T37-VLOOKUP('FLUXO DE CAIXA DESC.-BLOCOS PAN'!$D37,'CAPEX - BLOCOS PAN'!$C$3:$T$52,18,FALSE))*U$57</f>
        <v>-870722.696353195</v>
      </c>
      <c r="V37" s="1">
        <f>('RECEITAS - BLOCOS PAN'!U37-'OPEX - BLOCOS PAN'!U37-VLOOKUP('FLUXO DE CAIXA DESC.-BLOCOS PAN'!$D37,'CAPEX - BLOCOS PAN'!$C$3:$U$52,19,FALSE))*V$57</f>
        <v>-777574.39254077652</v>
      </c>
      <c r="W37" s="1">
        <f>('RECEITAS - BLOCOS PAN'!V37-'OPEX - BLOCOS PAN'!V37-VLOOKUP('FLUXO DE CAIXA DESC.-BLOCOS PAN'!$D37,'CAPEX - BLOCOS PAN'!$C$3:$V$52,20,FALSE))*W$57</f>
        <v>-693960.61224158423</v>
      </c>
      <c r="X37" s="1">
        <f>('RECEITAS - BLOCOS PAN'!W37-'OPEX - BLOCOS PAN'!W37-VLOOKUP('FLUXO DE CAIXA DESC.-BLOCOS PAN'!$D37,'CAPEX - BLOCOS PAN'!$C$3:$W$52,21,FALSE))*X$57</f>
        <v>-619187.42217463569</v>
      </c>
      <c r="Y37" s="1">
        <f>('RECEITAS - BLOCOS PAN'!X37-'OPEX - BLOCOS PAN'!X37-VLOOKUP('FLUXO DE CAIXA DESC.-BLOCOS PAN'!$D37,'CAPEX - BLOCOS PAN'!$C$3:$X$52,22,FALSE))*Y$57</f>
        <v>-552229.63281368639</v>
      </c>
      <c r="Z37" s="1">
        <f>('RECEITAS - BLOCOS PAN'!Y37-'OPEX - BLOCOS PAN'!Y37-VLOOKUP('FLUXO DE CAIXA DESC.-BLOCOS PAN'!$D37,'CAPEX - BLOCOS PAN'!$C$3:$Y$52,23,FALSE))*Z$57</f>
        <v>-491870.19618843752</v>
      </c>
      <c r="AA37" s="1">
        <f>('RECEITAS - BLOCOS PAN'!Z37-'OPEX - BLOCOS PAN'!Z37-VLOOKUP('FLUXO DE CAIXA DESC.-BLOCOS PAN'!$D37,'CAPEX - BLOCOS PAN'!$C$3:$Z$52,24,FALSE))*AA$57</f>
        <v>-438149.52386021696</v>
      </c>
      <c r="AB37" s="1">
        <f>('RECEITAS - BLOCOS PAN'!AA37-'OPEX - BLOCOS PAN'!AA37-VLOOKUP('FLUXO DE CAIXA DESC.-BLOCOS PAN'!$D37,'CAPEX - BLOCOS PAN'!$C$3:$AA$52,25,FALSE))*AB$57</f>
        <v>-389376.03927111044</v>
      </c>
      <c r="AC37" s="1">
        <f>('RECEITAS - BLOCOS PAN'!AB37-'OPEX - BLOCOS PAN'!AB37-VLOOKUP('FLUXO DE CAIXA DESC.-BLOCOS PAN'!$D37,'CAPEX - BLOCOS PAN'!$C$3:$AB$52,26,FALSE))*AC$57</f>
        <v>-346282.97334483231</v>
      </c>
      <c r="AD37" s="1">
        <f>('RECEITAS - BLOCOS PAN'!AC37-'OPEX - BLOCOS PAN'!AC37-VLOOKUP('FLUXO DE CAIXA DESC.-BLOCOS PAN'!$D37,'CAPEX - BLOCOS PAN'!$C$3:$AC$52,27,FALSE))*AD$57</f>
        <v>-307638.38305029873</v>
      </c>
      <c r="AE37" s="1">
        <f>('RECEITAS - BLOCOS PAN'!AD37-'OPEX - BLOCOS PAN'!AD37-VLOOKUP('FLUXO DE CAIXA DESC.-BLOCOS PAN'!$D37,'CAPEX - BLOCOS PAN'!$C$3:$AD$52,28,FALSE))*AE$57</f>
        <v>-272776.91620370711</v>
      </c>
      <c r="AF37" s="1">
        <f>('RECEITAS - BLOCOS PAN'!AE37-'OPEX - BLOCOS PAN'!AE37-VLOOKUP('FLUXO DE CAIXA DESC.-BLOCOS PAN'!$D37,'CAPEX - BLOCOS PAN'!$C$3:$AE$52,29,FALSE))*AF$57</f>
        <v>-242481.8208761203</v>
      </c>
      <c r="AG37" s="1">
        <f>('RECEITAS - BLOCOS PAN'!AF37-'OPEX - BLOCOS PAN'!AF37-VLOOKUP('FLUXO DE CAIXA DESC.-BLOCOS PAN'!$D37,'CAPEX - BLOCOS PAN'!$C$3:$AF$52,30,FALSE))*AG$57</f>
        <v>-215111.09005487451</v>
      </c>
      <c r="AH37" s="1">
        <f>('RECEITAS - BLOCOS PAN'!AG37-'OPEX - BLOCOS PAN'!AG37-VLOOKUP('FLUXO DE CAIXA DESC.-BLOCOS PAN'!$D37,'CAPEX - BLOCOS PAN'!$C$3:$AG$52,31,FALSE))*AH$57</f>
        <v>-190854.93033368027</v>
      </c>
      <c r="AI37" s="1">
        <f>('RECEITAS - BLOCOS PAN'!AH37-'OPEX - BLOCOS PAN'!AH37-VLOOKUP('FLUXO DE CAIXA DESC.-BLOCOS PAN'!$D37,'CAPEX - BLOCOS PAN'!$C$3:$AH$52,32,FALSE))*AI$57</f>
        <v>-169228.85842499489</v>
      </c>
      <c r="AJ37" s="1">
        <f>('RECEITAS - BLOCOS PAN'!AI37-'OPEX - BLOCOS PAN'!AI37-VLOOKUP('FLUXO DE CAIXA DESC.-BLOCOS PAN'!$D37,'CAPEX - BLOCOS PAN'!$C$3:$AI$52,33,FALSE))*AJ$57</f>
        <v>-149851.91406607156</v>
      </c>
      <c r="AK37" s="1">
        <f>('RECEITAS - BLOCOS PAN'!AJ37-'OPEX - BLOCOS PAN'!AJ37-VLOOKUP('FLUXO DE CAIXA DESC.-BLOCOS PAN'!$D37,'CAPEX - BLOCOS PAN'!$C$3:$AJ$52,34,FALSE))*AK$57</f>
        <v>-132498.80326637786</v>
      </c>
      <c r="AL37" s="1">
        <f>('RECEITAS - BLOCOS PAN'!AK37-'OPEX - BLOCOS PAN'!AK37-VLOOKUP('FLUXO DE CAIXA DESC.-BLOCOS PAN'!$D37,'CAPEX - BLOCOS PAN'!$C$3:$AK$52,35,FALSE))*AL$57</f>
        <v>-116954.92638895384</v>
      </c>
      <c r="AM37" s="44">
        <f t="shared" si="2"/>
        <v>-104643797.38516086</v>
      </c>
      <c r="AN37">
        <v>0</v>
      </c>
      <c r="AO37" t="s">
        <v>310</v>
      </c>
      <c r="AP37">
        <v>-2.75</v>
      </c>
      <c r="AQ37">
        <v>-42.8</v>
      </c>
      <c r="AR37" s="48">
        <f>VLOOKUP(D37,'Projeção - Demanda PAX'!$C$3:$H$37,6,FALSE)</f>
        <v>72847</v>
      </c>
      <c r="AS37" s="1">
        <f t="shared" si="1"/>
        <v>-100009303.95484288</v>
      </c>
      <c r="AT37" t="str">
        <f>VLOOKUP(D37,'CAPEX - BLOCOS PAN (ANO A ANO)'!$C$3:$AV$52,46,FALSE)</f>
        <v>Privada</v>
      </c>
      <c r="AU37" t="str">
        <f>VLOOKUP(D37,'FLUXO DE CAIXA DESC.-SEM MULT.'!$D$3:$AT$52,43,FALSE)</f>
        <v>Bloco 8 - Nordeste</v>
      </c>
    </row>
    <row r="38" spans="1:47" x14ac:dyDescent="0.35">
      <c r="A38" t="s">
        <v>53</v>
      </c>
      <c r="B38" s="5" t="s">
        <v>266</v>
      </c>
      <c r="C38">
        <v>150375</v>
      </c>
      <c r="D38" t="s">
        <v>289</v>
      </c>
      <c r="E38" t="s">
        <v>228</v>
      </c>
      <c r="F38" t="s">
        <v>29</v>
      </c>
      <c r="G38" t="s">
        <v>259</v>
      </c>
      <c r="H38" t="s">
        <v>33</v>
      </c>
      <c r="I38" s="1">
        <f>('RECEITAS - BLOCOS PAN'!H38-'OPEX - BLOCOS PAN'!H38-VLOOKUP('FLUXO DE CAIXA DESC.-BLOCOS PAN'!$D38,'CAPEX - BLOCOS PAN'!$C$3:$H$52,6,FALSE))*I$57</f>
        <v>-16106203.924560167</v>
      </c>
      <c r="J38" s="1">
        <f>('RECEITAS - BLOCOS PAN'!I38-'OPEX - BLOCOS PAN'!I38-VLOOKUP('FLUXO DE CAIXA DESC.-BLOCOS PAN'!$D38,'CAPEX - BLOCOS PAN'!$C$3:$I$52,7,FALSE))*J$57</f>
        <v>-14702148.721643239</v>
      </c>
      <c r="K38" s="1">
        <f>('RECEITAS - BLOCOS PAN'!J38-'OPEX - BLOCOS PAN'!J38-VLOOKUP('FLUXO DE CAIXA DESC.-BLOCOS PAN'!$D38,'CAPEX - BLOCOS PAN'!$C$3:$J$52,8,FALSE))*K$57</f>
        <v>-13420491.758688489</v>
      </c>
      <c r="L38" s="1">
        <f>('RECEITAS - BLOCOS PAN'!K38-'OPEX - BLOCOS PAN'!K38-VLOOKUP('FLUXO DE CAIXA DESC.-BLOCOS PAN'!$D38,'CAPEX - BLOCOS PAN'!$C$3:$K$52,9,FALSE))*L$57</f>
        <v>-256515.83224967206</v>
      </c>
      <c r="M38" s="1">
        <f>('RECEITAS - BLOCOS PAN'!L38-'OPEX - BLOCOS PAN'!L38-VLOOKUP('FLUXO DE CAIXA DESC.-BLOCOS PAN'!$D38,'CAPEX - BLOCOS PAN'!$C$3:$L$52,10,FALSE))*M$57</f>
        <v>-234154.11433105622</v>
      </c>
      <c r="N38" s="1">
        <f>('RECEITAS - BLOCOS PAN'!M38-'OPEX - BLOCOS PAN'!M38-VLOOKUP('FLUXO DE CAIXA DESC.-BLOCOS PAN'!$D38,'CAPEX - BLOCOS PAN'!$C$3:$M$52,11,FALSE))*N$57</f>
        <v>-213741.77483437353</v>
      </c>
      <c r="O38" s="1">
        <f>('RECEITAS - BLOCOS PAN'!N38-'OPEX - BLOCOS PAN'!N38-VLOOKUP('FLUXO DE CAIXA DESC.-BLOCOS PAN'!$D38,'CAPEX - BLOCOS PAN'!$C$3:$N$52,12,FALSE))*O$57</f>
        <v>-195108.87707382342</v>
      </c>
      <c r="P38" s="1">
        <f>('RECEITAS - BLOCOS PAN'!O38-'OPEX - BLOCOS PAN'!O38-VLOOKUP('FLUXO DE CAIXA DESC.-BLOCOS PAN'!$D38,'CAPEX - BLOCOS PAN'!$C$3:$O$52,13,FALSE))*P$57</f>
        <v>-178100.29856122631</v>
      </c>
      <c r="Q38" s="1">
        <f>('RECEITAS - BLOCOS PAN'!P38-'OPEX - BLOCOS PAN'!P38-VLOOKUP('FLUXO DE CAIXA DESC.-BLOCOS PAN'!$D38,'CAPEX - BLOCOS PAN'!$C$3:$P$52,14,FALSE))*Q$57</f>
        <v>-162574.43958121983</v>
      </c>
      <c r="R38" s="1">
        <f>('RECEITAS - BLOCOS PAN'!Q38-'OPEX - BLOCOS PAN'!Q38-VLOOKUP('FLUXO DE CAIXA DESC.-BLOCOS PAN'!$D38,'CAPEX - BLOCOS PAN'!$C$3:$Q$52,15,FALSE))*R$57</f>
        <v>-148402.04434616142</v>
      </c>
      <c r="S38" s="1">
        <f>('RECEITAS - BLOCOS PAN'!R38-'OPEX - BLOCOS PAN'!R38-VLOOKUP('FLUXO DE CAIXA DESC.-BLOCOS PAN'!$D38,'CAPEX - BLOCOS PAN'!$C$3:$R$52,16,FALSE))*S$57</f>
        <v>-135465.12491662387</v>
      </c>
      <c r="T38" s="1">
        <f>('RECEITAS - BLOCOS PAN'!S38-'OPEX - BLOCOS PAN'!S38-VLOOKUP('FLUXO DE CAIXA DESC.-BLOCOS PAN'!$D38,'CAPEX - BLOCOS PAN'!$C$3:$S$52,17,FALSE))*T$57</f>
        <v>-123655.97892891271</v>
      </c>
      <c r="U38" s="1">
        <f>('RECEITAS - BLOCOS PAN'!T38-'OPEX - BLOCOS PAN'!T38-VLOOKUP('FLUXO DE CAIXA DESC.-BLOCOS PAN'!$D38,'CAPEX - BLOCOS PAN'!$C$3:$T$52,18,FALSE))*U$57</f>
        <v>-112876.29295199701</v>
      </c>
      <c r="V38" s="1">
        <f>('RECEITAS - BLOCOS PAN'!U38-'OPEX - BLOCOS PAN'!U38-VLOOKUP('FLUXO DE CAIXA DESC.-BLOCOS PAN'!$D38,'CAPEX - BLOCOS PAN'!$C$3:$U$52,19,FALSE))*V$57</f>
        <v>-103036.32400912551</v>
      </c>
      <c r="W38" s="1">
        <f>('RECEITAS - BLOCOS PAN'!V38-'OPEX - BLOCOS PAN'!V38-VLOOKUP('FLUXO DE CAIXA DESC.-BLOCOS PAN'!$D38,'CAPEX - BLOCOS PAN'!$C$3:$V$52,20,FALSE))*W$57</f>
        <v>-94054.152450137379</v>
      </c>
      <c r="X38" s="1">
        <f>('RECEITAS - BLOCOS PAN'!W38-'OPEX - BLOCOS PAN'!W38-VLOOKUP('FLUXO DE CAIXA DESC.-BLOCOS PAN'!$D38,'CAPEX - BLOCOS PAN'!$C$3:$W$52,21,FALSE))*X$57</f>
        <v>-85854.999954484156</v>
      </c>
      <c r="Y38" s="1">
        <f>('RECEITAS - BLOCOS PAN'!X38-'OPEX - BLOCOS PAN'!X38-VLOOKUP('FLUXO DE CAIXA DESC.-BLOCOS PAN'!$D38,'CAPEX - BLOCOS PAN'!$C$3:$X$52,22,FALSE))*Y$57</f>
        <v>-78370.606987205989</v>
      </c>
      <c r="Z38" s="1">
        <f>('RECEITAS - BLOCOS PAN'!Y38-'OPEX - BLOCOS PAN'!Y38-VLOOKUP('FLUXO DE CAIXA DESC.-BLOCOS PAN'!$D38,'CAPEX - BLOCOS PAN'!$C$3:$Y$52,23,FALSE))*Z$57</f>
        <v>-71538.664525062515</v>
      </c>
      <c r="AA38" s="1">
        <f>('RECEITAS - BLOCOS PAN'!Z38-'OPEX - BLOCOS PAN'!Z38-VLOOKUP('FLUXO DE CAIXA DESC.-BLOCOS PAN'!$D38,'CAPEX - BLOCOS PAN'!$C$3:$Z$52,24,FALSE))*AA$57</f>
        <v>-65302.295321827965</v>
      </c>
      <c r="AB38" s="1">
        <f>('RECEITAS - BLOCOS PAN'!AA38-'OPEX - BLOCOS PAN'!AA38-VLOOKUP('FLUXO DE CAIXA DESC.-BLOCOS PAN'!$D38,'CAPEX - BLOCOS PAN'!$C$3:$AA$52,25,FALSE))*AB$57</f>
        <v>-59609.580394183446</v>
      </c>
      <c r="AC38" s="1">
        <f>('RECEITAS - BLOCOS PAN'!AB38-'OPEX - BLOCOS PAN'!AB38-VLOOKUP('FLUXO DE CAIXA DESC.-BLOCOS PAN'!$D38,'CAPEX - BLOCOS PAN'!$C$3:$AB$52,26,FALSE))*AC$57</f>
        <v>-54413.126786109948</v>
      </c>
      <c r="AD38" s="1">
        <f>('RECEITAS - BLOCOS PAN'!AC38-'OPEX - BLOCOS PAN'!AC38-VLOOKUP('FLUXO DE CAIXA DESC.-BLOCOS PAN'!$D38,'CAPEX - BLOCOS PAN'!$C$3:$AC$52,27,FALSE))*AD$57</f>
        <v>-49669.673013336331</v>
      </c>
      <c r="AE38" s="1">
        <f>('RECEITAS - BLOCOS PAN'!AD38-'OPEX - BLOCOS PAN'!AD38-VLOOKUP('FLUXO DE CAIXA DESC.-BLOCOS PAN'!$D38,'CAPEX - BLOCOS PAN'!$C$3:$AD$52,28,FALSE))*AE$57</f>
        <v>-45339.728903091127</v>
      </c>
      <c r="AF38" s="1">
        <f>('RECEITAS - BLOCOS PAN'!AE38-'OPEX - BLOCOS PAN'!AE38-VLOOKUP('FLUXO DE CAIXA DESC.-BLOCOS PAN'!$D38,'CAPEX - BLOCOS PAN'!$C$3:$AE$52,29,FALSE))*AF$57</f>
        <v>-41387.246830754113</v>
      </c>
      <c r="AG38" s="1">
        <f>('RECEITAS - BLOCOS PAN'!AF38-'OPEX - BLOCOS PAN'!AF38-VLOOKUP('FLUXO DE CAIXA DESC.-BLOCOS PAN'!$D38,'CAPEX - BLOCOS PAN'!$C$3:$AF$52,30,FALSE))*AG$57</f>
        <v>-37779.321616388974</v>
      </c>
      <c r="AH38" s="1">
        <f>('RECEITAS - BLOCOS PAN'!AG38-'OPEX - BLOCOS PAN'!AG38-VLOOKUP('FLUXO DE CAIXA DESC.-BLOCOS PAN'!$D38,'CAPEX - BLOCOS PAN'!$C$3:$AG$52,31,FALSE))*AH$57</f>
        <v>-34485.91658273754</v>
      </c>
      <c r="AI38" s="1">
        <f>('RECEITAS - BLOCOS PAN'!AH38-'OPEX - BLOCOS PAN'!AH38-VLOOKUP('FLUXO DE CAIXA DESC.-BLOCOS PAN'!$D38,'CAPEX - BLOCOS PAN'!$C$3:$AH$52,32,FALSE))*AI$57</f>
        <v>-31479.613494055258</v>
      </c>
      <c r="AJ38" s="1">
        <f>('RECEITAS - BLOCOS PAN'!AI38-'OPEX - BLOCOS PAN'!AI38-VLOOKUP('FLUXO DE CAIXA DESC.-BLOCOS PAN'!$D38,'CAPEX - BLOCOS PAN'!$C$3:$AI$52,33,FALSE))*AJ$57</f>
        <v>-28735.384293980162</v>
      </c>
      <c r="AK38" s="1">
        <f>('RECEITAS - BLOCOS PAN'!AJ38-'OPEX - BLOCOS PAN'!AJ38-VLOOKUP('FLUXO DE CAIXA DESC.-BLOCOS PAN'!$D38,'CAPEX - BLOCOS PAN'!$C$3:$AJ$52,34,FALSE))*AK$57</f>
        <v>-26230.38274210877</v>
      </c>
      <c r="AL38" s="1">
        <f>('RECEITAS - BLOCOS PAN'!AK38-'OPEX - BLOCOS PAN'!AK38-VLOOKUP('FLUXO DE CAIXA DESC.-BLOCOS PAN'!$D38,'CAPEX - BLOCOS PAN'!$C$3:$AK$52,35,FALSE))*AL$57</f>
        <v>-23943.754214613207</v>
      </c>
      <c r="AM38" s="44">
        <f t="shared" si="2"/>
        <v>-46920669.954786174</v>
      </c>
      <c r="AN38">
        <v>1</v>
      </c>
      <c r="AO38" t="s">
        <v>309</v>
      </c>
      <c r="AP38">
        <v>-6.2333333333333334</v>
      </c>
      <c r="AQ38">
        <v>-57.766666666666666</v>
      </c>
      <c r="AR38" s="48">
        <v>0</v>
      </c>
      <c r="AS38" s="1">
        <f t="shared" si="1"/>
        <v>-46186529.659126222</v>
      </c>
      <c r="AT38" t="str">
        <f>VLOOKUP(D38,'CAPEX - BLOCOS PAN (ANO A ANO)'!$C$3:$AV$52,46,FALSE)</f>
        <v>Privada</v>
      </c>
      <c r="AU38" t="str">
        <f>VLOOKUP(D38,'FLUXO DE CAIXA DESC.-SEM MULT.'!$D$3:$AT$52,43,FALSE)</f>
        <v>Bloco 5 - PA1</v>
      </c>
    </row>
    <row r="39" spans="1:47" x14ac:dyDescent="0.35">
      <c r="A39" t="s">
        <v>86</v>
      </c>
      <c r="B39" s="5" t="s">
        <v>268</v>
      </c>
      <c r="C39">
        <v>130390</v>
      </c>
      <c r="D39" t="s">
        <v>290</v>
      </c>
      <c r="E39" t="s">
        <v>232</v>
      </c>
      <c r="F39" t="s">
        <v>35</v>
      </c>
      <c r="G39" t="s">
        <v>259</v>
      </c>
      <c r="H39" t="s">
        <v>33</v>
      </c>
      <c r="I39" s="1">
        <f>('RECEITAS - BLOCOS PAN'!H39-'OPEX - BLOCOS PAN'!H39-VLOOKUP('FLUXO DE CAIXA DESC.-BLOCOS PAN'!$D39,'CAPEX - BLOCOS PAN'!$C$3:$H$52,6,FALSE))*I$57</f>
        <v>-9244063.0718212556</v>
      </c>
      <c r="J39" s="1">
        <f>('RECEITAS - BLOCOS PAN'!I39-'OPEX - BLOCOS PAN'!I39-VLOOKUP('FLUXO DE CAIXA DESC.-BLOCOS PAN'!$D39,'CAPEX - BLOCOS PAN'!$C$3:$I$52,7,FALSE))*J$57</f>
        <v>-8438213.6666556429</v>
      </c>
      <c r="K39" s="1">
        <f>('RECEITAS - BLOCOS PAN'!J39-'OPEX - BLOCOS PAN'!J39-VLOOKUP('FLUXO DE CAIXA DESC.-BLOCOS PAN'!$D39,'CAPEX - BLOCOS PAN'!$C$3:$J$52,8,FALSE))*K$57</f>
        <v>-7702614.027070418</v>
      </c>
      <c r="L39" s="1">
        <f>('RECEITAS - BLOCOS PAN'!K39-'OPEX - BLOCOS PAN'!K39-VLOOKUP('FLUXO DE CAIXA DESC.-BLOCOS PAN'!$D39,'CAPEX - BLOCOS PAN'!$C$3:$K$52,9,FALSE))*L$57</f>
        <v>-445754.59685049282</v>
      </c>
      <c r="M39" s="1">
        <f>('RECEITAS - BLOCOS PAN'!L39-'OPEX - BLOCOS PAN'!L39-VLOOKUP('FLUXO DE CAIXA DESC.-BLOCOS PAN'!$D39,'CAPEX - BLOCOS PAN'!$C$3:$L$52,10,FALSE))*M$57</f>
        <v>-406896.0263354567</v>
      </c>
      <c r="N39" s="1">
        <f>('RECEITAS - BLOCOS PAN'!M39-'OPEX - BLOCOS PAN'!M39-VLOOKUP('FLUXO DE CAIXA DESC.-BLOCOS PAN'!$D39,'CAPEX - BLOCOS PAN'!$C$3:$M$52,11,FALSE))*N$57</f>
        <v>-371424.94416746392</v>
      </c>
      <c r="O39" s="1">
        <f>('RECEITAS - BLOCOS PAN'!N39-'OPEX - BLOCOS PAN'!N39-VLOOKUP('FLUXO DE CAIXA DESC.-BLOCOS PAN'!$D39,'CAPEX - BLOCOS PAN'!$C$3:$N$52,12,FALSE))*O$57</f>
        <v>-339046.04670695018</v>
      </c>
      <c r="P39" s="1">
        <f>('RECEITAS - BLOCOS PAN'!O39-'OPEX - BLOCOS PAN'!O39-VLOOKUP('FLUXO DE CAIXA DESC.-BLOCOS PAN'!$D39,'CAPEX - BLOCOS PAN'!$C$3:$O$52,13,FALSE))*P$57</f>
        <v>-309489.77335184865</v>
      </c>
      <c r="Q39" s="1">
        <f>('RECEITAS - BLOCOS PAN'!P39-'OPEX - BLOCOS PAN'!P39-VLOOKUP('FLUXO DE CAIXA DESC.-BLOCOS PAN'!$D39,'CAPEX - BLOCOS PAN'!$C$3:$P$52,14,FALSE))*Q$57</f>
        <v>-282510.06239328953</v>
      </c>
      <c r="R39" s="1">
        <f>('RECEITAS - BLOCOS PAN'!Q39-'OPEX - BLOCOS PAN'!Q39-VLOOKUP('FLUXO DE CAIXA DESC.-BLOCOS PAN'!$D39,'CAPEX - BLOCOS PAN'!$C$3:$Q$52,15,FALSE))*R$57</f>
        <v>-257882.30250414379</v>
      </c>
      <c r="S39" s="1">
        <f>('RECEITAS - BLOCOS PAN'!R39-'OPEX - BLOCOS PAN'!R39-VLOOKUP('FLUXO DE CAIXA DESC.-BLOCOS PAN'!$D39,'CAPEX - BLOCOS PAN'!$C$3:$R$52,16,FALSE))*S$57</f>
        <v>-235401.46280615596</v>
      </c>
      <c r="T39" s="1">
        <f>('RECEITAS - BLOCOS PAN'!S39-'OPEX - BLOCOS PAN'!S39-VLOOKUP('FLUXO DE CAIXA DESC.-BLOCOS PAN'!$D39,'CAPEX - BLOCOS PAN'!$C$3:$S$52,17,FALSE))*T$57</f>
        <v>-214880.38594811133</v>
      </c>
      <c r="U39" s="1">
        <f>('RECEITAS - BLOCOS PAN'!T39-'OPEX - BLOCOS PAN'!T39-VLOOKUP('FLUXO DE CAIXA DESC.-BLOCOS PAN'!$D39,'CAPEX - BLOCOS PAN'!$C$3:$T$52,18,FALSE))*U$57</f>
        <v>-196148.2299845836</v>
      </c>
      <c r="V39" s="1">
        <f>('RECEITAS - BLOCOS PAN'!U39-'OPEX - BLOCOS PAN'!U39-VLOOKUP('FLUXO DE CAIXA DESC.-BLOCOS PAN'!$D39,'CAPEX - BLOCOS PAN'!$C$3:$U$52,19,FALSE))*V$57</f>
        <v>-179049.04608359982</v>
      </c>
      <c r="W39" s="1">
        <f>('RECEITAS - BLOCOS PAN'!V39-'OPEX - BLOCOS PAN'!V39-VLOOKUP('FLUXO DE CAIXA DESC.-BLOCOS PAN'!$D39,'CAPEX - BLOCOS PAN'!$C$3:$V$52,20,FALSE))*W$57</f>
        <v>-163440.48022236404</v>
      </c>
      <c r="X39" s="1">
        <f>('RECEITAS - BLOCOS PAN'!W39-'OPEX - BLOCOS PAN'!W39-VLOOKUP('FLUXO DE CAIXA DESC.-BLOCOS PAN'!$D39,'CAPEX - BLOCOS PAN'!$C$3:$W$52,21,FALSE))*X$57</f>
        <v>-149192.58806240442</v>
      </c>
      <c r="Y39" s="1">
        <f>('RECEITAS - BLOCOS PAN'!X39-'OPEX - BLOCOS PAN'!X39-VLOOKUP('FLUXO DE CAIXA DESC.-BLOCOS PAN'!$D39,'CAPEX - BLOCOS PAN'!$C$3:$X$52,22,FALSE))*Y$57</f>
        <v>-136186.75313774939</v>
      </c>
      <c r="Z39" s="1">
        <f>('RECEITAS - BLOCOS PAN'!Y39-'OPEX - BLOCOS PAN'!Y39-VLOOKUP('FLUXO DE CAIXA DESC.-BLOCOS PAN'!$D39,'CAPEX - BLOCOS PAN'!$C$3:$Y$52,23,FALSE))*Z$57</f>
        <v>-124314.69934983969</v>
      </c>
      <c r="AA39" s="1">
        <f>('RECEITAS - BLOCOS PAN'!Z39-'OPEX - BLOCOS PAN'!Z39-VLOOKUP('FLUXO DE CAIXA DESC.-BLOCOS PAN'!$D39,'CAPEX - BLOCOS PAN'!$C$3:$Z$52,24,FALSE))*AA$57</f>
        <v>-113477.58954800523</v>
      </c>
      <c r="AB39" s="1">
        <f>('RECEITAS - BLOCOS PAN'!AA39-'OPEX - BLOCOS PAN'!AA39-VLOOKUP('FLUXO DE CAIXA DESC.-BLOCOS PAN'!$D39,'CAPEX - BLOCOS PAN'!$C$3:$AA$52,25,FALSE))*AB$57</f>
        <v>-103585.20269101343</v>
      </c>
      <c r="AC39" s="1">
        <f>('RECEITAS - BLOCOS PAN'!AB39-'OPEX - BLOCOS PAN'!AB39-VLOOKUP('FLUXO DE CAIXA DESC.-BLOCOS PAN'!$D39,'CAPEX - BLOCOS PAN'!$C$3:$AB$52,26,FALSE))*AC$57</f>
        <v>-94555.182739400683</v>
      </c>
      <c r="AD39" s="1">
        <f>('RECEITAS - BLOCOS PAN'!AC39-'OPEX - BLOCOS PAN'!AC39-VLOOKUP('FLUXO DE CAIXA DESC.-BLOCOS PAN'!$D39,'CAPEX - BLOCOS PAN'!$C$3:$AC$52,27,FALSE))*AD$57</f>
        <v>-86312.353025468445</v>
      </c>
      <c r="AE39" s="1">
        <f>('RECEITAS - BLOCOS PAN'!AD39-'OPEX - BLOCOS PAN'!AD39-VLOOKUP('FLUXO DE CAIXA DESC.-BLOCOS PAN'!$D39,'CAPEX - BLOCOS PAN'!$C$3:$AD$52,28,FALSE))*AE$57</f>
        <v>-78788.090392942438</v>
      </c>
      <c r="AF39" s="1">
        <f>('RECEITAS - BLOCOS PAN'!AE39-'OPEX - BLOCOS PAN'!AE39-VLOOKUP('FLUXO DE CAIXA DESC.-BLOCOS PAN'!$D39,'CAPEX - BLOCOS PAN'!$C$3:$AE$52,29,FALSE))*AF$57</f>
        <v>-71919.753895885398</v>
      </c>
      <c r="AG39" s="1">
        <f>('RECEITAS - BLOCOS PAN'!AF39-'OPEX - BLOCOS PAN'!AF39-VLOOKUP('FLUXO DE CAIXA DESC.-BLOCOS PAN'!$D39,'CAPEX - BLOCOS PAN'!$C$3:$AF$52,30,FALSE))*AG$57</f>
        <v>-65650.163300671295</v>
      </c>
      <c r="AH39" s="1">
        <f>('RECEITAS - BLOCOS PAN'!AG39-'OPEX - BLOCOS PAN'!AG39-VLOOKUP('FLUXO DE CAIXA DESC.-BLOCOS PAN'!$D39,'CAPEX - BLOCOS PAN'!$C$3:$AG$52,31,FALSE))*AH$57</f>
        <v>-59927.123049448921</v>
      </c>
      <c r="AI39" s="1">
        <f>('RECEITAS - BLOCOS PAN'!AH39-'OPEX - BLOCOS PAN'!AH39-VLOOKUP('FLUXO DE CAIXA DESC.-BLOCOS PAN'!$D39,'CAPEX - BLOCOS PAN'!$C$3:$AH$52,32,FALSE))*AI$57</f>
        <v>-54702.987721998099</v>
      </c>
      <c r="AJ39" s="1">
        <f>('RECEITAS - BLOCOS PAN'!AI39-'OPEX - BLOCOS PAN'!AI39-VLOOKUP('FLUXO DE CAIXA DESC.-BLOCOS PAN'!$D39,'CAPEX - BLOCOS PAN'!$C$3:$AI$52,33,FALSE))*AJ$57</f>
        <v>-49934.265378364318</v>
      </c>
      <c r="AK39" s="1">
        <f>('RECEITAS - BLOCOS PAN'!AJ39-'OPEX - BLOCOS PAN'!AJ39-VLOOKUP('FLUXO DE CAIXA DESC.-BLOCOS PAN'!$D39,'CAPEX - BLOCOS PAN'!$C$3:$AJ$52,34,FALSE))*AK$57</f>
        <v>-45581.255480022199</v>
      </c>
      <c r="AL39" s="1">
        <f>('RECEITAS - BLOCOS PAN'!AK39-'OPEX - BLOCOS PAN'!AK39-VLOOKUP('FLUXO DE CAIXA DESC.-BLOCOS PAN'!$D39,'CAPEX - BLOCOS PAN'!$C$3:$AK$52,35,FALSE))*AL$57</f>
        <v>-41607.718375191413</v>
      </c>
      <c r="AM39" s="44">
        <f t="shared" si="2"/>
        <v>-30062549.849050183</v>
      </c>
      <c r="AN39">
        <v>1</v>
      </c>
      <c r="AO39" t="s">
        <v>308</v>
      </c>
      <c r="AP39">
        <v>-3.4666666666666668</v>
      </c>
      <c r="AQ39">
        <v>-68.916666666666671</v>
      </c>
      <c r="AR39" s="48">
        <v>0</v>
      </c>
      <c r="AS39" s="1">
        <f t="shared" si="1"/>
        <v>-28786814.122901775</v>
      </c>
      <c r="AT39" t="str">
        <f>VLOOKUP(D39,'CAPEX - BLOCOS PAN (ANO A ANO)'!$C$3:$AV$52,46,FALSE)</f>
        <v>Privada</v>
      </c>
      <c r="AU39" t="str">
        <f>VLOOKUP(D39,'FLUXO DE CAIXA DESC.-SEM MULT.'!$D$3:$AT$52,43,FALSE)</f>
        <v>Bloco 1 - AC/AM</v>
      </c>
    </row>
    <row r="40" spans="1:47" x14ac:dyDescent="0.35">
      <c r="A40" t="s">
        <v>161</v>
      </c>
      <c r="B40" s="5" t="s">
        <v>269</v>
      </c>
      <c r="C40">
        <v>510677</v>
      </c>
      <c r="D40" t="s">
        <v>301</v>
      </c>
      <c r="E40" t="s">
        <v>179</v>
      </c>
      <c r="F40" t="s">
        <v>37</v>
      </c>
      <c r="G40" t="s">
        <v>257</v>
      </c>
      <c r="H40" t="s">
        <v>33</v>
      </c>
      <c r="I40" s="1">
        <f>('RECEITAS - BLOCOS PAN'!H40-'OPEX - BLOCOS PAN'!H40-VLOOKUP('FLUXO DE CAIXA DESC.-BLOCOS PAN'!$D40,'CAPEX - BLOCOS PAN'!$C$3:$H$52,6,FALSE))*I$57</f>
        <v>-8618035.9826957174</v>
      </c>
      <c r="J40" s="1">
        <f>('RECEITAS - BLOCOS PAN'!I40-'OPEX - BLOCOS PAN'!I40-VLOOKUP('FLUXO DE CAIXA DESC.-BLOCOS PAN'!$D40,'CAPEX - BLOCOS PAN'!$C$3:$I$52,7,FALSE))*J$57</f>
        <v>-7866760.3675907971</v>
      </c>
      <c r="K40" s="1">
        <f>('RECEITAS - BLOCOS PAN'!J40-'OPEX - BLOCOS PAN'!J40-VLOOKUP('FLUXO DE CAIXA DESC.-BLOCOS PAN'!$D40,'CAPEX - BLOCOS PAN'!$C$3:$J$52,8,FALSE))*K$57</f>
        <v>-7180977.0585036939</v>
      </c>
      <c r="L40" s="1">
        <f>('RECEITAS - BLOCOS PAN'!K40-'OPEX - BLOCOS PAN'!K40-VLOOKUP('FLUXO DE CAIXA DESC.-BLOCOS PAN'!$D40,'CAPEX - BLOCOS PAN'!$C$3:$K$52,9,FALSE))*L$57</f>
        <v>-399274.52055394708</v>
      </c>
      <c r="M40" s="1">
        <f>('RECEITAS - BLOCOS PAN'!L40-'OPEX - BLOCOS PAN'!L40-VLOOKUP('FLUXO DE CAIXA DESC.-BLOCOS PAN'!$D40,'CAPEX - BLOCOS PAN'!$C$3:$L$52,10,FALSE))*M$57</f>
        <v>-364467.84167407313</v>
      </c>
      <c r="N40" s="1">
        <f>('RECEITAS - BLOCOS PAN'!M40-'OPEX - BLOCOS PAN'!M40-VLOOKUP('FLUXO DE CAIXA DESC.-BLOCOS PAN'!$D40,'CAPEX - BLOCOS PAN'!$C$3:$M$52,11,FALSE))*N$57</f>
        <v>-332695.42827391427</v>
      </c>
      <c r="O40" s="1">
        <f>('RECEITAS - BLOCOS PAN'!N40-'OPEX - BLOCOS PAN'!N40-VLOOKUP('FLUXO DE CAIXA DESC.-BLOCOS PAN'!$D40,'CAPEX - BLOCOS PAN'!$C$3:$N$52,12,FALSE))*O$57</f>
        <v>-303692.76884884923</v>
      </c>
      <c r="P40" s="1">
        <f>('RECEITAS - BLOCOS PAN'!O40-'OPEX - BLOCOS PAN'!O40-VLOOKUP('FLUXO DE CAIXA DESC.-BLOCOS PAN'!$D40,'CAPEX - BLOCOS PAN'!$C$3:$O$52,13,FALSE))*P$57</f>
        <v>-277218.41063336306</v>
      </c>
      <c r="Q40" s="1">
        <f>('RECEITAS - BLOCOS PAN'!P40-'OPEX - BLOCOS PAN'!P40-VLOOKUP('FLUXO DE CAIXA DESC.-BLOCOS PAN'!$D40,'CAPEX - BLOCOS PAN'!$C$3:$P$52,14,FALSE))*Q$57</f>
        <v>-253051.94945993891</v>
      </c>
      <c r="R40" s="1">
        <f>('RECEITAS - BLOCOS PAN'!Q40-'OPEX - BLOCOS PAN'!Q40-VLOOKUP('FLUXO DE CAIXA DESC.-BLOCOS PAN'!$D40,'CAPEX - BLOCOS PAN'!$C$3:$Q$52,15,FALSE))*R$57</f>
        <v>-230992.19485161014</v>
      </c>
      <c r="S40" s="1">
        <f>('RECEITAS - BLOCOS PAN'!R40-'OPEX - BLOCOS PAN'!R40-VLOOKUP('FLUXO DE CAIXA DESC.-BLOCOS PAN'!$D40,'CAPEX - BLOCOS PAN'!$C$3:$R$52,16,FALSE))*S$57</f>
        <v>-210855.49507221379</v>
      </c>
      <c r="T40" s="1">
        <f>('RECEITAS - BLOCOS PAN'!S40-'OPEX - BLOCOS PAN'!S40-VLOOKUP('FLUXO DE CAIXA DESC.-BLOCOS PAN'!$D40,'CAPEX - BLOCOS PAN'!$C$3:$S$52,17,FALSE))*T$57</f>
        <v>-192474.20819006278</v>
      </c>
      <c r="U40" s="1">
        <f>('RECEITAS - BLOCOS PAN'!T40-'OPEX - BLOCOS PAN'!T40-VLOOKUP('FLUXO DE CAIXA DESC.-BLOCOS PAN'!$D40,'CAPEX - BLOCOS PAN'!$C$3:$T$52,18,FALSE))*U$57</f>
        <v>-175695.30642634668</v>
      </c>
      <c r="V40" s="1">
        <f>('RECEITAS - BLOCOS PAN'!U40-'OPEX - BLOCOS PAN'!U40-VLOOKUP('FLUXO DE CAIXA DESC.-BLOCOS PAN'!$D40,'CAPEX - BLOCOS PAN'!$C$3:$U$52,19,FALSE))*V$57</f>
        <v>-160379.10216918911</v>
      </c>
      <c r="W40" s="1">
        <f>('RECEITAS - BLOCOS PAN'!V40-'OPEX - BLOCOS PAN'!V40-VLOOKUP('FLUXO DE CAIXA DESC.-BLOCOS PAN'!$D40,'CAPEX - BLOCOS PAN'!$C$3:$V$52,20,FALSE))*W$57</f>
        <v>-146398.08504718312</v>
      </c>
      <c r="X40" s="1">
        <f>('RECEITAS - BLOCOS PAN'!W40-'OPEX - BLOCOS PAN'!W40-VLOOKUP('FLUXO DE CAIXA DESC.-BLOCOS PAN'!$D40,'CAPEX - BLOCOS PAN'!$C$3:$W$52,21,FALSE))*X$57</f>
        <v>-133635.86038081528</v>
      </c>
      <c r="Y40" s="1">
        <f>('RECEITAS - BLOCOS PAN'!X40-'OPEX - BLOCOS PAN'!X40-VLOOKUP('FLUXO DE CAIXA DESC.-BLOCOS PAN'!$D40,'CAPEX - BLOCOS PAN'!$C$3:$X$52,22,FALSE))*Y$57</f>
        <v>-121986.180174181</v>
      </c>
      <c r="Z40" s="1">
        <f>('RECEITAS - BLOCOS PAN'!Y40-'OPEX - BLOCOS PAN'!Y40-VLOOKUP('FLUXO DE CAIXA DESC.-BLOCOS PAN'!$D40,'CAPEX - BLOCOS PAN'!$C$3:$Y$52,23,FALSE))*Z$57</f>
        <v>-111352.05857980922</v>
      </c>
      <c r="AA40" s="1">
        <f>('RECEITAS - BLOCOS PAN'!Z40-'OPEX - BLOCOS PAN'!Z40-VLOOKUP('FLUXO DE CAIXA DESC.-BLOCOS PAN'!$D40,'CAPEX - BLOCOS PAN'!$C$3:$Z$52,24,FALSE))*AA$57</f>
        <v>-101644.96447266932</v>
      </c>
      <c r="AB40" s="1">
        <f>('RECEITAS - BLOCOS PAN'!AA40-'OPEX - BLOCOS PAN'!AA40-VLOOKUP('FLUXO DE CAIXA DESC.-BLOCOS PAN'!$D40,'CAPEX - BLOCOS PAN'!$C$3:$AA$52,25,FALSE))*AB$57</f>
        <v>-92784.084411382311</v>
      </c>
      <c r="AC40" s="1">
        <f>('RECEITAS - BLOCOS PAN'!AB40-'OPEX - BLOCOS PAN'!AB40-VLOOKUP('FLUXO DE CAIXA DESC.-BLOCOS PAN'!$D40,'CAPEX - BLOCOS PAN'!$C$3:$AB$52,26,FALSE))*AC$57</f>
        <v>-84695.649850645656</v>
      </c>
      <c r="AD40" s="1">
        <f>('RECEITAS - BLOCOS PAN'!AC40-'OPEX - BLOCOS PAN'!AC40-VLOOKUP('FLUXO DE CAIXA DESC.-BLOCOS PAN'!$D40,'CAPEX - BLOCOS PAN'!$C$3:$AC$52,27,FALSE))*AD$57</f>
        <v>-77312.323003784259</v>
      </c>
      <c r="AE40" s="1">
        <f>('RECEITAS - BLOCOS PAN'!AD40-'OPEX - BLOCOS PAN'!AD40-VLOOKUP('FLUXO DE CAIXA DESC.-BLOCOS PAN'!$D40,'CAPEX - BLOCOS PAN'!$C$3:$AD$52,28,FALSE))*AE$57</f>
        <v>-70572.636242614579</v>
      </c>
      <c r="AF40" s="1">
        <f>('RECEITAS - BLOCOS PAN'!AE40-'OPEX - BLOCOS PAN'!AE40-VLOOKUP('FLUXO DE CAIXA DESC.-BLOCOS PAN'!$D40,'CAPEX - BLOCOS PAN'!$C$3:$AE$52,29,FALSE))*AF$57</f>
        <v>-64420.480367516735</v>
      </c>
      <c r="AG40" s="1">
        <f>('RECEITAS - BLOCOS PAN'!AF40-'OPEX - BLOCOS PAN'!AF40-VLOOKUP('FLUXO DE CAIXA DESC.-BLOCOS PAN'!$D40,'CAPEX - BLOCOS PAN'!$C$3:$AF$52,30,FALSE))*AG$57</f>
        <v>-58804.637487463937</v>
      </c>
      <c r="AH40" s="1">
        <f>('RECEITAS - BLOCOS PAN'!AG40-'OPEX - BLOCOS PAN'!AG40-VLOOKUP('FLUXO DE CAIXA DESC.-BLOCOS PAN'!$D40,'CAPEX - BLOCOS PAN'!$C$3:$AG$52,31,FALSE))*AH$57</f>
        <v>-53678.354621144623</v>
      </c>
      <c r="AI40" s="1">
        <f>('RECEITAS - BLOCOS PAN'!AH40-'OPEX - BLOCOS PAN'!AH40-VLOOKUP('FLUXO DE CAIXA DESC.-BLOCOS PAN'!$D40,'CAPEX - BLOCOS PAN'!$C$3:$AH$52,32,FALSE))*AI$57</f>
        <v>-48998.954469324162</v>
      </c>
      <c r="AJ40" s="1">
        <f>('RECEITAS - BLOCOS PAN'!AI40-'OPEX - BLOCOS PAN'!AI40-VLOOKUP('FLUXO DE CAIXA DESC.-BLOCOS PAN'!$D40,'CAPEX - BLOCOS PAN'!$C$3:$AI$52,33,FALSE))*AJ$57</f>
        <v>-44727.480118050364</v>
      </c>
      <c r="AK40" s="1">
        <f>('RECEITAS - BLOCOS PAN'!AJ40-'OPEX - BLOCOS PAN'!AJ40-VLOOKUP('FLUXO DE CAIXA DESC.-BLOCOS PAN'!$D40,'CAPEX - BLOCOS PAN'!$C$3:$AJ$52,34,FALSE))*AK$57</f>
        <v>-40828.3707147881</v>
      </c>
      <c r="AL40" s="1">
        <f>('RECEITAS - BLOCOS PAN'!AK40-'OPEX - BLOCOS PAN'!AK40-VLOOKUP('FLUXO DE CAIXA DESC.-BLOCOS PAN'!$D40,'CAPEX - BLOCOS PAN'!$C$3:$AK$52,35,FALSE))*AL$57</f>
        <v>-37269.16541742409</v>
      </c>
      <c r="AM40" s="44">
        <f t="shared" si="2"/>
        <v>-27855679.920302503</v>
      </c>
      <c r="AN40">
        <v>1</v>
      </c>
      <c r="AO40" t="s">
        <v>315</v>
      </c>
      <c r="AP40">
        <v>-10.916666666666666</v>
      </c>
      <c r="AQ40">
        <v>-51.6</v>
      </c>
      <c r="AR40" s="48">
        <v>0</v>
      </c>
      <c r="AS40" s="1">
        <f t="shared" si="1"/>
        <v>-26712968.719990894</v>
      </c>
      <c r="AT40" t="str">
        <f>VLOOKUP(D40,'CAPEX - BLOCOS PAN (ANO A ANO)'!$C$3:$AV$52,46,FALSE)</f>
        <v>Privada</v>
      </c>
      <c r="AU40" t="str">
        <f>VLOOKUP(D40,'FLUXO DE CAIXA DESC.-SEM MULT.'!$D$3:$AT$52,43,FALSE)</f>
        <v>Bloco 11 - MT2</v>
      </c>
    </row>
    <row r="41" spans="1:47" x14ac:dyDescent="0.35">
      <c r="A41" t="s">
        <v>114</v>
      </c>
      <c r="B41" s="5" t="s">
        <v>278</v>
      </c>
      <c r="C41">
        <v>120035</v>
      </c>
      <c r="D41" t="s">
        <v>294</v>
      </c>
      <c r="E41" t="s">
        <v>236</v>
      </c>
      <c r="F41" t="s">
        <v>41</v>
      </c>
      <c r="G41" t="s">
        <v>259</v>
      </c>
      <c r="H41" t="s">
        <v>33</v>
      </c>
      <c r="I41" s="1">
        <f>('RECEITAS - BLOCOS PAN'!H41-'OPEX - BLOCOS PAN'!H41-VLOOKUP('FLUXO DE CAIXA DESC.-BLOCOS PAN'!$D41,'CAPEX - BLOCOS PAN'!$C$3:$H$52,6,FALSE))*I$57</f>
        <v>-7567340.5377000002</v>
      </c>
      <c r="J41" s="1">
        <f>('RECEITAS - BLOCOS PAN'!I41-'OPEX - BLOCOS PAN'!I41-VLOOKUP('FLUXO DE CAIXA DESC.-BLOCOS PAN'!$D41,'CAPEX - BLOCOS PAN'!$C$3:$I$52,7,FALSE))*J$57</f>
        <v>-6907659.0942035606</v>
      </c>
      <c r="K41" s="1">
        <f>('RECEITAS - BLOCOS PAN'!J41-'OPEX - BLOCOS PAN'!J41-VLOOKUP('FLUXO DE CAIXA DESC.-BLOCOS PAN'!$D41,'CAPEX - BLOCOS PAN'!$C$3:$J$52,8,FALSE))*K$57</f>
        <v>-6305485.2525819819</v>
      </c>
      <c r="L41" s="1">
        <f>('RECEITAS - BLOCOS PAN'!K41-'OPEX - BLOCOS PAN'!K41-VLOOKUP('FLUXO DE CAIXA DESC.-BLOCOS PAN'!$D41,'CAPEX - BLOCOS PAN'!$C$3:$K$52,9,FALSE))*L$57</f>
        <v>-393777.96348925913</v>
      </c>
      <c r="M41" s="1">
        <f>('RECEITAS - BLOCOS PAN'!L41-'OPEX - BLOCOS PAN'!L41-VLOOKUP('FLUXO DE CAIXA DESC.-BLOCOS PAN'!$D41,'CAPEX - BLOCOS PAN'!$C$3:$L$52,10,FALSE))*M$57</f>
        <v>-359450.44590530277</v>
      </c>
      <c r="N41" s="1">
        <f>('RECEITAS - BLOCOS PAN'!M41-'OPEX - BLOCOS PAN'!M41-VLOOKUP('FLUXO DE CAIXA DESC.-BLOCOS PAN'!$D41,'CAPEX - BLOCOS PAN'!$C$3:$M$52,11,FALSE))*N$57</f>
        <v>-328115.42300803534</v>
      </c>
      <c r="O41" s="1">
        <f>('RECEITAS - BLOCOS PAN'!N41-'OPEX - BLOCOS PAN'!N41-VLOOKUP('FLUXO DE CAIXA DESC.-BLOCOS PAN'!$D41,'CAPEX - BLOCOS PAN'!$C$3:$N$52,12,FALSE))*O$57</f>
        <v>-299512.02465361514</v>
      </c>
      <c r="P41" s="1">
        <f>('RECEITAS - BLOCOS PAN'!O41-'OPEX - BLOCOS PAN'!O41-VLOOKUP('FLUXO DE CAIXA DESC.-BLOCOS PAN'!$D41,'CAPEX - BLOCOS PAN'!$C$3:$O$52,13,FALSE))*P$57</f>
        <v>-273402.12200238719</v>
      </c>
      <c r="Q41" s="1">
        <f>('RECEITAS - BLOCOS PAN'!P41-'OPEX - BLOCOS PAN'!P41-VLOOKUP('FLUXO DE CAIXA DESC.-BLOCOS PAN'!$D41,'CAPEX - BLOCOS PAN'!$C$3:$P$52,14,FALSE))*Q$57</f>
        <v>-249568.34505010242</v>
      </c>
      <c r="R41" s="1">
        <f>('RECEITAS - BLOCOS PAN'!Q41-'OPEX - BLOCOS PAN'!Q41-VLOOKUP('FLUXO DE CAIXA DESC.-BLOCOS PAN'!$D41,'CAPEX - BLOCOS PAN'!$C$3:$Q$52,15,FALSE))*R$57</f>
        <v>-227812.27298046774</v>
      </c>
      <c r="S41" s="1">
        <f>('RECEITAS - BLOCOS PAN'!R41-'OPEX - BLOCOS PAN'!R41-VLOOKUP('FLUXO DE CAIXA DESC.-BLOCOS PAN'!$D41,'CAPEX - BLOCOS PAN'!$C$3:$R$52,16,FALSE))*S$57</f>
        <v>-207952.78227336172</v>
      </c>
      <c r="T41" s="1">
        <f>('RECEITAS - BLOCOS PAN'!S41-'OPEX - BLOCOS PAN'!S41-VLOOKUP('FLUXO DE CAIXA DESC.-BLOCOS PAN'!$D41,'CAPEX - BLOCOS PAN'!$C$3:$S$52,17,FALSE))*T$57</f>
        <v>-189824.53881639591</v>
      </c>
      <c r="U41" s="1">
        <f>('RECEITAS - BLOCOS PAN'!T41-'OPEX - BLOCOS PAN'!T41-VLOOKUP('FLUXO DE CAIXA DESC.-BLOCOS PAN'!$D41,'CAPEX - BLOCOS PAN'!$C$3:$T$52,18,FALSE))*U$57</f>
        <v>-173276.62146635869</v>
      </c>
      <c r="V41" s="1">
        <f>('RECEITAS - BLOCOS PAN'!U41-'OPEX - BLOCOS PAN'!U41-VLOOKUP('FLUXO DE CAIXA DESC.-BLOCOS PAN'!$D41,'CAPEX - BLOCOS PAN'!$C$3:$U$52,19,FALSE))*V$57</f>
        <v>-158171.26560142281</v>
      </c>
      <c r="W41" s="1">
        <f>('RECEITAS - BLOCOS PAN'!V41-'OPEX - BLOCOS PAN'!V41-VLOOKUP('FLUXO DE CAIXA DESC.-BLOCOS PAN'!$D41,'CAPEX - BLOCOS PAN'!$C$3:$V$52,20,FALSE))*W$57</f>
        <v>-144382.71620394595</v>
      </c>
      <c r="X41" s="1">
        <f>('RECEITAS - BLOCOS PAN'!W41-'OPEX - BLOCOS PAN'!W41-VLOOKUP('FLUXO DE CAIXA DESC.-BLOCOS PAN'!$D41,'CAPEX - BLOCOS PAN'!$C$3:$W$52,21,FALSE))*X$57</f>
        <v>-131796.18092555544</v>
      </c>
      <c r="Y41" s="1">
        <f>('RECEITAS - BLOCOS PAN'!X41-'OPEX - BLOCOS PAN'!X41-VLOOKUP('FLUXO DE CAIXA DESC.-BLOCOS PAN'!$D41,'CAPEX - BLOCOS PAN'!$C$3:$X$52,22,FALSE))*Y$57</f>
        <v>-120306.87441858096</v>
      </c>
      <c r="Z41" s="1">
        <f>('RECEITAS - BLOCOS PAN'!Y41-'OPEX - BLOCOS PAN'!Y41-VLOOKUP('FLUXO DE CAIXA DESC.-BLOCOS PAN'!$D41,'CAPEX - BLOCOS PAN'!$C$3:$Y$52,23,FALSE))*Z$57</f>
        <v>-109819.14597770968</v>
      </c>
      <c r="AA41" s="1">
        <f>('RECEITAS - BLOCOS PAN'!Z41-'OPEX - BLOCOS PAN'!Z41-VLOOKUP('FLUXO DE CAIXA DESC.-BLOCOS PAN'!$D41,'CAPEX - BLOCOS PAN'!$C$3:$Z$52,24,FALSE))*AA$57</f>
        <v>-100245.68322931055</v>
      </c>
      <c r="AB41" s="1">
        <f>('RECEITAS - BLOCOS PAN'!AA41-'OPEX - BLOCOS PAN'!AA41-VLOOKUP('FLUXO DE CAIXA DESC.-BLOCOS PAN'!$D41,'CAPEX - BLOCOS PAN'!$C$3:$AA$52,25,FALSE))*AB$57</f>
        <v>-91506.785238987257</v>
      </c>
      <c r="AC41" s="1">
        <f>('RECEITAS - BLOCOS PAN'!AB41-'OPEX - BLOCOS PAN'!AB41-VLOOKUP('FLUXO DE CAIXA DESC.-BLOCOS PAN'!$D41,'CAPEX - BLOCOS PAN'!$C$3:$AB$52,26,FALSE))*AC$57</f>
        <v>-83529.698985839597</v>
      </c>
      <c r="AD41" s="1">
        <f>('RECEITAS - BLOCOS PAN'!AC41-'OPEX - BLOCOS PAN'!AC41-VLOOKUP('FLUXO DE CAIXA DESC.-BLOCOS PAN'!$D41,'CAPEX - BLOCOS PAN'!$C$3:$AC$52,27,FALSE))*AD$57</f>
        <v>-76248.013679451935</v>
      </c>
      <c r="AE41" s="1">
        <f>('RECEITAS - BLOCOS PAN'!AD41-'OPEX - BLOCOS PAN'!AD41-VLOOKUP('FLUXO DE CAIXA DESC.-BLOCOS PAN'!$D41,'CAPEX - BLOCOS PAN'!$C$3:$AD$52,28,FALSE))*AE$57</f>
        <v>-69601.10787718113</v>
      </c>
      <c r="AF41" s="1">
        <f>('RECEITAS - BLOCOS PAN'!AE41-'OPEX - BLOCOS PAN'!AE41-VLOOKUP('FLUXO DE CAIXA DESC.-BLOCOS PAN'!$D41,'CAPEX - BLOCOS PAN'!$C$3:$AE$52,29,FALSE))*AF$57</f>
        <v>-63533.644798887399</v>
      </c>
      <c r="AG41" s="1">
        <f>('RECEITAS - BLOCOS PAN'!AF41-'OPEX - BLOCOS PAN'!AF41-VLOOKUP('FLUXO DE CAIXA DESC.-BLOCOS PAN'!$D41,'CAPEX - BLOCOS PAN'!$C$3:$AF$52,30,FALSE))*AG$57</f>
        <v>-57995.111637505615</v>
      </c>
      <c r="AH41" s="1">
        <f>('RECEITAS - BLOCOS PAN'!AG41-'OPEX - BLOCOS PAN'!AG41-VLOOKUP('FLUXO DE CAIXA DESC.-BLOCOS PAN'!$D41,'CAPEX - BLOCOS PAN'!$C$3:$AG$52,31,FALSE))*AH$57</f>
        <v>-52939.399030128356</v>
      </c>
      <c r="AI41" s="1">
        <f>('RECEITAS - BLOCOS PAN'!AH41-'OPEX - BLOCOS PAN'!AH41-VLOOKUP('FLUXO DE CAIXA DESC.-BLOCOS PAN'!$D41,'CAPEX - BLOCOS PAN'!$C$3:$AH$52,32,FALSE))*AI$57</f>
        <v>-48324.417188615567</v>
      </c>
      <c r="AJ41" s="1">
        <f>('RECEITAS - BLOCOS PAN'!AI41-'OPEX - BLOCOS PAN'!AI41-VLOOKUP('FLUXO DE CAIXA DESC.-BLOCOS PAN'!$D41,'CAPEX - BLOCOS PAN'!$C$3:$AI$52,33,FALSE))*AJ$57</f>
        <v>-44111.745493943934</v>
      </c>
      <c r="AK41" s="1">
        <f>('RECEITAS - BLOCOS PAN'!AJ41-'OPEX - BLOCOS PAN'!AJ41-VLOOKUP('FLUXO DE CAIXA DESC.-BLOCOS PAN'!$D41,'CAPEX - BLOCOS PAN'!$C$3:$AJ$52,34,FALSE))*AK$57</f>
        <v>-40266.312637100804</v>
      </c>
      <c r="AL41" s="1">
        <f>('RECEITAS - BLOCOS PAN'!AK41-'OPEX - BLOCOS PAN'!AK41-VLOOKUP('FLUXO DE CAIXA DESC.-BLOCOS PAN'!$D41,'CAPEX - BLOCOS PAN'!$C$3:$AK$52,35,FALSE))*AL$57</f>
        <v>-36756.104643633778</v>
      </c>
      <c r="AM41" s="44">
        <f t="shared" si="2"/>
        <v>-24912711.631698634</v>
      </c>
      <c r="AN41">
        <v>1</v>
      </c>
      <c r="AO41" t="s">
        <v>308</v>
      </c>
      <c r="AP41" s="49">
        <v>-8.9499999999999993</v>
      </c>
      <c r="AQ41" s="49">
        <v>-72.766666666666666</v>
      </c>
      <c r="AR41" s="48">
        <v>0</v>
      </c>
      <c r="AS41" s="1">
        <f t="shared" si="1"/>
        <v>-23785731.405936196</v>
      </c>
      <c r="AT41" t="str">
        <f>VLOOKUP(D41,'CAPEX - BLOCOS PAN (ANO A ANO)'!$C$3:$AV$52,46,FALSE)</f>
        <v>Privada</v>
      </c>
      <c r="AU41" t="str">
        <f>VLOOKUP(D41,'FLUXO DE CAIXA DESC.-SEM MULT.'!$D$3:$AT$52,43,FALSE)</f>
        <v>Bloco 1 - AC/AM</v>
      </c>
    </row>
    <row r="42" spans="1:47" x14ac:dyDescent="0.35">
      <c r="A42" t="s">
        <v>87</v>
      </c>
      <c r="B42" s="5" t="s">
        <v>279</v>
      </c>
      <c r="C42">
        <v>150503</v>
      </c>
      <c r="D42" t="s">
        <v>291</v>
      </c>
      <c r="E42" t="s">
        <v>233</v>
      </c>
      <c r="F42" t="s">
        <v>29</v>
      </c>
      <c r="G42" t="s">
        <v>259</v>
      </c>
      <c r="H42" t="s">
        <v>33</v>
      </c>
      <c r="I42" s="1">
        <f>('RECEITAS - BLOCOS PAN'!H42-'OPEX - BLOCOS PAN'!H42-VLOOKUP('FLUXO DE CAIXA DESC.-BLOCOS PAN'!$D42,'CAPEX - BLOCOS PAN'!$C$3:$H$52,6,FALSE))*I$57</f>
        <v>-14764706.643615702</v>
      </c>
      <c r="J42" s="1">
        <f>('RECEITAS - BLOCOS PAN'!I42-'OPEX - BLOCOS PAN'!I42-VLOOKUP('FLUXO DE CAIXA DESC.-BLOCOS PAN'!$D42,'CAPEX - BLOCOS PAN'!$C$3:$I$52,7,FALSE))*J$57</f>
        <v>-13477596.205947697</v>
      </c>
      <c r="K42" s="1">
        <f>('RECEITAS - BLOCOS PAN'!J42-'OPEX - BLOCOS PAN'!J42-VLOOKUP('FLUXO DE CAIXA DESC.-BLOCOS PAN'!$D42,'CAPEX - BLOCOS PAN'!$C$3:$J$52,8,FALSE))*K$57</f>
        <v>-12302689.3710157</v>
      </c>
      <c r="L42" s="1">
        <f>('RECEITAS - BLOCOS PAN'!K42-'OPEX - BLOCOS PAN'!K42-VLOOKUP('FLUXO DE CAIXA DESC.-BLOCOS PAN'!$D42,'CAPEX - BLOCOS PAN'!$C$3:$K$52,9,FALSE))*L$57</f>
        <v>-382747.3681013647</v>
      </c>
      <c r="M42" s="1">
        <f>('RECEITAS - BLOCOS PAN'!L42-'OPEX - BLOCOS PAN'!L42-VLOOKUP('FLUXO DE CAIXA DESC.-BLOCOS PAN'!$D42,'CAPEX - BLOCOS PAN'!$C$3:$L$52,10,FALSE))*M$57</f>
        <v>-349381.44053068443</v>
      </c>
      <c r="N42" s="1">
        <f>('RECEITAS - BLOCOS PAN'!M42-'OPEX - BLOCOS PAN'!M42-VLOOKUP('FLUXO DE CAIXA DESC.-BLOCOS PAN'!$D42,'CAPEX - BLOCOS PAN'!$C$3:$M$52,11,FALSE))*N$57</f>
        <v>-318924.18122381048</v>
      </c>
      <c r="O42" s="1">
        <f>('RECEITAS - BLOCOS PAN'!N42-'OPEX - BLOCOS PAN'!N42-VLOOKUP('FLUXO DE CAIXA DESC.-BLOCOS PAN'!$D42,'CAPEX - BLOCOS PAN'!$C$3:$N$52,12,FALSE))*O$57</f>
        <v>-291122.02758905571</v>
      </c>
      <c r="P42" s="1">
        <f>('RECEITAS - BLOCOS PAN'!O42-'OPEX - BLOCOS PAN'!O42-VLOOKUP('FLUXO DE CAIXA DESC.-BLOCOS PAN'!$D42,'CAPEX - BLOCOS PAN'!$C$3:$O$52,13,FALSE))*P$57</f>
        <v>-265743.52130447805</v>
      </c>
      <c r="Q42" s="1">
        <f>('RECEITAS - BLOCOS PAN'!P42-'OPEX - BLOCOS PAN'!P42-VLOOKUP('FLUXO DE CAIXA DESC.-BLOCOS PAN'!$D42,'CAPEX - BLOCOS PAN'!$C$3:$P$52,14,FALSE))*Q$57</f>
        <v>-242577.38138245375</v>
      </c>
      <c r="R42" s="1">
        <f>('RECEITAS - BLOCOS PAN'!Q42-'OPEX - BLOCOS PAN'!Q42-VLOOKUP('FLUXO DE CAIXA DESC.-BLOCOS PAN'!$D42,'CAPEX - BLOCOS PAN'!$C$3:$Q$52,15,FALSE))*R$57</f>
        <v>-221430.74521447168</v>
      </c>
      <c r="S42" s="1">
        <f>('RECEITAS - BLOCOS PAN'!R42-'OPEX - BLOCOS PAN'!R42-VLOOKUP('FLUXO DE CAIXA DESC.-BLOCOS PAN'!$D42,'CAPEX - BLOCOS PAN'!$C$3:$R$52,16,FALSE))*S$57</f>
        <v>-202127.56295250729</v>
      </c>
      <c r="T42" s="1">
        <f>('RECEITAS - BLOCOS PAN'!S42-'OPEX - BLOCOS PAN'!S42-VLOOKUP('FLUXO DE CAIXA DESC.-BLOCOS PAN'!$D42,'CAPEX - BLOCOS PAN'!$C$3:$S$52,17,FALSE))*T$57</f>
        <v>-184507.13185988797</v>
      </c>
      <c r="U42" s="1">
        <f>('RECEITAS - BLOCOS PAN'!T42-'OPEX - BLOCOS PAN'!T42-VLOOKUP('FLUXO DE CAIXA DESC.-BLOCOS PAN'!$D42,'CAPEX - BLOCOS PAN'!$C$3:$T$52,18,FALSE))*U$57</f>
        <v>-168422.75842983843</v>
      </c>
      <c r="V42" s="1">
        <f>('RECEITAS - BLOCOS PAN'!U42-'OPEX - BLOCOS PAN'!U42-VLOOKUP('FLUXO DE CAIXA DESC.-BLOCOS PAN'!$D42,'CAPEX - BLOCOS PAN'!$C$3:$U$52,19,FALSE))*V$57</f>
        <v>-153740.53713358138</v>
      </c>
      <c r="W42" s="1">
        <f>('RECEITAS - BLOCOS PAN'!V42-'OPEX - BLOCOS PAN'!V42-VLOOKUP('FLUXO DE CAIXA DESC.-BLOCOS PAN'!$D42,'CAPEX - BLOCOS PAN'!$C$3:$V$52,20,FALSE))*W$57</f>
        <v>-140338.23563083651</v>
      </c>
      <c r="X42" s="1">
        <f>('RECEITAS - BLOCOS PAN'!W42-'OPEX - BLOCOS PAN'!W42-VLOOKUP('FLUXO DE CAIXA DESC.-BLOCOS PAN'!$D42,'CAPEX - BLOCOS PAN'!$C$3:$W$52,21,FALSE))*X$57</f>
        <v>-128104.27716187724</v>
      </c>
      <c r="Y42" s="1">
        <f>('RECEITAS - BLOCOS PAN'!X42-'OPEX - BLOCOS PAN'!X42-VLOOKUP('FLUXO DE CAIXA DESC.-BLOCOS PAN'!$D42,'CAPEX - BLOCOS PAN'!$C$3:$X$52,22,FALSE))*Y$57</f>
        <v>-116936.81164936308</v>
      </c>
      <c r="Z42" s="1">
        <f>('RECEITAS - BLOCOS PAN'!Y42-'OPEX - BLOCOS PAN'!Y42-VLOOKUP('FLUXO DE CAIXA DESC.-BLOCOS PAN'!$D42,'CAPEX - BLOCOS PAN'!$C$3:$Y$52,23,FALSE))*Z$57</f>
        <v>-106742.86777668925</v>
      </c>
      <c r="AA42" s="1">
        <f>('RECEITAS - BLOCOS PAN'!Z42-'OPEX - BLOCOS PAN'!Z42-VLOOKUP('FLUXO DE CAIXA DESC.-BLOCOS PAN'!$D42,'CAPEX - BLOCOS PAN'!$C$3:$Z$52,24,FALSE))*AA$57</f>
        <v>-97437.578983741929</v>
      </c>
      <c r="AB42" s="1">
        <f>('RECEITAS - BLOCOS PAN'!AA42-'OPEX - BLOCOS PAN'!AA42-VLOOKUP('FLUXO DE CAIXA DESC.-BLOCOS PAN'!$D42,'CAPEX - BLOCOS PAN'!$C$3:$AA$52,25,FALSE))*AB$57</f>
        <v>-88943.476936323073</v>
      </c>
      <c r="AC42" s="1">
        <f>('RECEITAS - BLOCOS PAN'!AB42-'OPEX - BLOCOS PAN'!AB42-VLOOKUP('FLUXO DE CAIXA DESC.-BLOCOS PAN'!$D42,'CAPEX - BLOCOS PAN'!$C$3:$AB$52,26,FALSE))*AC$57</f>
        <v>-81189.846587241511</v>
      </c>
      <c r="AD42" s="1">
        <f>('RECEITAS - BLOCOS PAN'!AC42-'OPEX - BLOCOS PAN'!AC42-VLOOKUP('FLUXO DE CAIXA DESC.-BLOCOS PAN'!$D42,'CAPEX - BLOCOS PAN'!$C$3:$AC$52,27,FALSE))*AD$57</f>
        <v>-74112.137459827936</v>
      </c>
      <c r="AE42" s="1">
        <f>('RECEITAS - BLOCOS PAN'!AD42-'OPEX - BLOCOS PAN'!AD42-VLOOKUP('FLUXO DE CAIXA DESC.-BLOCOS PAN'!$D42,'CAPEX - BLOCOS PAN'!$C$3:$AD$52,28,FALSE))*AE$57</f>
        <v>-67651.426252695528</v>
      </c>
      <c r="AF42" s="1">
        <f>('RECEITAS - BLOCOS PAN'!AE42-'OPEX - BLOCOS PAN'!AE42-VLOOKUP('FLUXO DE CAIXA DESC.-BLOCOS PAN'!$D42,'CAPEX - BLOCOS PAN'!$C$3:$AE$52,29,FALSE))*AF$57</f>
        <v>-61753.926291826137</v>
      </c>
      <c r="AG42" s="1">
        <f>('RECEITAS - BLOCOS PAN'!AF42-'OPEX - BLOCOS PAN'!AF42-VLOOKUP('FLUXO DE CAIXA DESC.-BLOCOS PAN'!$D42,'CAPEX - BLOCOS PAN'!$C$3:$AF$52,30,FALSE))*AG$57</f>
        <v>-56370.53974607589</v>
      </c>
      <c r="AH42" s="1">
        <f>('RECEITAS - BLOCOS PAN'!AG42-'OPEX - BLOCOS PAN'!AG42-VLOOKUP('FLUXO DE CAIXA DESC.-BLOCOS PAN'!$D42,'CAPEX - BLOCOS PAN'!$C$3:$AG$52,31,FALSE))*AH$57</f>
        <v>-51456.448878207113</v>
      </c>
      <c r="AI42" s="1">
        <f>('RECEITAS - BLOCOS PAN'!AH42-'OPEX - BLOCOS PAN'!AH42-VLOOKUP('FLUXO DE CAIXA DESC.-BLOCOS PAN'!$D42,'CAPEX - BLOCOS PAN'!$C$3:$AH$52,32,FALSE))*AI$57</f>
        <v>-46970.74292853228</v>
      </c>
      <c r="AJ42" s="1">
        <f>('RECEITAS - BLOCOS PAN'!AI42-'OPEX - BLOCOS PAN'!AI42-VLOOKUP('FLUXO DE CAIXA DESC.-BLOCOS PAN'!$D42,'CAPEX - BLOCOS PAN'!$C$3:$AI$52,33,FALSE))*AJ$57</f>
        <v>-42876.077524903958</v>
      </c>
      <c r="AK42" s="1">
        <f>('RECEITAS - BLOCOS PAN'!AJ42-'OPEX - BLOCOS PAN'!AJ42-VLOOKUP('FLUXO DE CAIXA DESC.-BLOCOS PAN'!$D42,'CAPEX - BLOCOS PAN'!$C$3:$AJ$52,34,FALSE))*AK$57</f>
        <v>-39138.363783572757</v>
      </c>
      <c r="AL42" s="1">
        <f>('RECEITAS - BLOCOS PAN'!AK42-'OPEX - BLOCOS PAN'!AK42-VLOOKUP('FLUXO DE CAIXA DESC.-BLOCOS PAN'!$D42,'CAPEX - BLOCOS PAN'!$C$3:$AK$52,35,FALSE))*AL$57</f>
        <v>-35726.484512617761</v>
      </c>
      <c r="AM42" s="44">
        <f t="shared" si="2"/>
        <v>-44561466.118405558</v>
      </c>
      <c r="AN42">
        <v>1</v>
      </c>
      <c r="AO42" t="s">
        <v>309</v>
      </c>
      <c r="AP42">
        <v>-7.1166666666666663</v>
      </c>
      <c r="AQ42">
        <v>-55.4</v>
      </c>
      <c r="AR42" s="48">
        <v>0</v>
      </c>
      <c r="AS42" s="1">
        <f t="shared" si="1"/>
        <v>-43466055.111932069</v>
      </c>
      <c r="AT42" t="str">
        <f>VLOOKUP(D42,'CAPEX - BLOCOS PAN (ANO A ANO)'!$C$3:$AV$52,46,FALSE)</f>
        <v>Privada</v>
      </c>
      <c r="AU42" t="str">
        <f>VLOOKUP(D42,'FLUXO DE CAIXA DESC.-SEM MULT.'!$D$3:$AT$52,43,FALSE)</f>
        <v>Bloco 5 - PA1</v>
      </c>
    </row>
    <row r="43" spans="1:47" s="49" customFormat="1" x14ac:dyDescent="0.35">
      <c r="A43" s="49" t="s">
        <v>369</v>
      </c>
      <c r="B43" s="76" t="s">
        <v>370</v>
      </c>
      <c r="C43" s="49">
        <v>260110</v>
      </c>
      <c r="D43" s="49" t="s">
        <v>371</v>
      </c>
      <c r="E43" s="49" t="s">
        <v>370</v>
      </c>
      <c r="F43" s="49" t="s">
        <v>36</v>
      </c>
      <c r="G43" s="49" t="s">
        <v>258</v>
      </c>
      <c r="H43" s="49" t="s">
        <v>33</v>
      </c>
      <c r="I43" s="72">
        <f>('RECEITAS - BLOCOS PAN'!H43-'OPEX - BLOCOS PAN'!H43-VLOOKUP('FLUXO DE CAIXA DESC.-BLOCOS PAN'!$D43,'CAPEX - BLOCOS PAN'!$C$3:$H$52,6,FALSE))*I$57</f>
        <v>-9141413.2730364166</v>
      </c>
      <c r="J43" s="72">
        <f>('RECEITAS - BLOCOS PAN'!I43-'OPEX - BLOCOS PAN'!I43-VLOOKUP('FLUXO DE CAIXA DESC.-BLOCOS PAN'!$D43,'CAPEX - BLOCOS PAN'!$C$3:$I$52,7,FALSE))*J$57</f>
        <v>-8344512.3441683408</v>
      </c>
      <c r="K43" s="72">
        <f>('RECEITAS - BLOCOS PAN'!J43-'OPEX - BLOCOS PAN'!J43-VLOOKUP('FLUXO DE CAIXA DESC.-BLOCOS PAN'!$D43,'CAPEX - BLOCOS PAN'!$C$3:$J$52,8,FALSE))*K$57</f>
        <v>-7617081.0991951991</v>
      </c>
      <c r="L43" s="72">
        <f>('RECEITAS - BLOCOS PAN'!K43-'OPEX - BLOCOS PAN'!K43-VLOOKUP('FLUXO DE CAIXA DESC.-BLOCOS PAN'!$D43,'CAPEX - BLOCOS PAN'!$C$3:$K$52,9,FALSE))*L$57</f>
        <v>-504987.90665314812</v>
      </c>
      <c r="M43" s="72">
        <f>('RECEITAS - BLOCOS PAN'!L43-'OPEX - BLOCOS PAN'!L43-VLOOKUP('FLUXO DE CAIXA DESC.-BLOCOS PAN'!$D43,'CAPEX - BLOCOS PAN'!$C$3:$L$52,10,FALSE))*M$57</f>
        <v>-460965.68384586781</v>
      </c>
      <c r="N43" s="72">
        <f>('RECEITAS - BLOCOS PAN'!M43-'OPEX - BLOCOS PAN'!M43-VLOOKUP('FLUXO DE CAIXA DESC.-BLOCOS PAN'!$D43,'CAPEX - BLOCOS PAN'!$C$3:$M$52,11,FALSE))*N$57</f>
        <v>-420781.08977258584</v>
      </c>
      <c r="O43" s="72">
        <f>('RECEITAS - BLOCOS PAN'!N43-'OPEX - BLOCOS PAN'!N43-VLOOKUP('FLUXO DE CAIXA DESC.-BLOCOS PAN'!$D43,'CAPEX - BLOCOS PAN'!$C$3:$N$52,12,FALSE))*O$57</f>
        <v>-384099.57989282144</v>
      </c>
      <c r="P43" s="72">
        <f>('RECEITAS - BLOCOS PAN'!O43-'OPEX - BLOCOS PAN'!O43-VLOOKUP('FLUXO DE CAIXA DESC.-BLOCOS PAN'!$D43,'CAPEX - BLOCOS PAN'!$C$3:$O$52,13,FALSE))*P$57</f>
        <v>-350615.77352151659</v>
      </c>
      <c r="Q43" s="72">
        <f>('RECEITAS - BLOCOS PAN'!P43-'OPEX - BLOCOS PAN'!P43-VLOOKUP('FLUXO DE CAIXA DESC.-BLOCOS PAN'!$D43,'CAPEX - BLOCOS PAN'!$C$3:$P$52,14,FALSE))*Q$57</f>
        <v>-320050.91147559712</v>
      </c>
      <c r="R43" s="72">
        <f>('RECEITAS - BLOCOS PAN'!Q43-'OPEX - BLOCOS PAN'!Q43-VLOOKUP('FLUXO DE CAIXA DESC.-BLOCOS PAN'!$D43,'CAPEX - BLOCOS PAN'!$C$3:$Q$52,15,FALSE))*R$57</f>
        <v>-292150.53534970072</v>
      </c>
      <c r="S43" s="72">
        <f>('RECEITAS - BLOCOS PAN'!R43-'OPEX - BLOCOS PAN'!R43-VLOOKUP('FLUXO DE CAIXA DESC.-BLOCOS PAN'!$D43,'CAPEX - BLOCOS PAN'!$C$3:$R$52,16,FALSE))*S$57</f>
        <v>-266682.36910059402</v>
      </c>
      <c r="T43" s="72">
        <f>('RECEITAS - BLOCOS PAN'!S43-'OPEX - BLOCOS PAN'!S43-VLOOKUP('FLUXO DE CAIXA DESC.-BLOCOS PAN'!$D43,'CAPEX - BLOCOS PAN'!$C$3:$S$52,17,FALSE))*T$57</f>
        <v>-243434.3853040566</v>
      </c>
      <c r="U43" s="72">
        <f>('RECEITAS - BLOCOS PAN'!T43-'OPEX - BLOCOS PAN'!T43-VLOOKUP('FLUXO DE CAIXA DESC.-BLOCOS PAN'!$D43,'CAPEX - BLOCOS PAN'!$C$3:$T$52,18,FALSE))*U$57</f>
        <v>-222213.03998544649</v>
      </c>
      <c r="V43" s="72">
        <f>('RECEITAS - BLOCOS PAN'!U43-'OPEX - BLOCOS PAN'!U43-VLOOKUP('FLUXO DE CAIXA DESC.-BLOCOS PAN'!$D43,'CAPEX - BLOCOS PAN'!$C$3:$U$52,19,FALSE))*V$57</f>
        <v>-202841.66132856821</v>
      </c>
      <c r="W43" s="72">
        <f>('RECEITAS - BLOCOS PAN'!V43-'OPEX - BLOCOS PAN'!V43-VLOOKUP('FLUXO DE CAIXA DESC.-BLOCOS PAN'!$D43,'CAPEX - BLOCOS PAN'!$C$3:$V$52,20,FALSE))*W$57</f>
        <v>-185158.9788485333</v>
      </c>
      <c r="X43" s="72">
        <f>('RECEITAS - BLOCOS PAN'!W43-'OPEX - BLOCOS PAN'!W43-VLOOKUP('FLUXO DE CAIXA DESC.-BLOCOS PAN'!$D43,'CAPEX - BLOCOS PAN'!$C$3:$W$52,21,FALSE))*X$57</f>
        <v>-169017.78078369083</v>
      </c>
      <c r="Y43" s="72">
        <f>('RECEITAS - BLOCOS PAN'!X43-'OPEX - BLOCOS PAN'!X43-VLOOKUP('FLUXO DE CAIXA DESC.-BLOCOS PAN'!$D43,'CAPEX - BLOCOS PAN'!$C$3:$X$52,22,FALSE))*Y$57</f>
        <v>-154283.68852915641</v>
      </c>
      <c r="Z43" s="72">
        <f>('RECEITAS - BLOCOS PAN'!Y43-'OPEX - BLOCOS PAN'!Y43-VLOOKUP('FLUXO DE CAIXA DESC.-BLOCOS PAN'!$D43,'CAPEX - BLOCOS PAN'!$C$3:$Y$52,23,FALSE))*Z$57</f>
        <v>-140834.03790886025</v>
      </c>
      <c r="AA43" s="72">
        <f>('RECEITAS - BLOCOS PAN'!Z43-'OPEX - BLOCOS PAN'!Z43-VLOOKUP('FLUXO DE CAIXA DESC.-BLOCOS PAN'!$D43,'CAPEX - BLOCOS PAN'!$C$3:$Z$52,24,FALSE))*AA$57</f>
        <v>-128556.85797248771</v>
      </c>
      <c r="AB43" s="72">
        <f>('RECEITAS - BLOCOS PAN'!AA43-'OPEX - BLOCOS PAN'!AA43-VLOOKUP('FLUXO DE CAIXA DESC.-BLOCOS PAN'!$D43,'CAPEX - BLOCOS PAN'!$C$3:$AA$52,25,FALSE))*AB$57</f>
        <v>-117349.93881559809</v>
      </c>
      <c r="AC43" s="72">
        <f>('RECEITAS - BLOCOS PAN'!AB43-'OPEX - BLOCOS PAN'!AB43-VLOOKUP('FLUXO DE CAIXA DESC.-BLOCOS PAN'!$D43,'CAPEX - BLOCOS PAN'!$C$3:$AB$52,26,FALSE))*AC$57</f>
        <v>-107119.98066234423</v>
      </c>
      <c r="AD43" s="72">
        <f>('RECEITAS - BLOCOS PAN'!AC43-'OPEX - BLOCOS PAN'!AC43-VLOOKUP('FLUXO DE CAIXA DESC.-BLOCOS PAN'!$D43,'CAPEX - BLOCOS PAN'!$C$3:$AC$52,27,FALSE))*AD$57</f>
        <v>-97781.817126740498</v>
      </c>
      <c r="AE43" s="72">
        <f>('RECEITAS - BLOCOS PAN'!AD43-'OPEX - BLOCOS PAN'!AD43-VLOOKUP('FLUXO DE CAIXA DESC.-BLOCOS PAN'!$D43,'CAPEX - BLOCOS PAN'!$C$3:$AD$52,28,FALSE))*AE$57</f>
        <v>-89257.706185979463</v>
      </c>
      <c r="AF43" s="72">
        <f>('RECEITAS - BLOCOS PAN'!AE43-'OPEX - BLOCOS PAN'!AE43-VLOOKUP('FLUXO DE CAIXA DESC.-BLOCOS PAN'!$D43,'CAPEX - BLOCOS PAN'!$C$3:$AE$52,29,FALSE))*AF$57</f>
        <v>-81476.682963011845</v>
      </c>
      <c r="AG43" s="72">
        <f>('RECEITAS - BLOCOS PAN'!AF43-'OPEX - BLOCOS PAN'!AF43-VLOOKUP('FLUXO DE CAIXA DESC.-BLOCOS PAN'!$D43,'CAPEX - BLOCOS PAN'!$C$3:$AF$52,30,FALSE))*AG$57</f>
        <v>-74373.96893017969</v>
      </c>
      <c r="AH43" s="72">
        <f>('RECEITAS - BLOCOS PAN'!AG43-'OPEX - BLOCOS PAN'!AG43-VLOOKUP('FLUXO DE CAIXA DESC.-BLOCOS PAN'!$D43,'CAPEX - BLOCOS PAN'!$C$3:$AG$52,31,FALSE))*AH$57</f>
        <v>-67890.432615408208</v>
      </c>
      <c r="AI43" s="72">
        <f>('RECEITAS - BLOCOS PAN'!AH43-'OPEX - BLOCOS PAN'!AH43-VLOOKUP('FLUXO DE CAIXA DESC.-BLOCOS PAN'!$D43,'CAPEX - BLOCOS PAN'!$C$3:$AH$52,32,FALSE))*AI$57</f>
        <v>-61972.097321230678</v>
      </c>
      <c r="AJ43" s="72">
        <f>('RECEITAS - BLOCOS PAN'!AI43-'OPEX - BLOCOS PAN'!AI43-VLOOKUP('FLUXO DE CAIXA DESC.-BLOCOS PAN'!$D43,'CAPEX - BLOCOS PAN'!$C$3:$AI$52,33,FALSE))*AJ$57</f>
        <v>-56569.691758311899</v>
      </c>
      <c r="AK43" s="72">
        <f>('RECEITAS - BLOCOS PAN'!AJ43-'OPEX - BLOCOS PAN'!AJ43-VLOOKUP('FLUXO DE CAIXA DESC.-BLOCOS PAN'!$D43,'CAPEX - BLOCOS PAN'!$C$3:$AJ$52,34,FALSE))*AK$57</f>
        <v>-51638.23985240703</v>
      </c>
      <c r="AL43" s="72">
        <f>('RECEITAS - BLOCOS PAN'!AK43-'OPEX - BLOCOS PAN'!AK43-VLOOKUP('FLUXO DE CAIXA DESC.-BLOCOS PAN'!$D43,'CAPEX - BLOCOS PAN'!$C$3:$AK$52,35,FALSE))*AL$57</f>
        <v>-47136.686309819284</v>
      </c>
      <c r="AM43" s="77">
        <f t="shared" ref="AM43" si="3">SUM(I43:AL43)</f>
        <v>-30402248.239213612</v>
      </c>
      <c r="AN43" s="49">
        <v>0</v>
      </c>
      <c r="AO43" s="49" t="s">
        <v>310</v>
      </c>
      <c r="AP43" s="49">
        <v>-7.583333333333333</v>
      </c>
      <c r="AQ43" s="49">
        <v>-40.533333333333331</v>
      </c>
      <c r="AR43" s="78">
        <v>0</v>
      </c>
      <c r="AS43" s="72">
        <f t="shared" ref="AS43" si="4">SUM(I43:W43)</f>
        <v>-28956988.631478388</v>
      </c>
      <c r="AT43" s="49" t="s">
        <v>379</v>
      </c>
      <c r="AU43" t="str">
        <f>VLOOKUP(D43,'FLUXO DE CAIXA DESC.-SEM MULT.'!$D$3:$AT$52,43,FALSE)</f>
        <v>Bloco 8 - Nordeste</v>
      </c>
    </row>
    <row r="44" spans="1:47" x14ac:dyDescent="0.35">
      <c r="A44" t="s">
        <v>88</v>
      </c>
      <c r="B44" s="5" t="s">
        <v>270</v>
      </c>
      <c r="C44">
        <v>210120</v>
      </c>
      <c r="D44" t="s">
        <v>292</v>
      </c>
      <c r="E44" t="s">
        <v>234</v>
      </c>
      <c r="F44" t="s">
        <v>31</v>
      </c>
      <c r="G44" t="s">
        <v>258</v>
      </c>
      <c r="H44" t="s">
        <v>33</v>
      </c>
      <c r="I44" s="1">
        <f>('RECEITAS - BLOCOS PAN'!H44-'OPEX - BLOCOS PAN'!H44-VLOOKUP('FLUXO DE CAIXA DESC.-BLOCOS PAN'!$D44,'CAPEX - BLOCOS PAN'!$C$3:$H$52,6,FALSE))*I$57</f>
        <v>-13798901.61544523</v>
      </c>
      <c r="J44" s="1">
        <f>('RECEITAS - BLOCOS PAN'!I44-'OPEX - BLOCOS PAN'!I44-VLOOKUP('FLUXO DE CAIXA DESC.-BLOCOS PAN'!$D44,'CAPEX - BLOCOS PAN'!$C$3:$I$52,7,FALSE))*J$57</f>
        <v>-12595985.043765616</v>
      </c>
      <c r="K44" s="1">
        <f>('RECEITAS - BLOCOS PAN'!J44-'OPEX - BLOCOS PAN'!J44-VLOOKUP('FLUXO DE CAIXA DESC.-BLOCOS PAN'!$D44,'CAPEX - BLOCOS PAN'!$C$3:$J$52,8,FALSE))*K$57</f>
        <v>-11497932.490886003</v>
      </c>
      <c r="L44" s="1">
        <f>('RECEITAS - BLOCOS PAN'!K44-'OPEX - BLOCOS PAN'!K44-VLOOKUP('FLUXO DE CAIXA DESC.-BLOCOS PAN'!$D44,'CAPEX - BLOCOS PAN'!$C$3:$K$52,9,FALSE))*L$57</f>
        <v>-370439.04596761259</v>
      </c>
      <c r="M44" s="1">
        <f>('RECEITAS - BLOCOS PAN'!L44-'OPEX - BLOCOS PAN'!L44-VLOOKUP('FLUXO DE CAIXA DESC.-BLOCOS PAN'!$D44,'CAPEX - BLOCOS PAN'!$C$3:$L$52,10,FALSE))*M$57</f>
        <v>-338146.09399143094</v>
      </c>
      <c r="N44" s="1">
        <f>('RECEITAS - BLOCOS PAN'!M44-'OPEX - BLOCOS PAN'!M44-VLOOKUP('FLUXO DE CAIXA DESC.-BLOCOS PAN'!$D44,'CAPEX - BLOCOS PAN'!$C$3:$M$52,11,FALSE))*N$57</f>
        <v>-308668.27383973612</v>
      </c>
      <c r="O44" s="1">
        <f>('RECEITAS - BLOCOS PAN'!N44-'OPEX - BLOCOS PAN'!N44-VLOOKUP('FLUXO DE CAIXA DESC.-BLOCOS PAN'!$D44,'CAPEX - BLOCOS PAN'!$C$3:$N$52,12,FALSE))*O$57</f>
        <v>-281760.17694179475</v>
      </c>
      <c r="P44" s="1">
        <f>('RECEITAS - BLOCOS PAN'!O44-'OPEX - BLOCOS PAN'!O44-VLOOKUP('FLUXO DE CAIXA DESC.-BLOCOS PAN'!$D44,'CAPEX - BLOCOS PAN'!$C$3:$O$52,13,FALSE))*P$57</f>
        <v>-257197.7881714238</v>
      </c>
      <c r="Q44" s="1">
        <f>('RECEITAS - BLOCOS PAN'!P44-'OPEX - BLOCOS PAN'!P44-VLOOKUP('FLUXO DE CAIXA DESC.-BLOCOS PAN'!$D44,'CAPEX - BLOCOS PAN'!$C$3:$P$52,14,FALSE))*Q$57</f>
        <v>-234776.62087761189</v>
      </c>
      <c r="R44" s="1">
        <f>('RECEITAS - BLOCOS PAN'!Q44-'OPEX - BLOCOS PAN'!Q44-VLOOKUP('FLUXO DE CAIXA DESC.-BLOCOS PAN'!$D44,'CAPEX - BLOCOS PAN'!$C$3:$Q$52,15,FALSE))*R$57</f>
        <v>-214310.01449348417</v>
      </c>
      <c r="S44" s="1">
        <f>('RECEITAS - BLOCOS PAN'!R44-'OPEX - BLOCOS PAN'!R44-VLOOKUP('FLUXO DE CAIXA DESC.-BLOCOS PAN'!$D44,'CAPEX - BLOCOS PAN'!$C$3:$R$52,16,FALSE))*S$57</f>
        <v>-195627.58055087557</v>
      </c>
      <c r="T44" s="1">
        <f>('RECEITAS - BLOCOS PAN'!S44-'OPEX - BLOCOS PAN'!S44-VLOOKUP('FLUXO DE CAIXA DESC.-BLOCOS PAN'!$D44,'CAPEX - BLOCOS PAN'!$C$3:$S$52,17,FALSE))*T$57</f>
        <v>-178573.78416328214</v>
      </c>
      <c r="U44" s="1">
        <f>('RECEITAS - BLOCOS PAN'!T44-'OPEX - BLOCOS PAN'!T44-VLOOKUP('FLUXO DE CAIXA DESC.-BLOCOS PAN'!$D44,'CAPEX - BLOCOS PAN'!$C$3:$T$52,18,FALSE))*U$57</f>
        <v>-163006.64916776097</v>
      </c>
      <c r="V44" s="1">
        <f>('RECEITAS - BLOCOS PAN'!U44-'OPEX - BLOCOS PAN'!U44-VLOOKUP('FLUXO DE CAIXA DESC.-BLOCOS PAN'!$D44,'CAPEX - BLOCOS PAN'!$C$3:$U$52,19,FALSE))*V$57</f>
        <v>-148796.57614583382</v>
      </c>
      <c r="W44" s="1">
        <f>('RECEITAS - BLOCOS PAN'!V44-'OPEX - BLOCOS PAN'!V44-VLOOKUP('FLUXO DE CAIXA DESC.-BLOCOS PAN'!$D44,'CAPEX - BLOCOS PAN'!$C$3:$V$52,20,FALSE))*W$57</f>
        <v>-135825.26348318925</v>
      </c>
      <c r="X44" s="1">
        <f>('RECEITAS - BLOCOS PAN'!W44-'OPEX - BLOCOS PAN'!W44-VLOOKUP('FLUXO DE CAIXA DESC.-BLOCOS PAN'!$D44,'CAPEX - BLOCOS PAN'!$C$3:$W$52,21,FALSE))*X$57</f>
        <v>-123984.72248579578</v>
      </c>
      <c r="Y44" s="1">
        <f>('RECEITAS - BLOCOS PAN'!X44-'OPEX - BLOCOS PAN'!X44-VLOOKUP('FLUXO DE CAIXA DESC.-BLOCOS PAN'!$D44,'CAPEX - BLOCOS PAN'!$C$3:$X$52,22,FALSE))*Y$57</f>
        <v>-113176.37835307694</v>
      </c>
      <c r="Z44" s="1">
        <f>('RECEITAS - BLOCOS PAN'!Y44-'OPEX - BLOCOS PAN'!Y44-VLOOKUP('FLUXO DE CAIXA DESC.-BLOCOS PAN'!$D44,'CAPEX - BLOCOS PAN'!$C$3:$Y$52,23,FALSE))*Z$57</f>
        <v>-103310.24952357548</v>
      </c>
      <c r="AA44" s="1">
        <f>('RECEITAS - BLOCOS PAN'!Z44-'OPEX - BLOCOS PAN'!Z44-VLOOKUP('FLUXO DE CAIXA DESC.-BLOCOS PAN'!$D44,'CAPEX - BLOCOS PAN'!$C$3:$Z$52,24,FALSE))*AA$57</f>
        <v>-94304.198560999997</v>
      </c>
      <c r="AB44" s="1">
        <f>('RECEITAS - BLOCOS PAN'!AA44-'OPEX - BLOCOS PAN'!AA44-VLOOKUP('FLUXO DE CAIXA DESC.-BLOCOS PAN'!$D44,'CAPEX - BLOCOS PAN'!$C$3:$AA$52,25,FALSE))*AB$57</f>
        <v>-86083.248344135092</v>
      </c>
      <c r="AC44" s="1">
        <f>('RECEITAS - BLOCOS PAN'!AB44-'OPEX - BLOCOS PAN'!AB44-VLOOKUP('FLUXO DE CAIXA DESC.-BLOCOS PAN'!$D44,'CAPEX - BLOCOS PAN'!$C$3:$AB$52,26,FALSE))*AC$57</f>
        <v>-78578.957867763675</v>
      </c>
      <c r="AD44" s="1">
        <f>('RECEITAS - BLOCOS PAN'!AC44-'OPEX - BLOCOS PAN'!AC44-VLOOKUP('FLUXO DE CAIXA DESC.-BLOCOS PAN'!$D44,'CAPEX - BLOCOS PAN'!$C$3:$AC$52,27,FALSE))*AD$57</f>
        <v>-71728.85245802252</v>
      </c>
      <c r="AE44" s="1">
        <f>('RECEITAS - BLOCOS PAN'!AD44-'OPEX - BLOCOS PAN'!AD44-VLOOKUP('FLUXO DE CAIXA DESC.-BLOCOS PAN'!$D44,'CAPEX - BLOCOS PAN'!$C$3:$AD$52,28,FALSE))*AE$57</f>
        <v>-65475.903658623938</v>
      </c>
      <c r="AF44" s="1">
        <f>('RECEITAS - BLOCOS PAN'!AE44-'OPEX - BLOCOS PAN'!AE44-VLOOKUP('FLUXO DE CAIXA DESC.-BLOCOS PAN'!$D44,'CAPEX - BLOCOS PAN'!$C$3:$AE$52,29,FALSE))*AF$57</f>
        <v>-59768.054457894978</v>
      </c>
      <c r="AG44" s="1">
        <f>('RECEITAS - BLOCOS PAN'!AF44-'OPEX - BLOCOS PAN'!AF44-VLOOKUP('FLUXO DE CAIXA DESC.-BLOCOS PAN'!$D44,'CAPEX - BLOCOS PAN'!$C$3:$AF$52,30,FALSE))*AG$57</f>
        <v>-54557.785904057491</v>
      </c>
      <c r="AH44" s="1">
        <f>('RECEITAS - BLOCOS PAN'!AG44-'OPEX - BLOCOS PAN'!AG44-VLOOKUP('FLUXO DE CAIXA DESC.-BLOCOS PAN'!$D44,'CAPEX - BLOCOS PAN'!$C$3:$AG$52,31,FALSE))*AH$57</f>
        <v>-49801.721500737098</v>
      </c>
      <c r="AI44" s="1">
        <f>('RECEITAS - BLOCOS PAN'!AH44-'OPEX - BLOCOS PAN'!AH44-VLOOKUP('FLUXO DE CAIXA DESC.-BLOCOS PAN'!$D44,'CAPEX - BLOCOS PAN'!$C$3:$AH$52,32,FALSE))*AI$57</f>
        <v>-45460.266089216886</v>
      </c>
      <c r="AJ44" s="1">
        <f>('RECEITAS - BLOCOS PAN'!AI44-'OPEX - BLOCOS PAN'!AI44-VLOOKUP('FLUXO DE CAIXA DESC.-BLOCOS PAN'!$D44,'CAPEX - BLOCOS PAN'!$C$3:$AI$52,33,FALSE))*AJ$57</f>
        <v>-41497.276211060605</v>
      </c>
      <c r="AK44" s="1">
        <f>('RECEITAS - BLOCOS PAN'!AJ44-'OPEX - BLOCOS PAN'!AJ44-VLOOKUP('FLUXO DE CAIXA DESC.-BLOCOS PAN'!$D44,'CAPEX - BLOCOS PAN'!$C$3:$AJ$52,34,FALSE))*AK$57</f>
        <v>-37879.759206810224</v>
      </c>
      <c r="AL44" s="1">
        <f>('RECEITAS - BLOCOS PAN'!AK44-'OPEX - BLOCOS PAN'!AK44-VLOOKUP('FLUXO DE CAIXA DESC.-BLOCOS PAN'!$D44,'CAPEX - BLOCOS PAN'!$C$3:$AK$52,35,FALSE))*AL$57</f>
        <v>-34577.598545696237</v>
      </c>
      <c r="AM44" s="44">
        <f t="shared" si="2"/>
        <v>-41780131.99105835</v>
      </c>
      <c r="AN44">
        <v>1</v>
      </c>
      <c r="AO44" t="s">
        <v>316</v>
      </c>
      <c r="AP44">
        <v>-4.2166666666666668</v>
      </c>
      <c r="AQ44">
        <v>-44.81666666666667</v>
      </c>
      <c r="AR44" s="48">
        <v>0</v>
      </c>
      <c r="AS44" s="1">
        <f t="shared" si="1"/>
        <v>-40719947.017890893</v>
      </c>
      <c r="AT44" t="str">
        <f>VLOOKUP(D44,'CAPEX - BLOCOS PAN (ANO A ANO)'!$C$3:$AV$52,46,FALSE)</f>
        <v>Privada</v>
      </c>
      <c r="AU44" t="str">
        <f>VLOOKUP(D44,'FLUXO DE CAIXA DESC.-SEM MULT.'!$D$3:$AT$52,43,FALSE)</f>
        <v>Bloco 9 - MA/TO</v>
      </c>
    </row>
    <row r="45" spans="1:47" x14ac:dyDescent="0.35">
      <c r="A45" t="s">
        <v>89</v>
      </c>
      <c r="B45" s="5" t="s">
        <v>271</v>
      </c>
      <c r="C45">
        <v>210140</v>
      </c>
      <c r="D45" t="s">
        <v>293</v>
      </c>
      <c r="E45" t="s">
        <v>235</v>
      </c>
      <c r="F45" t="s">
        <v>31</v>
      </c>
      <c r="G45" t="s">
        <v>258</v>
      </c>
      <c r="H45" t="s">
        <v>33</v>
      </c>
      <c r="I45" s="1">
        <f>('RECEITAS - BLOCOS PAN'!H45-'OPEX - BLOCOS PAN'!H45-VLOOKUP('FLUXO DE CAIXA DESC.-BLOCOS PAN'!$D45,'CAPEX - BLOCOS PAN'!$C$3:$H$52,6,FALSE))*I$57</f>
        <v>-10153084.235431917</v>
      </c>
      <c r="J45" s="1">
        <f>('RECEITAS - BLOCOS PAN'!I45-'OPEX - BLOCOS PAN'!I45-VLOOKUP('FLUXO DE CAIXA DESC.-BLOCOS PAN'!$D45,'CAPEX - BLOCOS PAN'!$C$3:$I$52,7,FALSE))*J$57</f>
        <v>-9267991.0866562463</v>
      </c>
      <c r="K45" s="1">
        <f>('RECEITAS - BLOCOS PAN'!J45-'OPEX - BLOCOS PAN'!J45-VLOOKUP('FLUXO DE CAIXA DESC.-BLOCOS PAN'!$D45,'CAPEX - BLOCOS PAN'!$C$3:$J$52,8,FALSE))*K$57</f>
        <v>-8460055.7614388373</v>
      </c>
      <c r="L45" s="1">
        <f>('RECEITAS - BLOCOS PAN'!K45-'OPEX - BLOCOS PAN'!K45-VLOOKUP('FLUXO DE CAIXA DESC.-BLOCOS PAN'!$D45,'CAPEX - BLOCOS PAN'!$C$3:$K$52,9,FALSE))*L$57</f>
        <v>-329109.77315858932</v>
      </c>
      <c r="M45" s="1">
        <f>('RECEITAS - BLOCOS PAN'!L45-'OPEX - BLOCOS PAN'!L45-VLOOKUP('FLUXO DE CAIXA DESC.-BLOCOS PAN'!$D45,'CAPEX - BLOCOS PAN'!$C$3:$L$52,10,FALSE))*M$57</f>
        <v>-300419.69252267398</v>
      </c>
      <c r="N45" s="1">
        <f>('RECEITAS - BLOCOS PAN'!M45-'OPEX - BLOCOS PAN'!M45-VLOOKUP('FLUXO DE CAIXA DESC.-BLOCOS PAN'!$D45,'CAPEX - BLOCOS PAN'!$C$3:$M$52,11,FALSE))*N$57</f>
        <v>-274230.66410102596</v>
      </c>
      <c r="O45" s="1">
        <f>('RECEITAS - BLOCOS PAN'!N45-'OPEX - BLOCOS PAN'!N45-VLOOKUP('FLUXO DE CAIXA DESC.-BLOCOS PAN'!$D45,'CAPEX - BLOCOS PAN'!$C$3:$N$52,12,FALSE))*O$57</f>
        <v>-250324.65915200915</v>
      </c>
      <c r="P45" s="1">
        <f>('RECEITAS - BLOCOS PAN'!O45-'OPEX - BLOCOS PAN'!O45-VLOOKUP('FLUXO DE CAIXA DESC.-BLOCOS PAN'!$D45,'CAPEX - BLOCOS PAN'!$C$3:$O$52,13,FALSE))*P$57</f>
        <v>-228502.65554724706</v>
      </c>
      <c r="Q45" s="1">
        <f>('RECEITAS - BLOCOS PAN'!P45-'OPEX - BLOCOS PAN'!P45-VLOOKUP('FLUXO DE CAIXA DESC.-BLOCOS PAN'!$D45,'CAPEX - BLOCOS PAN'!$C$3:$P$52,14,FALSE))*Q$57</f>
        <v>-208582.98087379924</v>
      </c>
      <c r="R45" s="1">
        <f>('RECEITAS - BLOCOS PAN'!Q45-'OPEX - BLOCOS PAN'!Q45-VLOOKUP('FLUXO DE CAIXA DESC.-BLOCOS PAN'!$D45,'CAPEX - BLOCOS PAN'!$C$3:$Q$52,15,FALSE))*R$57</f>
        <v>-190399.7999760833</v>
      </c>
      <c r="S45" s="1">
        <f>('RECEITAS - BLOCOS PAN'!R45-'OPEX - BLOCOS PAN'!R45-VLOOKUP('FLUXO DE CAIXA DESC.-BLOCOS PAN'!$D45,'CAPEX - BLOCOS PAN'!$C$3:$R$52,16,FALSE))*S$57</f>
        <v>-173801.73434603683</v>
      </c>
      <c r="T45" s="1">
        <f>('RECEITAS - BLOCOS PAN'!S45-'OPEX - BLOCOS PAN'!S45-VLOOKUP('FLUXO DE CAIXA DESC.-BLOCOS PAN'!$D45,'CAPEX - BLOCOS PAN'!$C$3:$S$52,17,FALSE))*T$57</f>
        <v>-158650.60186767395</v>
      </c>
      <c r="U45" s="1">
        <f>('RECEITAS - BLOCOS PAN'!T45-'OPEX - BLOCOS PAN'!T45-VLOOKUP('FLUXO DE CAIXA DESC.-BLOCOS PAN'!$D45,'CAPEX - BLOCOS PAN'!$C$3:$T$52,18,FALSE))*U$57</f>
        <v>-144820.2664241661</v>
      </c>
      <c r="V45" s="1">
        <f>('RECEITAS - BLOCOS PAN'!U45-'OPEX - BLOCOS PAN'!U45-VLOOKUP('FLUXO DE CAIXA DESC.-BLOCOS PAN'!$D45,'CAPEX - BLOCOS PAN'!$C$3:$U$52,19,FALSE))*V$57</f>
        <v>-132195.58779020183</v>
      </c>
      <c r="W45" s="1">
        <f>('RECEITAS - BLOCOS PAN'!V45-'OPEX - BLOCOS PAN'!V45-VLOOKUP('FLUXO DE CAIXA DESC.-BLOCOS PAN'!$D45,'CAPEX - BLOCOS PAN'!$C$3:$V$52,20,FALSE))*W$57</f>
        <v>-120671.46306727688</v>
      </c>
      <c r="X45" s="1">
        <f>('RECEITAS - BLOCOS PAN'!W45-'OPEX - BLOCOS PAN'!W45-VLOOKUP('FLUXO DE CAIXA DESC.-BLOCOS PAN'!$D45,'CAPEX - BLOCOS PAN'!$C$3:$W$52,21,FALSE))*X$57</f>
        <v>-110151.95168167676</v>
      </c>
      <c r="Y45" s="1">
        <f>('RECEITAS - BLOCOS PAN'!X45-'OPEX - BLOCOS PAN'!X45-VLOOKUP('FLUXO DE CAIXA DESC.-BLOCOS PAN'!$D45,'CAPEX - BLOCOS PAN'!$C$3:$X$52,22,FALSE))*Y$57</f>
        <v>-100549.47666059039</v>
      </c>
      <c r="Z45" s="1">
        <f>('RECEITAS - BLOCOS PAN'!Y45-'OPEX - BLOCOS PAN'!Y45-VLOOKUP('FLUXO DE CAIXA DESC.-BLOCOS PAN'!$D45,'CAPEX - BLOCOS PAN'!$C$3:$Y$52,23,FALSE))*Z$57</f>
        <v>-91784.095536823719</v>
      </c>
      <c r="AA45" s="1">
        <f>('RECEITAS - BLOCOS PAN'!Z45-'OPEX - BLOCOS PAN'!Z45-VLOOKUP('FLUXO DE CAIXA DESC.-BLOCOS PAN'!$D45,'CAPEX - BLOCOS PAN'!$C$3:$Z$52,24,FALSE))*AA$57</f>
        <v>-83782.834812253524</v>
      </c>
      <c r="AB45" s="1">
        <f>('RECEITAS - BLOCOS PAN'!AA45-'OPEX - BLOCOS PAN'!AA45-VLOOKUP('FLUXO DE CAIXA DESC.-BLOCOS PAN'!$D45,'CAPEX - BLOCOS PAN'!$C$3:$AA$52,25,FALSE))*AB$57</f>
        <v>-76479.082439300342</v>
      </c>
      <c r="AC45" s="1">
        <f>('RECEITAS - BLOCOS PAN'!AB45-'OPEX - BLOCOS PAN'!AB45-VLOOKUP('FLUXO DE CAIXA DESC.-BLOCOS PAN'!$D45,'CAPEX - BLOCOS PAN'!$C$3:$AB$52,26,FALSE))*AC$57</f>
        <v>-69812.033262711411</v>
      </c>
      <c r="AD45" s="1">
        <f>('RECEITAS - BLOCOS PAN'!AC45-'OPEX - BLOCOS PAN'!AC45-VLOOKUP('FLUXO DE CAIXA DESC.-BLOCOS PAN'!$D45,'CAPEX - BLOCOS PAN'!$C$3:$AC$52,27,FALSE))*AD$57</f>
        <v>-63726.182804848388</v>
      </c>
      <c r="AE45" s="1">
        <f>('RECEITAS - BLOCOS PAN'!AD45-'OPEX - BLOCOS PAN'!AD45-VLOOKUP('FLUXO DE CAIXA DESC.-BLOCOS PAN'!$D45,'CAPEX - BLOCOS PAN'!$C$3:$AD$52,28,FALSE))*AE$57</f>
        <v>-58170.865180144581</v>
      </c>
      <c r="AF45" s="1">
        <f>('RECEITAS - BLOCOS PAN'!AE45-'OPEX - BLOCOS PAN'!AE45-VLOOKUP('FLUXO DE CAIXA DESC.-BLOCOS PAN'!$D45,'CAPEX - BLOCOS PAN'!$C$3:$AE$52,29,FALSE))*AF$57</f>
        <v>-53099.831291779636</v>
      </c>
      <c r="AG45" s="1">
        <f>('RECEITAS - BLOCOS PAN'!AF45-'OPEX - BLOCOS PAN'!AF45-VLOOKUP('FLUXO DE CAIXA DESC.-BLOCOS PAN'!$D45,'CAPEX - BLOCOS PAN'!$C$3:$AF$52,30,FALSE))*AG$57</f>
        <v>-48470.863798977305</v>
      </c>
      <c r="AH45" s="1">
        <f>('RECEITAS - BLOCOS PAN'!AG45-'OPEX - BLOCOS PAN'!AG45-VLOOKUP('FLUXO DE CAIXA DESC.-BLOCOS PAN'!$D45,'CAPEX - BLOCOS PAN'!$C$3:$AG$52,31,FALSE))*AH$57</f>
        <v>-44245.42564945441</v>
      </c>
      <c r="AI45" s="1">
        <f>('RECEITAS - BLOCOS PAN'!AH45-'OPEX - BLOCOS PAN'!AH45-VLOOKUP('FLUXO DE CAIXA DESC.-BLOCOS PAN'!$D45,'CAPEX - BLOCOS PAN'!$C$3:$AH$52,32,FALSE))*AI$57</f>
        <v>-40388.339250985315</v>
      </c>
      <c r="AJ45" s="1">
        <f>('RECEITAS - BLOCOS PAN'!AI45-'OPEX - BLOCOS PAN'!AI45-VLOOKUP('FLUXO DE CAIXA DESC.-BLOCOS PAN'!$D45,'CAPEX - BLOCOS PAN'!$C$3:$AI$52,33,FALSE))*AJ$57</f>
        <v>-36867.493611123064</v>
      </c>
      <c r="AK45" s="1">
        <f>('RECEITAS - BLOCOS PAN'!AJ45-'OPEX - BLOCOS PAN'!AJ45-VLOOKUP('FLUXO DE CAIXA DESC.-BLOCOS PAN'!$D45,'CAPEX - BLOCOS PAN'!$C$3:$AJ$52,34,FALSE))*AK$57</f>
        <v>-33653.577006958527</v>
      </c>
      <c r="AL45" s="1">
        <f>('RECEITAS - BLOCOS PAN'!AK45-'OPEX - BLOCOS PAN'!AK45-VLOOKUP('FLUXO DE CAIXA DESC.-BLOCOS PAN'!$D45,'CAPEX - BLOCOS PAN'!$C$3:$AK$52,35,FALSE))*AL$57</f>
        <v>-30719.832959341416</v>
      </c>
      <c r="AM45" s="44">
        <f t="shared" si="2"/>
        <v>-31334742.848300759</v>
      </c>
      <c r="AN45">
        <v>1</v>
      </c>
      <c r="AO45" t="s">
        <v>316</v>
      </c>
      <c r="AP45">
        <v>-7.5166666666666666</v>
      </c>
      <c r="AQ45">
        <v>-46.05</v>
      </c>
      <c r="AR45" s="48">
        <v>0</v>
      </c>
      <c r="AS45" s="1">
        <f t="shared" si="1"/>
        <v>-30392840.962353788</v>
      </c>
      <c r="AT45" t="str">
        <f>VLOOKUP(D45,'CAPEX - BLOCOS PAN (ANO A ANO)'!$C$3:$AV$52,46,FALSE)</f>
        <v>Privada</v>
      </c>
      <c r="AU45" t="str">
        <f>VLOOKUP(D45,'FLUXO DE CAIXA DESC.-SEM MULT.'!$D$3:$AT$52,43,FALSE)</f>
        <v>Bloco 9 - MA/TO</v>
      </c>
    </row>
    <row r="46" spans="1:47" s="49" customFormat="1" x14ac:dyDescent="0.35">
      <c r="A46" s="49" t="s">
        <v>373</v>
      </c>
      <c r="B46" s="76" t="s">
        <v>374</v>
      </c>
      <c r="C46" s="49">
        <v>260600</v>
      </c>
      <c r="D46" s="49" t="s">
        <v>375</v>
      </c>
      <c r="E46" s="49" t="s">
        <v>374</v>
      </c>
      <c r="F46" s="49" t="s">
        <v>36</v>
      </c>
      <c r="G46" s="49" t="s">
        <v>258</v>
      </c>
      <c r="H46" s="49" t="s">
        <v>33</v>
      </c>
      <c r="I46" s="72">
        <f>('RECEITAS - BLOCOS PAN'!H46-'OPEX - BLOCOS PAN'!H46-VLOOKUP('FLUXO DE CAIXA DESC.-BLOCOS PAN'!$D46,'CAPEX - BLOCOS PAN'!$C$3:$H$52,6,FALSE))*I$57</f>
        <v>-9552739.7416826598</v>
      </c>
      <c r="J46" s="72">
        <f>('RECEITAS - BLOCOS PAN'!I46-'OPEX - BLOCOS PAN'!I46-VLOOKUP('FLUXO DE CAIXA DESC.-BLOCOS PAN'!$D46,'CAPEX - BLOCOS PAN'!$C$3:$I$52,7,FALSE))*J$57</f>
        <v>-8719981.507697545</v>
      </c>
      <c r="K46" s="72">
        <f>('RECEITAS - BLOCOS PAN'!J46-'OPEX - BLOCOS PAN'!J46-VLOOKUP('FLUXO DE CAIXA DESC.-BLOCOS PAN'!$D46,'CAPEX - BLOCOS PAN'!$C$3:$J$52,8,FALSE))*K$57</f>
        <v>-7959818.8112255093</v>
      </c>
      <c r="L46" s="72">
        <f>('RECEITAS - BLOCOS PAN'!K46-'OPEX - BLOCOS PAN'!K46-VLOOKUP('FLUXO DE CAIXA DESC.-BLOCOS PAN'!$D46,'CAPEX - BLOCOS PAN'!$C$3:$K$52,9,FALSE))*L$57</f>
        <v>-503417.30457000388</v>
      </c>
      <c r="M46" s="72">
        <f>('RECEITAS - BLOCOS PAN'!L46-'OPEX - BLOCOS PAN'!L46-VLOOKUP('FLUXO DE CAIXA DESC.-BLOCOS PAN'!$D46,'CAPEX - BLOCOS PAN'!$C$3:$L$52,10,FALSE))*M$57</f>
        <v>-459531.99869466358</v>
      </c>
      <c r="N46" s="72">
        <f>('RECEITAS - BLOCOS PAN'!M46-'OPEX - BLOCOS PAN'!M46-VLOOKUP('FLUXO DE CAIXA DESC.-BLOCOS PAN'!$D46,'CAPEX - BLOCOS PAN'!$C$3:$M$52,11,FALSE))*N$57</f>
        <v>-419472.38584633823</v>
      </c>
      <c r="O46" s="72">
        <f>('RECEITAS - BLOCOS PAN'!N46-'OPEX - BLOCOS PAN'!N46-VLOOKUP('FLUXO DE CAIXA DESC.-BLOCOS PAN'!$D46,'CAPEX - BLOCOS PAN'!$C$3:$N$52,12,FALSE))*O$57</f>
        <v>-382904.96197748813</v>
      </c>
      <c r="P46" s="72">
        <f>('RECEITAS - BLOCOS PAN'!O46-'OPEX - BLOCOS PAN'!O46-VLOOKUP('FLUXO DE CAIXA DESC.-BLOCOS PAN'!$D46,'CAPEX - BLOCOS PAN'!$C$3:$O$52,13,FALSE))*P$57</f>
        <v>-349525.29619122605</v>
      </c>
      <c r="Q46" s="72">
        <f>('RECEITAS - BLOCOS PAN'!P46-'OPEX - BLOCOS PAN'!P46-VLOOKUP('FLUXO DE CAIXA DESC.-BLOCOS PAN'!$D46,'CAPEX - BLOCOS PAN'!$C$3:$P$52,14,FALSE))*Q$57</f>
        <v>-319055.49629504891</v>
      </c>
      <c r="R46" s="72">
        <f>('RECEITAS - BLOCOS PAN'!Q46-'OPEX - BLOCOS PAN'!Q46-VLOOKUP('FLUXO DE CAIXA DESC.-BLOCOS PAN'!$D46,'CAPEX - BLOCOS PAN'!$C$3:$Q$52,15,FALSE))*R$57</f>
        <v>-291241.89529443078</v>
      </c>
      <c r="S46" s="72">
        <f>('RECEITAS - BLOCOS PAN'!R46-'OPEX - BLOCOS PAN'!R46-VLOOKUP('FLUXO DE CAIXA DESC.-BLOCOS PAN'!$D46,'CAPEX - BLOCOS PAN'!$C$3:$R$52,16,FALSE))*S$57</f>
        <v>-265852.93956588849</v>
      </c>
      <c r="T46" s="72">
        <f>('RECEITAS - BLOCOS PAN'!S46-'OPEX - BLOCOS PAN'!S46-VLOOKUP('FLUXO DE CAIXA DESC.-BLOCOS PAN'!$D46,'CAPEX - BLOCOS PAN'!$C$3:$S$52,17,FALSE))*T$57</f>
        <v>-242677.26112815016</v>
      </c>
      <c r="U46" s="72">
        <f>('RECEITAS - BLOCOS PAN'!T46-'OPEX - BLOCOS PAN'!T46-VLOOKUP('FLUXO DE CAIXA DESC.-BLOCOS PAN'!$D46,'CAPEX - BLOCOS PAN'!$C$3:$T$52,18,FALSE))*U$57</f>
        <v>-221521.91796271125</v>
      </c>
      <c r="V46" s="72">
        <f>('RECEITAS - BLOCOS PAN'!U46-'OPEX - BLOCOS PAN'!U46-VLOOKUP('FLUXO DE CAIXA DESC.-BLOCOS PAN'!$D46,'CAPEX - BLOCOS PAN'!$C$3:$U$52,19,FALSE))*V$57</f>
        <v>-202210.78773410426</v>
      </c>
      <c r="W46" s="72">
        <f>('RECEITAS - BLOCOS PAN'!V46-'OPEX - BLOCOS PAN'!V46-VLOOKUP('FLUXO DE CAIXA DESC.-BLOCOS PAN'!$D46,'CAPEX - BLOCOS PAN'!$C$3:$V$52,20,FALSE))*W$57</f>
        <v>-184583.10153729282</v>
      </c>
      <c r="X46" s="72">
        <f>('RECEITAS - BLOCOS PAN'!W46-'OPEX - BLOCOS PAN'!W46-VLOOKUP('FLUXO DE CAIXA DESC.-BLOCOS PAN'!$D46,'CAPEX - BLOCOS PAN'!$C$3:$W$52,21,FALSE))*X$57</f>
        <v>-168492.10546535172</v>
      </c>
      <c r="Y46" s="72">
        <f>('RECEITAS - BLOCOS PAN'!X46-'OPEX - BLOCOS PAN'!X46-VLOOKUP('FLUXO DE CAIXA DESC.-BLOCOS PAN'!$D46,'CAPEX - BLOCOS PAN'!$C$3:$X$52,22,FALSE))*Y$57</f>
        <v>-153803.83885472547</v>
      </c>
      <c r="Z46" s="72">
        <f>('RECEITAS - BLOCOS PAN'!Y46-'OPEX - BLOCOS PAN'!Y46-VLOOKUP('FLUXO DE CAIXA DESC.-BLOCOS PAN'!$D46,'CAPEX - BLOCOS PAN'!$C$3:$Y$52,23,FALSE))*Z$57</f>
        <v>-140396.01903671882</v>
      </c>
      <c r="AA46" s="72">
        <f>('RECEITAS - BLOCOS PAN'!Z46-'OPEX - BLOCOS PAN'!Z46-VLOOKUP('FLUXO DE CAIXA DESC.-BLOCOS PAN'!$D46,'CAPEX - BLOCOS PAN'!$C$3:$Z$52,24,FALSE))*AA$57</f>
        <v>-128157.02331056034</v>
      </c>
      <c r="AB46" s="72">
        <f>('RECEITAS - BLOCOS PAN'!AA46-'OPEX - BLOCOS PAN'!AA46-VLOOKUP('FLUXO DE CAIXA DESC.-BLOCOS PAN'!$D46,'CAPEX - BLOCOS PAN'!$C$3:$AA$52,25,FALSE))*AB$57</f>
        <v>-116984.95966276617</v>
      </c>
      <c r="AC46" s="72">
        <f>('RECEITAS - BLOCOS PAN'!AB46-'OPEX - BLOCOS PAN'!AB46-VLOOKUP('FLUXO DE CAIXA DESC.-BLOCOS PAN'!$D46,'CAPEX - BLOCOS PAN'!$C$3:$AB$52,26,FALSE))*AC$57</f>
        <v>-106786.81849636347</v>
      </c>
      <c r="AD46" s="72">
        <f>('RECEITAS - BLOCOS PAN'!AC46-'OPEX - BLOCOS PAN'!AC46-VLOOKUP('FLUXO DE CAIXA DESC.-BLOCOS PAN'!$D46,'CAPEX - BLOCOS PAN'!$C$3:$AC$52,27,FALSE))*AD$57</f>
        <v>-97477.698307953877</v>
      </c>
      <c r="AE46" s="72">
        <f>('RECEITAS - BLOCOS PAN'!AD46-'OPEX - BLOCOS PAN'!AD46-VLOOKUP('FLUXO DE CAIXA DESC.-BLOCOS PAN'!$D46,'CAPEX - BLOCOS PAN'!$C$3:$AD$52,28,FALSE))*AE$57</f>
        <v>-88980.098866229004</v>
      </c>
      <c r="AF46" s="72">
        <f>('RECEITAS - BLOCOS PAN'!AE46-'OPEX - BLOCOS PAN'!AE46-VLOOKUP('FLUXO DE CAIXA DESC.-BLOCOS PAN'!$D46,'CAPEX - BLOCOS PAN'!$C$3:$AE$52,29,FALSE))*AF$57</f>
        <v>-81223.276007511653</v>
      </c>
      <c r="AG46" s="72">
        <f>('RECEITAS - BLOCOS PAN'!AF46-'OPEX - BLOCOS PAN'!AF46-VLOOKUP('FLUXO DE CAIXA DESC.-BLOCOS PAN'!$D46,'CAPEX - BLOCOS PAN'!$C$3:$AF$52,30,FALSE))*AG$57</f>
        <v>-74142.652676870523</v>
      </c>
      <c r="AH46" s="72">
        <f>('RECEITAS - BLOCOS PAN'!AG46-'OPEX - BLOCOS PAN'!AG46-VLOOKUP('FLUXO DE CAIXA DESC.-BLOCOS PAN'!$D46,'CAPEX - BLOCOS PAN'!$C$3:$AG$52,31,FALSE))*AH$57</f>
        <v>-67679.281311611616</v>
      </c>
      <c r="AI46" s="72">
        <f>('RECEITAS - BLOCOS PAN'!AH46-'OPEX - BLOCOS PAN'!AH46-VLOOKUP('FLUXO DE CAIXA DESC.-BLOCOS PAN'!$D46,'CAPEX - BLOCOS PAN'!$C$3:$AH$52,32,FALSE))*AI$57</f>
        <v>-61779.353091384401</v>
      </c>
      <c r="AJ46" s="72">
        <f>('RECEITAS - BLOCOS PAN'!AI46-'OPEX - BLOCOS PAN'!AI46-VLOOKUP('FLUXO DE CAIXA DESC.-BLOCOS PAN'!$D46,'CAPEX - BLOCOS PAN'!$C$3:$AI$52,33,FALSE))*AJ$57</f>
        <v>-56393.749969314842</v>
      </c>
      <c r="AK46" s="72">
        <f>('RECEITAS - BLOCOS PAN'!AJ46-'OPEX - BLOCOS PAN'!AJ46-VLOOKUP('FLUXO DE CAIXA DESC.-BLOCOS PAN'!$D46,'CAPEX - BLOCOS PAN'!$C$3:$AJ$52,34,FALSE))*AK$57</f>
        <v>-51477.635754737421</v>
      </c>
      <c r="AL46" s="72">
        <f>('RECEITAS - BLOCOS PAN'!AK46-'OPEX - BLOCOS PAN'!AK46-VLOOKUP('FLUXO DE CAIXA DESC.-BLOCOS PAN'!$D46,'CAPEX - BLOCOS PAN'!$C$3:$AK$52,35,FALSE))*AL$57</f>
        <v>-46990.082843210788</v>
      </c>
      <c r="AM46" s="77">
        <f t="shared" ref="AM46" si="5">SUM(I46:AL46)</f>
        <v>-31515300.00105837</v>
      </c>
      <c r="AN46" s="49">
        <v>0</v>
      </c>
      <c r="AO46" s="49" t="s">
        <v>310</v>
      </c>
      <c r="AP46" s="49">
        <v>-8.8333333333333339</v>
      </c>
      <c r="AQ46" s="49">
        <v>-36.466666666666669</v>
      </c>
      <c r="AR46" s="78">
        <v>0</v>
      </c>
      <c r="AS46" s="72">
        <f t="shared" ref="AS46" si="6">SUM(I46:W46)</f>
        <v>-30074535.407403059</v>
      </c>
      <c r="AT46" s="49" t="s">
        <v>379</v>
      </c>
      <c r="AU46" t="str">
        <f>VLOOKUP(D46,'FLUXO DE CAIXA DESC.-SEM MULT.'!$D$3:$AT$52,43,FALSE)</f>
        <v>Bloco 8 - Nordeste</v>
      </c>
    </row>
    <row r="47" spans="1:47" x14ac:dyDescent="0.35">
      <c r="A47" t="s">
        <v>125</v>
      </c>
      <c r="B47" s="5" t="s">
        <v>272</v>
      </c>
      <c r="C47">
        <v>110008</v>
      </c>
      <c r="D47" t="s">
        <v>295</v>
      </c>
      <c r="E47" t="s">
        <v>178</v>
      </c>
      <c r="F47" t="s">
        <v>30</v>
      </c>
      <c r="G47" t="s">
        <v>259</v>
      </c>
      <c r="H47" t="s">
        <v>33</v>
      </c>
      <c r="I47" s="72">
        <f>('RECEITAS - BLOCOS PAN'!H47-'OPEX - BLOCOS PAN'!H47-VLOOKUP('FLUXO DE CAIXA DESC.-BLOCOS PAN'!$D47,'CAPEX - BLOCOS PAN'!$C$3:$H$52,6,FALSE))*I$57</f>
        <v>-10752227.989765812</v>
      </c>
      <c r="J47" s="72">
        <f>('RECEITAS - BLOCOS PAN'!I47-'OPEX - BLOCOS PAN'!I47-VLOOKUP('FLUXO DE CAIXA DESC.-BLOCOS PAN'!$D47,'CAPEX - BLOCOS PAN'!$C$3:$I$52,7,FALSE))*J$57</f>
        <v>-9814904.6004252061</v>
      </c>
      <c r="K47" s="72">
        <f>('RECEITAS - BLOCOS PAN'!J47-'OPEX - BLOCOS PAN'!J47-VLOOKUP('FLUXO DE CAIXA DESC.-BLOCOS PAN'!$D47,'CAPEX - BLOCOS PAN'!$C$3:$J$52,8,FALSE))*K$57</f>
        <v>-8959292.1957327295</v>
      </c>
      <c r="L47" s="72">
        <f>('RECEITAS - BLOCOS PAN'!K47-'OPEX - BLOCOS PAN'!K47-VLOOKUP('FLUXO DE CAIXA DESC.-BLOCOS PAN'!$D47,'CAPEX - BLOCOS PAN'!$C$3:$K$52,9,FALSE))*L$57</f>
        <v>-378709.31131516962</v>
      </c>
      <c r="M47" s="72">
        <f>('RECEITAS - BLOCOS PAN'!L47-'OPEX - BLOCOS PAN'!L47-VLOOKUP('FLUXO DE CAIXA DESC.-BLOCOS PAN'!$D47,'CAPEX - BLOCOS PAN'!$C$3:$L$52,10,FALSE))*M$57</f>
        <v>-345695.40056154237</v>
      </c>
      <c r="N47" s="72">
        <f>('RECEITAS - BLOCOS PAN'!M47-'OPEX - BLOCOS PAN'!M47-VLOOKUP('FLUXO DE CAIXA DESC.-BLOCOS PAN'!$D47,'CAPEX - BLOCOS PAN'!$C$3:$M$52,11,FALSE))*N$57</f>
        <v>-315559.47107397747</v>
      </c>
      <c r="O47" s="72">
        <f>('RECEITAS - BLOCOS PAN'!N47-'OPEX - BLOCOS PAN'!N47-VLOOKUP('FLUXO DE CAIXA DESC.-BLOCOS PAN'!$D47,'CAPEX - BLOCOS PAN'!$C$3:$N$52,12,FALSE))*O$57</f>
        <v>-288050.63539386354</v>
      </c>
      <c r="P47" s="72">
        <f>('RECEITAS - BLOCOS PAN'!O47-'OPEX - BLOCOS PAN'!O47-VLOOKUP('FLUXO DE CAIXA DESC.-BLOCOS PAN'!$D47,'CAPEX - BLOCOS PAN'!$C$3:$O$52,13,FALSE))*P$57</f>
        <v>-262939.87712812738</v>
      </c>
      <c r="Q47" s="72">
        <f>('RECEITAS - BLOCOS PAN'!P47-'OPEX - BLOCOS PAN'!P47-VLOOKUP('FLUXO DE CAIXA DESC.-BLOCOS PAN'!$D47,'CAPEX - BLOCOS PAN'!$C$3:$P$52,14,FALSE))*Q$57</f>
        <v>-240018.14434333856</v>
      </c>
      <c r="R47" s="72">
        <f>('RECEITAS - BLOCOS PAN'!Q47-'OPEX - BLOCOS PAN'!Q47-VLOOKUP('FLUXO DE CAIXA DESC.-BLOCOS PAN'!$D47,'CAPEX - BLOCOS PAN'!$C$3:$Q$52,15,FALSE))*R$57</f>
        <v>-219094.60916781248</v>
      </c>
      <c r="S47" s="72">
        <f>('RECEITAS - BLOCOS PAN'!R47-'OPEX - BLOCOS PAN'!R47-VLOOKUP('FLUXO DE CAIXA DESC.-BLOCOS PAN'!$D47,'CAPEX - BLOCOS PAN'!$C$3:$R$52,16,FALSE))*S$57</f>
        <v>-199995.07911256276</v>
      </c>
      <c r="T47" s="72">
        <f>('RECEITAS - BLOCOS PAN'!S47-'OPEX - BLOCOS PAN'!S47-VLOOKUP('FLUXO DE CAIXA DESC.-BLOCOS PAN'!$D47,'CAPEX - BLOCOS PAN'!$C$3:$S$52,17,FALSE))*T$57</f>
        <v>-182560.54688504132</v>
      </c>
      <c r="U47" s="72">
        <f>('RECEITAS - BLOCOS PAN'!T47-'OPEX - BLOCOS PAN'!T47-VLOOKUP('FLUXO DE CAIXA DESC.-BLOCOS PAN'!$D47,'CAPEX - BLOCOS PAN'!$C$3:$T$52,18,FALSE))*U$57</f>
        <v>-166645.86662258452</v>
      </c>
      <c r="V47" s="72">
        <f>('RECEITAS - BLOCOS PAN'!U47-'OPEX - BLOCOS PAN'!U47-VLOOKUP('FLUXO DE CAIXA DESC.-BLOCOS PAN'!$D47,'CAPEX - BLOCOS PAN'!$C$3:$U$52,19,FALSE))*V$57</f>
        <v>-152118.54552495162</v>
      </c>
      <c r="W47" s="72">
        <f>('RECEITAS - BLOCOS PAN'!V47-'OPEX - BLOCOS PAN'!V47-VLOOKUP('FLUXO DE CAIXA DESC.-BLOCOS PAN'!$D47,'CAPEX - BLOCOS PAN'!$C$3:$V$52,20,FALSE))*W$57</f>
        <v>-138857.64082606265</v>
      </c>
      <c r="X47" s="72">
        <f>('RECEITAS - BLOCOS PAN'!W47-'OPEX - BLOCOS PAN'!W47-VLOOKUP('FLUXO DE CAIXA DESC.-BLOCOS PAN'!$D47,'CAPEX - BLOCOS PAN'!$C$3:$W$52,21,FALSE))*X$57</f>
        <v>-126752.75292201064</v>
      </c>
      <c r="Y47" s="72">
        <f>('RECEITAS - BLOCOS PAN'!X47-'OPEX - BLOCOS PAN'!X47-VLOOKUP('FLUXO DE CAIXA DESC.-BLOCOS PAN'!$D47,'CAPEX - BLOCOS PAN'!$C$3:$X$52,22,FALSE))*Y$57</f>
        <v>-115703.10627294447</v>
      </c>
      <c r="Z47" s="72">
        <f>('RECEITAS - BLOCOS PAN'!Y47-'OPEX - BLOCOS PAN'!Y47-VLOOKUP('FLUXO DE CAIXA DESC.-BLOCOS PAN'!$D47,'CAPEX - BLOCOS PAN'!$C$3:$Y$52,23,FALSE))*Z$57</f>
        <v>-105616.71042715148</v>
      </c>
      <c r="AA47" s="72">
        <f>('RECEITAS - BLOCOS PAN'!Z47-'OPEX - BLOCOS PAN'!Z47-VLOOKUP('FLUXO DE CAIXA DESC.-BLOCOS PAN'!$D47,'CAPEX - BLOCOS PAN'!$C$3:$Z$52,24,FALSE))*AA$57</f>
        <v>-96409.594182703338</v>
      </c>
      <c r="AB47" s="72">
        <f>('RECEITAS - BLOCOS PAN'!AA47-'OPEX - BLOCOS PAN'!AA47-VLOOKUP('FLUXO DE CAIXA DESC.-BLOCOS PAN'!$D47,'CAPEX - BLOCOS PAN'!$C$3:$AA$52,25,FALSE))*AB$57</f>
        <v>-88005.106510911311</v>
      </c>
      <c r="AC47" s="72">
        <f>('RECEITAS - BLOCOS PAN'!AB47-'OPEX - BLOCOS PAN'!AB47-VLOOKUP('FLUXO DE CAIXA DESC.-BLOCOS PAN'!$D47,'CAPEX - BLOCOS PAN'!$C$3:$AB$52,26,FALSE))*AC$57</f>
        <v>-80333.278421644296</v>
      </c>
      <c r="AD47" s="72">
        <f>('RECEITAS - BLOCOS PAN'!AC47-'OPEX - BLOCOS PAN'!AC47-VLOOKUP('FLUXO DE CAIXA DESC.-BLOCOS PAN'!$D47,'CAPEX - BLOCOS PAN'!$C$3:$AC$52,27,FALSE))*AD$57</f>
        <v>-73330.240457913547</v>
      </c>
      <c r="AE47" s="72">
        <f>('RECEITAS - BLOCOS PAN'!AD47-'OPEX - BLOCOS PAN'!AD47-VLOOKUP('FLUXO DE CAIXA DESC.-BLOCOS PAN'!$D47,'CAPEX - BLOCOS PAN'!$C$3:$AD$52,28,FALSE))*AE$57</f>
        <v>-66937.690970254262</v>
      </c>
      <c r="AF47" s="72">
        <f>('RECEITAS - BLOCOS PAN'!AE47-'OPEX - BLOCOS PAN'!AE47-VLOOKUP('FLUXO DE CAIXA DESC.-BLOCOS PAN'!$D47,'CAPEX - BLOCOS PAN'!$C$3:$AE$52,29,FALSE))*AF$57</f>
        <v>-61102.410744184643</v>
      </c>
      <c r="AG47" s="72">
        <f>('RECEITAS - BLOCOS PAN'!AF47-'OPEX - BLOCOS PAN'!AF47-VLOOKUP('FLUXO DE CAIXA DESC.-BLOCOS PAN'!$D47,'CAPEX - BLOCOS PAN'!$C$3:$AF$52,30,FALSE))*AG$57</f>
        <v>-55775.819939922083</v>
      </c>
      <c r="AH47" s="72">
        <f>('RECEITAS - BLOCOS PAN'!AG47-'OPEX - BLOCOS PAN'!AG47-VLOOKUP('FLUXO DE CAIXA DESC.-BLOCOS PAN'!$D47,'CAPEX - BLOCOS PAN'!$C$3:$AG$52,31,FALSE))*AH$57</f>
        <v>-50913.573655793778</v>
      </c>
      <c r="AI47" s="72">
        <f>('RECEITAS - BLOCOS PAN'!AH47-'OPEX - BLOCOS PAN'!AH47-VLOOKUP('FLUXO DE CAIXA DESC.-BLOCOS PAN'!$D47,'CAPEX - BLOCOS PAN'!$C$3:$AH$52,32,FALSE))*AI$57</f>
        <v>-46475.192748328416</v>
      </c>
      <c r="AJ47" s="72">
        <f>('RECEITAS - BLOCOS PAN'!AI47-'OPEX - BLOCOS PAN'!AI47-VLOOKUP('FLUXO DE CAIXA DESC.-BLOCOS PAN'!$D47,'CAPEX - BLOCOS PAN'!$C$3:$AI$52,33,FALSE))*AJ$57</f>
        <v>-42423.726835534842</v>
      </c>
      <c r="AK47" s="72">
        <f>('RECEITAS - BLOCOS PAN'!AJ47-'OPEX - BLOCOS PAN'!AJ47-VLOOKUP('FLUXO DE CAIXA DESC.-BLOCOS PAN'!$D47,'CAPEX - BLOCOS PAN'!$C$3:$AJ$52,34,FALSE))*AK$57</f>
        <v>-38725.44667780451</v>
      </c>
      <c r="AL47" s="72">
        <f>('RECEITAS - BLOCOS PAN'!AK47-'OPEX - BLOCOS PAN'!AK47-VLOOKUP('FLUXO DE CAIXA DESC.-BLOCOS PAN'!$D47,'CAPEX - BLOCOS PAN'!$C$3:$AK$52,35,FALSE))*AL$57</f>
        <v>-35349.563375449121</v>
      </c>
      <c r="AM47" s="44">
        <f t="shared" si="2"/>
        <v>-33500524.128021337</v>
      </c>
      <c r="AN47">
        <v>1</v>
      </c>
      <c r="AO47" t="s">
        <v>283</v>
      </c>
      <c r="AP47">
        <v>-12.416666666666666</v>
      </c>
      <c r="AQ47">
        <v>-64.25</v>
      </c>
      <c r="AR47" s="48">
        <v>0</v>
      </c>
      <c r="AS47" s="1">
        <f t="shared" si="1"/>
        <v>-32416669.913878787</v>
      </c>
      <c r="AT47" t="str">
        <f>VLOOKUP(D47,'CAPEX - BLOCOS PAN (ANO A ANO)'!$C$3:$AV$52,46,FALSE)</f>
        <v>Privada</v>
      </c>
      <c r="AU47" t="str">
        <f>VLOOKUP(D47,'FLUXO DE CAIXA DESC.-SEM MULT.'!$D$3:$AT$52,43,FALSE)</f>
        <v>Bloco 7 - RO</v>
      </c>
    </row>
    <row r="48" spans="1:47" x14ac:dyDescent="0.35">
      <c r="A48" t="s">
        <v>134</v>
      </c>
      <c r="B48" s="5" t="s">
        <v>273</v>
      </c>
      <c r="C48">
        <v>130370</v>
      </c>
      <c r="D48" t="s">
        <v>296</v>
      </c>
      <c r="E48" t="s">
        <v>237</v>
      </c>
      <c r="F48" t="s">
        <v>35</v>
      </c>
      <c r="G48" t="s">
        <v>259</v>
      </c>
      <c r="H48" t="s">
        <v>33</v>
      </c>
      <c r="I48" s="1">
        <f>('RECEITAS - BLOCOS PAN'!H48-'OPEX - BLOCOS PAN'!H48-VLOOKUP('FLUXO DE CAIXA DESC.-BLOCOS PAN'!$D48,'CAPEX - BLOCOS PAN'!$C$3:$H$52,6,FALSE))*I$57</f>
        <v>-14053445.479048483</v>
      </c>
      <c r="J48" s="1">
        <f>('RECEITAS - BLOCOS PAN'!I48-'OPEX - BLOCOS PAN'!I48-VLOOKUP('FLUXO DE CAIXA DESC.-BLOCOS PAN'!$D48,'CAPEX - BLOCOS PAN'!$C$3:$I$52,7,FALSE))*J$57</f>
        <v>-12828339.095434491</v>
      </c>
      <c r="K48" s="1">
        <f>('RECEITAS - BLOCOS PAN'!J48-'OPEX - BLOCOS PAN'!J48-VLOOKUP('FLUXO DE CAIXA DESC.-BLOCOS PAN'!$D48,'CAPEX - BLOCOS PAN'!$C$3:$J$52,8,FALSE))*K$57</f>
        <v>-11710031.123171603</v>
      </c>
      <c r="L48" s="1">
        <f>('RECEITAS - BLOCOS PAN'!K48-'OPEX - BLOCOS PAN'!K48-VLOOKUP('FLUXO DE CAIXA DESC.-BLOCOS PAN'!$D48,'CAPEX - BLOCOS PAN'!$C$3:$K$52,9,FALSE))*L$57</f>
        <v>-458678.40857740701</v>
      </c>
      <c r="M48" s="1">
        <f>('RECEITAS - BLOCOS PAN'!L48-'OPEX - BLOCOS PAN'!L48-VLOOKUP('FLUXO DE CAIXA DESC.-BLOCOS PAN'!$D48,'CAPEX - BLOCOS PAN'!$C$3:$L$52,10,FALSE))*M$57</f>
        <v>-418693.20728197816</v>
      </c>
      <c r="N48" s="1">
        <f>('RECEITAS - BLOCOS PAN'!M48-'OPEX - BLOCOS PAN'!M48-VLOOKUP('FLUXO DE CAIXA DESC.-BLOCOS PAN'!$D48,'CAPEX - BLOCOS PAN'!$C$3:$M$52,11,FALSE))*N$57</f>
        <v>-382193.70815333468</v>
      </c>
      <c r="O48" s="1">
        <f>('RECEITAS - BLOCOS PAN'!N48-'OPEX - BLOCOS PAN'!N48-VLOOKUP('FLUXO DE CAIXA DESC.-BLOCOS PAN'!$D48,'CAPEX - BLOCOS PAN'!$C$3:$N$52,12,FALSE))*O$57</f>
        <v>-348876.04578122747</v>
      </c>
      <c r="P48" s="1">
        <f>('RECEITAS - BLOCOS PAN'!O48-'OPEX - BLOCOS PAN'!O48-VLOOKUP('FLUXO DE CAIXA DESC.-BLOCOS PAN'!$D48,'CAPEX - BLOCOS PAN'!$C$3:$O$52,13,FALSE))*P$57</f>
        <v>-318462.84416360338</v>
      </c>
      <c r="Q48" s="1">
        <f>('RECEITAS - BLOCOS PAN'!P48-'OPEX - BLOCOS PAN'!P48-VLOOKUP('FLUXO DE CAIXA DESC.-BLOCOS PAN'!$D48,'CAPEX - BLOCOS PAN'!$C$3:$P$52,14,FALSE))*Q$57</f>
        <v>-290700.90749758412</v>
      </c>
      <c r="R48" s="1">
        <f>('RECEITAS - BLOCOS PAN'!Q48-'OPEX - BLOCOS PAN'!Q48-VLOOKUP('FLUXO DE CAIXA DESC.-BLOCOS PAN'!$D48,'CAPEX - BLOCOS PAN'!$C$3:$Q$52,15,FALSE))*R$57</f>
        <v>-265359.11227529356</v>
      </c>
      <c r="S48" s="1">
        <f>('RECEITAS - BLOCOS PAN'!R48-'OPEX - BLOCOS PAN'!R48-VLOOKUP('FLUXO DE CAIXA DESC.-BLOCOS PAN'!$D48,'CAPEX - BLOCOS PAN'!$C$3:$R$52,16,FALSE))*S$57</f>
        <v>-242226.48313582258</v>
      </c>
      <c r="T48" s="1">
        <f>('RECEITAS - BLOCOS PAN'!S48-'OPEX - BLOCOS PAN'!S48-VLOOKUP('FLUXO DE CAIXA DESC.-BLOCOS PAN'!$D48,'CAPEX - BLOCOS PAN'!$C$3:$S$52,17,FALSE))*T$57</f>
        <v>-221110.43645442498</v>
      </c>
      <c r="U48" s="1">
        <f>('RECEITAS - BLOCOS PAN'!T48-'OPEX - BLOCOS PAN'!T48-VLOOKUP('FLUXO DE CAIXA DESC.-BLOCOS PAN'!$D48,'CAPEX - BLOCOS PAN'!$C$3:$T$52,18,FALSE))*U$57</f>
        <v>-201835.17704648562</v>
      </c>
      <c r="V48" s="1">
        <f>('RECEITAS - BLOCOS PAN'!U48-'OPEX - BLOCOS PAN'!U48-VLOOKUP('FLUXO DE CAIXA DESC.-BLOCOS PAN'!$D48,'CAPEX - BLOCOS PAN'!$C$3:$U$52,19,FALSE))*V$57</f>
        <v>-184240.23463850809</v>
      </c>
      <c r="W48" s="1">
        <f>('RECEITAS - BLOCOS PAN'!V48-'OPEX - BLOCOS PAN'!V48-VLOOKUP('FLUXO DE CAIXA DESC.-BLOCOS PAN'!$D48,'CAPEX - BLOCOS PAN'!$C$3:$V$52,20,FALSE))*W$57</f>
        <v>-168179.12792196084</v>
      </c>
      <c r="X48" s="1">
        <f>('RECEITAS - BLOCOS PAN'!W48-'OPEX - BLOCOS PAN'!W48-VLOOKUP('FLUXO DE CAIXA DESC.-BLOCOS PAN'!$D48,'CAPEX - BLOCOS PAN'!$C$3:$W$52,21,FALSE))*X$57</f>
        <v>-153518.14506796974</v>
      </c>
      <c r="Y48" s="1">
        <f>('RECEITAS - BLOCOS PAN'!X48-'OPEX - BLOCOS PAN'!X48-VLOOKUP('FLUXO DE CAIXA DESC.-BLOCOS PAN'!$D48,'CAPEX - BLOCOS PAN'!$C$3:$X$52,22,FALSE))*Y$57</f>
        <v>-140135.23055040598</v>
      </c>
      <c r="Z48" s="1">
        <f>('RECEITAS - BLOCOS PAN'!Y48-'OPEX - BLOCOS PAN'!Y48-VLOOKUP('FLUXO DE CAIXA DESC.-BLOCOS PAN'!$D48,'CAPEX - BLOCOS PAN'!$C$3:$Y$52,23,FALSE))*Z$57</f>
        <v>-127918.96900995525</v>
      </c>
      <c r="AA48" s="1">
        <f>('RECEITAS - BLOCOS PAN'!Z48-'OPEX - BLOCOS PAN'!Z48-VLOOKUP('FLUXO DE CAIXA DESC.-BLOCOS PAN'!$D48,'CAPEX - BLOCOS PAN'!$C$3:$Z$52,24,FALSE))*AA$57</f>
        <v>-116767.65769963969</v>
      </c>
      <c r="AB48" s="1">
        <f>('RECEITAS - BLOCOS PAN'!AA48-'OPEX - BLOCOS PAN'!AA48-VLOOKUP('FLUXO DE CAIXA DESC.-BLOCOS PAN'!$D48,'CAPEX - BLOCOS PAN'!$C$3:$AA$52,25,FALSE))*AB$57</f>
        <v>-106588.4597897213</v>
      </c>
      <c r="AC48" s="1">
        <f>('RECEITAS - BLOCOS PAN'!AB48-'OPEX - BLOCOS PAN'!AB48-VLOOKUP('FLUXO DE CAIXA DESC.-BLOCOS PAN'!$D48,'CAPEX - BLOCOS PAN'!$C$3:$AB$52,26,FALSE))*AC$57</f>
        <v>-97296.631483086545</v>
      </c>
      <c r="AD48" s="1">
        <f>('RECEITAS - BLOCOS PAN'!AC48-'OPEX - BLOCOS PAN'!AC48-VLOOKUP('FLUXO DE CAIXA DESC.-BLOCOS PAN'!$D48,'CAPEX - BLOCOS PAN'!$C$3:$AC$52,27,FALSE))*AD$57</f>
        <v>-88814.816506696981</v>
      </c>
      <c r="AE48" s="1">
        <f>('RECEITAS - BLOCOS PAN'!AD48-'OPEX - BLOCOS PAN'!AD48-VLOOKUP('FLUXO DE CAIXA DESC.-BLOCOS PAN'!$D48,'CAPEX - BLOCOS PAN'!$C$3:$AD$52,28,FALSE))*AE$57</f>
        <v>-81072.402105611123</v>
      </c>
      <c r="AF48" s="1">
        <f>('RECEITAS - BLOCOS PAN'!AE48-'OPEX - BLOCOS PAN'!AE48-VLOOKUP('FLUXO DE CAIXA DESC.-BLOCOS PAN'!$D48,'CAPEX - BLOCOS PAN'!$C$3:$AE$52,29,FALSE))*AF$57</f>
        <v>-74004.931178102357</v>
      </c>
      <c r="AG48" s="1">
        <f>('RECEITAS - BLOCOS PAN'!AF48-'OPEX - BLOCOS PAN'!AF48-VLOOKUP('FLUXO DE CAIXA DESC.-BLOCOS PAN'!$D48,'CAPEX - BLOCOS PAN'!$C$3:$AF$52,30,FALSE))*AG$57</f>
        <v>-67553.565657783998</v>
      </c>
      <c r="AH48" s="1">
        <f>('RECEITAS - BLOCOS PAN'!AG48-'OPEX - BLOCOS PAN'!AG48-VLOOKUP('FLUXO DE CAIXA DESC.-BLOCOS PAN'!$D48,'CAPEX - BLOCOS PAN'!$C$3:$AG$52,31,FALSE))*AH$57</f>
        <v>-61664.596675293462</v>
      </c>
      <c r="AI48" s="1">
        <f>('RECEITAS - BLOCOS PAN'!AH48-'OPEX - BLOCOS PAN'!AH48-VLOOKUP('FLUXO DE CAIXA DESC.-BLOCOS PAN'!$D48,'CAPEX - BLOCOS PAN'!$C$3:$AH$52,32,FALSE))*AI$57</f>
        <v>-56288.997421536711</v>
      </c>
      <c r="AJ48" s="1">
        <f>('RECEITAS - BLOCOS PAN'!AI48-'OPEX - BLOCOS PAN'!AI48-VLOOKUP('FLUXO DE CAIXA DESC.-BLOCOS PAN'!$D48,'CAPEX - BLOCOS PAN'!$C$3:$AI$52,33,FALSE))*AJ$57</f>
        <v>-51382.014989992444</v>
      </c>
      <c r="AK48" s="1">
        <f>('RECEITAS - BLOCOS PAN'!AJ48-'OPEX - BLOCOS PAN'!AJ48-VLOOKUP('FLUXO DE CAIXA DESC.-BLOCOS PAN'!$D48,'CAPEX - BLOCOS PAN'!$C$3:$AJ$52,34,FALSE))*AK$57</f>
        <v>-46902.79780008438</v>
      </c>
      <c r="AL48" s="1">
        <f>('RECEITAS - BLOCOS PAN'!AK48-'OPEX - BLOCOS PAN'!AK48-VLOOKUP('FLUXO DE CAIXA DESC.-BLOCOS PAN'!$D48,'CAPEX - BLOCOS PAN'!$C$3:$AK$52,35,FALSE))*AL$57</f>
        <v>-42814.055499848815</v>
      </c>
      <c r="AM48" s="44">
        <f t="shared" si="2"/>
        <v>-43405094.662017941</v>
      </c>
      <c r="AN48">
        <v>1</v>
      </c>
      <c r="AO48" t="s">
        <v>308</v>
      </c>
      <c r="AP48">
        <v>-2.9333333333333336</v>
      </c>
      <c r="AQ48">
        <v>-69.683333333333337</v>
      </c>
      <c r="AR48" s="48">
        <v>0</v>
      </c>
      <c r="AS48" s="1">
        <f t="shared" si="1"/>
        <v>-42092371.390582196</v>
      </c>
      <c r="AT48" t="str">
        <f>VLOOKUP(D48,'CAPEX - BLOCOS PAN (ANO A ANO)'!$C$3:$AV$52,46,FALSE)</f>
        <v>Privada</v>
      </c>
      <c r="AU48" t="str">
        <f>VLOOKUP(D48,'FLUXO DE CAIXA DESC.-SEM MULT.'!$D$3:$AT$52,43,FALSE)</f>
        <v>Bloco 1 - AC/AM</v>
      </c>
    </row>
    <row r="49" spans="1:47" x14ac:dyDescent="0.35">
      <c r="A49" t="s">
        <v>151</v>
      </c>
      <c r="B49" s="5" t="s">
        <v>274</v>
      </c>
      <c r="C49">
        <v>130160</v>
      </c>
      <c r="D49" t="s">
        <v>297</v>
      </c>
      <c r="E49" t="s">
        <v>238</v>
      </c>
      <c r="F49" t="s">
        <v>35</v>
      </c>
      <c r="G49" t="s">
        <v>259</v>
      </c>
      <c r="H49" t="s">
        <v>33</v>
      </c>
      <c r="I49" s="1">
        <f>('RECEITAS - BLOCOS PAN'!H49-'OPEX - BLOCOS PAN'!H49-VLOOKUP('FLUXO DE CAIXA DESC.-BLOCOS PAN'!$D49,'CAPEX - BLOCOS PAN'!$C$3:$H$52,6,FALSE))*I$57</f>
        <v>-11662811.809094688</v>
      </c>
      <c r="J49" s="1">
        <f>('RECEITAS - BLOCOS PAN'!I49-'OPEX - BLOCOS PAN'!I49-VLOOKUP('FLUXO DE CAIXA DESC.-BLOCOS PAN'!$D49,'CAPEX - BLOCOS PAN'!$C$3:$I$52,7,FALSE))*J$57</f>
        <v>-10646108.451934906</v>
      </c>
      <c r="K49" s="1">
        <f>('RECEITAS - BLOCOS PAN'!J49-'OPEX - BLOCOS PAN'!J49-VLOOKUP('FLUXO DE CAIXA DESC.-BLOCOS PAN'!$D49,'CAPEX - BLOCOS PAN'!$C$3:$J$52,8,FALSE))*K$57</f>
        <v>-9718036.0127201322</v>
      </c>
      <c r="L49" s="1">
        <f>('RECEITAS - BLOCOS PAN'!K49-'OPEX - BLOCOS PAN'!K49-VLOOKUP('FLUXO DE CAIXA DESC.-BLOCOS PAN'!$D49,'CAPEX - BLOCOS PAN'!$C$3:$K$52,9,FALSE))*L$57</f>
        <v>-454594.84303953411</v>
      </c>
      <c r="M49" s="1">
        <f>('RECEITAS - BLOCOS PAN'!L49-'OPEX - BLOCOS PAN'!L49-VLOOKUP('FLUXO DE CAIXA DESC.-BLOCOS PAN'!$D49,'CAPEX - BLOCOS PAN'!$C$3:$L$52,10,FALSE))*M$57</f>
        <v>-414965.62577775825</v>
      </c>
      <c r="N49" s="1">
        <f>('RECEITAS - BLOCOS PAN'!M49-'OPEX - BLOCOS PAN'!M49-VLOOKUP('FLUXO DE CAIXA DESC.-BLOCOS PAN'!$D49,'CAPEX - BLOCOS PAN'!$C$3:$M$52,11,FALSE))*N$57</f>
        <v>-378791.07784368622</v>
      </c>
      <c r="O49" s="1">
        <f>('RECEITAS - BLOCOS PAN'!N49-'OPEX - BLOCOS PAN'!N49-VLOOKUP('FLUXO DE CAIXA DESC.-BLOCOS PAN'!$D49,'CAPEX - BLOCOS PAN'!$C$3:$N$52,12,FALSE))*O$57</f>
        <v>-345770.03910879616</v>
      </c>
      <c r="P49" s="1">
        <f>('RECEITAS - BLOCOS PAN'!O49-'OPEX - BLOCOS PAN'!O49-VLOOKUP('FLUXO DE CAIXA DESC.-BLOCOS PAN'!$D49,'CAPEX - BLOCOS PAN'!$C$3:$O$52,13,FALSE))*P$57</f>
        <v>-315627.60302035254</v>
      </c>
      <c r="Q49" s="1">
        <f>('RECEITAS - BLOCOS PAN'!P49-'OPEX - BLOCOS PAN'!P49-VLOOKUP('FLUXO DE CAIXA DESC.-BLOCOS PAN'!$D49,'CAPEX - BLOCOS PAN'!$C$3:$P$52,14,FALSE))*Q$57</f>
        <v>-288112.82795102929</v>
      </c>
      <c r="R49" s="1">
        <f>('RECEITAS - BLOCOS PAN'!Q49-'OPEX - BLOCOS PAN'!Q49-VLOOKUP('FLUXO DE CAIXA DESC.-BLOCOS PAN'!$D49,'CAPEX - BLOCOS PAN'!$C$3:$Q$52,15,FALSE))*R$57</f>
        <v>-262996.64806118602</v>
      </c>
      <c r="S49" s="1">
        <f>('RECEITAS - BLOCOS PAN'!R49-'OPEX - BLOCOS PAN'!R49-VLOOKUP('FLUXO DE CAIXA DESC.-BLOCOS PAN'!$D49,'CAPEX - BLOCOS PAN'!$C$3:$R$52,16,FALSE))*S$57</f>
        <v>-240069.96628132</v>
      </c>
      <c r="T49" s="1">
        <f>('RECEITAS - BLOCOS PAN'!S49-'OPEX - BLOCOS PAN'!S49-VLOOKUP('FLUXO DE CAIXA DESC.-BLOCOS PAN'!$D49,'CAPEX - BLOCOS PAN'!$C$3:$S$52,17,FALSE))*T$57</f>
        <v>-219141.91353840256</v>
      </c>
      <c r="U49" s="1">
        <f>('RECEITAS - BLOCOS PAN'!T49-'OPEX - BLOCOS PAN'!T49-VLOOKUP('FLUXO DE CAIXA DESC.-BLOCOS PAN'!$D49,'CAPEX - BLOCOS PAN'!$C$3:$T$52,18,FALSE))*U$57</f>
        <v>-200038.25973382252</v>
      </c>
      <c r="V49" s="1">
        <f>('RECEITAS - BLOCOS PAN'!U49-'OPEX - BLOCOS PAN'!U49-VLOOKUP('FLUXO DE CAIXA DESC.-BLOCOS PAN'!$D49,'CAPEX - BLOCOS PAN'!$C$3:$U$52,19,FALSE))*V$57</f>
        <v>-182599.96324401873</v>
      </c>
      <c r="W49" s="1">
        <f>('RECEITAS - BLOCOS PAN'!V49-'OPEX - BLOCOS PAN'!V49-VLOOKUP('FLUXO DE CAIXA DESC.-BLOCOS PAN'!$D49,'CAPEX - BLOCOS PAN'!$C$3:$V$52,20,FALSE))*W$57</f>
        <v>-166681.84686811385</v>
      </c>
      <c r="X49" s="1">
        <f>('RECEITAS - BLOCOS PAN'!W49-'OPEX - BLOCOS PAN'!W49-VLOOKUP('FLUXO DE CAIXA DESC.-BLOCOS PAN'!$D49,'CAPEX - BLOCOS PAN'!$C$3:$W$52,21,FALSE))*X$57</f>
        <v>-152151.38919955623</v>
      </c>
      <c r="Y49" s="1">
        <f>('RECEITAS - BLOCOS PAN'!X49-'OPEX - BLOCOS PAN'!X49-VLOOKUP('FLUXO DE CAIXA DESC.-BLOCOS PAN'!$D49,'CAPEX - BLOCOS PAN'!$C$3:$X$52,22,FALSE))*Y$57</f>
        <v>-138887.62135970447</v>
      </c>
      <c r="Z49" s="1">
        <f>('RECEITAS - BLOCOS PAN'!Y49-'OPEX - BLOCOS PAN'!Y49-VLOOKUP('FLUXO DE CAIXA DESC.-BLOCOS PAN'!$D49,'CAPEX - BLOCOS PAN'!$C$3:$Y$52,23,FALSE))*Z$57</f>
        <v>-126780.11990844771</v>
      </c>
      <c r="AA49" s="1">
        <f>('RECEITAS - BLOCOS PAN'!Z49-'OPEX - BLOCOS PAN'!Z49-VLOOKUP('FLUXO DE CAIXA DESC.-BLOCOS PAN'!$D49,'CAPEX - BLOCOS PAN'!$C$3:$Z$52,24,FALSE))*AA$57</f>
        <v>-115728.08754764742</v>
      </c>
      <c r="AB49" s="1">
        <f>('RECEITAS - BLOCOS PAN'!AA49-'OPEX - BLOCOS PAN'!AA49-VLOOKUP('FLUXO DE CAIXA DESC.-BLOCOS PAN'!$D49,'CAPEX - BLOCOS PAN'!$C$3:$AA$52,25,FALSE))*AB$57</f>
        <v>-105639.51396407797</v>
      </c>
      <c r="AC49" s="1">
        <f>('RECEITAS - BLOCOS PAN'!AB49-'OPEX - BLOCOS PAN'!AB49-VLOOKUP('FLUXO DE CAIXA DESC.-BLOCOS PAN'!$D49,'CAPEX - BLOCOS PAN'!$C$3:$AB$52,26,FALSE))*AC$57</f>
        <v>-96430.409825721566</v>
      </c>
      <c r="AD49" s="1">
        <f>('RECEITAS - BLOCOS PAN'!AC49-'OPEX - BLOCOS PAN'!AC49-VLOOKUP('FLUXO DE CAIXA DESC.-BLOCOS PAN'!$D49,'CAPEX - BLOCOS PAN'!$C$3:$AC$52,27,FALSE))*AD$57</f>
        <v>-88024.10755428714</v>
      </c>
      <c r="AE49" s="1">
        <f>('RECEITAS - BLOCOS PAN'!AD49-'OPEX - BLOCOS PAN'!AD49-VLOOKUP('FLUXO DE CAIXA DESC.-BLOCOS PAN'!$D49,'CAPEX - BLOCOS PAN'!$C$3:$AD$52,28,FALSE))*AE$57</f>
        <v>-80350.623052749565</v>
      </c>
      <c r="AF49" s="1">
        <f>('RECEITAS - BLOCOS PAN'!AE49-'OPEX - BLOCOS PAN'!AE49-VLOOKUP('FLUXO DE CAIXA DESC.-BLOCOS PAN'!$D49,'CAPEX - BLOCOS PAN'!$C$3:$AE$52,29,FALSE))*AF$57</f>
        <v>-73346.073074166663</v>
      </c>
      <c r="AG49" s="1">
        <f>('RECEITAS - BLOCOS PAN'!AF49-'OPEX - BLOCOS PAN'!AF49-VLOOKUP('FLUXO DE CAIXA DESC.-BLOCOS PAN'!$D49,'CAPEX - BLOCOS PAN'!$C$3:$AF$52,30,FALSE))*AG$57</f>
        <v>-66952.143381256654</v>
      </c>
      <c r="AH49" s="1">
        <f>('RECEITAS - BLOCOS PAN'!AG49-'OPEX - BLOCOS PAN'!AG49-VLOOKUP('FLUXO DE CAIXA DESC.-BLOCOS PAN'!$D49,'CAPEX - BLOCOS PAN'!$C$3:$AG$52,31,FALSE))*AH$57</f>
        <v>-61115.603269061299</v>
      </c>
      <c r="AI49" s="1">
        <f>('RECEITAS - BLOCOS PAN'!AH49-'OPEX - BLOCOS PAN'!AH49-VLOOKUP('FLUXO DE CAIXA DESC.-BLOCOS PAN'!$D49,'CAPEX - BLOCOS PAN'!$C$3:$AH$52,32,FALSE))*AI$57</f>
        <v>-55787.862409001638</v>
      </c>
      <c r="AJ49" s="1">
        <f>('RECEITAS - BLOCOS PAN'!AI49-'OPEX - BLOCOS PAN'!AI49-VLOOKUP('FLUXO DE CAIXA DESC.-BLOCOS PAN'!$D49,'CAPEX - BLOCOS PAN'!$C$3:$AI$52,33,FALSE))*AJ$57</f>
        <v>-50924.566324967273</v>
      </c>
      <c r="AK49" s="1">
        <f>('RECEITAS - BLOCOS PAN'!AJ49-'OPEX - BLOCOS PAN'!AJ49-VLOOKUP('FLUXO DE CAIXA DESC.-BLOCOS PAN'!$D49,'CAPEX - BLOCOS PAN'!$C$3:$AJ$52,34,FALSE))*AK$57</f>
        <v>-46485.227133699016</v>
      </c>
      <c r="AL49" s="1">
        <f>('RECEITAS - BLOCOS PAN'!AK49-'OPEX - BLOCOS PAN'!AK49-VLOOKUP('FLUXO DE CAIXA DESC.-BLOCOS PAN'!$D49,'CAPEX - BLOCOS PAN'!$C$3:$AK$52,35,FALSE))*AL$57</f>
        <v>-42432.886475307176</v>
      </c>
      <c r="AM49" s="44">
        <f t="shared" si="2"/>
        <v>-36797383.122697398</v>
      </c>
      <c r="AN49">
        <v>1</v>
      </c>
      <c r="AO49" t="s">
        <v>311</v>
      </c>
      <c r="AP49">
        <v>-2.5333333333333332</v>
      </c>
      <c r="AQ49">
        <v>-66.066666666666663</v>
      </c>
      <c r="AR49" s="48">
        <v>0</v>
      </c>
      <c r="AS49" s="1">
        <f t="shared" si="1"/>
        <v>-35496346.888217747</v>
      </c>
      <c r="AT49" t="str">
        <f>VLOOKUP(D49,'CAPEX - BLOCOS PAN (ANO A ANO)'!$C$3:$AV$52,46,FALSE)</f>
        <v>Privada</v>
      </c>
      <c r="AU49" t="str">
        <f>VLOOKUP(D49,'FLUXO DE CAIXA DESC.-SEM MULT.'!$D$3:$AT$52,43,FALSE)</f>
        <v>Bloco 2 - AM1</v>
      </c>
    </row>
    <row r="50" spans="1:47" x14ac:dyDescent="0.35">
      <c r="A50" t="s">
        <v>155</v>
      </c>
      <c r="B50" s="5" t="s">
        <v>265</v>
      </c>
      <c r="C50">
        <v>510704</v>
      </c>
      <c r="D50" t="s">
        <v>298</v>
      </c>
      <c r="E50" t="s">
        <v>239</v>
      </c>
      <c r="F50" t="s">
        <v>37</v>
      </c>
      <c r="G50" t="s">
        <v>257</v>
      </c>
      <c r="H50" t="s">
        <v>33</v>
      </c>
      <c r="I50" s="1">
        <f>('RECEITAS - BLOCOS PAN'!H50-'OPEX - BLOCOS PAN'!H50-VLOOKUP('FLUXO DE CAIXA DESC.-BLOCOS PAN'!$D50,'CAPEX - BLOCOS PAN'!$C$3:$H$52,6,FALSE))*I$57</f>
        <v>-8799596.8000062257</v>
      </c>
      <c r="J50" s="1">
        <f>('RECEITAS - BLOCOS PAN'!I50-'OPEX - BLOCOS PAN'!I50-VLOOKUP('FLUXO DE CAIXA DESC.-BLOCOS PAN'!$D50,'CAPEX - BLOCOS PAN'!$C$3:$I$52,7,FALSE))*J$57</f>
        <v>-8032493.6558705857</v>
      </c>
      <c r="K50" s="1">
        <f>('RECEITAS - BLOCOS PAN'!J50-'OPEX - BLOCOS PAN'!J50-VLOOKUP('FLUXO DE CAIXA DESC.-BLOCOS PAN'!$D50,'CAPEX - BLOCOS PAN'!$C$3:$J$52,8,FALSE))*K$57</f>
        <v>-7332262.5795258656</v>
      </c>
      <c r="L50" s="1">
        <f>('RECEITAS - BLOCOS PAN'!K50-'OPEX - BLOCOS PAN'!K50-VLOOKUP('FLUXO DE CAIXA DESC.-BLOCOS PAN'!$D50,'CAPEX - BLOCOS PAN'!$C$3:$K$52,9,FALSE))*L$57</f>
        <v>-112540.06143436371</v>
      </c>
      <c r="M50" s="1">
        <f>('RECEITAS - BLOCOS PAN'!L50-'OPEX - BLOCOS PAN'!L50-VLOOKUP('FLUXO DE CAIXA DESC.-BLOCOS PAN'!$D50,'CAPEX - BLOCOS PAN'!$C$3:$L$52,10,FALSE))*M$57</f>
        <v>-102729.40340882129</v>
      </c>
      <c r="N50" s="1">
        <f>('RECEITAS - BLOCOS PAN'!M50-'OPEX - BLOCOS PAN'!M50-VLOOKUP('FLUXO DE CAIXA DESC.-BLOCOS PAN'!$D50,'CAPEX - BLOCOS PAN'!$C$3:$M$52,11,FALSE))*N$57</f>
        <v>-93773.987593629645</v>
      </c>
      <c r="O50" s="1">
        <f>('RECEITAS - BLOCOS PAN'!N50-'OPEX - BLOCOS PAN'!N50-VLOOKUP('FLUXO DE CAIXA DESC.-BLOCOS PAN'!$D50,'CAPEX - BLOCOS PAN'!$C$3:$N$52,12,FALSE))*O$57</f>
        <v>-85599.258414997399</v>
      </c>
      <c r="P50" s="1">
        <f>('RECEITAS - BLOCOS PAN'!O50-'OPEX - BLOCOS PAN'!O50-VLOOKUP('FLUXO DE CAIXA DESC.-BLOCOS PAN'!$D50,'CAPEX - BLOCOS PAN'!$C$3:$O$52,13,FALSE))*P$57</f>
        <v>-78137.159666816442</v>
      </c>
      <c r="Q50" s="1">
        <f>('RECEITAS - BLOCOS PAN'!P50-'OPEX - BLOCOS PAN'!P50-VLOOKUP('FLUXO DE CAIXA DESC.-BLOCOS PAN'!$D50,'CAPEX - BLOCOS PAN'!$C$3:$P$52,14,FALSE))*Q$57</f>
        <v>-71325.567929544908</v>
      </c>
      <c r="R50" s="1">
        <f>('RECEITAS - BLOCOS PAN'!Q50-'OPEX - BLOCOS PAN'!Q50-VLOOKUP('FLUXO DE CAIXA DESC.-BLOCOS PAN'!$D50,'CAPEX - BLOCOS PAN'!$C$3:$Q$52,15,FALSE))*R$57</f>
        <v>-65107.775380689098</v>
      </c>
      <c r="S50" s="1">
        <f>('RECEITAS - BLOCOS PAN'!R50-'OPEX - BLOCOS PAN'!R50-VLOOKUP('FLUXO DE CAIXA DESC.-BLOCOS PAN'!$D50,'CAPEX - BLOCOS PAN'!$C$3:$R$52,16,FALSE))*S$57</f>
        <v>-59432.017691181296</v>
      </c>
      <c r="T50" s="1">
        <f>('RECEITAS - BLOCOS PAN'!S50-'OPEX - BLOCOS PAN'!S50-VLOOKUP('FLUXO DE CAIXA DESC.-BLOCOS PAN'!$D50,'CAPEX - BLOCOS PAN'!$C$3:$S$52,17,FALSE))*T$57</f>
        <v>-54251.043077299219</v>
      </c>
      <c r="U50" s="1">
        <f>('RECEITAS - BLOCOS PAN'!T50-'OPEX - BLOCOS PAN'!T50-VLOOKUP('FLUXO DE CAIXA DESC.-BLOCOS PAN'!$D50,'CAPEX - BLOCOS PAN'!$C$3:$T$52,18,FALSE))*U$57</f>
        <v>-49521.718920400934</v>
      </c>
      <c r="V50" s="1">
        <f>('RECEITAS - BLOCOS PAN'!U50-'OPEX - BLOCOS PAN'!U50-VLOOKUP('FLUXO DE CAIXA DESC.-BLOCOS PAN'!$D50,'CAPEX - BLOCOS PAN'!$C$3:$U$52,19,FALSE))*V$57</f>
        <v>-45204.672679507923</v>
      </c>
      <c r="W50" s="1">
        <f>('RECEITAS - BLOCOS PAN'!V50-'OPEX - BLOCOS PAN'!V50-VLOOKUP('FLUXO DE CAIXA DESC.-BLOCOS PAN'!$D50,'CAPEX - BLOCOS PAN'!$C$3:$V$52,20,FALSE))*W$57</f>
        <v>-41263.964107264197</v>
      </c>
      <c r="X50" s="1">
        <f>('RECEITAS - BLOCOS PAN'!W50-'OPEX - BLOCOS PAN'!W50-VLOOKUP('FLUXO DE CAIXA DESC.-BLOCOS PAN'!$D50,'CAPEX - BLOCOS PAN'!$C$3:$W$52,21,FALSE))*X$57</f>
        <v>-37666.786040405474</v>
      </c>
      <c r="Y50" s="1">
        <f>('RECEITAS - BLOCOS PAN'!X50-'OPEX - BLOCOS PAN'!X50-VLOOKUP('FLUXO DE CAIXA DESC.-BLOCOS PAN'!$D50,'CAPEX - BLOCOS PAN'!$C$3:$X$52,22,FALSE))*Y$57</f>
        <v>-34383.19127376128</v>
      </c>
      <c r="Z50" s="1">
        <f>('RECEITAS - BLOCOS PAN'!Y50-'OPEX - BLOCOS PAN'!Y50-VLOOKUP('FLUXO DE CAIXA DESC.-BLOCOS PAN'!$D50,'CAPEX - BLOCOS PAN'!$C$3:$Y$52,23,FALSE))*Z$57</f>
        <v>-31385.843243962827</v>
      </c>
      <c r="AA50" s="1">
        <f>('RECEITAS - BLOCOS PAN'!Z50-'OPEX - BLOCOS PAN'!Z50-VLOOKUP('FLUXO DE CAIXA DESC.-BLOCOS PAN'!$D50,'CAPEX - BLOCOS PAN'!$C$3:$Z$52,24,FALSE))*AA$57</f>
        <v>-28649.788447250419</v>
      </c>
      <c r="AB50" s="1">
        <f>('RECEITAS - BLOCOS PAN'!AA50-'OPEX - BLOCOS PAN'!AA50-VLOOKUP('FLUXO DE CAIXA DESC.-BLOCOS PAN'!$D50,'CAPEX - BLOCOS PAN'!$C$3:$AA$52,25,FALSE))*AB$57</f>
        <v>-26152.24869671421</v>
      </c>
      <c r="AC50" s="1">
        <f>('RECEITAS - BLOCOS PAN'!AB50-'OPEX - BLOCOS PAN'!AB50-VLOOKUP('FLUXO DE CAIXA DESC.-BLOCOS PAN'!$D50,'CAPEX - BLOCOS PAN'!$C$3:$AB$52,26,FALSE))*AC$57</f>
        <v>-23872.431489469844</v>
      </c>
      <c r="AD50" s="1">
        <f>('RECEITAS - BLOCOS PAN'!AC50-'OPEX - BLOCOS PAN'!AC50-VLOOKUP('FLUXO DE CAIXA DESC.-BLOCOS PAN'!$D50,'CAPEX - BLOCOS PAN'!$C$3:$AC$52,27,FALSE))*AD$57</f>
        <v>-21791.35690503865</v>
      </c>
      <c r="AE50" s="1">
        <f>('RECEITAS - BLOCOS PAN'!AD50-'OPEX - BLOCOS PAN'!AD50-VLOOKUP('FLUXO DE CAIXA DESC.-BLOCOS PAN'!$D50,'CAPEX - BLOCOS PAN'!$C$3:$AD$52,28,FALSE))*AE$57</f>
        <v>-19891.699593828071</v>
      </c>
      <c r="AF50" s="1">
        <f>('RECEITAS - BLOCOS PAN'!AE50-'OPEX - BLOCOS PAN'!AE50-VLOOKUP('FLUXO DE CAIXA DESC.-BLOCOS PAN'!$D50,'CAPEX - BLOCOS PAN'!$C$3:$AE$52,29,FALSE))*AF$57</f>
        <v>-18157.644540235575</v>
      </c>
      <c r="AG50" s="1">
        <f>('RECEITAS - BLOCOS PAN'!AF50-'OPEX - BLOCOS PAN'!AF50-VLOOKUP('FLUXO DE CAIXA DESC.-BLOCOS PAN'!$D50,'CAPEX - BLOCOS PAN'!$C$3:$AF$52,30,FALSE))*AG$57</f>
        <v>-16574.755399576065</v>
      </c>
      <c r="AH50" s="1">
        <f>('RECEITAS - BLOCOS PAN'!AG50-'OPEX - BLOCOS PAN'!AG50-VLOOKUP('FLUXO DE CAIXA DESC.-BLOCOS PAN'!$D50,'CAPEX - BLOCOS PAN'!$C$3:$AG$52,31,FALSE))*AH$57</f>
        <v>-15129.854312712061</v>
      </c>
      <c r="AI50" s="1">
        <f>('RECEITAS - BLOCOS PAN'!AH50-'OPEX - BLOCOS PAN'!AH50-VLOOKUP('FLUXO DE CAIXA DESC.-BLOCOS PAN'!$D50,'CAPEX - BLOCOS PAN'!$C$3:$AH$52,32,FALSE))*AI$57</f>
        <v>-13810.912197820229</v>
      </c>
      <c r="AJ50" s="1">
        <f>('RECEITAS - BLOCOS PAN'!AI50-'OPEX - BLOCOS PAN'!AI50-VLOOKUP('FLUXO DE CAIXA DESC.-BLOCOS PAN'!$D50,'CAPEX - BLOCOS PAN'!$C$3:$AI$52,33,FALSE))*AJ$57</f>
        <v>-12606.948605951831</v>
      </c>
      <c r="AK50" s="1">
        <f>('RECEITAS - BLOCOS PAN'!AJ50-'OPEX - BLOCOS PAN'!AJ50-VLOOKUP('FLUXO DE CAIXA DESC.-BLOCOS PAN'!$D50,'CAPEX - BLOCOS PAN'!$C$3:$AJ$52,34,FALSE))*AK$57</f>
        <v>-11507.940306665296</v>
      </c>
      <c r="AL50" s="1">
        <f>('RECEITAS - BLOCOS PAN'!AK50-'OPEX - BLOCOS PAN'!AK50-VLOOKUP('FLUXO DE CAIXA DESC.-BLOCOS PAN'!$D50,'CAPEX - BLOCOS PAN'!$C$3:$AK$52,35,FALSE))*AL$57</f>
        <v>-10504.737842688539</v>
      </c>
      <c r="AM50" s="44">
        <f t="shared" si="2"/>
        <v>-25345325.804603271</v>
      </c>
      <c r="AN50">
        <v>1</v>
      </c>
      <c r="AO50" t="s">
        <v>315</v>
      </c>
      <c r="AP50">
        <v>-15.55</v>
      </c>
      <c r="AQ50">
        <v>-54.31666666666667</v>
      </c>
      <c r="AR50" s="48">
        <v>0</v>
      </c>
      <c r="AS50" s="1">
        <f t="shared" si="1"/>
        <v>-25023239.66570719</v>
      </c>
      <c r="AT50" t="str">
        <f>VLOOKUP(D50,'CAPEX - BLOCOS PAN (ANO A ANO)'!$C$3:$AV$52,46,FALSE)</f>
        <v>Privada</v>
      </c>
      <c r="AU50" t="str">
        <f>VLOOKUP(D50,'FLUXO DE CAIXA DESC.-SEM MULT.'!$D$3:$AT$52,43,FALSE)</f>
        <v>Bloco 11 - MT2</v>
      </c>
    </row>
    <row r="51" spans="1:47" x14ac:dyDescent="0.35">
      <c r="A51" t="s">
        <v>156</v>
      </c>
      <c r="B51" s="5" t="s">
        <v>275</v>
      </c>
      <c r="C51">
        <v>130360</v>
      </c>
      <c r="D51" t="s">
        <v>299</v>
      </c>
      <c r="E51" t="s">
        <v>240</v>
      </c>
      <c r="F51" t="s">
        <v>35</v>
      </c>
      <c r="G51" t="s">
        <v>259</v>
      </c>
      <c r="H51" t="s">
        <v>33</v>
      </c>
      <c r="I51" s="1">
        <f>('RECEITAS - BLOCOS PAN'!H51-'OPEX - BLOCOS PAN'!H51-VLOOKUP('FLUXO DE CAIXA DESC.-BLOCOS PAN'!$D51,'CAPEX - BLOCOS PAN'!$C$3:$H$52,6,FALSE))*I$57</f>
        <v>-11967747.059274809</v>
      </c>
      <c r="J51" s="1">
        <f>('RECEITAS - BLOCOS PAN'!I51-'OPEX - BLOCOS PAN'!I51-VLOOKUP('FLUXO DE CAIXA DESC.-BLOCOS PAN'!$D51,'CAPEX - BLOCOS PAN'!$C$3:$I$52,7,FALSE))*J$57</f>
        <v>-10924461.030830497</v>
      </c>
      <c r="K51" s="1">
        <f>('RECEITAS - BLOCOS PAN'!J51-'OPEX - BLOCOS PAN'!J51-VLOOKUP('FLUXO DE CAIXA DESC.-BLOCOS PAN'!$D51,'CAPEX - BLOCOS PAN'!$C$3:$J$52,8,FALSE))*K$57</f>
        <v>-9972123.2595440429</v>
      </c>
      <c r="L51" s="1">
        <f>('RECEITAS - BLOCOS PAN'!K51-'OPEX - BLOCOS PAN'!K51-VLOOKUP('FLUXO DE CAIXA DESC.-BLOCOS PAN'!$D51,'CAPEX - BLOCOS PAN'!$C$3:$K$52,9,FALSE))*L$57</f>
        <v>-447145.70155487955</v>
      </c>
      <c r="M51" s="1">
        <f>('RECEITAS - BLOCOS PAN'!L51-'OPEX - BLOCOS PAN'!L51-VLOOKUP('FLUXO DE CAIXA DESC.-BLOCOS PAN'!$D51,'CAPEX - BLOCOS PAN'!$C$3:$L$52,10,FALSE))*M$57</f>
        <v>-408165.86175707862</v>
      </c>
      <c r="N51" s="1">
        <f>('RECEITAS - BLOCOS PAN'!M51-'OPEX - BLOCOS PAN'!M51-VLOOKUP('FLUXO DE CAIXA DESC.-BLOCOS PAN'!$D51,'CAPEX - BLOCOS PAN'!$C$3:$M$52,11,FALSE))*N$57</f>
        <v>-372584.08193252265</v>
      </c>
      <c r="O51" s="1">
        <f>('RECEITAS - BLOCOS PAN'!N51-'OPEX - BLOCOS PAN'!N51-VLOOKUP('FLUXO DE CAIXA DESC.-BLOCOS PAN'!$D51,'CAPEX - BLOCOS PAN'!$C$3:$N$52,12,FALSE))*O$57</f>
        <v>-340104.1368621841</v>
      </c>
      <c r="P51" s="1">
        <f>('RECEITAS - BLOCOS PAN'!O51-'OPEX - BLOCOS PAN'!O51-VLOOKUP('FLUXO DE CAIXA DESC.-BLOCOS PAN'!$D51,'CAPEX - BLOCOS PAN'!$C$3:$O$52,13,FALSE))*P$57</f>
        <v>-310455.62470304349</v>
      </c>
      <c r="Q51" s="1">
        <f>('RECEITAS - BLOCOS PAN'!P51-'OPEX - BLOCOS PAN'!P51-VLOOKUP('FLUXO DE CAIXA DESC.-BLOCOS PAN'!$D51,'CAPEX - BLOCOS PAN'!$C$3:$P$52,14,FALSE))*Q$57</f>
        <v>-283391.71584029531</v>
      </c>
      <c r="R51" s="1">
        <f>('RECEITAS - BLOCOS PAN'!Q51-'OPEX - BLOCOS PAN'!Q51-VLOOKUP('FLUXO DE CAIXA DESC.-BLOCOS PAN'!$D51,'CAPEX - BLOCOS PAN'!$C$3:$Q$52,15,FALSE))*R$57</f>
        <v>-258687.09798292589</v>
      </c>
      <c r="S51" s="1">
        <f>('RECEITAS - BLOCOS PAN'!R51-'OPEX - BLOCOS PAN'!R51-VLOOKUP('FLUXO DE CAIXA DESC.-BLOCOS PAN'!$D51,'CAPEX - BLOCOS PAN'!$C$3:$R$52,16,FALSE))*S$57</f>
        <v>-236136.1003951857</v>
      </c>
      <c r="T51" s="1">
        <f>('RECEITAS - BLOCOS PAN'!S51-'OPEX - BLOCOS PAN'!S51-VLOOKUP('FLUXO DE CAIXA DESC.-BLOCOS PAN'!$D51,'CAPEX - BLOCOS PAN'!$C$3:$S$52,17,FALSE))*T$57</f>
        <v>-215550.98164781899</v>
      </c>
      <c r="U51" s="1">
        <f>('RECEITAS - BLOCOS PAN'!T51-'OPEX - BLOCOS PAN'!T51-VLOOKUP('FLUXO DE CAIXA DESC.-BLOCOS PAN'!$D51,'CAPEX - BLOCOS PAN'!$C$3:$T$52,18,FALSE))*U$57</f>
        <v>-196760.36663424829</v>
      </c>
      <c r="V51" s="1">
        <f>('RECEITAS - BLOCOS PAN'!U51-'OPEX - BLOCOS PAN'!U51-VLOOKUP('FLUXO DE CAIXA DESC.-BLOCOS PAN'!$D51,'CAPEX - BLOCOS PAN'!$C$3:$U$52,19,FALSE))*V$57</f>
        <v>-179607.81983956939</v>
      </c>
      <c r="W51" s="1">
        <f>('RECEITAS - BLOCOS PAN'!V51-'OPEX - BLOCOS PAN'!V51-VLOOKUP('FLUXO DE CAIXA DESC.-BLOCOS PAN'!$D51,'CAPEX - BLOCOS PAN'!$C$3:$V$52,20,FALSE))*W$57</f>
        <v>-163950.54298454532</v>
      </c>
      <c r="X51" s="1">
        <f>('RECEITAS - BLOCOS PAN'!W51-'OPEX - BLOCOS PAN'!W51-VLOOKUP('FLUXO DE CAIXA DESC.-BLOCOS PAN'!$D51,'CAPEX - BLOCOS PAN'!$C$3:$W$52,21,FALSE))*X$57</f>
        <v>-149658.18620223217</v>
      </c>
      <c r="Y51" s="1">
        <f>('RECEITAS - BLOCOS PAN'!X51-'OPEX - BLOCOS PAN'!X51-VLOOKUP('FLUXO DE CAIXA DESC.-BLOCOS PAN'!$D51,'CAPEX - BLOCOS PAN'!$C$3:$X$52,22,FALSE))*Y$57</f>
        <v>-136611.76285005221</v>
      </c>
      <c r="Z51" s="1">
        <f>('RECEITAS - BLOCOS PAN'!Y51-'OPEX - BLOCOS PAN'!Y51-VLOOKUP('FLUXO DE CAIXA DESC.-BLOCOS PAN'!$D51,'CAPEX - BLOCOS PAN'!$C$3:$Y$52,23,FALSE))*Z$57</f>
        <v>-124702.65892291391</v>
      </c>
      <c r="AA51" s="1">
        <f>('RECEITAS - BLOCOS PAN'!Z51-'OPEX - BLOCOS PAN'!Z51-VLOOKUP('FLUXO DE CAIXA DESC.-BLOCOS PAN'!$D51,'CAPEX - BLOCOS PAN'!$C$3:$Z$52,24,FALSE))*AA$57</f>
        <v>-113831.72882055129</v>
      </c>
      <c r="AB51" s="1">
        <f>('RECEITAS - BLOCOS PAN'!AA51-'OPEX - BLOCOS PAN'!AA51-VLOOKUP('FLUXO DE CAIXA DESC.-BLOCOS PAN'!$D51,'CAPEX - BLOCOS PAN'!$C$3:$AA$52,25,FALSE))*AB$57</f>
        <v>-103908.46994116959</v>
      </c>
      <c r="AC51" s="1">
        <f>('RECEITAS - BLOCOS PAN'!AB51-'OPEX - BLOCOS PAN'!AB51-VLOOKUP('FLUXO DE CAIXA DESC.-BLOCOS PAN'!$D51,'CAPEX - BLOCOS PAN'!$C$3:$AB$52,26,FALSE))*AC$57</f>
        <v>-94850.269229730358</v>
      </c>
      <c r="AD51" s="1">
        <f>('RECEITAS - BLOCOS PAN'!AC51-'OPEX - BLOCOS PAN'!AC51-VLOOKUP('FLUXO DE CAIXA DESC.-BLOCOS PAN'!$D51,'CAPEX - BLOCOS PAN'!$C$3:$AC$52,27,FALSE))*AD$57</f>
        <v>-86581.715408243137</v>
      </c>
      <c r="AE51" s="1">
        <f>('RECEITAS - BLOCOS PAN'!AD51-'OPEX - BLOCOS PAN'!AD51-VLOOKUP('FLUXO DE CAIXA DESC.-BLOCOS PAN'!$D51,'CAPEX - BLOCOS PAN'!$C$3:$AD$52,28,FALSE))*AE$57</f>
        <v>-79033.971162248417</v>
      </c>
      <c r="AF51" s="1">
        <f>('RECEITAS - BLOCOS PAN'!AE51-'OPEX - BLOCOS PAN'!AE51-VLOOKUP('FLUXO DE CAIXA DESC.-BLOCOS PAN'!$D51,'CAPEX - BLOCOS PAN'!$C$3:$AE$52,29,FALSE))*AF$57</f>
        <v>-72144.200056821923</v>
      </c>
      <c r="AG51" s="1">
        <f>('RECEITAS - BLOCOS PAN'!AF51-'OPEX - BLOCOS PAN'!AF51-VLOOKUP('FLUXO DE CAIXA DESC.-BLOCOS PAN'!$D51,'CAPEX - BLOCOS PAN'!$C$3:$AF$52,30,FALSE))*AG$57</f>
        <v>-65855.043411065213</v>
      </c>
      <c r="AH51" s="1">
        <f>('RECEITAS - BLOCOS PAN'!AG51-'OPEX - BLOCOS PAN'!AG51-VLOOKUP('FLUXO DE CAIXA DESC.-BLOCOS PAN'!$D51,'CAPEX - BLOCOS PAN'!$C$3:$AG$52,31,FALSE))*AH$57</f>
        <v>-60114.142775960936</v>
      </c>
      <c r="AI51" s="1">
        <f>('RECEITAS - BLOCOS PAN'!AH51-'OPEX - BLOCOS PAN'!AH51-VLOOKUP('FLUXO DE CAIXA DESC.-BLOCOS PAN'!$D51,'CAPEX - BLOCOS PAN'!$C$3:$AH$52,32,FALSE))*AI$57</f>
        <v>-54873.70404012865</v>
      </c>
      <c r="AJ51" s="1">
        <f>('RECEITAS - BLOCOS PAN'!AI51-'OPEX - BLOCOS PAN'!AI51-VLOOKUP('FLUXO DE CAIXA DESC.-BLOCOS PAN'!$D51,'CAPEX - BLOCOS PAN'!$C$3:$AI$52,33,FALSE))*AJ$57</f>
        <v>-50090.099534576591</v>
      </c>
      <c r="AK51" s="1">
        <f>('RECEITAS - BLOCOS PAN'!AJ51-'OPEX - BLOCOS PAN'!AJ51-VLOOKUP('FLUXO DE CAIXA DESC.-BLOCOS PAN'!$D51,'CAPEX - BLOCOS PAN'!$C$3:$AJ$52,34,FALSE))*AK$57</f>
        <v>-45723.504823894655</v>
      </c>
      <c r="AL51" s="1">
        <f>('RECEITAS - BLOCOS PAN'!AK51-'OPEX - BLOCOS PAN'!AK51-VLOOKUP('FLUXO DE CAIXA DESC.-BLOCOS PAN'!$D51,'CAPEX - BLOCOS PAN'!$C$3:$AK$52,35,FALSE))*AL$57</f>
        <v>-41737.567160104656</v>
      </c>
      <c r="AM51" s="44">
        <f t="shared" si="2"/>
        <v>-37556588.406123348</v>
      </c>
      <c r="AN51">
        <v>1</v>
      </c>
      <c r="AO51" t="s">
        <v>311</v>
      </c>
      <c r="AP51">
        <v>-0.41666666666666669</v>
      </c>
      <c r="AQ51">
        <v>-65.033333333333331</v>
      </c>
      <c r="AR51" s="48">
        <v>0</v>
      </c>
      <c r="AS51" s="1">
        <f t="shared" si="1"/>
        <v>-36276871.381783642</v>
      </c>
      <c r="AT51" t="str">
        <f>VLOOKUP(D51,'CAPEX - BLOCOS PAN (ANO A ANO)'!$C$3:$AV$52,46,FALSE)</f>
        <v>Privada</v>
      </c>
      <c r="AU51" t="str">
        <f>VLOOKUP(D51,'FLUXO DE CAIXA DESC.-SEM MULT.'!$D$3:$AT$52,43,FALSE)</f>
        <v>Bloco 2 - AM1</v>
      </c>
    </row>
    <row r="52" spans="1:47" x14ac:dyDescent="0.35">
      <c r="A52" t="s">
        <v>160</v>
      </c>
      <c r="B52" s="5" t="s">
        <v>276</v>
      </c>
      <c r="C52">
        <v>130014</v>
      </c>
      <c r="D52" t="s">
        <v>300</v>
      </c>
      <c r="E52" t="s">
        <v>241</v>
      </c>
      <c r="F52" t="s">
        <v>35</v>
      </c>
      <c r="G52" t="s">
        <v>259</v>
      </c>
      <c r="H52" t="s">
        <v>33</v>
      </c>
      <c r="I52" s="1">
        <f>('RECEITAS - BLOCOS PAN'!H52-'OPEX - BLOCOS PAN'!H52-VLOOKUP('FLUXO DE CAIXA DESC.-BLOCOS PAN'!$D52,'CAPEX - BLOCOS PAN'!$C$3:$H$52,6,FALSE))*I$57</f>
        <v>-10728979.762042485</v>
      </c>
      <c r="J52" s="1">
        <f>('RECEITAS - BLOCOS PAN'!I52-'OPEX - BLOCOS PAN'!I52-VLOOKUP('FLUXO DE CAIXA DESC.-BLOCOS PAN'!$D52,'CAPEX - BLOCOS PAN'!$C$3:$I$52,7,FALSE))*J$57</f>
        <v>-9793683.0324440766</v>
      </c>
      <c r="K52" s="1">
        <f>('RECEITAS - BLOCOS PAN'!J52-'OPEX - BLOCOS PAN'!J52-VLOOKUP('FLUXO DE CAIXA DESC.-BLOCOS PAN'!$D52,'CAPEX - BLOCOS PAN'!$C$3:$J$52,8,FALSE))*K$57</f>
        <v>-8939920.6138238944</v>
      </c>
      <c r="L52" s="1">
        <f>('RECEITAS - BLOCOS PAN'!K52-'OPEX - BLOCOS PAN'!K52-VLOOKUP('FLUXO DE CAIXA DESC.-BLOCOS PAN'!$D52,'CAPEX - BLOCOS PAN'!$C$3:$K$52,9,FALSE))*L$57</f>
        <v>-449883.03671404003</v>
      </c>
      <c r="M52" s="1">
        <f>('RECEITAS - BLOCOS PAN'!L52-'OPEX - BLOCOS PAN'!L52-VLOOKUP('FLUXO DE CAIXA DESC.-BLOCOS PAN'!$D52,'CAPEX - BLOCOS PAN'!$C$3:$L$52,10,FALSE))*M$57</f>
        <v>-410664.57025471481</v>
      </c>
      <c r="N52" s="1">
        <f>('RECEITAS - BLOCOS PAN'!M52-'OPEX - BLOCOS PAN'!M52-VLOOKUP('FLUXO DE CAIXA DESC.-BLOCOS PAN'!$D52,'CAPEX - BLOCOS PAN'!$C$3:$M$52,11,FALSE))*N$57</f>
        <v>-374864.96600156534</v>
      </c>
      <c r="O52" s="1">
        <f>('RECEITAS - BLOCOS PAN'!N52-'OPEX - BLOCOS PAN'!N52-VLOOKUP('FLUXO DE CAIXA DESC.-BLOCOS PAN'!$D52,'CAPEX - BLOCOS PAN'!$C$3:$N$52,12,FALSE))*O$57</f>
        <v>-342186.18530494324</v>
      </c>
      <c r="P52" s="1">
        <f>('RECEITAS - BLOCOS PAN'!O52-'OPEX - BLOCOS PAN'!O52-VLOOKUP('FLUXO DE CAIXA DESC.-BLOCOS PAN'!$D52,'CAPEX - BLOCOS PAN'!$C$3:$O$52,13,FALSE))*P$57</f>
        <v>-312356.17097667122</v>
      </c>
      <c r="Q52" s="1">
        <f>('RECEITAS - BLOCOS PAN'!P52-'OPEX - BLOCOS PAN'!P52-VLOOKUP('FLUXO DE CAIXA DESC.-BLOCOS PAN'!$D52,'CAPEX - BLOCOS PAN'!$C$3:$P$52,14,FALSE))*Q$57</f>
        <v>-285126.58236117865</v>
      </c>
      <c r="R52" s="1">
        <f>('RECEITAS - BLOCOS PAN'!Q52-'OPEX - BLOCOS PAN'!Q52-VLOOKUP('FLUXO DE CAIXA DESC.-BLOCOS PAN'!$D52,'CAPEX - BLOCOS PAN'!$C$3:$Q$52,15,FALSE))*R$57</f>
        <v>-260270.72785137256</v>
      </c>
      <c r="S52" s="1">
        <f>('RECEITAS - BLOCOS PAN'!R52-'OPEX - BLOCOS PAN'!R52-VLOOKUP('FLUXO DE CAIXA DESC.-BLOCOS PAN'!$D52,'CAPEX - BLOCOS PAN'!$C$3:$R$52,16,FALSE))*S$57</f>
        <v>-237581.6776370357</v>
      </c>
      <c r="T52" s="1">
        <f>('RECEITAS - BLOCOS PAN'!S52-'OPEX - BLOCOS PAN'!S52-VLOOKUP('FLUXO DE CAIXA DESC.-BLOCOS PAN'!$D52,'CAPEX - BLOCOS PAN'!$C$3:$S$52,17,FALSE))*T$57</f>
        <v>-216870.54097401709</v>
      </c>
      <c r="U52" s="1">
        <f>('RECEITAS - BLOCOS PAN'!T52-'OPEX - BLOCOS PAN'!T52-VLOOKUP('FLUXO DE CAIXA DESC.-BLOCOS PAN'!$D52,'CAPEX - BLOCOS PAN'!$C$3:$T$52,18,FALSE))*U$57</f>
        <v>-197964.89363214705</v>
      </c>
      <c r="V52" s="1">
        <f>('RECEITAS - BLOCOS PAN'!U52-'OPEX - BLOCOS PAN'!U52-VLOOKUP('FLUXO DE CAIXA DESC.-BLOCOS PAN'!$D52,'CAPEX - BLOCOS PAN'!$C$3:$U$52,19,FALSE))*V$57</f>
        <v>-180707.34243007487</v>
      </c>
      <c r="W52" s="1">
        <f>('RECEITAS - BLOCOS PAN'!V52-'OPEX - BLOCOS PAN'!V52-VLOOKUP('FLUXO DE CAIXA DESC.-BLOCOS PAN'!$D52,'CAPEX - BLOCOS PAN'!$C$3:$V$52,20,FALSE))*W$57</f>
        <v>-164954.21490650377</v>
      </c>
      <c r="X52" s="1">
        <f>('RECEITAS - BLOCOS PAN'!W52-'OPEX - BLOCOS PAN'!W52-VLOOKUP('FLUXO DE CAIXA DESC.-BLOCOS PAN'!$D52,'CAPEX - BLOCOS PAN'!$C$3:$W$52,21,FALSE))*X$57</f>
        <v>-150574.36321908151</v>
      </c>
      <c r="Y52" s="1">
        <f>('RECEITAS - BLOCOS PAN'!X52-'OPEX - BLOCOS PAN'!X52-VLOOKUP('FLUXO DE CAIXA DESC.-BLOCOS PAN'!$D52,'CAPEX - BLOCOS PAN'!$C$3:$X$52,22,FALSE))*Y$57</f>
        <v>-137448.07231317347</v>
      </c>
      <c r="Z52" s="1">
        <f>('RECEITAS - BLOCOS PAN'!Y52-'OPEX - BLOCOS PAN'!Y52-VLOOKUP('FLUXO DE CAIXA DESC.-BLOCOS PAN'!$D52,'CAPEX - BLOCOS PAN'!$C$3:$Y$52,23,FALSE))*Z$57</f>
        <v>-125466.06327081101</v>
      </c>
      <c r="AA52" s="1">
        <f>('RECEITAS - BLOCOS PAN'!Z52-'OPEX - BLOCOS PAN'!Z52-VLOOKUP('FLUXO DE CAIXA DESC.-BLOCOS PAN'!$D52,'CAPEX - BLOCOS PAN'!$C$3:$Z$52,24,FALSE))*AA$57</f>
        <v>-114528.58354250208</v>
      </c>
      <c r="AB52" s="1">
        <f>('RECEITAS - BLOCOS PAN'!AA52-'OPEX - BLOCOS PAN'!AA52-VLOOKUP('FLUXO DE CAIXA DESC.-BLOCOS PAN'!$D52,'CAPEX - BLOCOS PAN'!$C$3:$AA$52,25,FALSE))*AB$57</f>
        <v>-104544.57648790696</v>
      </c>
      <c r="AC52" s="1">
        <f>('RECEITAS - BLOCOS PAN'!AB52-'OPEX - BLOCOS PAN'!AB52-VLOOKUP('FLUXO DE CAIXA DESC.-BLOCOS PAN'!$D52,'CAPEX - BLOCOS PAN'!$C$3:$AB$52,26,FALSE))*AC$57</f>
        <v>-95430.923311644889</v>
      </c>
      <c r="AD52" s="1">
        <f>('RECEITAS - BLOCOS PAN'!AC52-'OPEX - BLOCOS PAN'!AC52-VLOOKUP('FLUXO DE CAIXA DESC.-BLOCOS PAN'!$D52,'CAPEX - BLOCOS PAN'!$C$3:$AC$52,27,FALSE))*AD$57</f>
        <v>-87111.751083199342</v>
      </c>
      <c r="AE52" s="1">
        <f>('RECEITAS - BLOCOS PAN'!AD52-'OPEX - BLOCOS PAN'!AD52-VLOOKUP('FLUXO DE CAIXA DESC.-BLOCOS PAN'!$D52,'CAPEX - BLOCOS PAN'!$C$3:$AD$52,28,FALSE))*AE$57</f>
        <v>-79517.801080054182</v>
      </c>
      <c r="AF52" s="1">
        <f>('RECEITAS - BLOCOS PAN'!AE52-'OPEX - BLOCOS PAN'!AE52-VLOOKUP('FLUXO DE CAIXA DESC.-BLOCOS PAN'!$D52,'CAPEX - BLOCOS PAN'!$C$3:$AE$52,29,FALSE))*AF$57</f>
        <v>-72585.852195394051</v>
      </c>
      <c r="AG52" s="1">
        <f>('RECEITAS - BLOCOS PAN'!AF52-'OPEX - BLOCOS PAN'!AF52-VLOOKUP('FLUXO DE CAIXA DESC.-BLOCOS PAN'!$D52,'CAPEX - BLOCOS PAN'!$C$3:$AF$52,30,FALSE))*AG$57</f>
        <v>-66258.194610126942</v>
      </c>
      <c r="AH52" s="1">
        <f>('RECEITAS - BLOCOS PAN'!AG52-'OPEX - BLOCOS PAN'!AG52-VLOOKUP('FLUXO DE CAIXA DESC.-BLOCOS PAN'!$D52,'CAPEX - BLOCOS PAN'!$C$3:$AG$52,31,FALSE))*AH$57</f>
        <v>-60482.149347445855</v>
      </c>
      <c r="AI52" s="1">
        <f>('RECEITAS - BLOCOS PAN'!AH52-'OPEX - BLOCOS PAN'!AH52-VLOOKUP('FLUXO DE CAIXA DESC.-BLOCOS PAN'!$D52,'CAPEX - BLOCOS PAN'!$C$3:$AH$52,32,FALSE))*AI$57</f>
        <v>-55209.629710128575</v>
      </c>
      <c r="AJ52" s="1">
        <f>('RECEITAS - BLOCOS PAN'!AI52-'OPEX - BLOCOS PAN'!AI52-VLOOKUP('FLUXO DE CAIXA DESC.-BLOCOS PAN'!$D52,'CAPEX - BLOCOS PAN'!$C$3:$AI$52,33,FALSE))*AJ$57</f>
        <v>-50396.740949455576</v>
      </c>
      <c r="AK52" s="1">
        <f>('RECEITAS - BLOCOS PAN'!AJ52-'OPEX - BLOCOS PAN'!AJ52-VLOOKUP('FLUXO DE CAIXA DESC.-BLOCOS PAN'!$D52,'CAPEX - BLOCOS PAN'!$C$3:$AJ$52,34,FALSE))*AK$57</f>
        <v>-46003.414832912436</v>
      </c>
      <c r="AL52" s="1">
        <f>('RECEITAS - BLOCOS PAN'!AK52-'OPEX - BLOCOS PAN'!AK52-VLOOKUP('FLUXO DE CAIXA DESC.-BLOCOS PAN'!$D52,'CAPEX - BLOCOS PAN'!$C$3:$AK$52,35,FALSE))*AL$57</f>
        <v>-41993.076068381961</v>
      </c>
      <c r="AM52" s="44">
        <f t="shared" si="2"/>
        <v>-34183565.509376943</v>
      </c>
      <c r="AN52">
        <v>1</v>
      </c>
      <c r="AO52" t="s">
        <v>312</v>
      </c>
      <c r="AP52">
        <v>-7.166666666666667</v>
      </c>
      <c r="AQ52">
        <v>-59.833333333333336</v>
      </c>
      <c r="AR52" s="48">
        <v>0</v>
      </c>
      <c r="AS52" s="1">
        <f t="shared" si="1"/>
        <v>-32896014.31735472</v>
      </c>
      <c r="AT52" t="str">
        <f>VLOOKUP(D52,'CAPEX - BLOCOS PAN (ANO A ANO)'!$C$3:$AV$52,46,FALSE)</f>
        <v>Privada</v>
      </c>
      <c r="AU52" t="str">
        <f>VLOOKUP(D52,'FLUXO DE CAIXA DESC.-SEM MULT.'!$D$3:$AT$52,43,FALSE)</f>
        <v>Bloco 3 - AM2</v>
      </c>
    </row>
    <row r="53" spans="1:47" x14ac:dyDescent="0.35">
      <c r="B53" s="6"/>
      <c r="C53" s="6"/>
      <c r="D53" s="6"/>
      <c r="H53" s="47" t="s">
        <v>250</v>
      </c>
      <c r="I53" s="8">
        <f>SUBTOTAL(109,I3:I52)</f>
        <v>-1231110055.3977883</v>
      </c>
      <c r="J53" s="8">
        <f>SUBTOTAL(109,J3:J52)</f>
        <v>-1122693694.7841063</v>
      </c>
      <c r="K53" s="8">
        <f>SUBTOTAL(109,K3:K52)</f>
        <v>-1025807911.5986822</v>
      </c>
      <c r="L53" s="8">
        <f>SUBTOTAL(109,L3:L52)</f>
        <v>-77210393.568359196</v>
      </c>
      <c r="M53" s="8">
        <f>SUBTOTAL(109,M3:M52)</f>
        <v>-71357968.537735656</v>
      </c>
      <c r="N53" s="8">
        <f>SUBTOTAL(109,N3:N52)</f>
        <v>-64673947.686129838</v>
      </c>
      <c r="O53" s="8">
        <f>SUBTOTAL(109,O3:O52)</f>
        <v>-58986145.876239337</v>
      </c>
      <c r="P53" s="8">
        <f>SUBTOTAL(109,P3:P52)</f>
        <v>-53576707.469412632</v>
      </c>
      <c r="Q53" s="8">
        <f>SUBTOTAL(109,Q3:Q52)</f>
        <v>-48594472.919068143</v>
      </c>
      <c r="R53" s="8">
        <f>SUBTOTAL(109,R3:R52)</f>
        <v>-44325817.333736837</v>
      </c>
      <c r="S53" s="8">
        <f>SUBTOTAL(109,S3:S52)</f>
        <v>-40239044.096122034</v>
      </c>
      <c r="T53" s="8">
        <f>SUBTOTAL(109,T3:T52)</f>
        <v>-36637775.641416013</v>
      </c>
      <c r="U53" s="8">
        <f>SUBTOTAL(109,U3:U52)</f>
        <v>-33259340.655554492</v>
      </c>
      <c r="V53" s="8">
        <f>SUBTOTAL(109,V3:V52)</f>
        <v>-30181894.329780847</v>
      </c>
      <c r="W53" s="8">
        <f>SUBTOTAL(109,W3:W52)</f>
        <v>-27393693.380724095</v>
      </c>
      <c r="X53" s="8">
        <f>SUBTOTAL(109,X3:X52)</f>
        <v>-25052278.450825933</v>
      </c>
      <c r="Y53" s="8">
        <f>SUBTOTAL(109,Y3:Y52)</f>
        <v>-22977782.854211416</v>
      </c>
      <c r="Z53" s="8">
        <f>SUBTOTAL(109,Z3:Z52)</f>
        <v>-20849411.620272014</v>
      </c>
      <c r="AA53" s="8">
        <f>SUBTOTAL(109,AA3:AA52)</f>
        <v>-18913036.968752425</v>
      </c>
      <c r="AB53" s="8">
        <f>SUBTOTAL(109,AB3:AB52)</f>
        <v>-17345100.484020814</v>
      </c>
      <c r="AC53" s="8">
        <f>SUBTOTAL(109,AC3:AC52)</f>
        <v>-15733293.846952451</v>
      </c>
      <c r="AD53" s="8">
        <f>SUBTOTAL(109,AD3:AD52)</f>
        <v>-14271903.16943709</v>
      </c>
      <c r="AE53" s="8">
        <f>SUBTOTAL(109,AE3:AE52)</f>
        <v>-13105355.371097161</v>
      </c>
      <c r="AF53" s="8">
        <f>SUBTOTAL(109,AF3:AF52)</f>
        <v>-11891255.817792196</v>
      </c>
      <c r="AG53" s="8">
        <f>SUBTOTAL(109,AG3:AG52)</f>
        <v>-10786671.351071883</v>
      </c>
      <c r="AH53" s="8">
        <f>SUBTOTAL(109,AH3:AH52)</f>
        <v>-9840484.4970682133</v>
      </c>
      <c r="AI53" s="8">
        <f>SUBTOTAL(109,AI3:AI52)</f>
        <v>-9225073.1545784492</v>
      </c>
      <c r="AJ53" s="8">
        <f>SUBTOTAL(109,AJ3:AJ52)</f>
        <v>-8370547.7470428823</v>
      </c>
      <c r="AK53" s="8">
        <f>SUBTOTAL(109,AK3:AK52)</f>
        <v>-7605181.9572448209</v>
      </c>
      <c r="AL53" s="8">
        <f>SUBTOTAL(109,AL3:AL52)</f>
        <v>-6972488.723891194</v>
      </c>
      <c r="AM53" s="44">
        <f>SUBTOTAL(109,AM3:AM52)</f>
        <v>-4178988729.289114</v>
      </c>
      <c r="AR53" s="66">
        <f>SUBTOTAL(109,AR3:AR52)</f>
        <v>716225</v>
      </c>
      <c r="AS53" s="69">
        <f t="shared" si="1"/>
        <v>-3966048863.2748566</v>
      </c>
    </row>
    <row r="54" spans="1:47" x14ac:dyDescent="0.35">
      <c r="B54" s="6"/>
      <c r="C54" s="6"/>
      <c r="D54" s="6"/>
      <c r="E54" s="47"/>
      <c r="H54" s="47" t="s">
        <v>285</v>
      </c>
      <c r="I54" s="8">
        <f>I53</f>
        <v>-1231110055.3977883</v>
      </c>
      <c r="J54" s="8">
        <f t="shared" ref="J54:AL54" si="7">J53+I54</f>
        <v>-2353803750.1818943</v>
      </c>
      <c r="K54" s="8">
        <f t="shared" si="7"/>
        <v>-3379611661.7805767</v>
      </c>
      <c r="L54" s="8">
        <f t="shared" si="7"/>
        <v>-3456822055.3489361</v>
      </c>
      <c r="M54" s="8">
        <f t="shared" si="7"/>
        <v>-3528180023.8866715</v>
      </c>
      <c r="N54" s="8">
        <f t="shared" si="7"/>
        <v>-3592853971.5728016</v>
      </c>
      <c r="O54" s="8">
        <f t="shared" si="7"/>
        <v>-3651840117.4490409</v>
      </c>
      <c r="P54" s="8">
        <f t="shared" si="7"/>
        <v>-3705416824.9184537</v>
      </c>
      <c r="Q54" s="8">
        <f t="shared" si="7"/>
        <v>-3754011297.837522</v>
      </c>
      <c r="R54" s="8">
        <f t="shared" si="7"/>
        <v>-3798337115.1712589</v>
      </c>
      <c r="S54" s="8">
        <f t="shared" si="7"/>
        <v>-3838576159.2673812</v>
      </c>
      <c r="T54" s="8">
        <f t="shared" si="7"/>
        <v>-3875213934.9087973</v>
      </c>
      <c r="U54" s="8">
        <f t="shared" si="7"/>
        <v>-3908473275.5643516</v>
      </c>
      <c r="V54" s="8">
        <f t="shared" si="7"/>
        <v>-3938655169.8941326</v>
      </c>
      <c r="W54" s="8">
        <f t="shared" si="7"/>
        <v>-3966048863.2748566</v>
      </c>
      <c r="X54" s="8">
        <f t="shared" si="7"/>
        <v>-3991101141.7256827</v>
      </c>
      <c r="Y54" s="8">
        <f t="shared" si="7"/>
        <v>-4014078924.5798941</v>
      </c>
      <c r="Z54" s="8">
        <f t="shared" si="7"/>
        <v>-4034928336.2001662</v>
      </c>
      <c r="AA54" s="8">
        <f t="shared" si="7"/>
        <v>-4053841373.1689186</v>
      </c>
      <c r="AB54" s="8">
        <f t="shared" si="7"/>
        <v>-4071186473.6529393</v>
      </c>
      <c r="AC54" s="8">
        <f t="shared" si="7"/>
        <v>-4086919767.4998918</v>
      </c>
      <c r="AD54" s="8">
        <f t="shared" si="7"/>
        <v>-4101191670.6693287</v>
      </c>
      <c r="AE54" s="8">
        <f t="shared" si="7"/>
        <v>-4114297026.0404258</v>
      </c>
      <c r="AF54" s="8">
        <f t="shared" si="7"/>
        <v>-4126188281.8582182</v>
      </c>
      <c r="AG54" s="8">
        <f t="shared" si="7"/>
        <v>-4136974953.20929</v>
      </c>
      <c r="AH54" s="8">
        <f t="shared" si="7"/>
        <v>-4146815437.7063584</v>
      </c>
      <c r="AI54" s="8">
        <f t="shared" si="7"/>
        <v>-4156040510.8609371</v>
      </c>
      <c r="AJ54" s="8">
        <f t="shared" si="7"/>
        <v>-4164411058.6079798</v>
      </c>
      <c r="AK54" s="8">
        <f t="shared" si="7"/>
        <v>-4172016240.5652246</v>
      </c>
      <c r="AL54" s="8">
        <f t="shared" si="7"/>
        <v>-4178988729.2891159</v>
      </c>
      <c r="AM54" s="44"/>
      <c r="AS54" s="1"/>
    </row>
    <row r="55" spans="1:47" x14ac:dyDescent="0.35"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spans="1:47" x14ac:dyDescent="0.35">
      <c r="H56" s="47" t="s">
        <v>284</v>
      </c>
      <c r="I56" s="2">
        <v>0</v>
      </c>
      <c r="J56" s="2">
        <v>1</v>
      </c>
      <c r="K56" s="2">
        <v>2</v>
      </c>
      <c r="L56" s="2">
        <v>3</v>
      </c>
      <c r="M56" s="2">
        <v>4</v>
      </c>
      <c r="N56" s="2">
        <v>5</v>
      </c>
      <c r="O56" s="2">
        <v>6</v>
      </c>
      <c r="P56" s="2">
        <v>7</v>
      </c>
      <c r="Q56" s="2">
        <v>8</v>
      </c>
      <c r="R56" s="2">
        <v>9</v>
      </c>
      <c r="S56" s="2">
        <v>10</v>
      </c>
      <c r="T56" s="2">
        <v>11</v>
      </c>
      <c r="U56" s="2">
        <v>12</v>
      </c>
      <c r="V56" s="2">
        <v>13</v>
      </c>
      <c r="W56" s="2">
        <v>14</v>
      </c>
      <c r="X56" s="2">
        <v>15</v>
      </c>
      <c r="Y56" s="2">
        <v>16</v>
      </c>
      <c r="Z56" s="2">
        <v>17</v>
      </c>
      <c r="AA56" s="2">
        <v>18</v>
      </c>
      <c r="AB56" s="2">
        <v>19</v>
      </c>
      <c r="AC56" s="2">
        <v>20</v>
      </c>
      <c r="AD56" s="2">
        <v>21</v>
      </c>
      <c r="AE56" s="2">
        <v>22</v>
      </c>
      <c r="AF56" s="2">
        <v>23</v>
      </c>
      <c r="AG56" s="2">
        <v>24</v>
      </c>
      <c r="AH56" s="2">
        <v>25</v>
      </c>
      <c r="AI56" s="2">
        <v>26</v>
      </c>
      <c r="AJ56" s="2">
        <v>27</v>
      </c>
      <c r="AK56" s="2">
        <v>28</v>
      </c>
      <c r="AL56" s="2">
        <v>29</v>
      </c>
    </row>
    <row r="57" spans="1:47" x14ac:dyDescent="0.35">
      <c r="A57" s="2" t="s">
        <v>254</v>
      </c>
      <c r="B57" s="46">
        <v>9.5500000000000002E-2</v>
      </c>
      <c r="C57" s="2" t="s">
        <v>255</v>
      </c>
      <c r="I57" s="2">
        <f>1/(1+$B$57)^I56</f>
        <v>1</v>
      </c>
      <c r="J57" s="2">
        <f t="shared" ref="J57:AL57" si="8">1/(1+$B$57)^J56</f>
        <v>0.91282519397535378</v>
      </c>
      <c r="K57" s="2">
        <f t="shared" si="8"/>
        <v>0.83324983475614223</v>
      </c>
      <c r="L57" s="2">
        <f t="shared" si="8"/>
        <v>0.76061144204120701</v>
      </c>
      <c r="M57" s="2">
        <f t="shared" si="8"/>
        <v>0.69430528712113837</v>
      </c>
      <c r="N57" s="2">
        <f t="shared" si="8"/>
        <v>0.63377935839446675</v>
      </c>
      <c r="O57" s="2">
        <f t="shared" si="8"/>
        <v>0.57852976576400439</v>
      </c>
      <c r="P57" s="2">
        <f t="shared" si="8"/>
        <v>0.52809654565404329</v>
      </c>
      <c r="Q57" s="2">
        <f t="shared" si="8"/>
        <v>0.48205983172436634</v>
      </c>
      <c r="R57" s="2">
        <f t="shared" si="8"/>
        <v>0.44003635940152108</v>
      </c>
      <c r="S57" s="2">
        <f t="shared" si="8"/>
        <v>0.40167627512690202</v>
      </c>
      <c r="T57" s="2">
        <f t="shared" si="8"/>
        <v>0.36666022375801188</v>
      </c>
      <c r="U57" s="2">
        <f t="shared" si="8"/>
        <v>0.33469668987495382</v>
      </c>
      <c r="V57" s="2">
        <f t="shared" si="8"/>
        <v>0.30551957085801351</v>
      </c>
      <c r="W57" s="2">
        <f t="shared" si="8"/>
        <v>0.27888596153173301</v>
      </c>
      <c r="X57" s="2">
        <f t="shared" si="8"/>
        <v>0.25457413193220724</v>
      </c>
      <c r="Y57" s="2">
        <f t="shared" si="8"/>
        <v>0.23238168136212439</v>
      </c>
      <c r="Z57" s="2">
        <f t="shared" si="8"/>
        <v>0.21212385336570003</v>
      </c>
      <c r="AA57" s="2">
        <f t="shared" si="8"/>
        <v>0.19363199759534466</v>
      </c>
      <c r="AB57" s="2">
        <f t="shared" si="8"/>
        <v>0.17675216576480571</v>
      </c>
      <c r="AC57" s="2">
        <f t="shared" si="8"/>
        <v>0.16134382999982266</v>
      </c>
      <c r="AD57" s="2">
        <f t="shared" si="8"/>
        <v>0.14727871291631461</v>
      </c>
      <c r="AE57" s="2">
        <f t="shared" si="8"/>
        <v>0.13443971968627533</v>
      </c>
      <c r="AF57" s="2">
        <f t="shared" si="8"/>
        <v>0.12271996320061647</v>
      </c>
      <c r="AG57" s="2">
        <f t="shared" si="8"/>
        <v>0.11202187421325101</v>
      </c>
      <c r="AH57" s="2">
        <f t="shared" si="8"/>
        <v>0.10225638905819352</v>
      </c>
      <c r="AI57" s="2">
        <f t="shared" si="8"/>
        <v>9.3342208177264741E-2</v>
      </c>
      <c r="AJ57" s="2">
        <f t="shared" si="8"/>
        <v>8.520511928549955E-2</v>
      </c>
      <c r="AK57" s="2">
        <f t="shared" si="8"/>
        <v>7.7777379539479274E-2</v>
      </c>
      <c r="AL57" s="2">
        <f t="shared" si="8"/>
        <v>7.0997151565019873E-2</v>
      </c>
    </row>
    <row r="59" spans="1:47" x14ac:dyDescent="0.35">
      <c r="A59" s="63" t="s">
        <v>354</v>
      </c>
      <c r="E59" s="63"/>
    </row>
    <row r="60" spans="1:47" x14ac:dyDescent="0.35">
      <c r="E60" s="63"/>
    </row>
  </sheetData>
  <autoFilter ref="A2:AU2" xr:uid="{6A8C1C86-F6EA-4C2D-A641-3758738A5F02}"/>
  <phoneticPr fontId="17" type="noConversion"/>
  <conditionalFormatting sqref="D36:D37">
    <cfRule type="duplicateValues" dxfId="26" priority="248"/>
  </conditionalFormatting>
  <conditionalFormatting sqref="D47:D52 D38">
    <cfRule type="duplicateValues" dxfId="25" priority="249"/>
  </conditionalFormatting>
  <hyperlinks>
    <hyperlink ref="A59" location="Introdução!A1" display="Introdução!A1" xr:uid="{088EF390-1070-4CC6-8F3C-050436A69FDE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0331-7698-4CEE-AA35-2C1F21871304}">
  <sheetPr>
    <tabColor rgb="FF002060"/>
  </sheetPr>
  <dimension ref="A1:AT60"/>
  <sheetViews>
    <sheetView topLeftCell="A16" workbookViewId="0">
      <selection activeCell="I47" sqref="I47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6.269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20.54296875" bestFit="1" customWidth="1"/>
    <col min="46" max="46" width="19.1796875" bestFit="1" customWidth="1"/>
  </cols>
  <sheetData>
    <row r="1" spans="1:46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357</v>
      </c>
      <c r="AT1" s="43" t="s">
        <v>380</v>
      </c>
    </row>
    <row r="2" spans="1:46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357</v>
      </c>
      <c r="AT2" s="56" t="s">
        <v>380</v>
      </c>
    </row>
    <row r="3" spans="1:46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259</v>
      </c>
      <c r="H3" t="s">
        <v>33</v>
      </c>
      <c r="I3" s="1">
        <f>('RECEITAS - BLOCOS PAN'!H3-'OPEX - BLOCOS PAN'!H3-VLOOKUP('FLUXO DE CAIXA DESC.-SEM MULT.'!$D3,'CAPEX - BLOCOS PAN S- MULT.'!$C$3:$H$52,6,FALSE))*I$57</f>
        <v>-29035193.718833331</v>
      </c>
      <c r="J3" s="1">
        <f>('RECEITAS - BLOCOS PAN'!I3-'OPEX - BLOCOS PAN'!I3-VLOOKUP('FLUXO DE CAIXA DESC.-SEM MULT.'!$D3,'CAPEX - BLOCOS PAN S- MULT.'!$C$3:$I$52,7,FALSE))*J$57</f>
        <v>-26447687.49277347</v>
      </c>
      <c r="K3" s="1">
        <f>('RECEITAS - BLOCOS PAN'!J3-'OPEX - BLOCOS PAN'!J3-VLOOKUP('FLUXO DE CAIXA DESC.-SEM MULT.'!$D3,'CAPEX - BLOCOS PAN S- MULT.'!$C$3:$J$52,8,FALSE))*K$57</f>
        <v>-24235658.018463846</v>
      </c>
      <c r="L3" s="1">
        <f>('RECEITAS - BLOCOS PAN'!K3-'OPEX - BLOCOS PAN'!K3-VLOOKUP('FLUXO DE CAIXA DESC.-SEM MULT.'!$D3,'CAPEX - BLOCOS PAN S- MULT.'!$C$3:$K$52,9,FALSE))*L$57</f>
        <v>-1918931.4263862341</v>
      </c>
      <c r="M3" s="1">
        <f>('RECEITAS - BLOCOS PAN'!L3-'OPEX - BLOCOS PAN'!L3-VLOOKUP('FLUXO DE CAIXA DESC.-SEM MULT.'!$D3,'CAPEX - BLOCOS PAN S- MULT.'!$C$3:$L$52,10,FALSE))*M$57</f>
        <v>-1735599.5335262136</v>
      </c>
      <c r="N3" s="1">
        <f>('RECEITAS - BLOCOS PAN'!M3-'OPEX - BLOCOS PAN'!M3-VLOOKUP('FLUXO DE CAIXA DESC.-SEM MULT.'!$D3,'CAPEX - BLOCOS PAN S- MULT.'!$C$3:$M$52,11,FALSE))*N$57</f>
        <v>-1571600.7818335164</v>
      </c>
      <c r="O3" s="1">
        <f>('RECEITAS - BLOCOS PAN'!N3-'OPEX - BLOCOS PAN'!N3-VLOOKUP('FLUXO DE CAIXA DESC.-SEM MULT.'!$D3,'CAPEX - BLOCOS PAN S- MULT.'!$C$3:$N$52,12,FALSE))*O$57</f>
        <v>-1424069.7663215392</v>
      </c>
      <c r="P3" s="1">
        <f>('RECEITAS - BLOCOS PAN'!O3-'OPEX - BLOCOS PAN'!O3-VLOOKUP('FLUXO DE CAIXA DESC.-SEM MULT.'!$D3,'CAPEX - BLOCOS PAN S- MULT.'!$C$3:$O$52,13,FALSE))*P$57</f>
        <v>-1290995.1789252956</v>
      </c>
      <c r="Q3" s="1">
        <f>('RECEITAS - BLOCOS PAN'!P3-'OPEX - BLOCOS PAN'!P3-VLOOKUP('FLUXO DE CAIXA DESC.-SEM MULT.'!$D3,'CAPEX - BLOCOS PAN S- MULT.'!$C$3:$P$52,14,FALSE))*Q$57</f>
        <v>-1171063.2930885006</v>
      </c>
      <c r="R3" s="1">
        <f>('RECEITAS - BLOCOS PAN'!Q3-'OPEX - BLOCOS PAN'!Q3-VLOOKUP('FLUXO DE CAIXA DESC.-SEM MULT.'!$D3,'CAPEX - BLOCOS PAN S- MULT.'!$C$3:$Q$52,15,FALSE))*R$57</f>
        <v>-1062910.7496039348</v>
      </c>
      <c r="S3" s="1">
        <f>('RECEITAS - BLOCOS PAN'!R3-'OPEX - BLOCOS PAN'!R3-VLOOKUP('FLUXO DE CAIXA DESC.-SEM MULT.'!$D3,'CAPEX - BLOCOS PAN S- MULT.'!$C$3:$R$52,16,FALSE))*S$57</f>
        <v>-965214.34649920929</v>
      </c>
      <c r="T3" s="1">
        <f>('RECEITAS - BLOCOS PAN'!S3-'OPEX - BLOCOS PAN'!S3-VLOOKUP('FLUXO DE CAIXA DESC.-SEM MULT.'!$D3,'CAPEX - BLOCOS PAN S- MULT.'!$C$3:$S$52,17,FALSE))*T$57</f>
        <v>-876575.46251306904</v>
      </c>
      <c r="U3" s="1">
        <f>('RECEITAS - BLOCOS PAN'!T3-'OPEX - BLOCOS PAN'!T3-VLOOKUP('FLUXO DE CAIXA DESC.-SEM MULT.'!$D3,'CAPEX - BLOCOS PAN S- MULT.'!$C$3:$T$52,18,FALSE))*U$57</f>
        <v>-796136.55304512288</v>
      </c>
      <c r="V3" s="1">
        <f>('RECEITAS - BLOCOS PAN'!U3-'OPEX - BLOCOS PAN'!U3-VLOOKUP('FLUXO DE CAIXA DESC.-SEM MULT.'!$D3,'CAPEX - BLOCOS PAN S- MULT.'!$C$3:$U$52,19,FALSE))*V$57</f>
        <v>-722964.80141333211</v>
      </c>
      <c r="W3" s="1">
        <f>('RECEITAS - BLOCOS PAN'!V3-'OPEX - BLOCOS PAN'!V3-VLOOKUP('FLUXO DE CAIXA DESC.-SEM MULT.'!$D3,'CAPEX - BLOCOS PAN S- MULT.'!$C$3:$V$52,20,FALSE))*W$57</f>
        <v>-656639.69336526783</v>
      </c>
      <c r="X3" s="1">
        <f>('RECEITAS - BLOCOS PAN'!W3-'OPEX - BLOCOS PAN'!W3-VLOOKUP('FLUXO DE CAIXA DESC.-SEM MULT.'!$D3,'CAPEX - BLOCOS PAN S- MULT.'!$C$3:$W$52,21,FALSE))*X$57</f>
        <v>-596351.36966277903</v>
      </c>
      <c r="Y3" s="1">
        <f>('RECEITAS - BLOCOS PAN'!X3-'OPEX - BLOCOS PAN'!X3-VLOOKUP('FLUXO DE CAIXA DESC.-SEM MULT.'!$D3,'CAPEX - BLOCOS PAN S- MULT.'!$C$3:$X$52,22,FALSE))*Y$57</f>
        <v>-541620.79794215993</v>
      </c>
      <c r="Z3" s="1">
        <f>('RECEITAS - BLOCOS PAN'!Y3-'OPEX - BLOCOS PAN'!Y3-VLOOKUP('FLUXO DE CAIXA DESC.-SEM MULT.'!$D3,'CAPEX - BLOCOS PAN S- MULT.'!$C$3:$Y$52,23,FALSE))*Z$57</f>
        <v>-491824.77818049421</v>
      </c>
      <c r="AA3" s="1">
        <f>('RECEITAS - BLOCOS PAN'!Z3-'OPEX - BLOCOS PAN'!Z3-VLOOKUP('FLUXO DE CAIXA DESC.-SEM MULT.'!$D3,'CAPEX - BLOCOS PAN S- MULT.'!$C$3:$Z$52,24,FALSE))*AA$57</f>
        <v>-446586.37355232873</v>
      </c>
      <c r="AB3" s="1">
        <f>('RECEITAS - BLOCOS PAN'!AA3-'OPEX - BLOCOS PAN'!AA3-VLOOKUP('FLUXO DE CAIXA DESC.-SEM MULT.'!$D3,'CAPEX - BLOCOS PAN S- MULT.'!$C$3:$AA$52,25,FALSE))*AB$57</f>
        <v>-405480.14451948169</v>
      </c>
      <c r="AC3" s="1">
        <f>('RECEITAS - BLOCOS PAN'!AB3-'OPEX - BLOCOS PAN'!AB3-VLOOKUP('FLUXO DE CAIXA DESC.-SEM MULT.'!$D3,'CAPEX - BLOCOS PAN S- MULT.'!$C$3:$AB$52,26,FALSE))*AC$57</f>
        <v>-368238.88360174379</v>
      </c>
      <c r="AD3" s="1">
        <f>('RECEITAS - BLOCOS PAN'!AC3-'OPEX - BLOCOS PAN'!AC3-VLOOKUP('FLUXO DE CAIXA DESC.-SEM MULT.'!$D3,'CAPEX - BLOCOS PAN S- MULT.'!$C$3:$AC$52,27,FALSE))*AD$57</f>
        <v>-334400.8942152175</v>
      </c>
      <c r="AE3" s="1">
        <f>('RECEITAS - BLOCOS PAN'!AD3-'OPEX - BLOCOS PAN'!AD3-VLOOKUP('FLUXO DE CAIXA DESC.-SEM MULT.'!$D3,'CAPEX - BLOCOS PAN S- MULT.'!$C$3:$AD$52,28,FALSE))*AE$57</f>
        <v>-447079.61170888122</v>
      </c>
      <c r="AF3" s="1">
        <f>('RECEITAS - BLOCOS PAN'!AE3-'OPEX - BLOCOS PAN'!AE3-VLOOKUP('FLUXO DE CAIXA DESC.-SEM MULT.'!$D3,'CAPEX - BLOCOS PAN S- MULT.'!$C$3:$AE$52,29,FALSE))*AF$57</f>
        <v>-406615.68910738506</v>
      </c>
      <c r="AG3" s="1">
        <f>('RECEITAS - BLOCOS PAN'!AF3-'OPEX - BLOCOS PAN'!AF3-VLOOKUP('FLUXO DE CAIXA DESC.-SEM MULT.'!$D3,'CAPEX - BLOCOS PAN S- MULT.'!$C$3:$AF$52,30,FALSE))*AG$57</f>
        <v>-369873.87604262022</v>
      </c>
      <c r="AH3" s="1">
        <f>('RECEITAS - BLOCOS PAN'!AG3-'OPEX - BLOCOS PAN'!AG3-VLOOKUP('FLUXO DE CAIXA DESC.-SEM MULT.'!$D3,'CAPEX - BLOCOS PAN S- MULT.'!$C$3:$AG$52,31,FALSE))*AH$57</f>
        <v>-336451.11863274052</v>
      </c>
      <c r="AI3" s="1">
        <f>('RECEITAS - BLOCOS PAN'!AH3-'OPEX - BLOCOS PAN'!AH3-VLOOKUP('FLUXO DE CAIXA DESC.-SEM MULT.'!$D3,'CAPEX - BLOCOS PAN S- MULT.'!$C$3:$AH$52,32,FALSE))*AI$57</f>
        <v>-306117.18475035555</v>
      </c>
      <c r="AJ3" s="1">
        <f>('RECEITAS - BLOCOS PAN'!AI3-'OPEX - BLOCOS PAN'!AI3-VLOOKUP('FLUXO DE CAIXA DESC.-SEM MULT.'!$D3,'CAPEX - BLOCOS PAN S- MULT.'!$C$3:$AI$52,33,FALSE))*AJ$57</f>
        <v>-278524.37421542028</v>
      </c>
      <c r="AK3" s="1">
        <f>('RECEITAS - BLOCOS PAN'!AJ3-'OPEX - BLOCOS PAN'!AJ3-VLOOKUP('FLUXO DE CAIXA DESC.-SEM MULT.'!$D3,'CAPEX - BLOCOS PAN S- MULT.'!$C$3:$AJ$52,34,FALSE))*AK$57</f>
        <v>-253386.16755602779</v>
      </c>
      <c r="AL3" s="1">
        <f>('RECEITAS - BLOCOS PAN'!AK3-'OPEX - BLOCOS PAN'!AK3-VLOOKUP('FLUXO DE CAIXA DESC.-SEM MULT.'!$D3,'CAPEX - BLOCOS PAN S- MULT.'!$C$3:$AK$52,35,FALSE))*AL$57</f>
        <v>-230505.08381424163</v>
      </c>
      <c r="AM3" s="44">
        <f t="shared" ref="AM3:AM52" si="0">SUM(I3:AL3)</f>
        <v>-99724297.164093733</v>
      </c>
      <c r="AN3">
        <v>1</v>
      </c>
      <c r="AO3" t="s">
        <v>309</v>
      </c>
      <c r="AP3">
        <v>-4.2333333333333334</v>
      </c>
      <c r="AQ3">
        <v>-56</v>
      </c>
      <c r="AR3" s="48">
        <f>VLOOKUP(D3,'Projeção - Demanda PAX'!$C$3:$H$37,6,FALSE)</f>
        <v>22897</v>
      </c>
      <c r="AS3" s="1">
        <f>SUM(I3:W3)</f>
        <v>-93911240.816591874</v>
      </c>
      <c r="AT3" t="s">
        <v>384</v>
      </c>
    </row>
    <row r="4" spans="1:46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258</v>
      </c>
      <c r="H4" t="s">
        <v>33</v>
      </c>
      <c r="I4" s="1">
        <f>('RECEITAS - BLOCOS PAN'!H4-'OPEX - BLOCOS PAN'!H4-VLOOKUP('FLUXO DE CAIXA DESC.-SEM MULT.'!$D4,'CAPEX - BLOCOS PAN S- MULT.'!$C$3:$H$52,6,FALSE))*I$57</f>
        <v>-21167315.011633333</v>
      </c>
      <c r="J4" s="1">
        <f>('RECEITAS - BLOCOS PAN'!I4-'OPEX - BLOCOS PAN'!I4-VLOOKUP('FLUXO DE CAIXA DESC.-SEM MULT.'!$D4,'CAPEX - BLOCOS PAN S- MULT.'!$C$3:$I$52,7,FALSE))*J$57</f>
        <v>-19277499.454982504</v>
      </c>
      <c r="K4" s="1">
        <f>('RECEITAS - BLOCOS PAN'!J4-'OPEX - BLOCOS PAN'!J4-VLOOKUP('FLUXO DE CAIXA DESC.-SEM MULT.'!$D4,'CAPEX - BLOCOS PAN S- MULT.'!$C$3:$J$52,8,FALSE))*K$57</f>
        <v>-17710697.130836125</v>
      </c>
      <c r="L4" s="1">
        <f>('RECEITAS - BLOCOS PAN'!K4-'OPEX - BLOCOS PAN'!K4-VLOOKUP('FLUXO DE CAIXA DESC.-SEM MULT.'!$D4,'CAPEX - BLOCOS PAN S- MULT.'!$C$3:$K$52,9,FALSE))*L$57</f>
        <v>-1900060.0449015312</v>
      </c>
      <c r="M4" s="1">
        <f>('RECEITAS - BLOCOS PAN'!L4-'OPEX - BLOCOS PAN'!L4-VLOOKUP('FLUXO DE CAIXA DESC.-SEM MULT.'!$D4,'CAPEX - BLOCOS PAN S- MULT.'!$C$3:$L$52,10,FALSE))*M$57</f>
        <v>-1717591.1092148651</v>
      </c>
      <c r="N4" s="1">
        <f>('RECEITAS - BLOCOS PAN'!M4-'OPEX - BLOCOS PAN'!M4-VLOOKUP('FLUXO DE CAIXA DESC.-SEM MULT.'!$D4,'CAPEX - BLOCOS PAN S- MULT.'!$C$3:$M$52,11,FALSE))*N$57</f>
        <v>-1553797.5658805785</v>
      </c>
      <c r="O4" s="1">
        <f>('RECEITAS - BLOCOS PAN'!N4-'OPEX - BLOCOS PAN'!N4-VLOOKUP('FLUXO DE CAIXA DESC.-SEM MULT.'!$D4,'CAPEX - BLOCOS PAN S- MULT.'!$C$3:$N$52,12,FALSE))*O$57</f>
        <v>-1406185.0984733291</v>
      </c>
      <c r="P4" s="1">
        <f>('RECEITAS - BLOCOS PAN'!O4-'OPEX - BLOCOS PAN'!O4-VLOOKUP('FLUXO DE CAIXA DESC.-SEM MULT.'!$D4,'CAPEX - BLOCOS PAN S- MULT.'!$C$3:$O$52,13,FALSE))*P$57</f>
        <v>-1272820.3560242893</v>
      </c>
      <c r="Q4" s="1">
        <f>('RECEITAS - BLOCOS PAN'!P4-'OPEX - BLOCOS PAN'!P4-VLOOKUP('FLUXO DE CAIXA DESC.-SEM MULT.'!$D4,'CAPEX - BLOCOS PAN S- MULT.'!$C$3:$P$52,14,FALSE))*Q$57</f>
        <v>-1152565.607081481</v>
      </c>
      <c r="R4" s="1">
        <f>('RECEITAS - BLOCOS PAN'!Q4-'OPEX - BLOCOS PAN'!Q4-VLOOKUP('FLUXO DE CAIXA DESC.-SEM MULT.'!$D4,'CAPEX - BLOCOS PAN S- MULT.'!$C$3:$Q$52,15,FALSE))*R$57</f>
        <v>-1044334.9435309712</v>
      </c>
      <c r="S4" s="1">
        <f>('RECEITAS - BLOCOS PAN'!R4-'OPEX - BLOCOS PAN'!R4-VLOOKUP('FLUXO DE CAIXA DESC.-SEM MULT.'!$D4,'CAPEX - BLOCOS PAN S- MULT.'!$C$3:$R$52,16,FALSE))*S$57</f>
        <v>-946656.43543883844</v>
      </c>
      <c r="T4" s="1">
        <f>('RECEITAS - BLOCOS PAN'!S4-'OPEX - BLOCOS PAN'!S4-VLOOKUP('FLUXO DE CAIXA DESC.-SEM MULT.'!$D4,'CAPEX - BLOCOS PAN S- MULT.'!$C$3:$S$52,17,FALSE))*T$57</f>
        <v>-858097.91177499993</v>
      </c>
      <c r="U4" s="1">
        <f>('RECEITAS - BLOCOS PAN'!T4-'OPEX - BLOCOS PAN'!T4-VLOOKUP('FLUXO DE CAIXA DESC.-SEM MULT.'!$D4,'CAPEX - BLOCOS PAN S- MULT.'!$C$3:$T$52,18,FALSE))*U$57</f>
        <v>-777823.87016272685</v>
      </c>
      <c r="V4" s="1">
        <f>('RECEITAS - BLOCOS PAN'!U4-'OPEX - BLOCOS PAN'!U4-VLOOKUP('FLUXO DE CAIXA DESC.-SEM MULT.'!$D4,'CAPEX - BLOCOS PAN S- MULT.'!$C$3:$U$52,19,FALSE))*V$57</f>
        <v>-704889.24924584478</v>
      </c>
      <c r="W4" s="1">
        <f>('RECEITAS - BLOCOS PAN'!V4-'OPEX - BLOCOS PAN'!V4-VLOOKUP('FLUXO DE CAIXA DESC.-SEM MULT.'!$D4,'CAPEX - BLOCOS PAN S- MULT.'!$C$3:$V$52,20,FALSE))*W$57</f>
        <v>-638811.41905259795</v>
      </c>
      <c r="X4" s="1">
        <f>('RECEITAS - BLOCOS PAN'!W4-'OPEX - BLOCOS PAN'!W4-VLOOKUP('FLUXO DE CAIXA DESC.-SEM MULT.'!$D4,'CAPEX - BLOCOS PAN S- MULT.'!$C$3:$W$52,21,FALSE))*X$57</f>
        <v>-578835.75159518281</v>
      </c>
      <c r="Y4" s="1">
        <f>('RECEITAS - BLOCOS PAN'!X4-'OPEX - BLOCOS PAN'!X4-VLOOKUP('FLUXO DE CAIXA DESC.-SEM MULT.'!$D4,'CAPEX - BLOCOS PAN S- MULT.'!$C$3:$X$52,22,FALSE))*Y$57</f>
        <v>-771425.77689050371</v>
      </c>
      <c r="Z4" s="1">
        <f>('RECEITAS - BLOCOS PAN'!Y4-'OPEX - BLOCOS PAN'!Y4-VLOOKUP('FLUXO DE CAIXA DESC.-SEM MULT.'!$D4,'CAPEX - BLOCOS PAN S- MULT.'!$C$3:$Y$52,23,FALSE))*Z$57</f>
        <v>-700140.02138720255</v>
      </c>
      <c r="AA4" s="1">
        <f>('RECEITAS - BLOCOS PAN'!Z4-'OPEX - BLOCOS PAN'!Z4-VLOOKUP('FLUXO DE CAIXA DESC.-SEM MULT.'!$D4,'CAPEX - BLOCOS PAN S- MULT.'!$C$3:$Z$52,24,FALSE))*AA$57</f>
        <v>-635373.26920824649</v>
      </c>
      <c r="AB4" s="1">
        <f>('RECEITAS - BLOCOS PAN'!AA4-'OPEX - BLOCOS PAN'!AA4-VLOOKUP('FLUXO DE CAIXA DESC.-SEM MULT.'!$D4,'CAPEX - BLOCOS PAN S- MULT.'!$C$3:$AA$52,25,FALSE))*AB$57</f>
        <v>-576531.24012586288</v>
      </c>
      <c r="AC4" s="1">
        <f>('RECEITAS - BLOCOS PAN'!AB4-'OPEX - BLOCOS PAN'!AB4-VLOOKUP('FLUXO DE CAIXA DESC.-SEM MULT.'!$D4,'CAPEX - BLOCOS PAN S- MULT.'!$C$3:$AB$52,26,FALSE))*AC$57</f>
        <v>-523152.99453344673</v>
      </c>
      <c r="AD4" s="1">
        <f>('RECEITAS - BLOCOS PAN'!AC4-'OPEX - BLOCOS PAN'!AC4-VLOOKUP('FLUXO DE CAIXA DESC.-SEM MULT.'!$D4,'CAPEX - BLOCOS PAN S- MULT.'!$C$3:$AC$52,27,FALSE))*AD$57</f>
        <v>-474674.20927345002</v>
      </c>
      <c r="AE4" s="1">
        <f>('RECEITAS - BLOCOS PAN'!AD4-'OPEX - BLOCOS PAN'!AD4-VLOOKUP('FLUXO DE CAIXA DESC.-SEM MULT.'!$D4,'CAPEX - BLOCOS PAN S- MULT.'!$C$3:$AD$52,28,FALSE))*AE$57</f>
        <v>-430684.50610375102</v>
      </c>
      <c r="AF4" s="1">
        <f>('RECEITAS - BLOCOS PAN'!AE4-'OPEX - BLOCOS PAN'!AE4-VLOOKUP('FLUXO DE CAIXA DESC.-SEM MULT.'!$D4,'CAPEX - BLOCOS PAN S- MULT.'!$C$3:$AE$52,29,FALSE))*AF$57</f>
        <v>-390709.53483968717</v>
      </c>
      <c r="AG4" s="1">
        <f>('RECEITAS - BLOCOS PAN'!AF4-'OPEX - BLOCOS PAN'!AF4-VLOOKUP('FLUXO DE CAIXA DESC.-SEM MULT.'!$D4,'CAPEX - BLOCOS PAN S- MULT.'!$C$3:$AF$52,30,FALSE))*AG$57</f>
        <v>-354406.39072072541</v>
      </c>
      <c r="AH4" s="1">
        <f>('RECEITAS - BLOCOS PAN'!AG4-'OPEX - BLOCOS PAN'!AG4-VLOOKUP('FLUXO DE CAIXA DESC.-SEM MULT.'!$D4,'CAPEX - BLOCOS PAN S- MULT.'!$C$3:$AG$52,31,FALSE))*AH$57</f>
        <v>-321446.50117597397</v>
      </c>
      <c r="AI4" s="1">
        <f>('RECEITAS - BLOCOS PAN'!AH4-'OPEX - BLOCOS PAN'!AH4-VLOOKUP('FLUXO DE CAIXA DESC.-SEM MULT.'!$D4,'CAPEX - BLOCOS PAN S- MULT.'!$C$3:$AH$52,32,FALSE))*AI$57</f>
        <v>-291584.7554663872</v>
      </c>
      <c r="AJ4" s="1">
        <f>('RECEITAS - BLOCOS PAN'!AI4-'OPEX - BLOCOS PAN'!AI4-VLOOKUP('FLUXO DE CAIXA DESC.-SEM MULT.'!$D4,'CAPEX - BLOCOS PAN S- MULT.'!$C$3:$AI$52,33,FALSE))*AJ$57</f>
        <v>-264470.29622294457</v>
      </c>
      <c r="AK4" s="1">
        <f>('RECEITAS - BLOCOS PAN'!AJ4-'OPEX - BLOCOS PAN'!AJ4-VLOOKUP('FLUXO DE CAIXA DESC.-SEM MULT.'!$D4,'CAPEX - BLOCOS PAN S- MULT.'!$C$3:$AJ$52,34,FALSE))*AK$57</f>
        <v>-239841.17264177871</v>
      </c>
      <c r="AL4" s="1">
        <f>('RECEITAS - BLOCOS PAN'!AK4-'OPEX - BLOCOS PAN'!AK4-VLOOKUP('FLUXO DE CAIXA DESC.-SEM MULT.'!$D4,'CAPEX - BLOCOS PAN S- MULT.'!$C$3:$AK$52,35,FALSE))*AL$57</f>
        <v>-217463.25551156796</v>
      </c>
      <c r="AM4" s="44">
        <f t="shared" si="0"/>
        <v>-78899884.883930758</v>
      </c>
      <c r="AN4">
        <v>0</v>
      </c>
      <c r="AO4" t="s">
        <v>310</v>
      </c>
      <c r="AP4">
        <v>-12.466666666666667</v>
      </c>
      <c r="AQ4">
        <v>-41.266666666666666</v>
      </c>
      <c r="AR4" s="48">
        <f>VLOOKUP(D4,'Projeção - Demanda PAX'!$C$3:$H$37,6,FALSE)</f>
        <v>25525</v>
      </c>
      <c r="AS4" s="1">
        <f t="shared" ref="AS4:AS53" si="1">SUM(I4:W4)</f>
        <v>-72129145.208234042</v>
      </c>
      <c r="AT4" t="s">
        <v>387</v>
      </c>
    </row>
    <row r="5" spans="1:46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259</v>
      </c>
      <c r="H5" t="s">
        <v>33</v>
      </c>
      <c r="I5" s="1">
        <f>('RECEITAS - BLOCOS PAN'!H5-'OPEX - BLOCOS PAN'!H5-VLOOKUP('FLUXO DE CAIXA DESC.-SEM MULT.'!$D5,'CAPEX - BLOCOS PAN S- MULT.'!$C$3:$H$52,6,FALSE))*I$57</f>
        <v>-14049549.1217</v>
      </c>
      <c r="J5" s="1">
        <f>('RECEITAS - BLOCOS PAN'!I5-'OPEX - BLOCOS PAN'!I5-VLOOKUP('FLUXO DE CAIXA DESC.-SEM MULT.'!$D5,'CAPEX - BLOCOS PAN S- MULT.'!$C$3:$I$52,7,FALSE))*J$57</f>
        <v>-12821884.690734826</v>
      </c>
      <c r="K5" s="1">
        <f>('RECEITAS - BLOCOS PAN'!J5-'OPEX - BLOCOS PAN'!J5-VLOOKUP('FLUXO DE CAIXA DESC.-SEM MULT.'!$D5,'CAPEX - BLOCOS PAN S- MULT.'!$C$3:$J$52,8,FALSE))*K$57</f>
        <v>-11702144.588261053</v>
      </c>
      <c r="L5" s="1">
        <f>('RECEITAS - BLOCOS PAN'!K5-'OPEX - BLOCOS PAN'!K5-VLOOKUP('FLUXO DE CAIXA DESC.-SEM MULT.'!$D5,'CAPEX - BLOCOS PAN S- MULT.'!$C$3:$K$52,9,FALSE))*L$57</f>
        <v>-2038771.4731732842</v>
      </c>
      <c r="M5" s="1">
        <f>('RECEITAS - BLOCOS PAN'!L5-'OPEX - BLOCOS PAN'!L5-VLOOKUP('FLUXO DE CAIXA DESC.-SEM MULT.'!$D5,'CAPEX - BLOCOS PAN S- MULT.'!$C$3:$L$52,10,FALSE))*M$57</f>
        <v>-1859999.4809403422</v>
      </c>
      <c r="N5" s="1">
        <f>('RECEITAS - BLOCOS PAN'!M5-'OPEX - BLOCOS PAN'!M5-VLOOKUP('FLUXO DE CAIXA DESC.-SEM MULT.'!$D5,'CAPEX - BLOCOS PAN S- MULT.'!$C$3:$M$52,11,FALSE))*N$57</f>
        <v>-1696975.2839940933</v>
      </c>
      <c r="O5" s="1">
        <f>('RECEITAS - BLOCOS PAN'!N5-'OPEX - BLOCOS PAN'!N5-VLOOKUP('FLUXO DE CAIXA DESC.-SEM MULT.'!$D5,'CAPEX - BLOCOS PAN S- MULT.'!$C$3:$N$52,12,FALSE))*O$57</f>
        <v>-1548297.2355039928</v>
      </c>
      <c r="P5" s="1">
        <f>('RECEITAS - BLOCOS PAN'!O5-'OPEX - BLOCOS PAN'!O5-VLOOKUP('FLUXO DE CAIXA DESC.-SEM MULT.'!$D5,'CAPEX - BLOCOS PAN S- MULT.'!$C$3:$O$52,13,FALSE))*P$57</f>
        <v>-1412675.2803874707</v>
      </c>
      <c r="Q5" s="1">
        <f>('RECEITAS - BLOCOS PAN'!P5-'OPEX - BLOCOS PAN'!P5-VLOOKUP('FLUXO DE CAIXA DESC.-SEM MULT.'!$D5,'CAPEX - BLOCOS PAN S- MULT.'!$C$3:$P$52,14,FALSE))*Q$57</f>
        <v>-1288987.9053097682</v>
      </c>
      <c r="R5" s="1">
        <f>('RECEITAS - BLOCOS PAN'!Q5-'OPEX - BLOCOS PAN'!Q5-VLOOKUP('FLUXO DE CAIXA DESC.-SEM MULT.'!$D5,'CAPEX - BLOCOS PAN S- MULT.'!$C$3:$Q$52,15,FALSE))*R$57</f>
        <v>-1176167.5793331361</v>
      </c>
      <c r="S5" s="1">
        <f>('RECEITAS - BLOCOS PAN'!R5-'OPEX - BLOCOS PAN'!R5-VLOOKUP('FLUXO DE CAIXA DESC.-SEM MULT.'!$D5,'CAPEX - BLOCOS PAN S- MULT.'!$C$3:$R$52,16,FALSE))*S$57</f>
        <v>-1073250.5584972315</v>
      </c>
      <c r="T5" s="1">
        <f>('RECEITAS - BLOCOS PAN'!S5-'OPEX - BLOCOS PAN'!S5-VLOOKUP('FLUXO DE CAIXA DESC.-SEM MULT.'!$D5,'CAPEX - BLOCOS PAN S- MULT.'!$C$3:$S$52,17,FALSE))*T$57</f>
        <v>-979331.72820585617</v>
      </c>
      <c r="U5" s="1">
        <f>('RECEITAS - BLOCOS PAN'!T5-'OPEX - BLOCOS PAN'!T5-VLOOKUP('FLUXO DE CAIXA DESC.-SEM MULT.'!$D5,'CAPEX - BLOCOS PAN S- MULT.'!$C$3:$T$52,18,FALSE))*U$57</f>
        <v>-893633.0391519909</v>
      </c>
      <c r="V5" s="1">
        <f>('RECEITAS - BLOCOS PAN'!U5-'OPEX - BLOCOS PAN'!U5-VLOOKUP('FLUXO DE CAIXA DESC.-SEM MULT.'!$D5,'CAPEX - BLOCOS PAN S- MULT.'!$C$3:$U$52,19,FALSE))*V$57</f>
        <v>-815442.40715189499</v>
      </c>
      <c r="W5" s="1">
        <f>('RECEITAS - BLOCOS PAN'!V5-'OPEX - BLOCOS PAN'!V5-VLOOKUP('FLUXO DE CAIXA DESC.-SEM MULT.'!$D5,'CAPEX - BLOCOS PAN S- MULT.'!$C$3:$V$52,20,FALSE))*W$57</f>
        <v>-744093.16456707031</v>
      </c>
      <c r="X5" s="1">
        <f>('RECEITAS - BLOCOS PAN'!W5-'OPEX - BLOCOS PAN'!W5-VLOOKUP('FLUXO DE CAIXA DESC.-SEM MULT.'!$D5,'CAPEX - BLOCOS PAN S- MULT.'!$C$3:$W$52,21,FALSE))*X$57</f>
        <v>-678986.72375453392</v>
      </c>
      <c r="Y5" s="1">
        <f>('RECEITAS - BLOCOS PAN'!X5-'OPEX - BLOCOS PAN'!X5-VLOOKUP('FLUXO DE CAIXA DESC.-SEM MULT.'!$D5,'CAPEX - BLOCOS PAN S- MULT.'!$C$3:$X$52,22,FALSE))*Y$57</f>
        <v>-619583.51514733967</v>
      </c>
      <c r="Z5" s="1">
        <f>('RECEITAS - BLOCOS PAN'!Y5-'OPEX - BLOCOS PAN'!Y5-VLOOKUP('FLUXO DE CAIXA DESC.-SEM MULT.'!$D5,'CAPEX - BLOCOS PAN S- MULT.'!$C$3:$Y$52,23,FALSE))*Z$57</f>
        <v>-565368.20939806418</v>
      </c>
      <c r="AA5" s="1">
        <f>('RECEITAS - BLOCOS PAN'!Z5-'OPEX - BLOCOS PAN'!Z5-VLOOKUP('FLUXO DE CAIXA DESC.-SEM MULT.'!$D5,'CAPEX - BLOCOS PAN S- MULT.'!$C$3:$Z$52,24,FALSE))*AA$57</f>
        <v>-515896.82918905915</v>
      </c>
      <c r="AB5" s="1">
        <f>('RECEITAS - BLOCOS PAN'!AA5-'OPEX - BLOCOS PAN'!AA5-VLOOKUP('FLUXO DE CAIXA DESC.-SEM MULT.'!$D5,'CAPEX - BLOCOS PAN S- MULT.'!$C$3:$AA$52,25,FALSE))*AB$57</f>
        <v>-470749.22435904387</v>
      </c>
      <c r="AC5" s="1">
        <f>('RECEITAS - BLOCOS PAN'!AB5-'OPEX - BLOCOS PAN'!AB5-VLOOKUP('FLUXO DE CAIXA DESC.-SEM MULT.'!$D5,'CAPEX - BLOCOS PAN S- MULT.'!$C$3:$AB$52,26,FALSE))*AC$57</f>
        <v>-429564.09226354555</v>
      </c>
      <c r="AD5" s="1">
        <f>('RECEITAS - BLOCOS PAN'!AC5-'OPEX - BLOCOS PAN'!AC5-VLOOKUP('FLUXO DE CAIXA DESC.-SEM MULT.'!$D5,'CAPEX - BLOCOS PAN S- MULT.'!$C$3:$AC$52,27,FALSE))*AD$57</f>
        <v>-391980.03228465241</v>
      </c>
      <c r="AE5" s="1">
        <f>('RECEITAS - BLOCOS PAN'!AD5-'OPEX - BLOCOS PAN'!AD5-VLOOKUP('FLUXO DE CAIXA DESC.-SEM MULT.'!$D5,'CAPEX - BLOCOS PAN S- MULT.'!$C$3:$AD$52,28,FALSE))*AE$57</f>
        <v>-357686.21150751878</v>
      </c>
      <c r="AF5" s="1">
        <f>('RECEITAS - BLOCOS PAN'!AE5-'OPEX - BLOCOS PAN'!AE5-VLOOKUP('FLUXO DE CAIXA DESC.-SEM MULT.'!$D5,'CAPEX - BLOCOS PAN S- MULT.'!$C$3:$AE$52,29,FALSE))*AF$57</f>
        <v>-326397.93821358396</v>
      </c>
      <c r="AG5" s="1">
        <f>('RECEITAS - BLOCOS PAN'!AF5-'OPEX - BLOCOS PAN'!AF5-VLOOKUP('FLUXO DE CAIXA DESC.-SEM MULT.'!$D5,'CAPEX - BLOCOS PAN S- MULT.'!$C$3:$AF$52,30,FALSE))*AG$57</f>
        <v>-297851.35168716463</v>
      </c>
      <c r="AH5" s="1">
        <f>('RECEITAS - BLOCOS PAN'!AG5-'OPEX - BLOCOS PAN'!AG5-VLOOKUP('FLUXO DE CAIXA DESC.-SEM MULT.'!$D5,'CAPEX - BLOCOS PAN S- MULT.'!$C$3:$AG$52,31,FALSE))*AH$57</f>
        <v>-271801.40767810051</v>
      </c>
      <c r="AI5" s="1">
        <f>('RECEITAS - BLOCOS PAN'!AH5-'OPEX - BLOCOS PAN'!AH5-VLOOKUP('FLUXO DE CAIXA DESC.-SEM MULT.'!$D5,'CAPEX - BLOCOS PAN S- MULT.'!$C$3:$AH$52,32,FALSE))*AI$57</f>
        <v>-248033.76004790072</v>
      </c>
      <c r="AJ5" s="1">
        <f>('RECEITAS - BLOCOS PAN'!AI5-'OPEX - BLOCOS PAN'!AI5-VLOOKUP('FLUXO DE CAIXA DESC.-SEM MULT.'!$D5,'CAPEX - BLOCOS PAN S- MULT.'!$C$3:$AI$52,33,FALSE))*AJ$57</f>
        <v>-226345.67069786691</v>
      </c>
      <c r="AK5" s="1">
        <f>('RECEITAS - BLOCOS PAN'!AJ5-'OPEX - BLOCOS PAN'!AJ5-VLOOKUP('FLUXO DE CAIXA DESC.-SEM MULT.'!$D5,'CAPEX - BLOCOS PAN S- MULT.'!$C$3:$AJ$52,34,FALSE))*AK$57</f>
        <v>-206553.9718688885</v>
      </c>
      <c r="AL5" s="1">
        <f>('RECEITAS - BLOCOS PAN'!AK5-'OPEX - BLOCOS PAN'!AK5-VLOOKUP('FLUXO DE CAIXA DESC.-SEM MULT.'!$D5,'CAPEX - BLOCOS PAN S- MULT.'!$C$3:$AK$52,35,FALSE))*AL$57</f>
        <v>-188491.83102985783</v>
      </c>
      <c r="AM5" s="44">
        <f t="shared" si="0"/>
        <v>-59896494.306039117</v>
      </c>
      <c r="AN5">
        <v>1</v>
      </c>
      <c r="AO5" t="s">
        <v>311</v>
      </c>
      <c r="AP5">
        <v>-0.96666666666666667</v>
      </c>
      <c r="AQ5">
        <v>-62.916666666666664</v>
      </c>
      <c r="AR5" s="48">
        <f>VLOOKUP(D5,'Projeção - Demanda PAX'!$C$3:$H$37,6,FALSE)</f>
        <v>1501</v>
      </c>
      <c r="AS5" s="1">
        <f t="shared" si="1"/>
        <v>-54101203.536912002</v>
      </c>
      <c r="AT5" t="s">
        <v>382</v>
      </c>
    </row>
    <row r="6" spans="1:46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259</v>
      </c>
      <c r="H6" t="s">
        <v>33</v>
      </c>
      <c r="I6" s="1">
        <f>('RECEITAS - BLOCOS PAN'!H6-'OPEX - BLOCOS PAN'!H6-VLOOKUP('FLUXO DE CAIXA DESC.-SEM MULT.'!$D6,'CAPEX - BLOCOS PAN S- MULT.'!$C$3:$H$52,6,FALSE))*I$57</f>
        <v>-16427388.263599999</v>
      </c>
      <c r="J6" s="1">
        <f>('RECEITAS - BLOCOS PAN'!I6-'OPEX - BLOCOS PAN'!I6-VLOOKUP('FLUXO DE CAIXA DESC.-SEM MULT.'!$D6,'CAPEX - BLOCOS PAN S- MULT.'!$C$3:$I$52,7,FALSE))*J$57</f>
        <v>-14969585.078046555</v>
      </c>
      <c r="K6" s="1">
        <f>('RECEITAS - BLOCOS PAN'!J6-'OPEX - BLOCOS PAN'!J6-VLOOKUP('FLUXO DE CAIXA DESC.-SEM MULT.'!$D6,'CAPEX - BLOCOS PAN S- MULT.'!$C$3:$J$52,8,FALSE))*K$57</f>
        <v>-13645215.837996235</v>
      </c>
      <c r="L6" s="1">
        <f>('RECEITAS - BLOCOS PAN'!K6-'OPEX - BLOCOS PAN'!K6-VLOOKUP('FLUXO DE CAIXA DESC.-SEM MULT.'!$D6,'CAPEX - BLOCOS PAN S- MULT.'!$C$3:$K$52,9,FALSE))*L$57</f>
        <v>-1846496.5567118595</v>
      </c>
      <c r="M6" s="1">
        <f>('RECEITAS - BLOCOS PAN'!L6-'OPEX - BLOCOS PAN'!L6-VLOOKUP('FLUXO DE CAIXA DESC.-SEM MULT.'!$D6,'CAPEX - BLOCOS PAN S- MULT.'!$C$3:$L$52,10,FALSE))*M$57</f>
        <v>-1674299.5299619292</v>
      </c>
      <c r="N6" s="1">
        <f>('RECEITAS - BLOCOS PAN'!M6-'OPEX - BLOCOS PAN'!M6-VLOOKUP('FLUXO DE CAIXA DESC.-SEM MULT.'!$D6,'CAPEX - BLOCOS PAN S- MULT.'!$C$3:$M$52,11,FALSE))*N$57</f>
        <v>-1518699.507791718</v>
      </c>
      <c r="O6" s="1">
        <f>('RECEITAS - BLOCOS PAN'!N6-'OPEX - BLOCOS PAN'!N6-VLOOKUP('FLUXO DE CAIXA DESC.-SEM MULT.'!$D6,'CAPEX - BLOCOS PAN S- MULT.'!$C$3:$N$52,12,FALSE))*O$57</f>
        <v>-1377808.3079365154</v>
      </c>
      <c r="P6" s="1">
        <f>('RECEITAS - BLOCOS PAN'!O6-'OPEX - BLOCOS PAN'!O6-VLOOKUP('FLUXO DE CAIXA DESC.-SEM MULT.'!$D6,'CAPEX - BLOCOS PAN S- MULT.'!$C$3:$O$52,13,FALSE))*P$57</f>
        <v>-1250078.212465192</v>
      </c>
      <c r="Q6" s="1">
        <f>('RECEITAS - BLOCOS PAN'!P6-'OPEX - BLOCOS PAN'!P6-VLOOKUP('FLUXO DE CAIXA DESC.-SEM MULT.'!$D6,'CAPEX - BLOCOS PAN S- MULT.'!$C$3:$P$52,14,FALSE))*Q$57</f>
        <v>-1134620.6516970184</v>
      </c>
      <c r="R6" s="1">
        <f>('RECEITAS - BLOCOS PAN'!Q6-'OPEX - BLOCOS PAN'!Q6-VLOOKUP('FLUXO DE CAIXA DESC.-SEM MULT.'!$D6,'CAPEX - BLOCOS PAN S- MULT.'!$C$3:$Q$52,15,FALSE))*R$57</f>
        <v>-1030084.6453668341</v>
      </c>
      <c r="S6" s="1">
        <f>('RECEITAS - BLOCOS PAN'!R6-'OPEX - BLOCOS PAN'!R6-VLOOKUP('FLUXO DE CAIXA DESC.-SEM MULT.'!$D6,'CAPEX - BLOCOS PAN S- MULT.'!$C$3:$R$52,16,FALSE))*S$57</f>
        <v>-935359.23095364391</v>
      </c>
      <c r="T6" s="1">
        <f>('RECEITAS - BLOCOS PAN'!S6-'OPEX - BLOCOS PAN'!S6-VLOOKUP('FLUXO DE CAIXA DESC.-SEM MULT.'!$D6,'CAPEX - BLOCOS PAN S- MULT.'!$C$3:$S$52,17,FALSE))*T$57</f>
        <v>-849325.87941608077</v>
      </c>
      <c r="U6" s="1">
        <f>('RECEITAS - BLOCOS PAN'!T6-'OPEX - BLOCOS PAN'!T6-VLOOKUP('FLUXO DE CAIXA DESC.-SEM MULT.'!$D6,'CAPEX - BLOCOS PAN S- MULT.'!$C$3:$T$52,18,FALSE))*U$57</f>
        <v>-771260.95492408413</v>
      </c>
      <c r="V6" s="1">
        <f>('RECEITAS - BLOCOS PAN'!U6-'OPEX - BLOCOS PAN'!U6-VLOOKUP('FLUXO DE CAIXA DESC.-SEM MULT.'!$D6,'CAPEX - BLOCOS PAN S- MULT.'!$C$3:$U$52,19,FALSE))*V$57</f>
        <v>-700186.03089739871</v>
      </c>
      <c r="W6" s="1">
        <f>('RECEITAS - BLOCOS PAN'!V6-'OPEX - BLOCOS PAN'!V6-VLOOKUP('FLUXO DE CAIXA DESC.-SEM MULT.'!$D6,'CAPEX - BLOCOS PAN S- MULT.'!$C$3:$V$52,20,FALSE))*W$57</f>
        <v>-635701.80686420656</v>
      </c>
      <c r="X6" s="1">
        <f>('RECEITAS - BLOCOS PAN'!W6-'OPEX - BLOCOS PAN'!W6-VLOOKUP('FLUXO DE CAIXA DESC.-SEM MULT.'!$D6,'CAPEX - BLOCOS PAN S- MULT.'!$C$3:$W$52,21,FALSE))*X$57</f>
        <v>-615569.25690294057</v>
      </c>
      <c r="Y6" s="1">
        <f>('RECEITAS - BLOCOS PAN'!X6-'OPEX - BLOCOS PAN'!X6-VLOOKUP('FLUXO DE CAIXA DESC.-SEM MULT.'!$D6,'CAPEX - BLOCOS PAN S- MULT.'!$C$3:$X$52,22,FALSE))*Y$57</f>
        <v>-558977.64775668085</v>
      </c>
      <c r="Z6" s="1">
        <f>('RECEITAS - BLOCOS PAN'!Y6-'OPEX - BLOCOS PAN'!Y6-VLOOKUP('FLUXO DE CAIXA DESC.-SEM MULT.'!$D6,'CAPEX - BLOCOS PAN S- MULT.'!$C$3:$Y$52,23,FALSE))*Z$57</f>
        <v>-507471.93337049708</v>
      </c>
      <c r="AA6" s="1">
        <f>('RECEITAS - BLOCOS PAN'!Z6-'OPEX - BLOCOS PAN'!Z6-VLOOKUP('FLUXO DE CAIXA DESC.-SEM MULT.'!$D6,'CAPEX - BLOCOS PAN S- MULT.'!$C$3:$Z$52,24,FALSE))*AA$57</f>
        <v>-460645.96536325681</v>
      </c>
      <c r="AB6" s="1">
        <f>('RECEITAS - BLOCOS PAN'!AA6-'OPEX - BLOCOS PAN'!AA6-VLOOKUP('FLUXO DE CAIXA DESC.-SEM MULT.'!$D6,'CAPEX - BLOCOS PAN S- MULT.'!$C$3:$AA$52,25,FALSE))*AB$57</f>
        <v>-418122.42306778836</v>
      </c>
      <c r="AC6" s="1">
        <f>('RECEITAS - BLOCOS PAN'!AB6-'OPEX - BLOCOS PAN'!AB6-VLOOKUP('FLUXO DE CAIXA DESC.-SEM MULT.'!$D6,'CAPEX - BLOCOS PAN S- MULT.'!$C$3:$AB$52,26,FALSE))*AC$57</f>
        <v>-379514.49009532743</v>
      </c>
      <c r="AD6" s="1">
        <f>('RECEITAS - BLOCOS PAN'!AC6-'OPEX - BLOCOS PAN'!AC6-VLOOKUP('FLUXO DE CAIXA DESC.-SEM MULT.'!$D6,'CAPEX - BLOCOS PAN S- MULT.'!$C$3:$AC$52,27,FALSE))*AD$57</f>
        <v>-344428.93117002829</v>
      </c>
      <c r="AE6" s="1">
        <f>('RECEITAS - BLOCOS PAN'!AD6-'OPEX - BLOCOS PAN'!AD6-VLOOKUP('FLUXO DE CAIXA DESC.-SEM MULT.'!$D6,'CAPEX - BLOCOS PAN S- MULT.'!$C$3:$AD$52,28,FALSE))*AE$57</f>
        <v>-312589.75618424977</v>
      </c>
      <c r="AF6" s="1">
        <f>('RECEITAS - BLOCOS PAN'!AE6-'OPEX - BLOCOS PAN'!AE6-VLOOKUP('FLUXO DE CAIXA DESC.-SEM MULT.'!$D6,'CAPEX - BLOCOS PAN S- MULT.'!$C$3:$AE$52,29,FALSE))*AF$57</f>
        <v>-283775.25779353268</v>
      </c>
      <c r="AG6" s="1">
        <f>('RECEITAS - BLOCOS PAN'!AF6-'OPEX - BLOCOS PAN'!AF6-VLOOKUP('FLUXO DE CAIXA DESC.-SEM MULT.'!$D6,'CAPEX - BLOCOS PAN S- MULT.'!$C$3:$AF$52,30,FALSE))*AG$57</f>
        <v>-257674.61455302782</v>
      </c>
      <c r="AH6" s="1">
        <f>('RECEITAS - BLOCOS PAN'!AG6-'OPEX - BLOCOS PAN'!AG6-VLOOKUP('FLUXO DE CAIXA DESC.-SEM MULT.'!$D6,'CAPEX - BLOCOS PAN S- MULT.'!$C$3:$AG$52,31,FALSE))*AH$57</f>
        <v>-233968.00579864529</v>
      </c>
      <c r="AI6" s="1">
        <f>('RECEITAS - BLOCOS PAN'!AH6-'OPEX - BLOCOS PAN'!AH6-VLOOKUP('FLUXO DE CAIXA DESC.-SEM MULT.'!$D6,'CAPEX - BLOCOS PAN S- MULT.'!$C$3:$AH$52,32,FALSE))*AI$57</f>
        <v>-212463.16617060275</v>
      </c>
      <c r="AJ6" s="1">
        <f>('RECEITAS - BLOCOS PAN'!AI6-'OPEX - BLOCOS PAN'!AI6-VLOOKUP('FLUXO DE CAIXA DESC.-SEM MULT.'!$D6,'CAPEX - BLOCOS PAN S- MULT.'!$C$3:$AI$52,33,FALSE))*AJ$57</f>
        <v>-192921.06799313278</v>
      </c>
      <c r="AK6" s="1">
        <f>('RECEITAS - BLOCOS PAN'!AJ6-'OPEX - BLOCOS PAN'!AJ6-VLOOKUP('FLUXO DE CAIXA DESC.-SEM MULT.'!$D6,'CAPEX - BLOCOS PAN S- MULT.'!$C$3:$AJ$52,34,FALSE))*AK$57</f>
        <v>-175152.67000975669</v>
      </c>
      <c r="AL6" s="1">
        <f>('RECEITAS - BLOCOS PAN'!AK6-'OPEX - BLOCOS PAN'!AK6-VLOOKUP('FLUXO DE CAIXA DESC.-SEM MULT.'!$D6,'CAPEX - BLOCOS PAN S- MULT.'!$C$3:$AK$52,35,FALSE))*AL$57</f>
        <v>-159001.96519132867</v>
      </c>
      <c r="AM6" s="44">
        <f t="shared" si="0"/>
        <v>-63878387.646050051</v>
      </c>
      <c r="AN6">
        <v>1</v>
      </c>
      <c r="AO6" t="s">
        <v>283</v>
      </c>
      <c r="AP6">
        <v>-10.783333333333333</v>
      </c>
      <c r="AQ6">
        <v>-65.266666666666666</v>
      </c>
      <c r="AR6" s="48">
        <f>VLOOKUP(D6,'Projeção - Demanda PAX'!$C$3:$H$37,6,FALSE)</f>
        <v>14179</v>
      </c>
      <c r="AS6" s="1">
        <f t="shared" si="1"/>
        <v>-58766110.494629264</v>
      </c>
      <c r="AT6" t="s">
        <v>386</v>
      </c>
    </row>
    <row r="7" spans="1:46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259</v>
      </c>
      <c r="H7" t="s">
        <v>33</v>
      </c>
      <c r="I7" s="1">
        <f>('RECEITAS - BLOCOS PAN'!H7-'OPEX - BLOCOS PAN'!H7-VLOOKUP('FLUXO DE CAIXA DESC.-SEM MULT.'!$D7,'CAPEX - BLOCOS PAN S- MULT.'!$C$3:$H$52,6,FALSE))*I$57</f>
        <v>-28407684.2249</v>
      </c>
      <c r="J7" s="1">
        <f>('RECEITAS - BLOCOS PAN'!I7-'OPEX - BLOCOS PAN'!I7-VLOOKUP('FLUXO DE CAIXA DESC.-SEM MULT.'!$D7,'CAPEX - BLOCOS PAN S- MULT.'!$C$3:$I$52,7,FALSE))*J$57</f>
        <v>-25801402.101049751</v>
      </c>
      <c r="K7" s="1">
        <f>('RECEITAS - BLOCOS PAN'!J7-'OPEX - BLOCOS PAN'!J7-VLOOKUP('FLUXO DE CAIXA DESC.-SEM MULT.'!$D7,'CAPEX - BLOCOS PAN S- MULT.'!$C$3:$J$52,8,FALSE))*K$57</f>
        <v>-23441509.423326537</v>
      </c>
      <c r="L7" s="1">
        <f>('RECEITAS - BLOCOS PAN'!K7-'OPEX - BLOCOS PAN'!K7-VLOOKUP('FLUXO DE CAIXA DESC.-SEM MULT.'!$D7,'CAPEX - BLOCOS PAN S- MULT.'!$C$3:$K$52,9,FALSE))*L$57</f>
        <v>-2083930.885371397</v>
      </c>
      <c r="M7" s="1">
        <f>('RECEITAS - BLOCOS PAN'!L7-'OPEX - BLOCOS PAN'!L7-VLOOKUP('FLUXO DE CAIXA DESC.-SEM MULT.'!$D7,'CAPEX - BLOCOS PAN S- MULT.'!$C$3:$L$52,10,FALSE))*M$57</f>
        <v>-1837105.4737469563</v>
      </c>
      <c r="N7" s="1">
        <f>('RECEITAS - BLOCOS PAN'!M7-'OPEX - BLOCOS PAN'!M7-VLOOKUP('FLUXO DE CAIXA DESC.-SEM MULT.'!$D7,'CAPEX - BLOCOS PAN S- MULT.'!$C$3:$M$52,11,FALSE))*N$57</f>
        <v>-1628852.4018741234</v>
      </c>
      <c r="O7" s="1">
        <f>('RECEITAS - BLOCOS PAN'!N7-'OPEX - BLOCOS PAN'!N7-VLOOKUP('FLUXO DE CAIXA DESC.-SEM MULT.'!$D7,'CAPEX - BLOCOS PAN S- MULT.'!$C$3:$N$52,12,FALSE))*O$57</f>
        <v>-1450220.868499819</v>
      </c>
      <c r="P7" s="1">
        <f>('RECEITAS - BLOCOS PAN'!O7-'OPEX - BLOCOS PAN'!O7-VLOOKUP('FLUXO DE CAIXA DESC.-SEM MULT.'!$D7,'CAPEX - BLOCOS PAN S- MULT.'!$C$3:$O$52,13,FALSE))*P$57</f>
        <v>-1288655.5714937025</v>
      </c>
      <c r="Q7" s="1">
        <f>('RECEITAS - BLOCOS PAN'!P7-'OPEX - BLOCOS PAN'!P7-VLOOKUP('FLUXO DE CAIXA DESC.-SEM MULT.'!$D7,'CAPEX - BLOCOS PAN S- MULT.'!$C$3:$P$52,14,FALSE))*Q$57</f>
        <v>-1148522.8306692045</v>
      </c>
      <c r="R7" s="1">
        <f>('RECEITAS - BLOCOS PAN'!Q7-'OPEX - BLOCOS PAN'!Q7-VLOOKUP('FLUXO DE CAIXA DESC.-SEM MULT.'!$D7,'CAPEX - BLOCOS PAN S- MULT.'!$C$3:$Q$52,15,FALSE))*R$57</f>
        <v>-1022124.5104834118</v>
      </c>
      <c r="S7" s="1">
        <f>('RECEITAS - BLOCOS PAN'!R7-'OPEX - BLOCOS PAN'!R7-VLOOKUP('FLUXO DE CAIXA DESC.-SEM MULT.'!$D7,'CAPEX - BLOCOS PAN S- MULT.'!$C$3:$R$52,16,FALSE))*S$57</f>
        <v>-912809.8154298719</v>
      </c>
      <c r="T7" s="1">
        <f>('RECEITAS - BLOCOS PAN'!S7-'OPEX - BLOCOS PAN'!S7-VLOOKUP('FLUXO DE CAIXA DESC.-SEM MULT.'!$D7,'CAPEX - BLOCOS PAN S- MULT.'!$C$3:$S$52,17,FALSE))*T$57</f>
        <v>-812568.87008575792</v>
      </c>
      <c r="U7" s="1">
        <f>('RECEITAS - BLOCOS PAN'!T7-'OPEX - BLOCOS PAN'!T7-VLOOKUP('FLUXO DE CAIXA DESC.-SEM MULT.'!$D7,'CAPEX - BLOCOS PAN S- MULT.'!$C$3:$T$52,18,FALSE))*U$57</f>
        <v>-725105.38052071759</v>
      </c>
      <c r="V7" s="1">
        <f>('RECEITAS - BLOCOS PAN'!U7-'OPEX - BLOCOS PAN'!U7-VLOOKUP('FLUXO DE CAIXA DESC.-SEM MULT.'!$D7,'CAPEX - BLOCOS PAN S- MULT.'!$C$3:$U$52,19,FALSE))*V$57</f>
        <v>-643933.80206528481</v>
      </c>
      <c r="W7" s="1">
        <f>('RECEITAS - BLOCOS PAN'!V7-'OPEX - BLOCOS PAN'!V7-VLOOKUP('FLUXO DE CAIXA DESC.-SEM MULT.'!$D7,'CAPEX - BLOCOS PAN S- MULT.'!$C$3:$V$52,20,FALSE))*W$57</f>
        <v>-573724.16246925364</v>
      </c>
      <c r="X7" s="1">
        <f>('RECEITAS - BLOCOS PAN'!W7-'OPEX - BLOCOS PAN'!W7-VLOOKUP('FLUXO DE CAIXA DESC.-SEM MULT.'!$D7,'CAPEX - BLOCOS PAN S- MULT.'!$C$3:$W$52,21,FALSE))*X$57</f>
        <v>-508833.37455261499</v>
      </c>
      <c r="Y7" s="1">
        <f>('RECEITAS - BLOCOS PAN'!X7-'OPEX - BLOCOS PAN'!X7-VLOOKUP('FLUXO DE CAIXA DESC.-SEM MULT.'!$D7,'CAPEX - BLOCOS PAN S- MULT.'!$C$3:$X$52,22,FALSE))*Y$57</f>
        <v>-452741.43711052393</v>
      </c>
      <c r="Z7" s="1">
        <f>('RECEITAS - BLOCOS PAN'!Y7-'OPEX - BLOCOS PAN'!Y7-VLOOKUP('FLUXO DE CAIXA DESC.-SEM MULT.'!$D7,'CAPEX - BLOCOS PAN S- MULT.'!$C$3:$Y$52,23,FALSE))*Z$57</f>
        <v>-400453.96138351952</v>
      </c>
      <c r="AA7" s="1">
        <f>('RECEITAS - BLOCOS PAN'!Z7-'OPEX - BLOCOS PAN'!Z7-VLOOKUP('FLUXO DE CAIXA DESC.-SEM MULT.'!$D7,'CAPEX - BLOCOS PAN S- MULT.'!$C$3:$Z$52,24,FALSE))*AA$57</f>
        <v>-355806.04740956682</v>
      </c>
      <c r="AB7" s="1">
        <f>('RECEITAS - BLOCOS PAN'!AA7-'OPEX - BLOCOS PAN'!AA7-VLOOKUP('FLUXO DE CAIXA DESC.-SEM MULT.'!$D7,'CAPEX - BLOCOS PAN S- MULT.'!$C$3:$AA$52,25,FALSE))*AB$57</f>
        <v>-314064.11041757866</v>
      </c>
      <c r="AC7" s="1">
        <f>('RECEITAS - BLOCOS PAN'!AB7-'OPEX - BLOCOS PAN'!AB7-VLOOKUP('FLUXO DE CAIXA DESC.-SEM MULT.'!$D7,'CAPEX - BLOCOS PAN S- MULT.'!$C$3:$AB$52,26,FALSE))*AC$57</f>
        <v>-278274.19407376758</v>
      </c>
      <c r="AD7" s="1">
        <f>('RECEITAS - BLOCOS PAN'!AC7-'OPEX - BLOCOS PAN'!AC7-VLOOKUP('FLUXO DE CAIXA DESC.-SEM MULT.'!$D7,'CAPEX - BLOCOS PAN S- MULT.'!$C$3:$AC$52,27,FALSE))*AD$57</f>
        <v>-244998.275610935</v>
      </c>
      <c r="AE7" s="1">
        <f>('RECEITAS - BLOCOS PAN'!AD7-'OPEX - BLOCOS PAN'!AD7-VLOOKUP('FLUXO DE CAIXA DESC.-SEM MULT.'!$D7,'CAPEX - BLOCOS PAN S- MULT.'!$C$3:$AD$52,28,FALSE))*AE$57</f>
        <v>-216403.48724790374</v>
      </c>
      <c r="AF7" s="1">
        <f>('RECEITAS - BLOCOS PAN'!AE7-'OPEX - BLOCOS PAN'!AE7-VLOOKUP('FLUXO DE CAIXA DESC.-SEM MULT.'!$D7,'CAPEX - BLOCOS PAN S- MULT.'!$C$3:$AE$52,29,FALSE))*AF$57</f>
        <v>-190744.67657181498</v>
      </c>
      <c r="AG7" s="1">
        <f>('RECEITAS - BLOCOS PAN'!AF7-'OPEX - BLOCOS PAN'!AF7-VLOOKUP('FLUXO DE CAIXA DESC.-SEM MULT.'!$D7,'CAPEX - BLOCOS PAN S- MULT.'!$C$3:$AF$52,30,FALSE))*AG$57</f>
        <v>-168796.8076041977</v>
      </c>
      <c r="AH7" s="1">
        <f>('RECEITAS - BLOCOS PAN'!AG7-'OPEX - BLOCOS PAN'!AG7-VLOOKUP('FLUXO DE CAIXA DESC.-SEM MULT.'!$D7,'CAPEX - BLOCOS PAN S- MULT.'!$C$3:$AG$52,31,FALSE))*AH$57</f>
        <v>-148189.72153267055</v>
      </c>
      <c r="AI7" s="1">
        <f>('RECEITAS - BLOCOS PAN'!AH7-'OPEX - BLOCOS PAN'!AH7-VLOOKUP('FLUXO DE CAIXA DESC.-SEM MULT.'!$D7,'CAPEX - BLOCOS PAN S- MULT.'!$C$3:$AH$52,32,FALSE))*AI$57</f>
        <v>-130935.31406411795</v>
      </c>
      <c r="AJ7" s="1">
        <f>('RECEITAS - BLOCOS PAN'!AI7-'OPEX - BLOCOS PAN'!AI7-VLOOKUP('FLUXO DE CAIXA DESC.-SEM MULT.'!$D7,'CAPEX - BLOCOS PAN S- MULT.'!$C$3:$AI$52,33,FALSE))*AJ$57</f>
        <v>-114722.31277114179</v>
      </c>
      <c r="AK7" s="1">
        <f>('RECEITAS - BLOCOS PAN'!AJ7-'OPEX - BLOCOS PAN'!AJ7-VLOOKUP('FLUXO DE CAIXA DESC.-SEM MULT.'!$D7,'CAPEX - BLOCOS PAN S- MULT.'!$C$3:$AJ$52,34,FALSE))*AK$57</f>
        <v>-100250.23316545674</v>
      </c>
      <c r="AL7" s="1">
        <f>('RECEITAS - BLOCOS PAN'!AK7-'OPEX - BLOCOS PAN'!AK7-VLOOKUP('FLUXO DE CAIXA DESC.-SEM MULT.'!$D7,'CAPEX - BLOCOS PAN S- MULT.'!$C$3:$AK$52,35,FALSE))*AL$57</f>
        <v>-87345.000547481381</v>
      </c>
      <c r="AM7" s="44">
        <f t="shared" si="0"/>
        <v>-95490709.276049063</v>
      </c>
      <c r="AN7">
        <v>1</v>
      </c>
      <c r="AO7" t="s">
        <v>312</v>
      </c>
      <c r="AP7">
        <v>-3.1166666666666667</v>
      </c>
      <c r="AQ7">
        <v>-58.466666666666669</v>
      </c>
      <c r="AR7" s="48">
        <f>VLOOKUP(D7,'Projeção - Demanda PAX'!$C$3:$H$37,6,FALSE)</f>
        <v>51486</v>
      </c>
      <c r="AS7" s="1">
        <f t="shared" si="1"/>
        <v>-91778150.321985781</v>
      </c>
      <c r="AT7" t="s">
        <v>383</v>
      </c>
    </row>
    <row r="8" spans="1:46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259</v>
      </c>
      <c r="H8" t="s">
        <v>33</v>
      </c>
      <c r="I8" s="1">
        <f>('RECEITAS - BLOCOS PAN'!H8-'OPEX - BLOCOS PAN'!H8-VLOOKUP('FLUXO DE CAIXA DESC.-SEM MULT.'!$D8,'CAPEX - BLOCOS PAN S- MULT.'!$C$3:$H$52,6,FALSE))*I$57</f>
        <v>-30089482.871266667</v>
      </c>
      <c r="J8" s="1">
        <f>('RECEITAS - BLOCOS PAN'!I8-'OPEX - BLOCOS PAN'!I8-VLOOKUP('FLUXO DE CAIXA DESC.-SEM MULT.'!$D8,'CAPEX - BLOCOS PAN S- MULT.'!$C$3:$I$52,7,FALSE))*J$57</f>
        <v>-27432929.943556979</v>
      </c>
      <c r="K8" s="1">
        <f>('RECEITAS - BLOCOS PAN'!J8-'OPEX - BLOCOS PAN'!J8-VLOOKUP('FLUXO DE CAIXA DESC.-SEM MULT.'!$D8,'CAPEX - BLOCOS PAN S- MULT.'!$C$3:$J$52,8,FALSE))*K$57</f>
        <v>-25015656.798280567</v>
      </c>
      <c r="L8" s="1">
        <f>('RECEITAS - BLOCOS PAN'!K8-'OPEX - BLOCOS PAN'!K8-VLOOKUP('FLUXO DE CAIXA DESC.-SEM MULT.'!$D8,'CAPEX - BLOCOS PAN S- MULT.'!$C$3:$K$52,9,FALSE))*L$57</f>
        <v>-1871038.7908944171</v>
      </c>
      <c r="M8" s="1">
        <f>('RECEITAS - BLOCOS PAN'!L8-'OPEX - BLOCOS PAN'!L8-VLOOKUP('FLUXO DE CAIXA DESC.-SEM MULT.'!$D8,'CAPEX - BLOCOS PAN S- MULT.'!$C$3:$L$52,10,FALSE))*M$57</f>
        <v>-1692164.634179007</v>
      </c>
      <c r="N8" s="1">
        <f>('RECEITAS - BLOCOS PAN'!M8-'OPEX - BLOCOS PAN'!M8-VLOOKUP('FLUXO DE CAIXA DESC.-SEM MULT.'!$D8,'CAPEX - BLOCOS PAN S- MULT.'!$C$3:$M$52,11,FALSE))*N$57</f>
        <v>-1530829.2212418679</v>
      </c>
      <c r="O8" s="1">
        <f>('RECEITAS - BLOCOS PAN'!N8-'OPEX - BLOCOS PAN'!N8-VLOOKUP('FLUXO DE CAIXA DESC.-SEM MULT.'!$D8,'CAPEX - BLOCOS PAN S- MULT.'!$C$3:$N$52,12,FALSE))*O$57</f>
        <v>-1475013.303242502</v>
      </c>
      <c r="P8" s="1">
        <f>('RECEITAS - BLOCOS PAN'!O8-'OPEX - BLOCOS PAN'!O8-VLOOKUP('FLUXO DE CAIXA DESC.-SEM MULT.'!$D8,'CAPEX - BLOCOS PAN S- MULT.'!$C$3:$O$52,13,FALSE))*P$57</f>
        <v>-1335155.7220262066</v>
      </c>
      <c r="Q8" s="1">
        <f>('RECEITAS - BLOCOS PAN'!P8-'OPEX - BLOCOS PAN'!P8-VLOOKUP('FLUXO DE CAIXA DESC.-SEM MULT.'!$D8,'CAPEX - BLOCOS PAN S- MULT.'!$C$3:$P$52,14,FALSE))*Q$57</f>
        <v>-1208631.0742751348</v>
      </c>
      <c r="R8" s="1">
        <f>('RECEITAS - BLOCOS PAN'!Q8-'OPEX - BLOCOS PAN'!Q8-VLOOKUP('FLUXO DE CAIXA DESC.-SEM MULT.'!$D8,'CAPEX - BLOCOS PAN S- MULT.'!$C$3:$Q$52,15,FALSE))*R$57</f>
        <v>-1094402.2695907748</v>
      </c>
      <c r="S8" s="1">
        <f>('RECEITAS - BLOCOS PAN'!R8-'OPEX - BLOCOS PAN'!R8-VLOOKUP('FLUXO DE CAIXA DESC.-SEM MULT.'!$D8,'CAPEX - BLOCOS PAN S- MULT.'!$C$3:$R$52,16,FALSE))*S$57</f>
        <v>-991116.21459551586</v>
      </c>
      <c r="T8" s="1">
        <f>('RECEITAS - BLOCOS PAN'!S8-'OPEX - BLOCOS PAN'!S8-VLOOKUP('FLUXO DE CAIXA DESC.-SEM MULT.'!$D8,'CAPEX - BLOCOS PAN S- MULT.'!$C$3:$S$52,17,FALSE))*T$57</f>
        <v>-897312.0511456005</v>
      </c>
      <c r="U8" s="1">
        <f>('RECEITAS - BLOCOS PAN'!T8-'OPEX - BLOCOS PAN'!T8-VLOOKUP('FLUXO DE CAIXA DESC.-SEM MULT.'!$D8,'CAPEX - BLOCOS PAN S- MULT.'!$C$3:$T$52,18,FALSE))*U$57</f>
        <v>-812163.62781062105</v>
      </c>
      <c r="V8" s="1">
        <f>('RECEITAS - BLOCOS PAN'!U8-'OPEX - BLOCOS PAN'!U8-VLOOKUP('FLUXO DE CAIXA DESC.-SEM MULT.'!$D8,'CAPEX - BLOCOS PAN S- MULT.'!$C$3:$U$52,19,FALSE))*V$57</f>
        <v>-734749.93668130424</v>
      </c>
      <c r="W8" s="1">
        <f>('RECEITAS - BLOCOS PAN'!V8-'OPEX - BLOCOS PAN'!V8-VLOOKUP('FLUXO DE CAIXA DESC.-SEM MULT.'!$D8,'CAPEX - BLOCOS PAN S- MULT.'!$C$3:$V$52,20,FALSE))*W$57</f>
        <v>-664641.3149024786</v>
      </c>
      <c r="X8" s="1">
        <f>('RECEITAS - BLOCOS PAN'!W8-'OPEX - BLOCOS PAN'!W8-VLOOKUP('FLUXO DE CAIXA DESC.-SEM MULT.'!$D8,'CAPEX - BLOCOS PAN S- MULT.'!$C$3:$W$52,21,FALSE))*X$57</f>
        <v>-600892.88788695459</v>
      </c>
      <c r="Y8" s="1">
        <f>('RECEITAS - BLOCOS PAN'!X8-'OPEX - BLOCOS PAN'!X8-VLOOKUP('FLUXO DE CAIXA DESC.-SEM MULT.'!$D8,'CAPEX - BLOCOS PAN S- MULT.'!$C$3:$X$52,22,FALSE))*Y$57</f>
        <v>-543145.1073006792</v>
      </c>
      <c r="Z8" s="1">
        <f>('RECEITAS - BLOCOS PAN'!Y8-'OPEX - BLOCOS PAN'!Y8-VLOOKUP('FLUXO DE CAIXA DESC.-SEM MULT.'!$D8,'CAPEX - BLOCOS PAN S- MULT.'!$C$3:$Y$52,23,FALSE))*Z$57</f>
        <v>-490596.69194664509</v>
      </c>
      <c r="AA8" s="1">
        <f>('RECEITAS - BLOCOS PAN'!Z8-'OPEX - BLOCOS PAN'!Z8-VLOOKUP('FLUXO DE CAIXA DESC.-SEM MULT.'!$D8,'CAPEX - BLOCOS PAN S- MULT.'!$C$3:$Z$52,24,FALSE))*AA$57</f>
        <v>-442955.45700910006</v>
      </c>
      <c r="AB8" s="1">
        <f>('RECEITAS - BLOCOS PAN'!AA8-'OPEX - BLOCOS PAN'!AA8-VLOOKUP('FLUXO DE CAIXA DESC.-SEM MULT.'!$D8,'CAPEX - BLOCOS PAN S- MULT.'!$C$3:$AA$52,25,FALSE))*AB$57</f>
        <v>-588272.52811492758</v>
      </c>
      <c r="AC8" s="1">
        <f>('RECEITAS - BLOCOS PAN'!AB8-'OPEX - BLOCOS PAN'!AB8-VLOOKUP('FLUXO DE CAIXA DESC.-SEM MULT.'!$D8,'CAPEX - BLOCOS PAN S- MULT.'!$C$3:$AB$52,26,FALSE))*AC$57</f>
        <v>-532322.00190296548</v>
      </c>
      <c r="AD8" s="1">
        <f>('RECEITAS - BLOCOS PAN'!AC8-'OPEX - BLOCOS PAN'!AC8-VLOOKUP('FLUXO DE CAIXA DESC.-SEM MULT.'!$D8,'CAPEX - BLOCOS PAN S- MULT.'!$C$3:$AC$52,27,FALSE))*AD$57</f>
        <v>-481539.96040151914</v>
      </c>
      <c r="AE8" s="1">
        <f>('RECEITAS - BLOCOS PAN'!AD8-'OPEX - BLOCOS PAN'!AD8-VLOOKUP('FLUXO DE CAIXA DESC.-SEM MULT.'!$D8,'CAPEX - BLOCOS PAN S- MULT.'!$C$3:$AD$52,28,FALSE))*AE$57</f>
        <v>-435437.5669637628</v>
      </c>
      <c r="AF8" s="1">
        <f>('RECEITAS - BLOCOS PAN'!AE8-'OPEX - BLOCOS PAN'!AE8-VLOOKUP('FLUXO DE CAIXA DESC.-SEM MULT.'!$D8,'CAPEX - BLOCOS PAN S- MULT.'!$C$3:$AE$52,29,FALSE))*AF$57</f>
        <v>-393494.17055484909</v>
      </c>
      <c r="AG8" s="1">
        <f>('RECEITAS - BLOCOS PAN'!AF8-'OPEX - BLOCOS PAN'!AF8-VLOOKUP('FLUXO DE CAIXA DESC.-SEM MULT.'!$D8,'CAPEX - BLOCOS PAN S- MULT.'!$C$3:$AF$52,30,FALSE))*AG$57</f>
        <v>-355394.07310123538</v>
      </c>
      <c r="AH8" s="1">
        <f>('RECEITAS - BLOCOS PAN'!AG8-'OPEX - BLOCOS PAN'!AG8-VLOOKUP('FLUXO DE CAIXA DESC.-SEM MULT.'!$D8,'CAPEX - BLOCOS PAN S- MULT.'!$C$3:$AG$52,31,FALSE))*AH$57</f>
        <v>-320851.60735129815</v>
      </c>
      <c r="AI8" s="1">
        <f>('RECEITAS - BLOCOS PAN'!AH8-'OPEX - BLOCOS PAN'!AH8-VLOOKUP('FLUXO DE CAIXA DESC.-SEM MULT.'!$D8,'CAPEX - BLOCOS PAN S- MULT.'!$C$3:$AH$52,32,FALSE))*AI$57</f>
        <v>-289597.02365034982</v>
      </c>
      <c r="AJ8" s="1">
        <f>('RECEITAS - BLOCOS PAN'!AI8-'OPEX - BLOCOS PAN'!AI8-VLOOKUP('FLUXO DE CAIXA DESC.-SEM MULT.'!$D8,'CAPEX - BLOCOS PAN S- MULT.'!$C$3:$AI$52,33,FALSE))*AJ$57</f>
        <v>-261243.68399290959</v>
      </c>
      <c r="AK8" s="1">
        <f>('RECEITAS - BLOCOS PAN'!AJ8-'OPEX - BLOCOS PAN'!AJ8-VLOOKUP('FLUXO DE CAIXA DESC.-SEM MULT.'!$D8,'CAPEX - BLOCOS PAN S- MULT.'!$C$3:$AJ$52,34,FALSE))*AK$57</f>
        <v>-235531.89914070716</v>
      </c>
      <c r="AL8" s="1">
        <f>('RECEITAS - BLOCOS PAN'!AK8-'OPEX - BLOCOS PAN'!AK8-VLOOKUP('FLUXO DE CAIXA DESC.-SEM MULT.'!$D8,'CAPEX - BLOCOS PAN S- MULT.'!$C$3:$AK$52,35,FALSE))*AL$57</f>
        <v>-212204.43821358524</v>
      </c>
      <c r="AM8" s="44">
        <f t="shared" si="0"/>
        <v>-103028766.87122114</v>
      </c>
      <c r="AN8">
        <v>1</v>
      </c>
      <c r="AO8" t="s">
        <v>391</v>
      </c>
      <c r="AP8">
        <v>-0.8833333333333333</v>
      </c>
      <c r="AQ8">
        <v>-52.6</v>
      </c>
      <c r="AR8" s="48">
        <f>VLOOKUP(D8,'Projeção - Demanda PAX'!$C$3:$H$37,6,FALSE)</f>
        <v>19347</v>
      </c>
      <c r="AS8" s="1">
        <f t="shared" si="1"/>
        <v>-96845287.773689643</v>
      </c>
      <c r="AT8" t="s">
        <v>396</v>
      </c>
    </row>
    <row r="9" spans="1:46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259</v>
      </c>
      <c r="H9" t="s">
        <v>33</v>
      </c>
      <c r="I9" s="1">
        <f>('RECEITAS - BLOCOS PAN'!H9-'OPEX - BLOCOS PAN'!H9-VLOOKUP('FLUXO DE CAIXA DESC.-SEM MULT.'!$D9,'CAPEX - BLOCOS PAN S- MULT.'!$C$3:$H$52,6,FALSE))*I$57</f>
        <v>-9391164.8162999991</v>
      </c>
      <c r="J9" s="1">
        <f>('RECEITAS - BLOCOS PAN'!I9-'OPEX - BLOCOS PAN'!I9-VLOOKUP('FLUXO DE CAIXA DESC.-SEM MULT.'!$D9,'CAPEX - BLOCOS PAN S- MULT.'!$C$3:$I$52,7,FALSE))*J$57</f>
        <v>-8553237.860429028</v>
      </c>
      <c r="K9" s="1">
        <f>('RECEITAS - BLOCOS PAN'!J9-'OPEX - BLOCOS PAN'!J9-VLOOKUP('FLUXO DE CAIXA DESC.-SEM MULT.'!$D9,'CAPEX - BLOCOS PAN S- MULT.'!$C$3:$J$52,8,FALSE))*K$57</f>
        <v>-7792735.9747491973</v>
      </c>
      <c r="L9" s="1">
        <f>('RECEITAS - BLOCOS PAN'!K9-'OPEX - BLOCOS PAN'!K9-VLOOKUP('FLUXO DE CAIXA DESC.-SEM MULT.'!$D9,'CAPEX - BLOCOS PAN S- MULT.'!$C$3:$K$52,9,FALSE))*L$57</f>
        <v>-1900077.3949048908</v>
      </c>
      <c r="M9" s="1">
        <f>('RECEITAS - BLOCOS PAN'!L9-'OPEX - BLOCOS PAN'!L9-VLOOKUP('FLUXO DE CAIXA DESC.-SEM MULT.'!$D9,'CAPEX - BLOCOS PAN S- MULT.'!$C$3:$L$52,10,FALSE))*M$57</f>
        <v>-1725596.2385925788</v>
      </c>
      <c r="N9" s="1">
        <f>('RECEITAS - BLOCOS PAN'!M9-'OPEX - BLOCOS PAN'!M9-VLOOKUP('FLUXO DE CAIXA DESC.-SEM MULT.'!$D9,'CAPEX - BLOCOS PAN S- MULT.'!$C$3:$M$52,11,FALSE))*N$57</f>
        <v>-1567246.7329788073</v>
      </c>
      <c r="O9" s="1">
        <f>('RECEITAS - BLOCOS PAN'!N9-'OPEX - BLOCOS PAN'!N9-VLOOKUP('FLUXO DE CAIXA DESC.-SEM MULT.'!$D9,'CAPEX - BLOCOS PAN S- MULT.'!$C$3:$N$52,12,FALSE))*O$57</f>
        <v>-1424045.0679601908</v>
      </c>
      <c r="P9" s="1">
        <f>('RECEITAS - BLOCOS PAN'!O9-'OPEX - BLOCOS PAN'!O9-VLOOKUP('FLUXO DE CAIXA DESC.-SEM MULT.'!$D9,'CAPEX - BLOCOS PAN S- MULT.'!$C$3:$O$52,13,FALSE))*P$57</f>
        <v>-1293530.6034470147</v>
      </c>
      <c r="Q9" s="1">
        <f>('RECEITAS - BLOCOS PAN'!P9-'OPEX - BLOCOS PAN'!P9-VLOOKUP('FLUXO DE CAIXA DESC.-SEM MULT.'!$D9,'CAPEX - BLOCOS PAN S- MULT.'!$C$3:$P$52,14,FALSE))*Q$57</f>
        <v>-1175070.9316775829</v>
      </c>
      <c r="R9" s="1">
        <f>('RECEITAS - BLOCOS PAN'!Q9-'OPEX - BLOCOS PAN'!Q9-VLOOKUP('FLUXO DE CAIXA DESC.-SEM MULT.'!$D9,'CAPEX - BLOCOS PAN S- MULT.'!$C$3:$Q$52,15,FALSE))*R$57</f>
        <v>-1067990.2998139011</v>
      </c>
      <c r="S9" s="1">
        <f>('RECEITAS - BLOCOS PAN'!R9-'OPEX - BLOCOS PAN'!R9-VLOOKUP('FLUXO DE CAIXA DESC.-SEM MULT.'!$D9,'CAPEX - BLOCOS PAN S- MULT.'!$C$3:$R$52,16,FALSE))*S$57</f>
        <v>-970758.59643885517</v>
      </c>
      <c r="T9" s="1">
        <f>('RECEITAS - BLOCOS PAN'!S9-'OPEX - BLOCOS PAN'!S9-VLOOKUP('FLUXO DE CAIXA DESC.-SEM MULT.'!$D9,'CAPEX - BLOCOS PAN S- MULT.'!$C$3:$S$52,17,FALSE))*T$57</f>
        <v>-882074.49453808391</v>
      </c>
      <c r="U9" s="1">
        <f>('RECEITAS - BLOCOS PAN'!T9-'OPEX - BLOCOS PAN'!T9-VLOOKUP('FLUXO DE CAIXA DESC.-SEM MULT.'!$D9,'CAPEX - BLOCOS PAN S- MULT.'!$C$3:$T$52,18,FALSE))*U$57</f>
        <v>-801690.75889777543</v>
      </c>
      <c r="V9" s="1">
        <f>('RECEITAS - BLOCOS PAN'!U9-'OPEX - BLOCOS PAN'!U9-VLOOKUP('FLUXO DE CAIXA DESC.-SEM MULT.'!$D9,'CAPEX - BLOCOS PAN S- MULT.'!$C$3:$U$52,19,FALSE))*V$57</f>
        <v>-728306.86885298323</v>
      </c>
      <c r="W9" s="1">
        <f>('RECEITAS - BLOCOS PAN'!V9-'OPEX - BLOCOS PAN'!V9-VLOOKUP('FLUXO DE CAIXA DESC.-SEM MULT.'!$D9,'CAPEX - BLOCOS PAN S- MULT.'!$C$3:$V$52,20,FALSE))*W$57</f>
        <v>-661526.74863964366</v>
      </c>
      <c r="X9" s="1">
        <f>('RECEITAS - BLOCOS PAN'!W9-'OPEX - BLOCOS PAN'!W9-VLOOKUP('FLUXO DE CAIXA DESC.-SEM MULT.'!$D9,'CAPEX - BLOCOS PAN S- MULT.'!$C$3:$W$52,21,FALSE))*X$57</f>
        <v>-600970.16943987599</v>
      </c>
      <c r="Y9" s="1">
        <f>('RECEITAS - BLOCOS PAN'!X9-'OPEX - BLOCOS PAN'!X9-VLOOKUP('FLUXO DE CAIXA DESC.-SEM MULT.'!$D9,'CAPEX - BLOCOS PAN S- MULT.'!$C$3:$X$52,22,FALSE))*Y$57</f>
        <v>-545754.7361305115</v>
      </c>
      <c r="Z9" s="1">
        <f>('RECEITAS - BLOCOS PAN'!Y9-'OPEX - BLOCOS PAN'!Y9-VLOOKUP('FLUXO DE CAIXA DESC.-SEM MULT.'!$D9,'CAPEX - BLOCOS PAN S- MULT.'!$C$3:$Y$52,23,FALSE))*Z$57</f>
        <v>-495571.33207891812</v>
      </c>
      <c r="AA9" s="1">
        <f>('RECEITAS - BLOCOS PAN'!Z9-'OPEX - BLOCOS PAN'!Z9-VLOOKUP('FLUXO DE CAIXA DESC.-SEM MULT.'!$D9,'CAPEX - BLOCOS PAN S- MULT.'!$C$3:$Z$52,24,FALSE))*AA$57</f>
        <v>-449955.41344920656</v>
      </c>
      <c r="AB9" s="1">
        <f>('RECEITAS - BLOCOS PAN'!AA9-'OPEX - BLOCOS PAN'!AA9-VLOOKUP('FLUXO DE CAIXA DESC.-SEM MULT.'!$D9,'CAPEX - BLOCOS PAN S- MULT.'!$C$3:$AA$52,25,FALSE))*AB$57</f>
        <v>-408395.20900405524</v>
      </c>
      <c r="AC9" s="1">
        <f>('RECEITAS - BLOCOS PAN'!AB9-'OPEX - BLOCOS PAN'!AB9-VLOOKUP('FLUXO DE CAIXA DESC.-SEM MULT.'!$D9,'CAPEX - BLOCOS PAN S- MULT.'!$C$3:$AB$52,26,FALSE))*AC$57</f>
        <v>-370684.58255448041</v>
      </c>
      <c r="AD9" s="1">
        <f>('RECEITAS - BLOCOS PAN'!AC9-'OPEX - BLOCOS PAN'!AC9-VLOOKUP('FLUXO DE CAIXA DESC.-SEM MULT.'!$D9,'CAPEX - BLOCOS PAN S- MULT.'!$C$3:$AC$52,27,FALSE))*AD$57</f>
        <v>-336324.48867136938</v>
      </c>
      <c r="AE9" s="1">
        <f>('RECEITAS - BLOCOS PAN'!AD9-'OPEX - BLOCOS PAN'!AD9-VLOOKUP('FLUXO DE CAIXA DESC.-SEM MULT.'!$D9,'CAPEX - BLOCOS PAN S- MULT.'!$C$3:$AD$52,28,FALSE))*AE$57</f>
        <v>-324586.49052613415</v>
      </c>
      <c r="AF9" s="1">
        <f>('RECEITAS - BLOCOS PAN'!AE9-'OPEX - BLOCOS PAN'!AE9-VLOOKUP('FLUXO DE CAIXA DESC.-SEM MULT.'!$D9,'CAPEX - BLOCOS PAN S- MULT.'!$C$3:$AE$52,29,FALSE))*AF$57</f>
        <v>-294596.76305414544</v>
      </c>
      <c r="AG9" s="1">
        <f>('RECEITAS - BLOCOS PAN'!AF9-'OPEX - BLOCOS PAN'!AF9-VLOOKUP('FLUXO DE CAIXA DESC.-SEM MULT.'!$D9,'CAPEX - BLOCOS PAN S- MULT.'!$C$3:$AF$52,30,FALSE))*AG$57</f>
        <v>-267217.22712318844</v>
      </c>
      <c r="AH9" s="1">
        <f>('RECEITAS - BLOCOS PAN'!AG9-'OPEX - BLOCOS PAN'!AG9-VLOOKUP('FLUXO DE CAIXA DESC.-SEM MULT.'!$D9,'CAPEX - BLOCOS PAN S- MULT.'!$C$3:$AG$52,31,FALSE))*AH$57</f>
        <v>-242441.06365834683</v>
      </c>
      <c r="AI9" s="1">
        <f>('RECEITAS - BLOCOS PAN'!AH9-'OPEX - BLOCOS PAN'!AH9-VLOOKUP('FLUXO DE CAIXA DESC.-SEM MULT.'!$D9,'CAPEX - BLOCOS PAN S- MULT.'!$C$3:$AH$52,32,FALSE))*AI$57</f>
        <v>-219925.95964768867</v>
      </c>
      <c r="AJ9" s="1">
        <f>('RECEITAS - BLOCOS PAN'!AI9-'OPEX - BLOCOS PAN'!AI9-VLOOKUP('FLUXO DE CAIXA DESC.-SEM MULT.'!$D9,'CAPEX - BLOCOS PAN S- MULT.'!$C$3:$AI$52,33,FALSE))*AJ$57</f>
        <v>-199441.74838332314</v>
      </c>
      <c r="AK9" s="1">
        <f>('RECEITAS - BLOCOS PAN'!AJ9-'OPEX - BLOCOS PAN'!AJ9-VLOOKUP('FLUXO DE CAIXA DESC.-SEM MULT.'!$D9,'CAPEX - BLOCOS PAN S- MULT.'!$C$3:$AJ$52,34,FALSE))*AK$57</f>
        <v>-180817.65709703666</v>
      </c>
      <c r="AL9" s="1">
        <f>('RECEITAS - BLOCOS PAN'!AK9-'OPEX - BLOCOS PAN'!AK9-VLOOKUP('FLUXO DE CAIXA DESC.-SEM MULT.'!$D9,'CAPEX - BLOCOS PAN S- MULT.'!$C$3:$AK$52,35,FALSE))*AL$57</f>
        <v>-163889.58772679823</v>
      </c>
      <c r="AM9" s="44">
        <f t="shared" si="0"/>
        <v>-45035625.816765599</v>
      </c>
      <c r="AN9">
        <v>1</v>
      </c>
      <c r="AO9" t="s">
        <v>311</v>
      </c>
      <c r="AP9">
        <v>-5.8166666666666664</v>
      </c>
      <c r="AQ9">
        <v>-61.283333333333331</v>
      </c>
      <c r="AR9" s="48">
        <f>VLOOKUP(D9,'Projeção - Demanda PAX'!$C$3:$H$37,6,FALSE)</f>
        <v>11043</v>
      </c>
      <c r="AS9" s="1">
        <f t="shared" si="1"/>
        <v>-39935053.388220526</v>
      </c>
      <c r="AT9" t="s">
        <v>382</v>
      </c>
    </row>
    <row r="10" spans="1:46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259</v>
      </c>
      <c r="H10" t="s">
        <v>33</v>
      </c>
      <c r="I10" s="1">
        <f>('RECEITAS - BLOCOS PAN'!H10-'OPEX - BLOCOS PAN'!H10-VLOOKUP('FLUXO DE CAIXA DESC.-SEM MULT.'!$D10,'CAPEX - BLOCOS PAN S- MULT.'!$C$3:$H$52,6,FALSE))*I$57</f>
        <v>-27583399.327566668</v>
      </c>
      <c r="J10" s="1">
        <f>('RECEITAS - BLOCOS PAN'!I10-'OPEX - BLOCOS PAN'!I10-VLOOKUP('FLUXO DE CAIXA DESC.-SEM MULT.'!$D10,'CAPEX - BLOCOS PAN S- MULT.'!$C$3:$I$52,7,FALSE))*J$57</f>
        <v>-25147819.96464324</v>
      </c>
      <c r="K10" s="1">
        <f>('RECEITAS - BLOCOS PAN'!J10-'OPEX - BLOCOS PAN'!J10-VLOOKUP('FLUXO DE CAIXA DESC.-SEM MULT.'!$D10,'CAPEX - BLOCOS PAN S- MULT.'!$C$3:$J$52,8,FALSE))*K$57</f>
        <v>-22932526.62053379</v>
      </c>
      <c r="L10" s="1">
        <f>('RECEITAS - BLOCOS PAN'!K10-'OPEX - BLOCOS PAN'!K10-VLOOKUP('FLUXO DE CAIXA DESC.-SEM MULT.'!$D10,'CAPEX - BLOCOS PAN S- MULT.'!$C$3:$K$52,9,FALSE))*L$57</f>
        <v>-1919371.1661332131</v>
      </c>
      <c r="M10" s="1">
        <f>('RECEITAS - BLOCOS PAN'!L10-'OPEX - BLOCOS PAN'!L10-VLOOKUP('FLUXO DE CAIXA DESC.-SEM MULT.'!$D10,'CAPEX - BLOCOS PAN S- MULT.'!$C$3:$L$52,10,FALSE))*M$57</f>
        <v>-1738673.2264343947</v>
      </c>
      <c r="N10" s="1">
        <f>('RECEITAS - BLOCOS PAN'!M10-'OPEX - BLOCOS PAN'!M10-VLOOKUP('FLUXO DE CAIXA DESC.-SEM MULT.'!$D10,'CAPEX - BLOCOS PAN S- MULT.'!$C$3:$M$52,11,FALSE))*N$57</f>
        <v>-1575685.4515814739</v>
      </c>
      <c r="O10" s="1">
        <f>('RECEITAS - BLOCOS PAN'!N10-'OPEX - BLOCOS PAN'!N10-VLOOKUP('FLUXO DE CAIXA DESC.-SEM MULT.'!$D10,'CAPEX - BLOCOS PAN S- MULT.'!$C$3:$N$52,12,FALSE))*O$57</f>
        <v>-1428126.7158497004</v>
      </c>
      <c r="P10" s="1">
        <f>('RECEITAS - BLOCOS PAN'!O10-'OPEX - BLOCOS PAN'!O10-VLOOKUP('FLUXO DE CAIXA DESC.-SEM MULT.'!$D10,'CAPEX - BLOCOS PAN S- MULT.'!$C$3:$O$52,13,FALSE))*P$57</f>
        <v>-1294503.0773929404</v>
      </c>
      <c r="Q10" s="1">
        <f>('RECEITAS - BLOCOS PAN'!P10-'OPEX - BLOCOS PAN'!P10-VLOOKUP('FLUXO DE CAIXA DESC.-SEM MULT.'!$D10,'CAPEX - BLOCOS PAN S- MULT.'!$C$3:$P$52,14,FALSE))*Q$57</f>
        <v>-1173706.9815146518</v>
      </c>
      <c r="R10" s="1">
        <f>('RECEITAS - BLOCOS PAN'!Q10-'OPEX - BLOCOS PAN'!Q10-VLOOKUP('FLUXO DE CAIXA DESC.-SEM MULT.'!$D10,'CAPEX - BLOCOS PAN S- MULT.'!$C$3:$Q$52,15,FALSE))*R$57</f>
        <v>-1064398.1749831804</v>
      </c>
      <c r="S10" s="1">
        <f>('RECEITAS - BLOCOS PAN'!R10-'OPEX - BLOCOS PAN'!R10-VLOOKUP('FLUXO DE CAIXA DESC.-SEM MULT.'!$D10,'CAPEX - BLOCOS PAN S- MULT.'!$C$3:$R$52,16,FALSE))*S$57</f>
        <v>-965449.95598453504</v>
      </c>
      <c r="T10" s="1">
        <f>('RECEITAS - BLOCOS PAN'!S10-'OPEX - BLOCOS PAN'!S10-VLOOKUP('FLUXO DE CAIXA DESC.-SEM MULT.'!$D10,'CAPEX - BLOCOS PAN S- MULT.'!$C$3:$S$52,17,FALSE))*T$57</f>
        <v>-932694.52825903555</v>
      </c>
      <c r="U10" s="1">
        <f>('RECEITAS - BLOCOS PAN'!T10-'OPEX - BLOCOS PAN'!T10-VLOOKUP('FLUXO DE CAIXA DESC.-SEM MULT.'!$D10,'CAPEX - BLOCOS PAN S- MULT.'!$C$3:$T$52,18,FALSE))*U$57</f>
        <v>-846160.727840523</v>
      </c>
      <c r="V10" s="1">
        <f>('RECEITAS - BLOCOS PAN'!U10-'OPEX - BLOCOS PAN'!U10-VLOOKUP('FLUXO DE CAIXA DESC.-SEM MULT.'!$D10,'CAPEX - BLOCOS PAN S- MULT.'!$C$3:$U$52,19,FALSE))*V$57</f>
        <v>-767447.67906561506</v>
      </c>
      <c r="W10" s="1">
        <f>('RECEITAS - BLOCOS PAN'!V10-'OPEX - BLOCOS PAN'!V10-VLOOKUP('FLUXO DE CAIXA DESC.-SEM MULT.'!$D10,'CAPEX - BLOCOS PAN S- MULT.'!$C$3:$V$52,20,FALSE))*W$57</f>
        <v>-695983.93644631701</v>
      </c>
      <c r="X10" s="1">
        <f>('RECEITAS - BLOCOS PAN'!W10-'OPEX - BLOCOS PAN'!W10-VLOOKUP('FLUXO DE CAIXA DESC.-SEM MULT.'!$D10,'CAPEX - BLOCOS PAN S- MULT.'!$C$3:$W$52,21,FALSE))*X$57</f>
        <v>-631024.26592607843</v>
      </c>
      <c r="Y10" s="1">
        <f>('RECEITAS - BLOCOS PAN'!X10-'OPEX - BLOCOS PAN'!X10-VLOOKUP('FLUXO DE CAIXA DESC.-SEM MULT.'!$D10,'CAPEX - BLOCOS PAN S- MULT.'!$C$3:$X$52,22,FALSE))*Y$57</f>
        <v>-572051.49015941052</v>
      </c>
      <c r="Z10" s="1">
        <f>('RECEITAS - BLOCOS PAN'!Y10-'OPEX - BLOCOS PAN'!Y10-VLOOKUP('FLUXO DE CAIXA DESC.-SEM MULT.'!$D10,'CAPEX - BLOCOS PAN S- MULT.'!$C$3:$Y$52,23,FALSE))*Z$57</f>
        <v>-518407.86775362759</v>
      </c>
      <c r="AA10" s="1">
        <f>('RECEITAS - BLOCOS PAN'!Z10-'OPEX - BLOCOS PAN'!Z10-VLOOKUP('FLUXO DE CAIXA DESC.-SEM MULT.'!$D10,'CAPEX - BLOCOS PAN S- MULT.'!$C$3:$Z$52,24,FALSE))*AA$57</f>
        <v>-469675.83609021205</v>
      </c>
      <c r="AB10" s="1">
        <f>('RECEITAS - BLOCOS PAN'!AA10-'OPEX - BLOCOS PAN'!AA10-VLOOKUP('FLUXO DE CAIXA DESC.-SEM MULT.'!$D10,'CAPEX - BLOCOS PAN S- MULT.'!$C$3:$AA$52,25,FALSE))*AB$57</f>
        <v>-425387.24464716553</v>
      </c>
      <c r="AC10" s="1">
        <f>('RECEITAS - BLOCOS PAN'!AB10-'OPEX - BLOCOS PAN'!AB10-VLOOKUP('FLUXO DE CAIXA DESC.-SEM MULT.'!$D10,'CAPEX - BLOCOS PAN S- MULT.'!$C$3:$AB$52,26,FALSE))*AC$57</f>
        <v>-385264.82241887436</v>
      </c>
      <c r="AD10" s="1">
        <f>('RECEITAS - BLOCOS PAN'!AC10-'OPEX - BLOCOS PAN'!AC10-VLOOKUP('FLUXO DE CAIXA DESC.-SEM MULT.'!$D10,'CAPEX - BLOCOS PAN S- MULT.'!$C$3:$AC$52,27,FALSE))*AD$57</f>
        <v>-348833.71306253428</v>
      </c>
      <c r="AE10" s="1">
        <f>('RECEITAS - BLOCOS PAN'!AD10-'OPEX - BLOCOS PAN'!AD10-VLOOKUP('FLUXO DE CAIXA DESC.-SEM MULT.'!$D10,'CAPEX - BLOCOS PAN S- MULT.'!$C$3:$AD$52,28,FALSE))*AE$57</f>
        <v>-315791.9576374311</v>
      </c>
      <c r="AF10" s="1">
        <f>('RECEITAS - BLOCOS PAN'!AE10-'OPEX - BLOCOS PAN'!AE10-VLOOKUP('FLUXO DE CAIXA DESC.-SEM MULT.'!$D10,'CAPEX - BLOCOS PAN S- MULT.'!$C$3:$AE$52,29,FALSE))*AF$57</f>
        <v>-285823.32690282911</v>
      </c>
      <c r="AG10" s="1">
        <f>('RECEITAS - BLOCOS PAN'!AF10-'OPEX - BLOCOS PAN'!AF10-VLOOKUP('FLUXO DE CAIXA DESC.-SEM MULT.'!$D10,'CAPEX - BLOCOS PAN S- MULT.'!$C$3:$AF$52,30,FALSE))*AG$57</f>
        <v>-258631.9488971575</v>
      </c>
      <c r="AH10" s="1">
        <f>('RECEITAS - BLOCOS PAN'!AG10-'OPEX - BLOCOS PAN'!AG10-VLOOKUP('FLUXO DE CAIXA DESC.-SEM MULT.'!$D10,'CAPEX - BLOCOS PAN S- MULT.'!$C$3:$AG$52,31,FALSE))*AH$57</f>
        <v>-233961.15875173654</v>
      </c>
      <c r="AI10" s="1">
        <f>('RECEITAS - BLOCOS PAN'!AH10-'OPEX - BLOCOS PAN'!AH10-VLOOKUP('FLUXO DE CAIXA DESC.-SEM MULT.'!$D10,'CAPEX - BLOCOS PAN S- MULT.'!$C$3:$AH$52,32,FALSE))*AI$57</f>
        <v>-311229.64022465871</v>
      </c>
      <c r="AJ10" s="1">
        <f>('RECEITAS - BLOCOS PAN'!AI10-'OPEX - BLOCOS PAN'!AI10-VLOOKUP('FLUXO DE CAIXA DESC.-SEM MULT.'!$D10,'CAPEX - BLOCOS PAN S- MULT.'!$C$3:$AI$52,33,FALSE))*AJ$57</f>
        <v>-282119.7209206032</v>
      </c>
      <c r="AK10" s="1">
        <f>('RECEITAS - BLOCOS PAN'!AJ10-'OPEX - BLOCOS PAN'!AJ10-VLOOKUP('FLUXO DE CAIXA DESC.-SEM MULT.'!$D10,'CAPEX - BLOCOS PAN S- MULT.'!$C$3:$AJ$52,34,FALSE))*AK$57</f>
        <v>-255667.16309013267</v>
      </c>
      <c r="AL10" s="1">
        <f>('RECEITAS - BLOCOS PAN'!AK10-'OPEX - BLOCOS PAN'!AK10-VLOOKUP('FLUXO DE CAIXA DESC.-SEM MULT.'!$D10,'CAPEX - BLOCOS PAN S- MULT.'!$C$3:$AK$52,35,FALSE))*AL$57</f>
        <v>-231627.54325690621</v>
      </c>
      <c r="AM10" s="44">
        <f t="shared" si="0"/>
        <v>-95591445.233968645</v>
      </c>
      <c r="AN10">
        <v>1</v>
      </c>
      <c r="AO10" t="s">
        <v>309</v>
      </c>
      <c r="AP10">
        <v>-1.4833333333333334</v>
      </c>
      <c r="AQ10">
        <v>-56.383333333333333</v>
      </c>
      <c r="AR10" s="48">
        <f>VLOOKUP(D10,'Projeção - Demanda PAX'!$C$3:$H$37,6,FALSE)</f>
        <v>15585</v>
      </c>
      <c r="AS10" s="1">
        <f t="shared" si="1"/>
        <v>-90065947.534229279</v>
      </c>
      <c r="AT10" t="s">
        <v>384</v>
      </c>
    </row>
    <row r="11" spans="1:46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259</v>
      </c>
      <c r="H11" t="s">
        <v>33</v>
      </c>
      <c r="I11" s="1">
        <f>('RECEITAS - BLOCOS PAN'!H11-'OPEX - BLOCOS PAN'!H11-VLOOKUP('FLUXO DE CAIXA DESC.-SEM MULT.'!$D11,'CAPEX - BLOCOS PAN S- MULT.'!$C$3:$H$52,6,FALSE))*I$57</f>
        <v>-15163230.735866666</v>
      </c>
      <c r="J11" s="1">
        <f>('RECEITAS - BLOCOS PAN'!I11-'OPEX - BLOCOS PAN'!I11-VLOOKUP('FLUXO DE CAIXA DESC.-SEM MULT.'!$D11,'CAPEX - BLOCOS PAN S- MULT.'!$C$3:$I$52,7,FALSE))*J$57</f>
        <v>-13832025.567564279</v>
      </c>
      <c r="K11" s="1">
        <f>('RECEITAS - BLOCOS PAN'!J11-'OPEX - BLOCOS PAN'!J11-VLOOKUP('FLUXO DE CAIXA DESC.-SEM MULT.'!$D11,'CAPEX - BLOCOS PAN S- MULT.'!$C$3:$J$52,8,FALSE))*K$57</f>
        <v>-12619250.969781293</v>
      </c>
      <c r="L11" s="1">
        <f>('RECEITAS - BLOCOS PAN'!K11-'OPEX - BLOCOS PAN'!K11-VLOOKUP('FLUXO DE CAIXA DESC.-SEM MULT.'!$D11,'CAPEX - BLOCOS PAN S- MULT.'!$C$3:$K$52,9,FALSE))*L$57</f>
        <v>-1936866.0905404971</v>
      </c>
      <c r="M11" s="1">
        <f>('RECEITAS - BLOCOS PAN'!L11-'OPEX - BLOCOS PAN'!L11-VLOOKUP('FLUXO DE CAIXA DESC.-SEM MULT.'!$D11,'CAPEX - BLOCOS PAN S- MULT.'!$C$3:$L$52,10,FALSE))*M$57</f>
        <v>-1764118.2942715366</v>
      </c>
      <c r="N11" s="1">
        <f>('RECEITAS - BLOCOS PAN'!M11-'OPEX - BLOCOS PAN'!M11-VLOOKUP('FLUXO DE CAIXA DESC.-SEM MULT.'!$D11,'CAPEX - BLOCOS PAN S- MULT.'!$C$3:$M$52,11,FALSE))*N$57</f>
        <v>-1606839.5093424446</v>
      </c>
      <c r="O11" s="1">
        <f>('RECEITAS - BLOCOS PAN'!N11-'OPEX - BLOCOS PAN'!N11-VLOOKUP('FLUXO DE CAIXA DESC.-SEM MULT.'!$D11,'CAPEX - BLOCOS PAN S- MULT.'!$C$3:$N$52,12,FALSE))*O$57</f>
        <v>-1463785.3582641229</v>
      </c>
      <c r="P11" s="1">
        <f>('RECEITAS - BLOCOS PAN'!O11-'OPEX - BLOCOS PAN'!O11-VLOOKUP('FLUXO DE CAIXA DESC.-SEM MULT.'!$D11,'CAPEX - BLOCOS PAN S- MULT.'!$C$3:$O$52,13,FALSE))*P$57</f>
        <v>-1333549.1699512659</v>
      </c>
      <c r="Q11" s="1">
        <f>('RECEITAS - BLOCOS PAN'!P11-'OPEX - BLOCOS PAN'!P11-VLOOKUP('FLUXO DE CAIXA DESC.-SEM MULT.'!$D11,'CAPEX - BLOCOS PAN S- MULT.'!$C$3:$P$52,14,FALSE))*Q$57</f>
        <v>-1214923.2877335425</v>
      </c>
      <c r="R11" s="1">
        <f>('RECEITAS - BLOCOS PAN'!Q11-'OPEX - BLOCOS PAN'!Q11-VLOOKUP('FLUXO DE CAIXA DESC.-SEM MULT.'!$D11,'CAPEX - BLOCOS PAN S- MULT.'!$C$3:$Q$52,15,FALSE))*R$57</f>
        <v>-1106992.7158003733</v>
      </c>
      <c r="S11" s="1">
        <f>('RECEITAS - BLOCOS PAN'!R11-'OPEX - BLOCOS PAN'!R11-VLOOKUP('FLUXO DE CAIXA DESC.-SEM MULT.'!$D11,'CAPEX - BLOCOS PAN S- MULT.'!$C$3:$R$52,16,FALSE))*S$57</f>
        <v>-1008842.3441459201</v>
      </c>
      <c r="T11" s="1">
        <f>('RECEITAS - BLOCOS PAN'!S11-'OPEX - BLOCOS PAN'!S11-VLOOKUP('FLUXO DE CAIXA DESC.-SEM MULT.'!$D11,'CAPEX - BLOCOS PAN S- MULT.'!$C$3:$S$52,17,FALSE))*T$57</f>
        <v>-919266.08404868341</v>
      </c>
      <c r="U11" s="1">
        <f>('RECEITAS - BLOCOS PAN'!T11-'OPEX - BLOCOS PAN'!T11-VLOOKUP('FLUXO DE CAIXA DESC.-SEM MULT.'!$D11,'CAPEX - BLOCOS PAN S- MULT.'!$C$3:$T$52,18,FALSE))*U$57</f>
        <v>-837679.05461564218</v>
      </c>
      <c r="V11" s="1">
        <f>('RECEITAS - BLOCOS PAN'!U11-'OPEX - BLOCOS PAN'!U11-VLOOKUP('FLUXO DE CAIXA DESC.-SEM MULT.'!$D11,'CAPEX - BLOCOS PAN S- MULT.'!$C$3:$U$52,19,FALSE))*V$57</f>
        <v>-763317.50675878732</v>
      </c>
      <c r="W11" s="1">
        <f>('RECEITAS - BLOCOS PAN'!V11-'OPEX - BLOCOS PAN'!V11-VLOOKUP('FLUXO DE CAIXA DESC.-SEM MULT.'!$D11,'CAPEX - BLOCOS PAN S- MULT.'!$C$3:$V$52,20,FALSE))*W$57</f>
        <v>-695563.09549449803</v>
      </c>
      <c r="X11" s="1">
        <f>('RECEITAS - BLOCOS PAN'!W11-'OPEX - BLOCOS PAN'!W11-VLOOKUP('FLUXO DE CAIXA DESC.-SEM MULT.'!$D11,'CAPEX - BLOCOS PAN S- MULT.'!$C$3:$W$52,21,FALSE))*X$57</f>
        <v>-633758.96237454342</v>
      </c>
      <c r="Y11" s="1">
        <f>('RECEITAS - BLOCOS PAN'!X11-'OPEX - BLOCOS PAN'!X11-VLOOKUP('FLUXO DE CAIXA DESC.-SEM MULT.'!$D11,'CAPEX - BLOCOS PAN S- MULT.'!$C$3:$X$52,22,FALSE))*Y$57</f>
        <v>-577424.52344546921</v>
      </c>
      <c r="Z11" s="1">
        <f>('RECEITAS - BLOCOS PAN'!Y11-'OPEX - BLOCOS PAN'!Y11-VLOOKUP('FLUXO DE CAIXA DESC.-SEM MULT.'!$D11,'CAPEX - BLOCOS PAN S- MULT.'!$C$3:$Y$52,23,FALSE))*Z$57</f>
        <v>-526101.8210118938</v>
      </c>
      <c r="AA11" s="1">
        <f>('RECEITAS - BLOCOS PAN'!Z11-'OPEX - BLOCOS PAN'!Z11-VLOOKUP('FLUXO DE CAIXA DESC.-SEM MULT.'!$D11,'CAPEX - BLOCOS PAN S- MULT.'!$C$3:$Z$52,24,FALSE))*AA$57</f>
        <v>-479325.26035393396</v>
      </c>
      <c r="AB11" s="1">
        <f>('RECEITAS - BLOCOS PAN'!AA11-'OPEX - BLOCOS PAN'!AA11-VLOOKUP('FLUXO DE CAIXA DESC.-SEM MULT.'!$D11,'CAPEX - BLOCOS PAN S- MULT.'!$C$3:$AA$52,25,FALSE))*AB$57</f>
        <v>-436655.44616739691</v>
      </c>
      <c r="AC11" s="1">
        <f>('RECEITAS - BLOCOS PAN'!AB11-'OPEX - BLOCOS PAN'!AB11-VLOOKUP('FLUXO DE CAIXA DESC.-SEM MULT.'!$D11,'CAPEX - BLOCOS PAN S- MULT.'!$C$3:$AB$52,26,FALSE))*AC$57</f>
        <v>-397807.95699618279</v>
      </c>
      <c r="AD11" s="1">
        <f>('RECEITAS - BLOCOS PAN'!AC11-'OPEX - BLOCOS PAN'!AC11-VLOOKUP('FLUXO DE CAIXA DESC.-SEM MULT.'!$D11,'CAPEX - BLOCOS PAN S- MULT.'!$C$3:$AC$52,27,FALSE))*AD$57</f>
        <v>-362436.23332009115</v>
      </c>
      <c r="AE11" s="1">
        <f>('RECEITAS - BLOCOS PAN'!AD11-'OPEX - BLOCOS PAN'!AD11-VLOOKUP('FLUXO DE CAIXA DESC.-SEM MULT.'!$D11,'CAPEX - BLOCOS PAN S- MULT.'!$C$3:$AD$52,28,FALSE))*AE$57</f>
        <v>-330179.59847203252</v>
      </c>
      <c r="AF11" s="1">
        <f>('RECEITAS - BLOCOS PAN'!AE11-'OPEX - BLOCOS PAN'!AE11-VLOOKUP('FLUXO DE CAIXA DESC.-SEM MULT.'!$D11,'CAPEX - BLOCOS PAN S- MULT.'!$C$3:$AE$52,29,FALSE))*AF$57</f>
        <v>-300852.24616869894</v>
      </c>
      <c r="AG11" s="1">
        <f>('RECEITAS - BLOCOS PAN'!AF11-'OPEX - BLOCOS PAN'!AF11-VLOOKUP('FLUXO DE CAIXA DESC.-SEM MULT.'!$D11,'CAPEX - BLOCOS PAN S- MULT.'!$C$3:$AF$52,30,FALSE))*AG$57</f>
        <v>-274104.25901237683</v>
      </c>
      <c r="AH11" s="1">
        <f>('RECEITAS - BLOCOS PAN'!AG11-'OPEX - BLOCOS PAN'!AG11-VLOOKUP('FLUXO DE CAIXA DESC.-SEM MULT.'!$D11,'CAPEX - BLOCOS PAN S- MULT.'!$C$3:$AG$52,31,FALSE))*AH$57</f>
        <v>-249766.21303418934</v>
      </c>
      <c r="AI11" s="1">
        <f>('RECEITAS - BLOCOS PAN'!AH11-'OPEX - BLOCOS PAN'!AH11-VLOOKUP('FLUXO DE CAIXA DESC.-SEM MULT.'!$D11,'CAPEX - BLOCOS PAN S- MULT.'!$C$3:$AH$52,32,FALSE))*AI$57</f>
        <v>-227600.46814100287</v>
      </c>
      <c r="AJ11" s="1">
        <f>('RECEITAS - BLOCOS PAN'!AI11-'OPEX - BLOCOS PAN'!AI11-VLOOKUP('FLUXO DE CAIXA DESC.-SEM MULT.'!$D11,'CAPEX - BLOCOS PAN S- MULT.'!$C$3:$AI$52,33,FALSE))*AJ$57</f>
        <v>-207397.57195544351</v>
      </c>
      <c r="AK11" s="1">
        <f>('RECEITAS - BLOCOS PAN'!AJ11-'OPEX - BLOCOS PAN'!AJ11-VLOOKUP('FLUXO DE CAIXA DESC.-SEM MULT.'!$D11,'CAPEX - BLOCOS PAN S- MULT.'!$C$3:$AJ$52,34,FALSE))*AK$57</f>
        <v>-188980.7320879692</v>
      </c>
      <c r="AL11" s="1">
        <f>('RECEITAS - BLOCOS PAN'!AK11-'OPEX - BLOCOS PAN'!AK11-VLOOKUP('FLUXO DE CAIXA DESC.-SEM MULT.'!$D11,'CAPEX - BLOCOS PAN S- MULT.'!$C$3:$AK$52,35,FALSE))*AL$57</f>
        <v>-172193.6780229733</v>
      </c>
      <c r="AM11" s="44">
        <f t="shared" si="0"/>
        <v>-61630834.754743747</v>
      </c>
      <c r="AN11">
        <v>1</v>
      </c>
      <c r="AO11" t="s">
        <v>308</v>
      </c>
      <c r="AP11">
        <v>-8.15</v>
      </c>
      <c r="AQ11">
        <v>-70.766666666666666</v>
      </c>
      <c r="AR11" s="48">
        <f>VLOOKUP(D11,'Projeção - Demanda PAX'!$C$3:$H$37,6,FALSE)</f>
        <v>4961</v>
      </c>
      <c r="AS11" s="1">
        <f t="shared" si="1"/>
        <v>-56266249.784179553</v>
      </c>
      <c r="AT11" t="s">
        <v>381</v>
      </c>
    </row>
    <row r="12" spans="1:46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259</v>
      </c>
      <c r="H12" t="s">
        <v>33</v>
      </c>
      <c r="I12" s="1">
        <f>('RECEITAS - BLOCOS PAN'!H12-'OPEX - BLOCOS PAN'!H12-VLOOKUP('FLUXO DE CAIXA DESC.-SEM MULT.'!$D12,'CAPEX - BLOCOS PAN S- MULT.'!$C$3:$H$52,6,FALSE))*I$57</f>
        <v>-34730698.653933331</v>
      </c>
      <c r="J12" s="1">
        <f>('RECEITAS - BLOCOS PAN'!I12-'OPEX - BLOCOS PAN'!I12-VLOOKUP('FLUXO DE CAIXA DESC.-SEM MULT.'!$D12,'CAPEX - BLOCOS PAN S- MULT.'!$C$3:$I$52,7,FALSE))*J$57</f>
        <v>-31665758.636360869</v>
      </c>
      <c r="K12" s="1">
        <f>('RECEITAS - BLOCOS PAN'!J12-'OPEX - BLOCOS PAN'!J12-VLOOKUP('FLUXO DE CAIXA DESC.-SEM MULT.'!$D12,'CAPEX - BLOCOS PAN S- MULT.'!$C$3:$J$52,8,FALSE))*K$57</f>
        <v>-28878814.100281481</v>
      </c>
      <c r="L12" s="1">
        <f>('RECEITAS - BLOCOS PAN'!K12-'OPEX - BLOCOS PAN'!K12-VLOOKUP('FLUXO DE CAIXA DESC.-SEM MULT.'!$D12,'CAPEX - BLOCOS PAN S- MULT.'!$C$3:$K$52,9,FALSE))*L$57</f>
        <v>-1942848.2278064922</v>
      </c>
      <c r="M12" s="1">
        <f>('RECEITAS - BLOCOS PAN'!L12-'OPEX - BLOCOS PAN'!L12-VLOOKUP('FLUXO DE CAIXA DESC.-SEM MULT.'!$D12,'CAPEX - BLOCOS PAN S- MULT.'!$C$3:$L$52,10,FALSE))*M$57</f>
        <v>-1760629.3034196</v>
      </c>
      <c r="N12" s="1">
        <f>('RECEITAS - BLOCOS PAN'!M12-'OPEX - BLOCOS PAN'!M12-VLOOKUP('FLUXO DE CAIXA DESC.-SEM MULT.'!$D12,'CAPEX - BLOCOS PAN S- MULT.'!$C$3:$M$52,11,FALSE))*N$57</f>
        <v>-1597566.5466534339</v>
      </c>
      <c r="O12" s="1">
        <f>('RECEITAS - BLOCOS PAN'!N12-'OPEX - BLOCOS PAN'!N12-VLOOKUP('FLUXO DE CAIXA DESC.-SEM MULT.'!$D12,'CAPEX - BLOCOS PAN S- MULT.'!$C$3:$N$52,12,FALSE))*O$57</f>
        <v>-1449215.6711226557</v>
      </c>
      <c r="P12" s="1">
        <f>('RECEITAS - BLOCOS PAN'!O12-'OPEX - BLOCOS PAN'!O12-VLOOKUP('FLUXO DE CAIXA DESC.-SEM MULT.'!$D12,'CAPEX - BLOCOS PAN S- MULT.'!$C$3:$O$52,13,FALSE))*P$57</f>
        <v>-1315651.2480311953</v>
      </c>
      <c r="Q12" s="1">
        <f>('RECEITAS - BLOCOS PAN'!P12-'OPEX - BLOCOS PAN'!P12-VLOOKUP('FLUXO DE CAIXA DESC.-SEM MULT.'!$D12,'CAPEX - BLOCOS PAN S- MULT.'!$C$3:$P$52,14,FALSE))*Q$57</f>
        <v>-1193920.2329935697</v>
      </c>
      <c r="R12" s="1">
        <f>('RECEITAS - BLOCOS PAN'!Q12-'OPEX - BLOCOS PAN'!Q12-VLOOKUP('FLUXO DE CAIXA DESC.-SEM MULT.'!$D12,'CAPEX - BLOCOS PAN S- MULT.'!$C$3:$Q$52,15,FALSE))*R$57</f>
        <v>-1084839.1381346707</v>
      </c>
      <c r="S12" s="1">
        <f>('RECEITAS - BLOCOS PAN'!R12-'OPEX - BLOCOS PAN'!R12-VLOOKUP('FLUXO DE CAIXA DESC.-SEM MULT.'!$D12,'CAPEX - BLOCOS PAN S- MULT.'!$C$3:$R$52,16,FALSE))*S$57</f>
        <v>-985348.29696603667</v>
      </c>
      <c r="T12" s="1">
        <f>('RECEITAS - BLOCOS PAN'!S12-'OPEX - BLOCOS PAN'!S12-VLOOKUP('FLUXO DE CAIXA DESC.-SEM MULT.'!$D12,'CAPEX - BLOCOS PAN S- MULT.'!$C$3:$S$52,17,FALSE))*T$57</f>
        <v>-895544.8179092072</v>
      </c>
      <c r="U12" s="1">
        <f>('RECEITAS - BLOCOS PAN'!T12-'OPEX - BLOCOS PAN'!T12-VLOOKUP('FLUXO DE CAIXA DESC.-SEM MULT.'!$D12,'CAPEX - BLOCOS PAN S- MULT.'!$C$3:$T$52,18,FALSE))*U$57</f>
        <v>-813404.75302134606</v>
      </c>
      <c r="V12" s="1">
        <f>('RECEITAS - BLOCOS PAN'!U12-'OPEX - BLOCOS PAN'!U12-VLOOKUP('FLUXO DE CAIXA DESC.-SEM MULT.'!$D12,'CAPEX - BLOCOS PAN S- MULT.'!$C$3:$U$52,19,FALSE))*V$57</f>
        <v>-739180.74070413539</v>
      </c>
      <c r="W12" s="1">
        <f>('RECEITAS - BLOCOS PAN'!V12-'OPEX - BLOCOS PAN'!V12-VLOOKUP('FLUXO DE CAIXA DESC.-SEM MULT.'!$D12,'CAPEX - BLOCOS PAN S- MULT.'!$C$3:$V$52,20,FALSE))*W$57</f>
        <v>-671203.31427750853</v>
      </c>
      <c r="X12" s="1">
        <f>('RECEITAS - BLOCOS PAN'!W12-'OPEX - BLOCOS PAN'!W12-VLOOKUP('FLUXO DE CAIXA DESC.-SEM MULT.'!$D12,'CAPEX - BLOCOS PAN S- MULT.'!$C$3:$W$52,21,FALSE))*X$57</f>
        <v>-609965.03373031388</v>
      </c>
      <c r="Y12" s="1">
        <f>('RECEITAS - BLOCOS PAN'!X12-'OPEX - BLOCOS PAN'!X12-VLOOKUP('FLUXO DE CAIXA DESC.-SEM MULT.'!$D12,'CAPEX - BLOCOS PAN S- MULT.'!$C$3:$X$52,22,FALSE))*Y$57</f>
        <v>-553792.38356327254</v>
      </c>
      <c r="Z12" s="1">
        <f>('RECEITAS - BLOCOS PAN'!Y12-'OPEX - BLOCOS PAN'!Y12-VLOOKUP('FLUXO DE CAIXA DESC.-SEM MULT.'!$D12,'CAPEX - BLOCOS PAN S- MULT.'!$C$3:$Y$52,23,FALSE))*Z$57</f>
        <v>-503225.83350352861</v>
      </c>
      <c r="AA12" s="1">
        <f>('RECEITAS - BLOCOS PAN'!Z12-'OPEX - BLOCOS PAN'!Z12-VLOOKUP('FLUXO DE CAIXA DESC.-SEM MULT.'!$D12,'CAPEX - BLOCOS PAN S- MULT.'!$C$3:$Z$52,24,FALSE))*AA$57</f>
        <v>-456791.97978245589</v>
      </c>
      <c r="AB12" s="1">
        <f>('RECEITAS - BLOCOS PAN'!AA12-'OPEX - BLOCOS PAN'!AA12-VLOOKUP('FLUXO DE CAIXA DESC.-SEM MULT.'!$D12,'CAPEX - BLOCOS PAN S- MULT.'!$C$3:$AA$52,25,FALSE))*AB$57</f>
        <v>-414959.79136924492</v>
      </c>
      <c r="AC12" s="1">
        <f>('RECEITAS - BLOCOS PAN'!AB12-'OPEX - BLOCOS PAN'!AB12-VLOOKUP('FLUXO DE CAIXA DESC.-SEM MULT.'!$D12,'CAPEX - BLOCOS PAN S- MULT.'!$C$3:$AB$52,26,FALSE))*AC$57</f>
        <v>-376687.48592999839</v>
      </c>
      <c r="AD12" s="1">
        <f>('RECEITAS - BLOCOS PAN'!AC12-'OPEX - BLOCOS PAN'!AC12-VLOOKUP('FLUXO DE CAIXA DESC.-SEM MULT.'!$D12,'CAPEX - BLOCOS PAN S- MULT.'!$C$3:$AC$52,27,FALSE))*AD$57</f>
        <v>-342192.70004545606</v>
      </c>
      <c r="AE12" s="1">
        <f>('RECEITAS - BLOCOS PAN'!AD12-'OPEX - BLOCOS PAN'!AD12-VLOOKUP('FLUXO DE CAIXA DESC.-SEM MULT.'!$D12,'CAPEX - BLOCOS PAN S- MULT.'!$C$3:$AD$52,28,FALSE))*AE$57</f>
        <v>-310556.22542078589</v>
      </c>
      <c r="AF12" s="1">
        <f>('RECEITAS - BLOCOS PAN'!AE12-'OPEX - BLOCOS PAN'!AE12-VLOOKUP('FLUXO DE CAIXA DESC.-SEM MULT.'!$D12,'CAPEX - BLOCOS PAN S- MULT.'!$C$3:$AE$52,29,FALSE))*AF$57</f>
        <v>-281994.24790429865</v>
      </c>
      <c r="AG12" s="1">
        <f>('RECEITAS - BLOCOS PAN'!AF12-'OPEX - BLOCOS PAN'!AF12-VLOOKUP('FLUXO DE CAIXA DESC.-SEM MULT.'!$D12,'CAPEX - BLOCOS PAN S- MULT.'!$C$3:$AF$52,30,FALSE))*AG$57</f>
        <v>-255802.78882099871</v>
      </c>
      <c r="AH12" s="1">
        <f>('RECEITAS - BLOCOS PAN'!AG12-'OPEX - BLOCOS PAN'!AG12-VLOOKUP('FLUXO DE CAIXA DESC.-SEM MULT.'!$D12,'CAPEX - BLOCOS PAN S- MULT.'!$C$3:$AG$52,31,FALSE))*AH$57</f>
        <v>-232225.88613331257</v>
      </c>
      <c r="AI12" s="1">
        <f>('RECEITAS - BLOCOS PAN'!AH12-'OPEX - BLOCOS PAN'!AH12-VLOOKUP('FLUXO DE CAIXA DESC.-SEM MULT.'!$D12,'CAPEX - BLOCOS PAN S- MULT.'!$C$3:$AH$52,32,FALSE))*AI$57</f>
        <v>-310172.16947518243</v>
      </c>
      <c r="AJ12" s="1">
        <f>('RECEITAS - BLOCOS PAN'!AI12-'OPEX - BLOCOS PAN'!AI12-VLOOKUP('FLUXO DE CAIXA DESC.-SEM MULT.'!$D12,'CAPEX - BLOCOS PAN S- MULT.'!$C$3:$AI$52,33,FALSE))*AJ$57</f>
        <v>-282045.67156273714</v>
      </c>
      <c r="AK12" s="1">
        <f>('RECEITAS - BLOCOS PAN'!AJ12-'OPEX - BLOCOS PAN'!AJ12-VLOOKUP('FLUXO DE CAIXA DESC.-SEM MULT.'!$D12,'CAPEX - BLOCOS PAN S- MULT.'!$C$3:$AJ$52,34,FALSE))*AK$57</f>
        <v>-256458.96797924055</v>
      </c>
      <c r="AL12" s="1">
        <f>('RECEITAS - BLOCOS PAN'!AK12-'OPEX - BLOCOS PAN'!AK12-VLOOKUP('FLUXO DE CAIXA DESC.-SEM MULT.'!$D12,'CAPEX - BLOCOS PAN S- MULT.'!$C$3:$AK$52,35,FALSE))*AL$57</f>
        <v>-233170.08306197354</v>
      </c>
      <c r="AM12" s="44">
        <f t="shared" si="0"/>
        <v>-115144664.92989834</v>
      </c>
      <c r="AN12">
        <v>1</v>
      </c>
      <c r="AO12" t="s">
        <v>313</v>
      </c>
      <c r="AP12">
        <v>-3.7666666666666666</v>
      </c>
      <c r="AQ12">
        <v>-49.716666666666669</v>
      </c>
      <c r="AR12" s="48">
        <f>VLOOKUP(D12,'Projeção - Demanda PAX'!$C$3:$H$37,6,FALSE)</f>
        <v>23561</v>
      </c>
      <c r="AS12" s="1">
        <f t="shared" si="1"/>
        <v>-109724623.68161555</v>
      </c>
      <c r="AT12" t="s">
        <v>385</v>
      </c>
    </row>
    <row r="13" spans="1:46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259</v>
      </c>
      <c r="H13" t="s">
        <v>33</v>
      </c>
      <c r="I13" s="1">
        <f>('RECEITAS - BLOCOS PAN'!H13-'OPEX - BLOCOS PAN'!H13-VLOOKUP('FLUXO DE CAIXA DESC.-SEM MULT.'!$D13,'CAPEX - BLOCOS PAN S- MULT.'!$C$3:$H$52,6,FALSE))*I$57</f>
        <v>-30304962.890700001</v>
      </c>
      <c r="J13" s="1">
        <f>('RECEITAS - BLOCOS PAN'!I13-'OPEX - BLOCOS PAN'!I13-VLOOKUP('FLUXO DE CAIXA DESC.-SEM MULT.'!$D13,'CAPEX - BLOCOS PAN S- MULT.'!$C$3:$I$52,7,FALSE))*J$57</f>
        <v>-27727440.752167962</v>
      </c>
      <c r="K13" s="1">
        <f>('RECEITAS - BLOCOS PAN'!J13-'OPEX - BLOCOS PAN'!J13-VLOOKUP('FLUXO DE CAIXA DESC.-SEM MULT.'!$D13,'CAPEX - BLOCOS PAN S- MULT.'!$C$3:$J$52,8,FALSE))*K$57</f>
        <v>-25269704.123565953</v>
      </c>
      <c r="L13" s="1">
        <f>('RECEITAS - BLOCOS PAN'!K13-'OPEX - BLOCOS PAN'!K13-VLOOKUP('FLUXO DE CAIXA DESC.-SEM MULT.'!$D13,'CAPEX - BLOCOS PAN S- MULT.'!$C$3:$K$52,9,FALSE))*L$57</f>
        <v>-1781087.1781411159</v>
      </c>
      <c r="M13" s="1">
        <f>('RECEITAS - BLOCOS PAN'!L13-'OPEX - BLOCOS PAN'!L13-VLOOKUP('FLUXO DE CAIXA DESC.-SEM MULT.'!$D13,'CAPEX - BLOCOS PAN S- MULT.'!$C$3:$L$52,10,FALSE))*M$57</f>
        <v>-1611504.4452879415</v>
      </c>
      <c r="N13" s="1">
        <f>('RECEITAS - BLOCOS PAN'!M13-'OPEX - BLOCOS PAN'!M13-VLOOKUP('FLUXO DE CAIXA DESC.-SEM MULT.'!$D13,'CAPEX - BLOCOS PAN S- MULT.'!$C$3:$M$52,11,FALSE))*N$57</f>
        <v>-1459688.331442147</v>
      </c>
      <c r="O13" s="1">
        <f>('RECEITAS - BLOCOS PAN'!N13-'OPEX - BLOCOS PAN'!N13-VLOOKUP('FLUXO DE CAIXA DESC.-SEM MULT.'!$D13,'CAPEX - BLOCOS PAN S- MULT.'!$C$3:$N$52,12,FALSE))*O$57</f>
        <v>-1323810.6974560162</v>
      </c>
      <c r="P13" s="1">
        <f>('RECEITAS - BLOCOS PAN'!O13-'OPEX - BLOCOS PAN'!O13-VLOOKUP('FLUXO DE CAIXA DESC.-SEM MULT.'!$D13,'CAPEX - BLOCOS PAN S- MULT.'!$C$3:$O$52,13,FALSE))*P$57</f>
        <v>-1201366.530270875</v>
      </c>
      <c r="Q13" s="1">
        <f>('RECEITAS - BLOCOS PAN'!P13-'OPEX - BLOCOS PAN'!P13-VLOOKUP('FLUXO DE CAIXA DESC.-SEM MULT.'!$D13,'CAPEX - BLOCOS PAN S- MULT.'!$C$3:$P$52,14,FALSE))*Q$57</f>
        <v>-1091585.1904100198</v>
      </c>
      <c r="R13" s="1">
        <f>('RECEITAS - BLOCOS PAN'!Q13-'OPEX - BLOCOS PAN'!Q13-VLOOKUP('FLUXO DE CAIXA DESC.-SEM MULT.'!$D13,'CAPEX - BLOCOS PAN S- MULT.'!$C$3:$Q$52,15,FALSE))*R$57</f>
        <v>-992278.50954280887</v>
      </c>
      <c r="S13" s="1">
        <f>('RECEITAS - BLOCOS PAN'!R13-'OPEX - BLOCOS PAN'!R13-VLOOKUP('FLUXO DE CAIXA DESC.-SEM MULT.'!$D13,'CAPEX - BLOCOS PAN S- MULT.'!$C$3:$R$52,16,FALSE))*S$57</f>
        <v>-902609.33716169454</v>
      </c>
      <c r="T13" s="1">
        <f>('RECEITAS - BLOCOS PAN'!S13-'OPEX - BLOCOS PAN'!S13-VLOOKUP('FLUXO DE CAIXA DESC.-SEM MULT.'!$D13,'CAPEX - BLOCOS PAN S- MULT.'!$C$3:$S$52,17,FALSE))*T$57</f>
        <v>-821650.14532736549</v>
      </c>
      <c r="U13" s="1">
        <f>('RECEITAS - BLOCOS PAN'!T13-'OPEX - BLOCOS PAN'!T13-VLOOKUP('FLUXO DE CAIXA DESC.-SEM MULT.'!$D13,'CAPEX - BLOCOS PAN S- MULT.'!$C$3:$T$52,18,FALSE))*U$57</f>
        <v>-747636.37862672366</v>
      </c>
      <c r="V13" s="1">
        <f>('RECEITAS - BLOCOS PAN'!U13-'OPEX - BLOCOS PAN'!U13-VLOOKUP('FLUXO DE CAIXA DESC.-SEM MULT.'!$D13,'CAPEX - BLOCOS PAN S- MULT.'!$C$3:$U$52,19,FALSE))*V$57</f>
        <v>-680208.93558352441</v>
      </c>
      <c r="W13" s="1">
        <f>('RECEITAS - BLOCOS PAN'!V13-'OPEX - BLOCOS PAN'!V13-VLOOKUP('FLUXO DE CAIXA DESC.-SEM MULT.'!$D13,'CAPEX - BLOCOS PAN S- MULT.'!$C$3:$V$52,20,FALSE))*W$57</f>
        <v>-619233.61972834333</v>
      </c>
      <c r="X13" s="1">
        <f>('RECEITAS - BLOCOS PAN'!W13-'OPEX - BLOCOS PAN'!W13-VLOOKUP('FLUXO DE CAIXA DESC.-SEM MULT.'!$D13,'CAPEX - BLOCOS PAN S- MULT.'!$C$3:$W$52,21,FALSE))*X$57</f>
        <v>-563487.61526199919</v>
      </c>
      <c r="Y13" s="1">
        <f>('RECEITAS - BLOCOS PAN'!X13-'OPEX - BLOCOS PAN'!X13-VLOOKUP('FLUXO DE CAIXA DESC.-SEM MULT.'!$D13,'CAPEX - BLOCOS PAN S- MULT.'!$C$3:$X$52,22,FALSE))*Y$57</f>
        <v>-512682.32403304451</v>
      </c>
      <c r="Z13" s="1">
        <f>('RECEITAS - BLOCOS PAN'!Y13-'OPEX - BLOCOS PAN'!Y13-VLOOKUP('FLUXO DE CAIXA DESC.-SEM MULT.'!$D13,'CAPEX - BLOCOS PAN S- MULT.'!$C$3:$Y$52,23,FALSE))*Z$57</f>
        <v>-466688.65918784449</v>
      </c>
      <c r="AA13" s="1">
        <f>('RECEITAS - BLOCOS PAN'!Z13-'OPEX - BLOCOS PAN'!Z13-VLOOKUP('FLUXO DE CAIXA DESC.-SEM MULT.'!$D13,'CAPEX - BLOCOS PAN S- MULT.'!$C$3:$Z$52,24,FALSE))*AA$57</f>
        <v>-424693.49015017773</v>
      </c>
      <c r="AB13" s="1">
        <f>('RECEITAS - BLOCOS PAN'!AA13-'OPEX - BLOCOS PAN'!AA13-VLOOKUP('FLUXO DE CAIXA DESC.-SEM MULT.'!$D13,'CAPEX - BLOCOS PAN S- MULT.'!$C$3:$AA$52,25,FALSE))*AB$57</f>
        <v>-386395.56966257049</v>
      </c>
      <c r="AC13" s="1">
        <f>('RECEITAS - BLOCOS PAN'!AB13-'OPEX - BLOCOS PAN'!AB13-VLOOKUP('FLUXO DE CAIXA DESC.-SEM MULT.'!$D13,'CAPEX - BLOCOS PAN S- MULT.'!$C$3:$AB$52,26,FALSE))*AC$57</f>
        <v>-351871.8442348619</v>
      </c>
      <c r="AD13" s="1">
        <f>('RECEITAS - BLOCOS PAN'!AC13-'OPEX - BLOCOS PAN'!AC13-VLOOKUP('FLUXO DE CAIXA DESC.-SEM MULT.'!$D13,'CAPEX - BLOCOS PAN S- MULT.'!$C$3:$AC$52,27,FALSE))*AD$57</f>
        <v>-320243.91232908535</v>
      </c>
      <c r="AE13" s="1">
        <f>('RECEITAS - BLOCOS PAN'!AD13-'OPEX - BLOCOS PAN'!AD13-VLOOKUP('FLUXO DE CAIXA DESC.-SEM MULT.'!$D13,'CAPEX - BLOCOS PAN S- MULT.'!$C$3:$AD$52,28,FALSE))*AE$57</f>
        <v>-291628.89307250653</v>
      </c>
      <c r="AF13" s="1">
        <f>('RECEITAS - BLOCOS PAN'!AE13-'OPEX - BLOCOS PAN'!AE13-VLOOKUP('FLUXO DE CAIXA DESC.-SEM MULT.'!$D13,'CAPEX - BLOCOS PAN S- MULT.'!$C$3:$AE$52,29,FALSE))*AF$57</f>
        <v>-265513.21590829827</v>
      </c>
      <c r="AG13" s="1">
        <f>('RECEITAS - BLOCOS PAN'!AF13-'OPEX - BLOCOS PAN'!AF13-VLOOKUP('FLUXO DE CAIXA DESC.-SEM MULT.'!$D13,'CAPEX - BLOCOS PAN S- MULT.'!$C$3:$AF$52,30,FALSE))*AG$57</f>
        <v>-241696.2409833445</v>
      </c>
      <c r="AH13" s="1">
        <f>('RECEITAS - BLOCOS PAN'!AG13-'OPEX - BLOCOS PAN'!AG13-VLOOKUP('FLUXO DE CAIXA DESC.-SEM MULT.'!$D13,'CAPEX - BLOCOS PAN S- MULT.'!$C$3:$AG$52,31,FALSE))*AH$57</f>
        <v>-220083.91660387532</v>
      </c>
      <c r="AI13" s="1">
        <f>('RECEITAS - BLOCOS PAN'!AH13-'OPEX - BLOCOS PAN'!AH13-VLOOKUP('FLUXO DE CAIXA DESC.-SEM MULT.'!$D13,'CAPEX - BLOCOS PAN S- MULT.'!$C$3:$AH$52,32,FALSE))*AI$57</f>
        <v>-200438.93470917022</v>
      </c>
      <c r="AJ13" s="1">
        <f>('RECEITAS - BLOCOS PAN'!AI13-'OPEX - BLOCOS PAN'!AI13-VLOOKUP('FLUXO DE CAIXA DESC.-SEM MULT.'!$D13,'CAPEX - BLOCOS PAN S- MULT.'!$C$3:$AI$52,33,FALSE))*AJ$57</f>
        <v>-182555.03678267688</v>
      </c>
      <c r="AK13" s="1">
        <f>('RECEITAS - BLOCOS PAN'!AJ13-'OPEX - BLOCOS PAN'!AJ13-VLOOKUP('FLUXO DE CAIXA DESC.-SEM MULT.'!$D13,'CAPEX - BLOCOS PAN S- MULT.'!$C$3:$AJ$52,34,FALSE))*AK$57</f>
        <v>-166264.85541743744</v>
      </c>
      <c r="AL13" s="1">
        <f>('RECEITAS - BLOCOS PAN'!AK13-'OPEX - BLOCOS PAN'!AK13-VLOOKUP('FLUXO DE CAIXA DESC.-SEM MULT.'!$D13,'CAPEX - BLOCOS PAN S- MULT.'!$C$3:$AK$52,35,FALSE))*AL$57</f>
        <v>-225491.43402203752</v>
      </c>
      <c r="AM13" s="44">
        <f t="shared" si="0"/>
        <v>-101354503.00777143</v>
      </c>
      <c r="AN13">
        <v>1</v>
      </c>
      <c r="AO13" t="s">
        <v>311</v>
      </c>
      <c r="AP13">
        <v>-0.13333333333333333</v>
      </c>
      <c r="AQ13">
        <v>-66.983333333333334</v>
      </c>
      <c r="AR13" s="48">
        <f>VLOOKUP(D13,'Projeção - Demanda PAX'!$C$3:$H$37,6,FALSE)</f>
        <v>25074</v>
      </c>
      <c r="AS13" s="1">
        <f t="shared" si="1"/>
        <v>-96534767.065412477</v>
      </c>
      <c r="AT13" t="s">
        <v>382</v>
      </c>
    </row>
    <row r="14" spans="1:46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258</v>
      </c>
      <c r="H14" t="s">
        <v>33</v>
      </c>
      <c r="I14" s="1">
        <f>('RECEITAS - BLOCOS PAN'!H14-'OPEX - BLOCOS PAN'!H14-VLOOKUP('FLUXO DE CAIXA DESC.-SEM MULT.'!$D14,'CAPEX - BLOCOS PAN S- MULT.'!$C$3:$H$52,6,FALSE))*I$57</f>
        <v>-17963327.004000001</v>
      </c>
      <c r="J14" s="1">
        <f>('RECEITAS - BLOCOS PAN'!I14-'OPEX - BLOCOS PAN'!I14-VLOOKUP('FLUXO DE CAIXA DESC.-SEM MULT.'!$D14,'CAPEX - BLOCOS PAN S- MULT.'!$C$3:$I$52,7,FALSE))*J$57</f>
        <v>-16369438.389593795</v>
      </c>
      <c r="K14" s="1">
        <f>('RECEITAS - BLOCOS PAN'!J14-'OPEX - BLOCOS PAN'!J14-VLOOKUP('FLUXO DE CAIXA DESC.-SEM MULT.'!$D14,'CAPEX - BLOCOS PAN S- MULT.'!$C$3:$J$52,8,FALSE))*K$57</f>
        <v>-14920654.148698851</v>
      </c>
      <c r="L14" s="1">
        <f>('RECEITAS - BLOCOS PAN'!K14-'OPEX - BLOCOS PAN'!K14-VLOOKUP('FLUXO DE CAIXA DESC.-SEM MULT.'!$D14,'CAPEX - BLOCOS PAN S- MULT.'!$C$3:$K$52,9,FALSE))*L$57</f>
        <v>-2179344.2823921512</v>
      </c>
      <c r="M14" s="1">
        <f>('RECEITAS - BLOCOS PAN'!L14-'OPEX - BLOCOS PAN'!L14-VLOOKUP('FLUXO DE CAIXA DESC.-SEM MULT.'!$D14,'CAPEX - BLOCOS PAN S- MULT.'!$C$3:$L$52,10,FALSE))*M$57</f>
        <v>-1976022.5470968743</v>
      </c>
      <c r="N14" s="1">
        <f>('RECEITAS - BLOCOS PAN'!M14-'OPEX - BLOCOS PAN'!M14-VLOOKUP('FLUXO DE CAIXA DESC.-SEM MULT.'!$D14,'CAPEX - BLOCOS PAN S- MULT.'!$C$3:$M$52,11,FALSE))*N$57</f>
        <v>-1791990.865061356</v>
      </c>
      <c r="O14" s="1">
        <f>('RECEITAS - BLOCOS PAN'!N14-'OPEX - BLOCOS PAN'!N14-VLOOKUP('FLUXO DE CAIXA DESC.-SEM MULT.'!$D14,'CAPEX - BLOCOS PAN S- MULT.'!$C$3:$N$52,12,FALSE))*O$57</f>
        <v>-1625383.3865302182</v>
      </c>
      <c r="P14" s="1">
        <f>('RECEITAS - BLOCOS PAN'!O14-'OPEX - BLOCOS PAN'!O14-VLOOKUP('FLUXO DE CAIXA DESC.-SEM MULT.'!$D14,'CAPEX - BLOCOS PAN S- MULT.'!$C$3:$O$52,13,FALSE))*P$57</f>
        <v>-1474243.4768408407</v>
      </c>
      <c r="Q14" s="1">
        <f>('RECEITAS - BLOCOS PAN'!P14-'OPEX - BLOCOS PAN'!P14-VLOOKUP('FLUXO DE CAIXA DESC.-SEM MULT.'!$D14,'CAPEX - BLOCOS PAN S- MULT.'!$C$3:$P$52,14,FALSE))*Q$57</f>
        <v>-1337433.878450392</v>
      </c>
      <c r="R14" s="1">
        <f>('RECEITAS - BLOCOS PAN'!Q14-'OPEX - BLOCOS PAN'!Q14-VLOOKUP('FLUXO DE CAIXA DESC.-SEM MULT.'!$D14,'CAPEX - BLOCOS PAN S- MULT.'!$C$3:$Q$52,15,FALSE))*R$57</f>
        <v>-1307317.5098566089</v>
      </c>
      <c r="S14" s="1">
        <f>('RECEITAS - BLOCOS PAN'!R14-'OPEX - BLOCOS PAN'!R14-VLOOKUP('FLUXO DE CAIXA DESC.-SEM MULT.'!$D14,'CAPEX - BLOCOS PAN S- MULT.'!$C$3:$R$52,16,FALSE))*S$57</f>
        <v>-1187005.9323772851</v>
      </c>
      <c r="T14" s="1">
        <f>('RECEITAS - BLOCOS PAN'!S14-'OPEX - BLOCOS PAN'!S14-VLOOKUP('FLUXO DE CAIXA DESC.-SEM MULT.'!$D14,'CAPEX - BLOCOS PAN S- MULT.'!$C$3:$S$52,17,FALSE))*T$57</f>
        <v>-1077672.756879315</v>
      </c>
      <c r="U14" s="1">
        <f>('RECEITAS - BLOCOS PAN'!T14-'OPEX - BLOCOS PAN'!T14-VLOOKUP('FLUXO DE CAIXA DESC.-SEM MULT.'!$D14,'CAPEX - BLOCOS PAN S- MULT.'!$C$3:$T$52,18,FALSE))*U$57</f>
        <v>-978314.37216431741</v>
      </c>
      <c r="V14" s="1">
        <f>('RECEITAS - BLOCOS PAN'!U14-'OPEX - BLOCOS PAN'!U14-VLOOKUP('FLUXO DE CAIXA DESC.-SEM MULT.'!$D14,'CAPEX - BLOCOS PAN S- MULT.'!$C$3:$U$52,19,FALSE))*V$57</f>
        <v>-887906.38702922361</v>
      </c>
      <c r="W14" s="1">
        <f>('RECEITAS - BLOCOS PAN'!V14-'OPEX - BLOCOS PAN'!V14-VLOOKUP('FLUXO DE CAIXA DESC.-SEM MULT.'!$D14,'CAPEX - BLOCOS PAN S- MULT.'!$C$3:$V$52,20,FALSE))*W$57</f>
        <v>-805850.21248120524</v>
      </c>
      <c r="X14" s="1">
        <f>('RECEITAS - BLOCOS PAN'!W14-'OPEX - BLOCOS PAN'!W14-VLOOKUP('FLUXO DE CAIXA DESC.-SEM MULT.'!$D14,'CAPEX - BLOCOS PAN S- MULT.'!$C$3:$W$52,21,FALSE))*X$57</f>
        <v>-731193.17469141516</v>
      </c>
      <c r="Y14" s="1">
        <f>('RECEITAS - BLOCOS PAN'!X14-'OPEX - BLOCOS PAN'!X14-VLOOKUP('FLUXO DE CAIXA DESC.-SEM MULT.'!$D14,'CAPEX - BLOCOS PAN S- MULT.'!$C$3:$X$52,22,FALSE))*Y$57</f>
        <v>-663398.87709057576</v>
      </c>
      <c r="Z14" s="1">
        <f>('RECEITAS - BLOCOS PAN'!Y14-'OPEX - BLOCOS PAN'!Y14-VLOOKUP('FLUXO DE CAIXA DESC.-SEM MULT.'!$D14,'CAPEX - BLOCOS PAN S- MULT.'!$C$3:$Y$52,23,FALSE))*Z$57</f>
        <v>-601720.78027880855</v>
      </c>
      <c r="AA14" s="1">
        <f>('RECEITAS - BLOCOS PAN'!Z14-'OPEX - BLOCOS PAN'!Z14-VLOOKUP('FLUXO DE CAIXA DESC.-SEM MULT.'!$D14,'CAPEX - BLOCOS PAN S- MULT.'!$C$3:$Z$52,24,FALSE))*AA$57</f>
        <v>-545658.56440834387</v>
      </c>
      <c r="AB14" s="1">
        <f>('RECEITAS - BLOCOS PAN'!AA14-'OPEX - BLOCOS PAN'!AA14-VLOOKUP('FLUXO DE CAIXA DESC.-SEM MULT.'!$D14,'CAPEX - BLOCOS PAN S- MULT.'!$C$3:$AA$52,25,FALSE))*AB$57</f>
        <v>-494723.446596472</v>
      </c>
      <c r="AC14" s="1">
        <f>('RECEITAS - BLOCOS PAN'!AB14-'OPEX - BLOCOS PAN'!AB14-VLOOKUP('FLUXO DE CAIXA DESC.-SEM MULT.'!$D14,'CAPEX - BLOCOS PAN S- MULT.'!$C$3:$AB$52,26,FALSE))*AC$57</f>
        <v>-448549.75230119535</v>
      </c>
      <c r="AD14" s="1">
        <f>('RECEITAS - BLOCOS PAN'!AC14-'OPEX - BLOCOS PAN'!AC14-VLOOKUP('FLUXO DE CAIXA DESC.-SEM MULT.'!$D14,'CAPEX - BLOCOS PAN S- MULT.'!$C$3:$AC$52,27,FALSE))*AD$57</f>
        <v>-406582.79257775366</v>
      </c>
      <c r="AE14" s="1">
        <f>('RECEITAS - BLOCOS PAN'!AD14-'OPEX - BLOCOS PAN'!AD14-VLOOKUP('FLUXO DE CAIXA DESC.-SEM MULT.'!$D14,'CAPEX - BLOCOS PAN S- MULT.'!$C$3:$AD$52,28,FALSE))*AE$57</f>
        <v>-368524.02600533457</v>
      </c>
      <c r="AF14" s="1">
        <f>('RECEITAS - BLOCOS PAN'!AE14-'OPEX - BLOCOS PAN'!AE14-VLOOKUP('FLUXO DE CAIXA DESC.-SEM MULT.'!$D14,'CAPEX - BLOCOS PAN S- MULT.'!$C$3:$AE$52,29,FALSE))*AF$57</f>
        <v>-333968.98733498965</v>
      </c>
      <c r="AG14" s="1">
        <f>('RECEITAS - BLOCOS PAN'!AF14-'OPEX - BLOCOS PAN'!AF14-VLOOKUP('FLUXO DE CAIXA DESC.-SEM MULT.'!$D14,'CAPEX - BLOCOS PAN S- MULT.'!$C$3:$AF$52,30,FALSE))*AG$57</f>
        <v>-302644.41706748557</v>
      </c>
      <c r="AH14" s="1">
        <f>('RECEITAS - BLOCOS PAN'!AG14-'OPEX - BLOCOS PAN'!AG14-VLOOKUP('FLUXO DE CAIXA DESC.-SEM MULT.'!$D14,'CAPEX - BLOCOS PAN S- MULT.'!$C$3:$AG$52,31,FALSE))*AH$57</f>
        <v>-338952.33346897591</v>
      </c>
      <c r="AI14" s="1">
        <f>('RECEITAS - BLOCOS PAN'!AH14-'OPEX - BLOCOS PAN'!AH14-VLOOKUP('FLUXO DE CAIXA DESC.-SEM MULT.'!$D14,'CAPEX - BLOCOS PAN S- MULT.'!$C$3:$AH$52,32,FALSE))*AI$57</f>
        <v>-307385.94844126311</v>
      </c>
      <c r="AJ14" s="1">
        <f>('RECEITAS - BLOCOS PAN'!AI14-'OPEX - BLOCOS PAN'!AI14-VLOOKUP('FLUXO DE CAIXA DESC.-SEM MULT.'!$D14,'CAPEX - BLOCOS PAN S- MULT.'!$C$3:$AI$52,33,FALSE))*AJ$57</f>
        <v>-278722.54987131018</v>
      </c>
      <c r="AK14" s="1">
        <f>('RECEITAS - BLOCOS PAN'!AJ14-'OPEX - BLOCOS PAN'!AJ14-VLOOKUP('FLUXO DE CAIXA DESC.-SEM MULT.'!$D14,'CAPEX - BLOCOS PAN S- MULT.'!$C$3:$AJ$52,34,FALSE))*AK$57</f>
        <v>-252671.44540890492</v>
      </c>
      <c r="AL14" s="1">
        <f>('RECEITAS - BLOCOS PAN'!AK14-'OPEX - BLOCOS PAN'!AK14-VLOOKUP('FLUXO DE CAIXA DESC.-SEM MULT.'!$D14,'CAPEX - BLOCOS PAN S- MULT.'!$C$3:$AK$52,35,FALSE))*AL$57</f>
        <v>-229004.27059708643</v>
      </c>
      <c r="AM14" s="44">
        <f t="shared" si="0"/>
        <v>-72185606.515592366</v>
      </c>
      <c r="AN14">
        <v>0</v>
      </c>
      <c r="AO14" t="s">
        <v>310</v>
      </c>
      <c r="AP14">
        <v>-9.4</v>
      </c>
      <c r="AQ14">
        <v>-38.25</v>
      </c>
      <c r="AR14" s="48">
        <f>VLOOKUP(D14,'Projeção - Demanda PAX'!$C$3:$H$37,6,FALSE)</f>
        <v>17631</v>
      </c>
      <c r="AS14" s="1">
        <f t="shared" si="1"/>
        <v>-65881905.14945244</v>
      </c>
      <c r="AT14" t="s">
        <v>387</v>
      </c>
    </row>
    <row r="15" spans="1:46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259</v>
      </c>
      <c r="H15" t="s">
        <v>33</v>
      </c>
      <c r="I15" s="1">
        <f>('RECEITAS - BLOCOS PAN'!H15-'OPEX - BLOCOS PAN'!H15-VLOOKUP('FLUXO DE CAIXA DESC.-SEM MULT.'!$D15,'CAPEX - BLOCOS PAN S- MULT.'!$C$3:$H$52,6,FALSE))*I$57</f>
        <v>-34319395.316066667</v>
      </c>
      <c r="J15" s="1">
        <f>('RECEITAS - BLOCOS PAN'!I15-'OPEX - BLOCOS PAN'!I15-VLOOKUP('FLUXO DE CAIXA DESC.-SEM MULT.'!$D15,'CAPEX - BLOCOS PAN S- MULT.'!$C$3:$I$52,7,FALSE))*J$57</f>
        <v>-31267039.877103303</v>
      </c>
      <c r="K15" s="1">
        <f>('RECEITAS - BLOCOS PAN'!J15-'OPEX - BLOCOS PAN'!J15-VLOOKUP('FLUXO DE CAIXA DESC.-SEM MULT.'!$D15,'CAPEX - BLOCOS PAN S- MULT.'!$C$3:$J$52,8,FALSE))*K$57</f>
        <v>-28496141.608115248</v>
      </c>
      <c r="L15" s="1">
        <f>('RECEITAS - BLOCOS PAN'!K15-'OPEX - BLOCOS PAN'!K15-VLOOKUP('FLUXO DE CAIXA DESC.-SEM MULT.'!$D15,'CAPEX - BLOCOS PAN S- MULT.'!$C$3:$K$52,9,FALSE))*L$57</f>
        <v>-1639013.1195425128</v>
      </c>
      <c r="M15" s="1">
        <f>('RECEITAS - BLOCOS PAN'!L15-'OPEX - BLOCOS PAN'!L15-VLOOKUP('FLUXO DE CAIXA DESC.-SEM MULT.'!$D15,'CAPEX - BLOCOS PAN S- MULT.'!$C$3:$L$52,10,FALSE))*M$57</f>
        <v>-2172002.119570144</v>
      </c>
      <c r="N15" s="1">
        <f>('RECEITAS - BLOCOS PAN'!M15-'OPEX - BLOCOS PAN'!M15-VLOOKUP('FLUXO DE CAIXA DESC.-SEM MULT.'!$D15,'CAPEX - BLOCOS PAN S- MULT.'!$C$3:$M$52,11,FALSE))*N$57</f>
        <v>-1958469.6679342645</v>
      </c>
      <c r="O15" s="1">
        <f>('RECEITAS - BLOCOS PAN'!N15-'OPEX - BLOCOS PAN'!N15-VLOOKUP('FLUXO DE CAIXA DESC.-SEM MULT.'!$D15,'CAPEX - BLOCOS PAN S- MULT.'!$C$3:$N$52,12,FALSE))*O$57</f>
        <v>-1766598.9620403098</v>
      </c>
      <c r="P15" s="1">
        <f>('RECEITAS - BLOCOS PAN'!O15-'OPEX - BLOCOS PAN'!O15-VLOOKUP('FLUXO DE CAIXA DESC.-SEM MULT.'!$D15,'CAPEX - BLOCOS PAN S- MULT.'!$C$3:$O$52,13,FALSE))*P$57</f>
        <v>-1594024.8904539419</v>
      </c>
      <c r="Q15" s="1">
        <f>('RECEITAS - BLOCOS PAN'!P15-'OPEX - BLOCOS PAN'!P15-VLOOKUP('FLUXO DE CAIXA DESC.-SEM MULT.'!$D15,'CAPEX - BLOCOS PAN S- MULT.'!$C$3:$P$52,14,FALSE))*Q$57</f>
        <v>-1439076.8211293158</v>
      </c>
      <c r="R15" s="1">
        <f>('RECEITAS - BLOCOS PAN'!Q15-'OPEX - BLOCOS PAN'!Q15-VLOOKUP('FLUXO DE CAIXA DESC.-SEM MULT.'!$D15,'CAPEX - BLOCOS PAN S- MULT.'!$C$3:$Q$52,15,FALSE))*R$57</f>
        <v>-1300042.7988405107</v>
      </c>
      <c r="S15" s="1">
        <f>('RECEITAS - BLOCOS PAN'!R15-'OPEX - BLOCOS PAN'!R15-VLOOKUP('FLUXO DE CAIXA DESC.-SEM MULT.'!$D15,'CAPEX - BLOCOS PAN S- MULT.'!$C$3:$R$52,16,FALSE))*S$57</f>
        <v>-1174953.1720871781</v>
      </c>
      <c r="T15" s="1">
        <f>('RECEITAS - BLOCOS PAN'!S15-'OPEX - BLOCOS PAN'!S15-VLOOKUP('FLUXO DE CAIXA DESC.-SEM MULT.'!$D15,'CAPEX - BLOCOS PAN S- MULT.'!$C$3:$S$52,17,FALSE))*T$57</f>
        <v>-1061834.8808705374</v>
      </c>
      <c r="U15" s="1">
        <f>('RECEITAS - BLOCOS PAN'!T15-'OPEX - BLOCOS PAN'!T15-VLOOKUP('FLUXO DE CAIXA DESC.-SEM MULT.'!$D15,'CAPEX - BLOCOS PAN S- MULT.'!$C$3:$T$52,18,FALSE))*U$57</f>
        <v>-959508.35837665689</v>
      </c>
      <c r="V15" s="1">
        <f>('RECEITAS - BLOCOS PAN'!U15-'OPEX - BLOCOS PAN'!U15-VLOOKUP('FLUXO DE CAIXA DESC.-SEM MULT.'!$D15,'CAPEX - BLOCOS PAN S- MULT.'!$C$3:$U$52,19,FALSE))*V$57</f>
        <v>-866698.32598980865</v>
      </c>
      <c r="W15" s="1">
        <f>('RECEITAS - BLOCOS PAN'!V15-'OPEX - BLOCOS PAN'!V15-VLOOKUP('FLUXO DE CAIXA DESC.-SEM MULT.'!$D15,'CAPEX - BLOCOS PAN S- MULT.'!$C$3:$V$52,20,FALSE))*W$57</f>
        <v>-782848.29728167027</v>
      </c>
      <c r="X15" s="1">
        <f>('RECEITAS - BLOCOS PAN'!W15-'OPEX - BLOCOS PAN'!W15-VLOOKUP('FLUXO DE CAIXA DESC.-SEM MULT.'!$D15,'CAPEX - BLOCOS PAN S- MULT.'!$C$3:$W$52,21,FALSE))*X$57</f>
        <v>-706899.64838645479</v>
      </c>
      <c r="Y15" s="1">
        <f>('RECEITAS - BLOCOS PAN'!X15-'OPEX - BLOCOS PAN'!X15-VLOOKUP('FLUXO DE CAIXA DESC.-SEM MULT.'!$D15,'CAPEX - BLOCOS PAN S- MULT.'!$C$3:$X$52,22,FALSE))*Y$57</f>
        <v>-638209.99643002695</v>
      </c>
      <c r="Z15" s="1">
        <f>('RECEITAS - BLOCOS PAN'!Y15-'OPEX - BLOCOS PAN'!Y15-VLOOKUP('FLUXO DE CAIXA DESC.-SEM MULT.'!$D15,'CAPEX - BLOCOS PAN S- MULT.'!$C$3:$Y$52,23,FALSE))*Z$57</f>
        <v>-575905.14600401255</v>
      </c>
      <c r="AA15" s="1">
        <f>('RECEITAS - BLOCOS PAN'!Z15-'OPEX - BLOCOS PAN'!Z15-VLOOKUP('FLUXO DE CAIXA DESC.-SEM MULT.'!$D15,'CAPEX - BLOCOS PAN S- MULT.'!$C$3:$Z$52,24,FALSE))*AA$57</f>
        <v>-519543.48057822371</v>
      </c>
      <c r="AB15" s="1">
        <f>('RECEITAS - BLOCOS PAN'!AA15-'OPEX - BLOCOS PAN'!AA15-VLOOKUP('FLUXO DE CAIXA DESC.-SEM MULT.'!$D15,'CAPEX - BLOCOS PAN S- MULT.'!$C$3:$AA$52,25,FALSE))*AB$57</f>
        <v>-468481.07587665715</v>
      </c>
      <c r="AC15" s="1">
        <f>('RECEITAS - BLOCOS PAN'!AB15-'OPEX - BLOCOS PAN'!AB15-VLOOKUP('FLUXO DE CAIXA DESC.-SEM MULT.'!$D15,'CAPEX - BLOCOS PAN S- MULT.'!$C$3:$AB$52,26,FALSE))*AC$57</f>
        <v>-422477.59472276305</v>
      </c>
      <c r="AD15" s="1">
        <f>('RECEITAS - BLOCOS PAN'!AC15-'OPEX - BLOCOS PAN'!AC15-VLOOKUP('FLUXO DE CAIXA DESC.-SEM MULT.'!$D15,'CAPEX - BLOCOS PAN S- MULT.'!$C$3:$AC$52,27,FALSE))*AD$57</f>
        <v>-380878.0884998148</v>
      </c>
      <c r="AE15" s="1">
        <f>('RECEITAS - BLOCOS PAN'!AD15-'OPEX - BLOCOS PAN'!AD15-VLOOKUP('FLUXO DE CAIXA DESC.-SEM MULT.'!$D15,'CAPEX - BLOCOS PAN S- MULT.'!$C$3:$AD$52,28,FALSE))*AE$57</f>
        <v>-343319.28503737476</v>
      </c>
      <c r="AF15" s="1">
        <f>('RECEITAS - BLOCOS PAN'!AE15-'OPEX - BLOCOS PAN'!AE15-VLOOKUP('FLUXO DE CAIXA DESC.-SEM MULT.'!$D15,'CAPEX - BLOCOS PAN S- MULT.'!$C$3:$AE$52,29,FALSE))*AF$57</f>
        <v>-309575.15025211201</v>
      </c>
      <c r="AG15" s="1">
        <f>('RECEITAS - BLOCOS PAN'!AF15-'OPEX - BLOCOS PAN'!AF15-VLOOKUP('FLUXO DE CAIXA DESC.-SEM MULT.'!$D15,'CAPEX - BLOCOS PAN S- MULT.'!$C$3:$AF$52,30,FALSE))*AG$57</f>
        <v>-279218.36062298802</v>
      </c>
      <c r="AH15" s="1">
        <f>('RECEITAS - BLOCOS PAN'!AG15-'OPEX - BLOCOS PAN'!AG15-VLOOKUP('FLUXO DE CAIXA DESC.-SEM MULT.'!$D15,'CAPEX - BLOCOS PAN S- MULT.'!$C$3:$AG$52,31,FALSE))*AH$57</f>
        <v>-251810.03304816788</v>
      </c>
      <c r="AI15" s="1">
        <f>('RECEITAS - BLOCOS PAN'!AH15-'OPEX - BLOCOS PAN'!AH15-VLOOKUP('FLUXO DE CAIXA DESC.-SEM MULT.'!$D15,'CAPEX - BLOCOS PAN S- MULT.'!$C$3:$AH$52,32,FALSE))*AI$57</f>
        <v>-227158.37046965395</v>
      </c>
      <c r="AJ15" s="1">
        <f>('RECEITAS - BLOCOS PAN'!AI15-'OPEX - BLOCOS PAN'!AI15-VLOOKUP('FLUXO DE CAIXA DESC.-SEM MULT.'!$D15,'CAPEX - BLOCOS PAN S- MULT.'!$C$3:$AI$52,33,FALSE))*AJ$57</f>
        <v>-204872.59915619899</v>
      </c>
      <c r="AK15" s="1">
        <f>('RECEITAS - BLOCOS PAN'!AJ15-'OPEX - BLOCOS PAN'!AJ15-VLOOKUP('FLUXO DE CAIXA DESC.-SEM MULT.'!$D15,'CAPEX - BLOCOS PAN S- MULT.'!$C$3:$AJ$52,34,FALSE))*AK$57</f>
        <v>-184696.24766886065</v>
      </c>
      <c r="AL15" s="1">
        <f>('RECEITAS - BLOCOS PAN'!AK15-'OPEX - BLOCOS PAN'!AK15-VLOOKUP('FLUXO DE CAIXA DESC.-SEM MULT.'!$D15,'CAPEX - BLOCOS PAN S- MULT.'!$C$3:$AK$52,35,FALSE))*AL$57</f>
        <v>-166452.35964563265</v>
      </c>
      <c r="AM15" s="44">
        <f t="shared" si="0"/>
        <v>-116477145.65180099</v>
      </c>
      <c r="AN15">
        <v>1</v>
      </c>
      <c r="AO15" t="s">
        <v>283</v>
      </c>
      <c r="AP15">
        <v>-12.683333333333334</v>
      </c>
      <c r="AQ15">
        <v>-60.083333333333336</v>
      </c>
      <c r="AR15" s="48">
        <f>VLOOKUP(D15,'Projeção - Demanda PAX'!$C$3:$H$37,6,FALSE)</f>
        <v>37278</v>
      </c>
      <c r="AS15" s="1">
        <f t="shared" si="1"/>
        <v>-110797648.21540205</v>
      </c>
      <c r="AT15" t="s">
        <v>386</v>
      </c>
    </row>
    <row r="16" spans="1:46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259</v>
      </c>
      <c r="H16" t="s">
        <v>33</v>
      </c>
      <c r="I16" s="1">
        <f>('RECEITAS - BLOCOS PAN'!H16-'OPEX - BLOCOS PAN'!H16-VLOOKUP('FLUXO DE CAIXA DESC.-SEM MULT.'!$D16,'CAPEX - BLOCOS PAN S- MULT.'!$C$3:$H$52,6,FALSE))*I$57</f>
        <v>-11358614.374499999</v>
      </c>
      <c r="J16" s="1">
        <f>('RECEITAS - BLOCOS PAN'!I16-'OPEX - BLOCOS PAN'!I16-VLOOKUP('FLUXO DE CAIXA DESC.-SEM MULT.'!$D16,'CAPEX - BLOCOS PAN S- MULT.'!$C$3:$I$52,7,FALSE))*J$57</f>
        <v>-10352386.474851668</v>
      </c>
      <c r="K16" s="1">
        <f>('RECEITAS - BLOCOS PAN'!J16-'OPEX - BLOCOS PAN'!J16-VLOOKUP('FLUXO DE CAIXA DESC.-SEM MULT.'!$D16,'CAPEX - BLOCOS PAN S- MULT.'!$C$3:$J$52,8,FALSE))*K$57</f>
        <v>-9438265.5750538334</v>
      </c>
      <c r="L16" s="1">
        <f>('RECEITAS - BLOCOS PAN'!K16-'OPEX - BLOCOS PAN'!K16-VLOOKUP('FLUXO DE CAIXA DESC.-SEM MULT.'!$D16,'CAPEX - BLOCOS PAN S- MULT.'!$C$3:$K$52,9,FALSE))*L$57</f>
        <v>-2013045.4923297921</v>
      </c>
      <c r="M16" s="1">
        <f>('RECEITAS - BLOCOS PAN'!L16-'OPEX - BLOCOS PAN'!L16-VLOOKUP('FLUXO DE CAIXA DESC.-SEM MULT.'!$D16,'CAPEX - BLOCOS PAN S- MULT.'!$C$3:$L$52,10,FALSE))*M$57</f>
        <v>-1831300.1638833256</v>
      </c>
      <c r="N16" s="1">
        <f>('RECEITAS - BLOCOS PAN'!M16-'OPEX - BLOCOS PAN'!M16-VLOOKUP('FLUXO DE CAIXA DESC.-SEM MULT.'!$D16,'CAPEX - BLOCOS PAN S- MULT.'!$C$3:$M$52,11,FALSE))*N$57</f>
        <v>-1666599.4776243565</v>
      </c>
      <c r="O16" s="1">
        <f>('RECEITAS - BLOCOS PAN'!N16-'OPEX - BLOCOS PAN'!N16-VLOOKUP('FLUXO DE CAIXA DESC.-SEM MULT.'!$D16,'CAPEX - BLOCOS PAN S- MULT.'!$C$3:$N$52,12,FALSE))*O$57</f>
        <v>-1516581.9167683516</v>
      </c>
      <c r="P16" s="1">
        <f>('RECEITAS - BLOCOS PAN'!O16-'OPEX - BLOCOS PAN'!O16-VLOOKUP('FLUXO DE CAIXA DESC.-SEM MULT.'!$D16,'CAPEX - BLOCOS PAN S- MULT.'!$C$3:$O$52,13,FALSE))*P$57</f>
        <v>-1379888.4884167425</v>
      </c>
      <c r="Q16" s="1">
        <f>('RECEITAS - BLOCOS PAN'!P16-'OPEX - BLOCOS PAN'!P16-VLOOKUP('FLUXO DE CAIXA DESC.-SEM MULT.'!$D16,'CAPEX - BLOCOS PAN S- MULT.'!$C$3:$P$52,14,FALSE))*Q$57</f>
        <v>-1255642.9313714623</v>
      </c>
      <c r="R16" s="1">
        <f>('RECEITAS - BLOCOS PAN'!Q16-'OPEX - BLOCOS PAN'!Q16-VLOOKUP('FLUXO DE CAIXA DESC.-SEM MULT.'!$D16,'CAPEX - BLOCOS PAN S- MULT.'!$C$3:$Q$52,15,FALSE))*R$57</f>
        <v>-1142677.6188628054</v>
      </c>
      <c r="S16" s="1">
        <f>('RECEITAS - BLOCOS PAN'!R16-'OPEX - BLOCOS PAN'!R16-VLOOKUP('FLUXO DE CAIXA DESC.-SEM MULT.'!$D16,'CAPEX - BLOCOS PAN S- MULT.'!$C$3:$R$52,16,FALSE))*S$57</f>
        <v>-1040072.352914843</v>
      </c>
      <c r="T16" s="1">
        <f>('RECEITAS - BLOCOS PAN'!S16-'OPEX - BLOCOS PAN'!S16-VLOOKUP('FLUXO DE CAIXA DESC.-SEM MULT.'!$D16,'CAPEX - BLOCOS PAN S- MULT.'!$C$3:$S$52,17,FALSE))*T$57</f>
        <v>-946520.30734080134</v>
      </c>
      <c r="U16" s="1">
        <f>('RECEITAS - BLOCOS PAN'!T16-'OPEX - BLOCOS PAN'!T16-VLOOKUP('FLUXO DE CAIXA DESC.-SEM MULT.'!$D16,'CAPEX - BLOCOS PAN S- MULT.'!$C$3:$T$52,18,FALSE))*U$57</f>
        <v>-861418.30599820463</v>
      </c>
      <c r="V16" s="1">
        <f>('RECEITAS - BLOCOS PAN'!U16-'OPEX - BLOCOS PAN'!U16-VLOOKUP('FLUXO DE CAIXA DESC.-SEM MULT.'!$D16,'CAPEX - BLOCOS PAN S- MULT.'!$C$3:$U$52,19,FALSE))*V$57</f>
        <v>-783873.39753432432</v>
      </c>
      <c r="W16" s="1">
        <f>('RECEITAS - BLOCOS PAN'!V16-'OPEX - BLOCOS PAN'!V16-VLOOKUP('FLUXO DE CAIXA DESC.-SEM MULT.'!$D16,'CAPEX - BLOCOS PAN S- MULT.'!$C$3:$V$52,20,FALSE))*W$57</f>
        <v>-713284.57402582827</v>
      </c>
      <c r="X16" s="1">
        <f>('RECEITAS - BLOCOS PAN'!W16-'OPEX - BLOCOS PAN'!W16-VLOOKUP('FLUXO DE CAIXA DESC.-SEM MULT.'!$D16,'CAPEX - BLOCOS PAN S- MULT.'!$C$3:$W$52,21,FALSE))*X$57</f>
        <v>-649029.12542597414</v>
      </c>
      <c r="Y16" s="1">
        <f>('RECEITAS - BLOCOS PAN'!X16-'OPEX - BLOCOS PAN'!X16-VLOOKUP('FLUXO DE CAIXA DESC.-SEM MULT.'!$D16,'CAPEX - BLOCOS PAN S- MULT.'!$C$3:$X$52,22,FALSE))*Y$57</f>
        <v>-590476.26888326183</v>
      </c>
      <c r="Z16" s="1">
        <f>('RECEITAS - BLOCOS PAN'!Y16-'OPEX - BLOCOS PAN'!Y16-VLOOKUP('FLUXO DE CAIXA DESC.-SEM MULT.'!$D16,'CAPEX - BLOCOS PAN S- MULT.'!$C$3:$Y$52,23,FALSE))*Z$57</f>
        <v>-537181.6179832886</v>
      </c>
      <c r="AA16" s="1">
        <f>('RECEITAS - BLOCOS PAN'!Z16-'OPEX - BLOCOS PAN'!Z16-VLOOKUP('FLUXO DE CAIXA DESC.-SEM MULT.'!$D16,'CAPEX - BLOCOS PAN S- MULT.'!$C$3:$Z$52,24,FALSE))*AA$57</f>
        <v>-488583.48402586463</v>
      </c>
      <c r="AB16" s="1">
        <f>('RECEITAS - BLOCOS PAN'!AA16-'OPEX - BLOCOS PAN'!AA16-VLOOKUP('FLUXO DE CAIXA DESC.-SEM MULT.'!$D16,'CAPEX - BLOCOS PAN S- MULT.'!$C$3:$AA$52,25,FALSE))*AB$57</f>
        <v>-444386.33835654118</v>
      </c>
      <c r="AC16" s="1">
        <f>('RECEITAS - BLOCOS PAN'!AB16-'OPEX - BLOCOS PAN'!AB16-VLOOKUP('FLUXO DE CAIXA DESC.-SEM MULT.'!$D16,'CAPEX - BLOCOS PAN S- MULT.'!$C$3:$AB$52,26,FALSE))*AC$57</f>
        <v>-404118.86625947064</v>
      </c>
      <c r="AD16" s="1">
        <f>('RECEITAS - BLOCOS PAN'!AC16-'OPEX - BLOCOS PAN'!AC16-VLOOKUP('FLUXO DE CAIXA DESC.-SEM MULT.'!$D16,'CAPEX - BLOCOS PAN S- MULT.'!$C$3:$AC$52,27,FALSE))*AD$57</f>
        <v>-367508.3100970792</v>
      </c>
      <c r="AE16" s="1">
        <f>('RECEITAS - BLOCOS PAN'!AD16-'OPEX - BLOCOS PAN'!AD16-VLOOKUP('FLUXO DE CAIXA DESC.-SEM MULT.'!$D16,'CAPEX - BLOCOS PAN S- MULT.'!$C$3:$AD$52,28,FALSE))*AE$57</f>
        <v>-334165.49360458838</v>
      </c>
      <c r="AF16" s="1">
        <f>('RECEITAS - BLOCOS PAN'!AE16-'OPEX - BLOCOS PAN'!AE16-VLOOKUP('FLUXO DE CAIXA DESC.-SEM MULT.'!$D16,'CAPEX - BLOCOS PAN S- MULT.'!$C$3:$AE$52,29,FALSE))*AF$57</f>
        <v>-303831.89777274261</v>
      </c>
      <c r="AG16" s="1">
        <f>('RECEITAS - BLOCOS PAN'!AF16-'OPEX - BLOCOS PAN'!AF16-VLOOKUP('FLUXO DE CAIXA DESC.-SEM MULT.'!$D16,'CAPEX - BLOCOS PAN S- MULT.'!$C$3:$AF$52,30,FALSE))*AG$57</f>
        <v>-276236.28105464706</v>
      </c>
      <c r="AH16" s="1">
        <f>('RECEITAS - BLOCOS PAN'!AG16-'OPEX - BLOCOS PAN'!AG16-VLOOKUP('FLUXO DE CAIXA DESC.-SEM MULT.'!$D16,'CAPEX - BLOCOS PAN S- MULT.'!$C$3:$AG$52,31,FALSE))*AH$57</f>
        <v>-251114.95490677361</v>
      </c>
      <c r="AI16" s="1">
        <f>('RECEITAS - BLOCOS PAN'!AH16-'OPEX - BLOCOS PAN'!AH16-VLOOKUP('FLUXO DE CAIXA DESC.-SEM MULT.'!$D16,'CAPEX - BLOCOS PAN S- MULT.'!$C$3:$AH$52,32,FALSE))*AI$57</f>
        <v>-228284.32562252949</v>
      </c>
      <c r="AJ16" s="1">
        <f>('RECEITAS - BLOCOS PAN'!AI16-'OPEX - BLOCOS PAN'!AI16-VLOOKUP('FLUXO DE CAIXA DESC.-SEM MULT.'!$D16,'CAPEX - BLOCOS PAN S- MULT.'!$C$3:$AI$52,33,FALSE))*AJ$57</f>
        <v>-207550.28735719511</v>
      </c>
      <c r="AK16" s="1">
        <f>('RECEITAS - BLOCOS PAN'!AJ16-'OPEX - BLOCOS PAN'!AJ16-VLOOKUP('FLUXO DE CAIXA DESC.-SEM MULT.'!$D16,'CAPEX - BLOCOS PAN S- MULT.'!$C$3:$AJ$52,34,FALSE))*AK$57</f>
        <v>-188672.9877559141</v>
      </c>
      <c r="AL16" s="1">
        <f>('RECEITAS - BLOCOS PAN'!AK16-'OPEX - BLOCOS PAN'!AK16-VLOOKUP('FLUXO DE CAIXA DESC.-SEM MULT.'!$D16,'CAPEX - BLOCOS PAN S- MULT.'!$C$3:$AK$52,35,FALSE))*AL$57</f>
        <v>-171493.46515100228</v>
      </c>
      <c r="AM16" s="44">
        <f t="shared" si="0"/>
        <v>-51742805.155733213</v>
      </c>
      <c r="AN16">
        <v>1</v>
      </c>
      <c r="AO16" t="s">
        <v>313</v>
      </c>
      <c r="AP16">
        <v>-8.0166666666666675</v>
      </c>
      <c r="AQ16">
        <v>-49.966666666666669</v>
      </c>
      <c r="AR16" s="48">
        <f>VLOOKUP(D16,'Projeção - Demanda PAX'!$C$3:$H$37,6,FALSE)</f>
        <v>9874</v>
      </c>
      <c r="AS16" s="1">
        <f t="shared" si="1"/>
        <v>-46300171.451476336</v>
      </c>
      <c r="AT16" t="s">
        <v>385</v>
      </c>
    </row>
    <row r="17" spans="1:46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259</v>
      </c>
      <c r="H17" t="s">
        <v>33</v>
      </c>
      <c r="I17" s="1">
        <f>('RECEITAS - BLOCOS PAN'!H17-'OPEX - BLOCOS PAN'!H17-VLOOKUP('FLUXO DE CAIXA DESC.-SEM MULT.'!$D17,'CAPEX - BLOCOS PAN S- MULT.'!$C$3:$H$52,6,FALSE))*I$57</f>
        <v>-37924690.96616666</v>
      </c>
      <c r="J17" s="1">
        <f>('RECEITAS - BLOCOS PAN'!I17-'OPEX - BLOCOS PAN'!I17-VLOOKUP('FLUXO DE CAIXA DESC.-SEM MULT.'!$D17,'CAPEX - BLOCOS PAN S- MULT.'!$C$3:$I$52,7,FALSE))*J$57</f>
        <v>-34589509.911334246</v>
      </c>
      <c r="K17" s="1">
        <f>('RECEITAS - BLOCOS PAN'!J17-'OPEX - BLOCOS PAN'!J17-VLOOKUP('FLUXO DE CAIXA DESC.-SEM MULT.'!$D17,'CAPEX - BLOCOS PAN S- MULT.'!$C$3:$J$52,8,FALSE))*K$57</f>
        <v>-31550916.971834004</v>
      </c>
      <c r="L17" s="1">
        <f>('RECEITAS - BLOCOS PAN'!K17-'OPEX - BLOCOS PAN'!K17-VLOOKUP('FLUXO DE CAIXA DESC.-SEM MULT.'!$D17,'CAPEX - BLOCOS PAN S- MULT.'!$C$3:$K$52,9,FALSE))*L$57</f>
        <v>-1940798.4577046807</v>
      </c>
      <c r="M17" s="1">
        <f>('RECEITAS - BLOCOS PAN'!L17-'OPEX - BLOCOS PAN'!L17-VLOOKUP('FLUXO DE CAIXA DESC.-SEM MULT.'!$D17,'CAPEX - BLOCOS PAN S- MULT.'!$C$3:$L$52,10,FALSE))*M$57</f>
        <v>-1757113.8534263372</v>
      </c>
      <c r="N17" s="1">
        <f>('RECEITAS - BLOCOS PAN'!M17-'OPEX - BLOCOS PAN'!M17-VLOOKUP('FLUXO DE CAIXA DESC.-SEM MULT.'!$D17,'CAPEX - BLOCOS PAN S- MULT.'!$C$3:$M$52,11,FALSE))*N$57</f>
        <v>-1592017.16850705</v>
      </c>
      <c r="O17" s="1">
        <f>('RECEITAS - BLOCOS PAN'!N17-'OPEX - BLOCOS PAN'!N17-VLOOKUP('FLUXO DE CAIXA DESC.-SEM MULT.'!$D17,'CAPEX - BLOCOS PAN S- MULT.'!$C$3:$N$52,12,FALSE))*O$57</f>
        <v>-1441584.8837607705</v>
      </c>
      <c r="P17" s="1">
        <f>('RECEITAS - BLOCOS PAN'!O17-'OPEX - BLOCOS PAN'!O17-VLOOKUP('FLUXO DE CAIXA DESC.-SEM MULT.'!$D17,'CAPEX - BLOCOS PAN S- MULT.'!$C$3:$O$52,13,FALSE))*P$57</f>
        <v>-1305958.8946735081</v>
      </c>
      <c r="Q17" s="1">
        <f>('RECEITAS - BLOCOS PAN'!P17-'OPEX - BLOCOS PAN'!P17-VLOOKUP('FLUXO DE CAIXA DESC.-SEM MULT.'!$D17,'CAPEX - BLOCOS PAN S- MULT.'!$C$3:$P$52,14,FALSE))*Q$57</f>
        <v>-1182302.9979557164</v>
      </c>
      <c r="R17" s="1">
        <f>('RECEITAS - BLOCOS PAN'!Q17-'OPEX - BLOCOS PAN'!Q17-VLOOKUP('FLUXO DE CAIXA DESC.-SEM MULT.'!$D17,'CAPEX - BLOCOS PAN S- MULT.'!$C$3:$Q$52,15,FALSE))*R$57</f>
        <v>-1071313.7938441492</v>
      </c>
      <c r="S17" s="1">
        <f>('RECEITAS - BLOCOS PAN'!R17-'OPEX - BLOCOS PAN'!R17-VLOOKUP('FLUXO DE CAIXA DESC.-SEM MULT.'!$D17,'CAPEX - BLOCOS PAN S- MULT.'!$C$3:$R$52,16,FALSE))*S$57</f>
        <v>-970207.96165017248</v>
      </c>
      <c r="T17" s="1">
        <f>('RECEITAS - BLOCOS PAN'!S17-'OPEX - BLOCOS PAN'!S17-VLOOKUP('FLUXO DE CAIXA DESC.-SEM MULT.'!$D17,'CAPEX - BLOCOS PAN S- MULT.'!$C$3:$S$52,17,FALSE))*T$57</f>
        <v>-936218.78020131099</v>
      </c>
      <c r="U17" s="1">
        <f>('RECEITAS - BLOCOS PAN'!T17-'OPEX - BLOCOS PAN'!T17-VLOOKUP('FLUXO DE CAIXA DESC.-SEM MULT.'!$D17,'CAPEX - BLOCOS PAN S- MULT.'!$C$3:$T$52,18,FALSE))*U$57</f>
        <v>-847988.89595046814</v>
      </c>
      <c r="V17" s="1">
        <f>('RECEITAS - BLOCOS PAN'!U17-'OPEX - BLOCOS PAN'!U17-VLOOKUP('FLUXO DE CAIXA DESC.-SEM MULT.'!$D17,'CAPEX - BLOCOS PAN S- MULT.'!$C$3:$U$52,19,FALSE))*V$57</f>
        <v>-768488.91784034774</v>
      </c>
      <c r="W17" s="1">
        <f>('RECEITAS - BLOCOS PAN'!V17-'OPEX - BLOCOS PAN'!V17-VLOOKUP('FLUXO DE CAIXA DESC.-SEM MULT.'!$D17,'CAPEX - BLOCOS PAN S- MULT.'!$C$3:$V$52,20,FALSE))*W$57</f>
        <v>-695804.97794633009</v>
      </c>
      <c r="X17" s="1">
        <f>('RECEITAS - BLOCOS PAN'!W17-'OPEX - BLOCOS PAN'!W17-VLOOKUP('FLUXO DE CAIXA DESC.-SEM MULT.'!$D17,'CAPEX - BLOCOS PAN S- MULT.'!$C$3:$W$52,21,FALSE))*X$57</f>
        <v>-630341.79297745309</v>
      </c>
      <c r="Y17" s="1">
        <f>('RECEITAS - BLOCOS PAN'!X17-'OPEX - BLOCOS PAN'!X17-VLOOKUP('FLUXO DE CAIXA DESC.-SEM MULT.'!$D17,'CAPEX - BLOCOS PAN S- MULT.'!$C$3:$X$52,22,FALSE))*Y$57</f>
        <v>-570513.92600540619</v>
      </c>
      <c r="Z17" s="1">
        <f>('RECEITAS - BLOCOS PAN'!Y17-'OPEX - BLOCOS PAN'!Y17-VLOOKUP('FLUXO DE CAIXA DESC.-SEM MULT.'!$D17,'CAPEX - BLOCOS PAN S- MULT.'!$C$3:$Y$52,23,FALSE))*Z$57</f>
        <v>-516732.10464859317</v>
      </c>
      <c r="AA17" s="1">
        <f>('RECEITAS - BLOCOS PAN'!Z17-'OPEX - BLOCOS PAN'!Z17-VLOOKUP('FLUXO DE CAIXA DESC.-SEM MULT.'!$D17,'CAPEX - BLOCOS PAN S- MULT.'!$C$3:$Z$52,24,FALSE))*AA$57</f>
        <v>-467448.78357564512</v>
      </c>
      <c r="AB17" s="1">
        <f>('RECEITAS - BLOCOS PAN'!AA17-'OPEX - BLOCOS PAN'!AA17-VLOOKUP('FLUXO DE CAIXA DESC.-SEM MULT.'!$D17,'CAPEX - BLOCOS PAN S- MULT.'!$C$3:$AA$52,25,FALSE))*AB$57</f>
        <v>-423222.17786877602</v>
      </c>
      <c r="AC17" s="1">
        <f>('RECEITAS - BLOCOS PAN'!AB17-'OPEX - BLOCOS PAN'!AB17-VLOOKUP('FLUXO DE CAIXA DESC.-SEM MULT.'!$D17,'CAPEX - BLOCOS PAN S- MULT.'!$C$3:$AB$52,26,FALSE))*AC$57</f>
        <v>-382745.52255742828</v>
      </c>
      <c r="AD17" s="1">
        <f>('RECEITAS - BLOCOS PAN'!AC17-'OPEX - BLOCOS PAN'!AC17-VLOOKUP('FLUXO DE CAIXA DESC.-SEM MULT.'!$D17,'CAPEX - BLOCOS PAN S- MULT.'!$C$3:$AC$52,27,FALSE))*AD$57</f>
        <v>-346433.1274659686</v>
      </c>
      <c r="AE17" s="1">
        <f>('RECEITAS - BLOCOS PAN'!AD17-'OPEX - BLOCOS PAN'!AD17-VLOOKUP('FLUXO DE CAIXA DESC.-SEM MULT.'!$D17,'CAPEX - BLOCOS PAN S- MULT.'!$C$3:$AD$52,28,FALSE))*AE$57</f>
        <v>-313142.45957045077</v>
      </c>
      <c r="AF17" s="1">
        <f>('RECEITAS - BLOCOS PAN'!AE17-'OPEX - BLOCOS PAN'!AE17-VLOOKUP('FLUXO DE CAIXA DESC.-SEM MULT.'!$D17,'CAPEX - BLOCOS PAN S- MULT.'!$C$3:$AE$52,29,FALSE))*AF$57</f>
        <v>-283859.78854365688</v>
      </c>
      <c r="AG17" s="1">
        <f>('RECEITAS - BLOCOS PAN'!AF17-'OPEX - BLOCOS PAN'!AF17-VLOOKUP('FLUXO DE CAIXA DESC.-SEM MULT.'!$D17,'CAPEX - BLOCOS PAN S- MULT.'!$C$3:$AF$52,30,FALSE))*AG$57</f>
        <v>-256988.14065429659</v>
      </c>
      <c r="AH17" s="1">
        <f>('RECEITAS - BLOCOS PAN'!AG17-'OPEX - BLOCOS PAN'!AG17-VLOOKUP('FLUXO DE CAIXA DESC.-SEM MULT.'!$D17,'CAPEX - BLOCOS PAN S- MULT.'!$C$3:$AG$52,31,FALSE))*AH$57</f>
        <v>-232868.93274723686</v>
      </c>
      <c r="AI17" s="1">
        <f>('RECEITAS - BLOCOS PAN'!AH17-'OPEX - BLOCOS PAN'!AH17-VLOOKUP('FLUXO DE CAIXA DESC.-SEM MULT.'!$D17,'CAPEX - BLOCOS PAN S- MULT.'!$C$3:$AH$52,32,FALSE))*AI$57</f>
        <v>-310288.05667357182</v>
      </c>
      <c r="AJ17" s="1">
        <f>('RECEITAS - BLOCOS PAN'!AI17-'OPEX - BLOCOS PAN'!AI17-VLOOKUP('FLUXO DE CAIXA DESC.-SEM MULT.'!$D17,'CAPEX - BLOCOS PAN S- MULT.'!$C$3:$AI$52,33,FALSE))*AJ$57</f>
        <v>-281678.06955734995</v>
      </c>
      <c r="AK17" s="1">
        <f>('RECEITAS - BLOCOS PAN'!AJ17-'OPEX - BLOCOS PAN'!AJ17-VLOOKUP('FLUXO DE CAIXA DESC.-SEM MULT.'!$D17,'CAPEX - BLOCOS PAN S- MULT.'!$C$3:$AJ$52,34,FALSE))*AK$57</f>
        <v>-255670.78421048055</v>
      </c>
      <c r="AL17" s="1">
        <f>('RECEITAS - BLOCOS PAN'!AK17-'OPEX - BLOCOS PAN'!AK17-VLOOKUP('FLUXO DE CAIXA DESC.-SEM MULT.'!$D17,'CAPEX - BLOCOS PAN S- MULT.'!$C$3:$AK$52,35,FALSE))*AL$57</f>
        <v>-232029.70543629385</v>
      </c>
      <c r="AM17" s="44">
        <f t="shared" si="0"/>
        <v>-124078880.80528831</v>
      </c>
      <c r="AN17">
        <v>1</v>
      </c>
      <c r="AO17" t="s">
        <v>313</v>
      </c>
      <c r="AP17">
        <v>-3.0166666666666666</v>
      </c>
      <c r="AQ17">
        <v>-47.3</v>
      </c>
      <c r="AR17" s="48">
        <f>VLOOKUP(D17,'Projeção - Demanda PAX'!$C$3:$H$37,6,FALSE)</f>
        <v>13750</v>
      </c>
      <c r="AS17" s="1">
        <f t="shared" si="1"/>
        <v>-118574917.43279575</v>
      </c>
      <c r="AT17" t="s">
        <v>385</v>
      </c>
    </row>
    <row r="18" spans="1:46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259</v>
      </c>
      <c r="H18" t="s">
        <v>33</v>
      </c>
      <c r="I18" s="1">
        <f>('RECEITAS - BLOCOS PAN'!H18-'OPEX - BLOCOS PAN'!H18-VLOOKUP('FLUXO DE CAIXA DESC.-SEM MULT.'!$D18,'CAPEX - BLOCOS PAN S- MULT.'!$C$3:$H$52,6,FALSE))*I$57</f>
        <v>-11937401.850200001</v>
      </c>
      <c r="J18" s="1">
        <f>('RECEITAS - BLOCOS PAN'!I18-'OPEX - BLOCOS PAN'!I18-VLOOKUP('FLUXO DE CAIXA DESC.-SEM MULT.'!$D18,'CAPEX - BLOCOS PAN S- MULT.'!$C$3:$I$52,7,FALSE))*J$57</f>
        <v>-10885426.803925151</v>
      </c>
      <c r="K18" s="1">
        <f>('RECEITAS - BLOCOS PAN'!J18-'OPEX - BLOCOS PAN'!J18-VLOOKUP('FLUXO DE CAIXA DESC.-SEM MULT.'!$D18,'CAPEX - BLOCOS PAN S- MULT.'!$C$3:$J$52,8,FALSE))*K$57</f>
        <v>-9928253.6241680793</v>
      </c>
      <c r="L18" s="1">
        <f>('RECEITAS - BLOCOS PAN'!K18-'OPEX - BLOCOS PAN'!K18-VLOOKUP('FLUXO DE CAIXA DESC.-SEM MULT.'!$D18,'CAPEX - BLOCOS PAN S- MULT.'!$C$3:$K$52,9,FALSE))*L$57</f>
        <v>-2055758.6785662619</v>
      </c>
      <c r="M18" s="1">
        <f>('RECEITAS - BLOCOS PAN'!L18-'OPEX - BLOCOS PAN'!L18-VLOOKUP('FLUXO DE CAIXA DESC.-SEM MULT.'!$D18,'CAPEX - BLOCOS PAN S- MULT.'!$C$3:$L$52,10,FALSE))*M$57</f>
        <v>-1872279.0926948448</v>
      </c>
      <c r="N18" s="1">
        <f>('RECEITAS - BLOCOS PAN'!M18-'OPEX - BLOCOS PAN'!M18-VLOOKUP('FLUXO DE CAIXA DESC.-SEM MULT.'!$D18,'CAPEX - BLOCOS PAN S- MULT.'!$C$3:$M$52,11,FALSE))*N$57</f>
        <v>-1705519.9256972831</v>
      </c>
      <c r="O18" s="1">
        <f>('RECEITAS - BLOCOS PAN'!N18-'OPEX - BLOCOS PAN'!N18-VLOOKUP('FLUXO DE CAIXA DESC.-SEM MULT.'!$D18,'CAPEX - BLOCOS PAN S- MULT.'!$C$3:$N$52,12,FALSE))*O$57</f>
        <v>-1553631.3751703366</v>
      </c>
      <c r="P18" s="1">
        <f>('RECEITAS - BLOCOS PAN'!O18-'OPEX - BLOCOS PAN'!O18-VLOOKUP('FLUXO DE CAIXA DESC.-SEM MULT.'!$D18,'CAPEX - BLOCOS PAN S- MULT.'!$C$3:$O$52,13,FALSE))*P$57</f>
        <v>-1415195.8472297362</v>
      </c>
      <c r="Q18" s="1">
        <f>('RECEITAS - BLOCOS PAN'!P18-'OPEX - BLOCOS PAN'!P18-VLOOKUP('FLUXO DE CAIXA DESC.-SEM MULT.'!$D18,'CAPEX - BLOCOS PAN S- MULT.'!$C$3:$P$52,14,FALSE))*Q$57</f>
        <v>-1289151.8010247804</v>
      </c>
      <c r="R18" s="1">
        <f>('RECEITAS - BLOCOS PAN'!Q18-'OPEX - BLOCOS PAN'!Q18-VLOOKUP('FLUXO DE CAIXA DESC.-SEM MULT.'!$D18,'CAPEX - BLOCOS PAN S- MULT.'!$C$3:$Q$52,15,FALSE))*R$57</f>
        <v>-1174486.0907908056</v>
      </c>
      <c r="S18" s="1">
        <f>('RECEITAS - BLOCOS PAN'!R18-'OPEX - BLOCOS PAN'!R18-VLOOKUP('FLUXO DE CAIXA DESC.-SEM MULT.'!$D18,'CAPEX - BLOCOS PAN S- MULT.'!$C$3:$R$52,16,FALSE))*S$57</f>
        <v>-1070090.1324094778</v>
      </c>
      <c r="T18" s="1">
        <f>('RECEITAS - BLOCOS PAN'!S18-'OPEX - BLOCOS PAN'!S18-VLOOKUP('FLUXO DE CAIXA DESC.-SEM MULT.'!$D18,'CAPEX - BLOCOS PAN S- MULT.'!$C$3:$S$52,17,FALSE))*T$57</f>
        <v>-974933.2238725035</v>
      </c>
      <c r="U18" s="1">
        <f>('RECEITAS - BLOCOS PAN'!T18-'OPEX - BLOCOS PAN'!T18-VLOOKUP('FLUXO DE CAIXA DESC.-SEM MULT.'!$D18,'CAPEX - BLOCOS PAN S- MULT.'!$C$3:$T$52,18,FALSE))*U$57</f>
        <v>-888249.33184299048</v>
      </c>
      <c r="V18" s="1">
        <f>('RECEITAS - BLOCOS PAN'!U18-'OPEX - BLOCOS PAN'!U18-VLOOKUP('FLUXO DE CAIXA DESC.-SEM MULT.'!$D18,'CAPEX - BLOCOS PAN S- MULT.'!$C$3:$U$52,19,FALSE))*V$57</f>
        <v>-809204.25637137354</v>
      </c>
      <c r="W18" s="1">
        <f>('RECEITAS - BLOCOS PAN'!V18-'OPEX - BLOCOS PAN'!V18-VLOOKUP('FLUXO DE CAIXA DESC.-SEM MULT.'!$D18,'CAPEX - BLOCOS PAN S- MULT.'!$C$3:$V$52,20,FALSE))*W$57</f>
        <v>-737202.41977519728</v>
      </c>
      <c r="X18" s="1">
        <f>('RECEITAS - BLOCOS PAN'!W18-'OPEX - BLOCOS PAN'!W18-VLOOKUP('FLUXO DE CAIXA DESC.-SEM MULT.'!$D18,'CAPEX - BLOCOS PAN S- MULT.'!$C$3:$W$52,21,FALSE))*X$57</f>
        <v>-671552.29655403935</v>
      </c>
      <c r="Y18" s="1">
        <f>('RECEITAS - BLOCOS PAN'!X18-'OPEX - BLOCOS PAN'!X18-VLOOKUP('FLUXO DE CAIXA DESC.-SEM MULT.'!$D18,'CAPEX - BLOCOS PAN S- MULT.'!$C$3:$X$52,22,FALSE))*Y$57</f>
        <v>-611737.01640373573</v>
      </c>
      <c r="Z18" s="1">
        <f>('RECEITAS - BLOCOS PAN'!Y18-'OPEX - BLOCOS PAN'!Y18-VLOOKUP('FLUXO DE CAIXA DESC.-SEM MULT.'!$D18,'CAPEX - BLOCOS PAN S- MULT.'!$C$3:$Y$52,23,FALSE))*Z$57</f>
        <v>-557207.76284341211</v>
      </c>
      <c r="AA18" s="1">
        <f>('RECEITAS - BLOCOS PAN'!Z18-'OPEX - BLOCOS PAN'!Z18-VLOOKUP('FLUXO DE CAIXA DESC.-SEM MULT.'!$D18,'CAPEX - BLOCOS PAN S- MULT.'!$C$3:$Z$52,24,FALSE))*AA$57</f>
        <v>-507506.34268436197</v>
      </c>
      <c r="AB18" s="1">
        <f>('RECEITAS - BLOCOS PAN'!AA18-'OPEX - BLOCOS PAN'!AA18-VLOOKUP('FLUXO DE CAIXA DESC.-SEM MULT.'!$D18,'CAPEX - BLOCOS PAN S- MULT.'!$C$3:$AA$52,25,FALSE))*AB$57</f>
        <v>-462208.07235054177</v>
      </c>
      <c r="AC18" s="1">
        <f>('RECEITAS - BLOCOS PAN'!AB18-'OPEX - BLOCOS PAN'!AB18-VLOOKUP('FLUXO DE CAIXA DESC.-SEM MULT.'!$D18,'CAPEX - BLOCOS PAN S- MULT.'!$C$3:$AB$52,26,FALSE))*AC$57</f>
        <v>-420953.99523267563</v>
      </c>
      <c r="AD18" s="1">
        <f>('RECEITAS - BLOCOS PAN'!AC18-'OPEX - BLOCOS PAN'!AC18-VLOOKUP('FLUXO DE CAIXA DESC.-SEM MULT.'!$D18,'CAPEX - BLOCOS PAN S- MULT.'!$C$3:$AC$52,27,FALSE))*AD$57</f>
        <v>-383351.80841940438</v>
      </c>
      <c r="AE18" s="1">
        <f>('RECEITAS - BLOCOS PAN'!AD18-'OPEX - BLOCOS PAN'!AD18-VLOOKUP('FLUXO DE CAIXA DESC.-SEM MULT.'!$D18,'CAPEX - BLOCOS PAN S- MULT.'!$C$3:$AD$52,28,FALSE))*AE$57</f>
        <v>-349106.53079492599</v>
      </c>
      <c r="AF18" s="1">
        <f>('RECEITAS - BLOCOS PAN'!AE18-'OPEX - BLOCOS PAN'!AE18-VLOOKUP('FLUXO DE CAIXA DESC.-SEM MULT.'!$D18,'CAPEX - BLOCOS PAN S- MULT.'!$C$3:$AE$52,29,FALSE))*AF$57</f>
        <v>-317899.33877044573</v>
      </c>
      <c r="AG18" s="1">
        <f>('RECEITAS - BLOCOS PAN'!AF18-'OPEX - BLOCOS PAN'!AF18-VLOOKUP('FLUXO DE CAIXA DESC.-SEM MULT.'!$D18,'CAPEX - BLOCOS PAN S- MULT.'!$C$3:$AF$52,30,FALSE))*AG$57</f>
        <v>-289473.62396016729</v>
      </c>
      <c r="AH18" s="1">
        <f>('RECEITAS - BLOCOS PAN'!AG18-'OPEX - BLOCOS PAN'!AG18-VLOOKUP('FLUXO DE CAIXA DESC.-SEM MULT.'!$D18,'CAPEX - BLOCOS PAN S- MULT.'!$C$3:$AG$52,31,FALSE))*AH$57</f>
        <v>-263566.18399638723</v>
      </c>
      <c r="AI18" s="1">
        <f>('RECEITAS - BLOCOS PAN'!AH18-'OPEX - BLOCOS PAN'!AH18-VLOOKUP('FLUXO DE CAIXA DESC.-SEM MULT.'!$D18,'CAPEX - BLOCOS PAN S- MULT.'!$C$3:$AH$52,32,FALSE))*AI$57</f>
        <v>-239989.20445370299</v>
      </c>
      <c r="AJ18" s="1">
        <f>('RECEITAS - BLOCOS PAN'!AI18-'OPEX - BLOCOS PAN'!AI18-VLOOKUP('FLUXO DE CAIXA DESC.-SEM MULT.'!$D18,'CAPEX - BLOCOS PAN S- MULT.'!$C$3:$AI$52,33,FALSE))*AJ$57</f>
        <v>-218533.30753892087</v>
      </c>
      <c r="AK18" s="1">
        <f>('RECEITAS - BLOCOS PAN'!AJ18-'OPEX - BLOCOS PAN'!AJ18-VLOOKUP('FLUXO DE CAIXA DESC.-SEM MULT.'!$D18,'CAPEX - BLOCOS PAN S- MULT.'!$C$3:$AJ$52,34,FALSE))*AK$57</f>
        <v>-198978.48195049464</v>
      </c>
      <c r="AL18" s="1">
        <f>('RECEITAS - BLOCOS PAN'!AK18-'OPEX - BLOCOS PAN'!AK18-VLOOKUP('FLUXO DE CAIXA DESC.-SEM MULT.'!$D18,'CAPEX - BLOCOS PAN S- MULT.'!$C$3:$AK$52,35,FALSE))*AL$57</f>
        <v>-181159.42891425252</v>
      </c>
      <c r="AM18" s="44">
        <f t="shared" si="0"/>
        <v>-53970007.848606266</v>
      </c>
      <c r="AN18">
        <v>1</v>
      </c>
      <c r="AO18" t="s">
        <v>313</v>
      </c>
      <c r="AP18">
        <v>-6.6333333333333329</v>
      </c>
      <c r="AQ18">
        <v>-51.95</v>
      </c>
      <c r="AR18" s="48">
        <f>VLOOKUP(D18,'Projeção - Demanda PAX'!$C$3:$H$37,6,FALSE)</f>
        <v>6832</v>
      </c>
      <c r="AS18" s="1">
        <f t="shared" si="1"/>
        <v>-48296784.453738809</v>
      </c>
      <c r="AT18" t="s">
        <v>385</v>
      </c>
    </row>
    <row r="19" spans="1:46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258</v>
      </c>
      <c r="H19" t="s">
        <v>33</v>
      </c>
      <c r="I19" s="1">
        <f>('RECEITAS - BLOCOS PAN'!H19-'OPEX - BLOCOS PAN'!H19-VLOOKUP('FLUXO DE CAIXA DESC.-SEM MULT.'!$D19,'CAPEX - BLOCOS PAN S- MULT.'!$C$3:$H$52,6,FALSE))*I$57</f>
        <v>-25746851.669633333</v>
      </c>
      <c r="J19" s="1">
        <f>('RECEITAS - BLOCOS PAN'!I19-'OPEX - BLOCOS PAN'!I19-VLOOKUP('FLUXO DE CAIXA DESC.-SEM MULT.'!$D19,'CAPEX - BLOCOS PAN S- MULT.'!$C$3:$I$52,7,FALSE))*J$57</f>
        <v>-23440908.511121254</v>
      </c>
      <c r="K19" s="1">
        <f>('RECEITAS - BLOCOS PAN'!J19-'OPEX - BLOCOS PAN'!J19-VLOOKUP('FLUXO DE CAIXA DESC.-SEM MULT.'!$D19,'CAPEX - BLOCOS PAN S- MULT.'!$C$3:$J$52,8,FALSE))*K$57</f>
        <v>-21351680.83984362</v>
      </c>
      <c r="L19" s="1">
        <f>('RECEITAS - BLOCOS PAN'!K19-'OPEX - BLOCOS PAN'!K19-VLOOKUP('FLUXO DE CAIXA DESC.-SEM MULT.'!$D19,'CAPEX - BLOCOS PAN S- MULT.'!$C$3:$K$52,9,FALSE))*L$57</f>
        <v>-1727915.2876338721</v>
      </c>
      <c r="M19" s="1">
        <f>('RECEITAS - BLOCOS PAN'!L19-'OPEX - BLOCOS PAN'!L19-VLOOKUP('FLUXO DE CAIXA DESC.-SEM MULT.'!$D19,'CAPEX - BLOCOS PAN S- MULT.'!$C$3:$L$52,10,FALSE))*M$57</f>
        <v>-2288878.8201216548</v>
      </c>
      <c r="N19" s="1">
        <f>('RECEITAS - BLOCOS PAN'!M19-'OPEX - BLOCOS PAN'!M19-VLOOKUP('FLUXO DE CAIXA DESC.-SEM MULT.'!$D19,'CAPEX - BLOCOS PAN S- MULT.'!$C$3:$M$52,11,FALSE))*N$57</f>
        <v>-2065848.8475693755</v>
      </c>
      <c r="O19" s="1">
        <f>('RECEITAS - BLOCOS PAN'!N19-'OPEX - BLOCOS PAN'!N19-VLOOKUP('FLUXO DE CAIXA DESC.-SEM MULT.'!$D19,'CAPEX - BLOCOS PAN S- MULT.'!$C$3:$N$52,12,FALSE))*O$57</f>
        <v>-1863629.7723895069</v>
      </c>
      <c r="P19" s="1">
        <f>('RECEITAS - BLOCOS PAN'!O19-'OPEX - BLOCOS PAN'!O19-VLOOKUP('FLUXO DE CAIXA DESC.-SEM MULT.'!$D19,'CAPEX - BLOCOS PAN S- MULT.'!$C$3:$O$52,13,FALSE))*P$57</f>
        <v>-1682138.1048642185</v>
      </c>
      <c r="Q19" s="1">
        <f>('RECEITAS - BLOCOS PAN'!P19-'OPEX - BLOCOS PAN'!P19-VLOOKUP('FLUXO DE CAIXA DESC.-SEM MULT.'!$D19,'CAPEX - BLOCOS PAN S- MULT.'!$C$3:$P$52,14,FALSE))*Q$57</f>
        <v>-1520054.9797077365</v>
      </c>
      <c r="R19" s="1">
        <f>('RECEITAS - BLOCOS PAN'!Q19-'OPEX - BLOCOS PAN'!Q19-VLOOKUP('FLUXO DE CAIXA DESC.-SEM MULT.'!$D19,'CAPEX - BLOCOS PAN S- MULT.'!$C$3:$Q$52,15,FALSE))*R$57</f>
        <v>-1373517.7521978498</v>
      </c>
      <c r="S19" s="1">
        <f>('RECEITAS - BLOCOS PAN'!R19-'OPEX - BLOCOS PAN'!R19-VLOOKUP('FLUXO DE CAIXA DESC.-SEM MULT.'!$D19,'CAPEX - BLOCOS PAN S- MULT.'!$C$3:$R$52,16,FALSE))*S$57</f>
        <v>-1241767.3804107103</v>
      </c>
      <c r="T19" s="1">
        <f>('RECEITAS - BLOCOS PAN'!S19-'OPEX - BLOCOS PAN'!S19-VLOOKUP('FLUXO DE CAIXA DESC.-SEM MULT.'!$D19,'CAPEX - BLOCOS PAN S- MULT.'!$C$3:$S$52,17,FALSE))*T$57</f>
        <v>-1122938.4332763802</v>
      </c>
      <c r="U19" s="1">
        <f>('RECEITAS - BLOCOS PAN'!T19-'OPEX - BLOCOS PAN'!T19-VLOOKUP('FLUXO DE CAIXA DESC.-SEM MULT.'!$D19,'CAPEX - BLOCOS PAN S- MULT.'!$C$3:$T$52,18,FALSE))*U$57</f>
        <v>-1015373.4719385026</v>
      </c>
      <c r="V19" s="1">
        <f>('RECEITAS - BLOCOS PAN'!U19-'OPEX - BLOCOS PAN'!U19-VLOOKUP('FLUXO DE CAIXA DESC.-SEM MULT.'!$D19,'CAPEX - BLOCOS PAN S- MULT.'!$C$3:$U$52,19,FALSE))*V$57</f>
        <v>-918044.27255463449</v>
      </c>
      <c r="W19" s="1">
        <f>('RECEITAS - BLOCOS PAN'!V19-'OPEX - BLOCOS PAN'!V19-VLOOKUP('FLUXO DE CAIXA DESC.-SEM MULT.'!$D19,'CAPEX - BLOCOS PAN S- MULT.'!$C$3:$V$52,20,FALSE))*W$57</f>
        <v>-829644.59349109128</v>
      </c>
      <c r="X19" s="1">
        <f>('RECEITAS - BLOCOS PAN'!W19-'OPEX - BLOCOS PAN'!W19-VLOOKUP('FLUXO DE CAIXA DESC.-SEM MULT.'!$D19,'CAPEX - BLOCOS PAN S- MULT.'!$C$3:$W$52,21,FALSE))*X$57</f>
        <v>-749454.54329030507</v>
      </c>
      <c r="Y19" s="1">
        <f>('RECEITAS - BLOCOS PAN'!X19-'OPEX - BLOCOS PAN'!X19-VLOOKUP('FLUXO DE CAIXA DESC.-SEM MULT.'!$D19,'CAPEX - BLOCOS PAN S- MULT.'!$C$3:$X$52,22,FALSE))*Y$57</f>
        <v>-676925.31295766216</v>
      </c>
      <c r="Z19" s="1">
        <f>('RECEITAS - BLOCOS PAN'!Y19-'OPEX - BLOCOS PAN'!Y19-VLOOKUP('FLUXO DE CAIXA DESC.-SEM MULT.'!$D19,'CAPEX - BLOCOS PAN S- MULT.'!$C$3:$Y$52,23,FALSE))*Z$57</f>
        <v>-611103.90730303049</v>
      </c>
      <c r="AA19" s="1">
        <f>('RECEITAS - BLOCOS PAN'!Z19-'OPEX - BLOCOS PAN'!Z19-VLOOKUP('FLUXO DE CAIXA DESC.-SEM MULT.'!$D19,'CAPEX - BLOCOS PAN S- MULT.'!$C$3:$Z$52,24,FALSE))*AA$57</f>
        <v>-551649.78566264152</v>
      </c>
      <c r="AB19" s="1">
        <f>('RECEITAS - BLOCOS PAN'!AA19-'OPEX - BLOCOS PAN'!AA19-VLOOKUP('FLUXO DE CAIXA DESC.-SEM MULT.'!$D19,'CAPEX - BLOCOS PAN S- MULT.'!$C$3:$AA$52,25,FALSE))*AB$57</f>
        <v>-497706.22858289606</v>
      </c>
      <c r="AC19" s="1">
        <f>('RECEITAS - BLOCOS PAN'!AB19-'OPEX - BLOCOS PAN'!AB19-VLOOKUP('FLUXO DE CAIXA DESC.-SEM MULT.'!$D19,'CAPEX - BLOCOS PAN S- MULT.'!$C$3:$AB$52,26,FALSE))*AC$57</f>
        <v>-449155.02649963927</v>
      </c>
      <c r="AD19" s="1">
        <f>('RECEITAS - BLOCOS PAN'!AC19-'OPEX - BLOCOS PAN'!AC19-VLOOKUP('FLUXO DE CAIXA DESC.-SEM MULT.'!$D19,'CAPEX - BLOCOS PAN S- MULT.'!$C$3:$AC$52,27,FALSE))*AD$57</f>
        <v>-405125.35881257593</v>
      </c>
      <c r="AE19" s="1">
        <f>('RECEITAS - BLOCOS PAN'!AD19-'OPEX - BLOCOS PAN'!AD19-VLOOKUP('FLUXO DE CAIXA DESC.-SEM MULT.'!$D19,'CAPEX - BLOCOS PAN S- MULT.'!$C$3:$AD$52,28,FALSE))*AE$57</f>
        <v>-365239.46523381665</v>
      </c>
      <c r="AF19" s="1">
        <f>('RECEITAS - BLOCOS PAN'!AE19-'OPEX - BLOCOS PAN'!AE19-VLOOKUP('FLUXO DE CAIXA DESC.-SEM MULT.'!$D19,'CAPEX - BLOCOS PAN S- MULT.'!$C$3:$AE$52,29,FALSE))*AF$57</f>
        <v>-329210.6583923244</v>
      </c>
      <c r="AG19" s="1">
        <f>('RECEITAS - BLOCOS PAN'!AF19-'OPEX - BLOCOS PAN'!AF19-VLOOKUP('FLUXO DE CAIXA DESC.-SEM MULT.'!$D19,'CAPEX - BLOCOS PAN S- MULT.'!$C$3:$AF$52,30,FALSE))*AG$57</f>
        <v>-296940.94050559623</v>
      </c>
      <c r="AH19" s="1">
        <f>('RECEITAS - BLOCOS PAN'!AG19-'OPEX - BLOCOS PAN'!AG19-VLOOKUP('FLUXO DE CAIXA DESC.-SEM MULT.'!$D19,'CAPEX - BLOCOS PAN S- MULT.'!$C$3:$AG$52,31,FALSE))*AH$57</f>
        <v>-267475.07207455934</v>
      </c>
      <c r="AI19" s="1">
        <f>('RECEITAS - BLOCOS PAN'!AH19-'OPEX - BLOCOS PAN'!AH19-VLOOKUP('FLUXO DE CAIXA DESC.-SEM MULT.'!$D19,'CAPEX - BLOCOS PAN S- MULT.'!$C$3:$AH$52,32,FALSE))*AI$57</f>
        <v>-241178.24889568487</v>
      </c>
      <c r="AJ19" s="1">
        <f>('RECEITAS - BLOCOS PAN'!AI19-'OPEX - BLOCOS PAN'!AI19-VLOOKUP('FLUXO DE CAIXA DESC.-SEM MULT.'!$D19,'CAPEX - BLOCOS PAN S- MULT.'!$C$3:$AI$52,33,FALSE))*AJ$57</f>
        <v>-217072.25277301378</v>
      </c>
      <c r="AK19" s="1">
        <f>('RECEITAS - BLOCOS PAN'!AJ19-'OPEX - BLOCOS PAN'!AJ19-VLOOKUP('FLUXO DE CAIXA DESC.-SEM MULT.'!$D19,'CAPEX - BLOCOS PAN S- MULT.'!$C$3:$AJ$52,34,FALSE))*AK$57</f>
        <v>-195334.52684839349</v>
      </c>
      <c r="AL19" s="1">
        <f>('RECEITAS - BLOCOS PAN'!AK19-'OPEX - BLOCOS PAN'!AK19-VLOOKUP('FLUXO DE CAIXA DESC.-SEM MULT.'!$D19,'CAPEX - BLOCOS PAN S- MULT.'!$C$3:$AK$52,35,FALSE))*AL$57</f>
        <v>-175601.33422780197</v>
      </c>
      <c r="AM19" s="44">
        <f t="shared" si="0"/>
        <v>-94218365.39881368</v>
      </c>
      <c r="AN19">
        <v>0</v>
      </c>
      <c r="AO19" t="s">
        <v>310</v>
      </c>
      <c r="AP19">
        <v>-14.2</v>
      </c>
      <c r="AQ19">
        <v>-42.733333333333334</v>
      </c>
      <c r="AR19" s="48">
        <f>VLOOKUP(D19,'Projeção - Demanda PAX'!$C$3:$H$37,6,FALSE)</f>
        <v>37772</v>
      </c>
      <c r="AS19" s="1">
        <f t="shared" si="1"/>
        <v>-88189192.736753747</v>
      </c>
      <c r="AT19" t="s">
        <v>387</v>
      </c>
    </row>
    <row r="20" spans="1:46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258</v>
      </c>
      <c r="H20" t="s">
        <v>33</v>
      </c>
      <c r="I20" s="1">
        <f>('RECEITAS - BLOCOS PAN'!H20-'OPEX - BLOCOS PAN'!H20-VLOOKUP('FLUXO DE CAIXA DESC.-SEM MULT.'!$D20,'CAPEX - BLOCOS PAN S- MULT.'!$C$3:$H$52,6,FALSE))*I$57</f>
        <v>-12362156.761233333</v>
      </c>
      <c r="J20" s="1">
        <f>('RECEITAS - BLOCOS PAN'!I20-'OPEX - BLOCOS PAN'!I20-VLOOKUP('FLUXO DE CAIXA DESC.-SEM MULT.'!$D20,'CAPEX - BLOCOS PAN S- MULT.'!$C$3:$I$52,7,FALSE))*J$57</f>
        <v>-11277582.499071963</v>
      </c>
      <c r="K20" s="1">
        <f>('RECEITAS - BLOCOS PAN'!J20-'OPEX - BLOCOS PAN'!J20-VLOOKUP('FLUXO DE CAIXA DESC.-SEM MULT.'!$D20,'CAPEX - BLOCOS PAN S- MULT.'!$C$3:$J$52,8,FALSE))*K$57</f>
        <v>-10289504.665831057</v>
      </c>
      <c r="L20" s="1">
        <f>('RECEITAS - BLOCOS PAN'!K20-'OPEX - BLOCOS PAN'!K20-VLOOKUP('FLUXO DE CAIXA DESC.-SEM MULT.'!$D20,'CAPEX - BLOCOS PAN S- MULT.'!$C$3:$K$52,9,FALSE))*L$57</f>
        <v>-2388947.9424390458</v>
      </c>
      <c r="M20" s="1">
        <f>('RECEITAS - BLOCOS PAN'!L20-'OPEX - BLOCOS PAN'!L20-VLOOKUP('FLUXO DE CAIXA DESC.-SEM MULT.'!$D20,'CAPEX - BLOCOS PAN S- MULT.'!$C$3:$L$52,10,FALSE))*M$57</f>
        <v>-2178050.9086895837</v>
      </c>
      <c r="N20" s="1">
        <f>('RECEITAS - BLOCOS PAN'!M20-'OPEX - BLOCOS PAN'!M20-VLOOKUP('FLUXO DE CAIXA DESC.-SEM MULT.'!$D20,'CAPEX - BLOCOS PAN S- MULT.'!$C$3:$M$52,11,FALSE))*N$57</f>
        <v>-1985959.3286027077</v>
      </c>
      <c r="O20" s="1">
        <f>('RECEITAS - BLOCOS PAN'!N20-'OPEX - BLOCOS PAN'!N20-VLOOKUP('FLUXO DE CAIXA DESC.-SEM MULT.'!$D20,'CAPEX - BLOCOS PAN S- MULT.'!$C$3:$N$52,12,FALSE))*O$57</f>
        <v>-1810889.5875612441</v>
      </c>
      <c r="P20" s="1">
        <f>('RECEITAS - BLOCOS PAN'!O20-'OPEX - BLOCOS PAN'!O20-VLOOKUP('FLUXO DE CAIXA DESC.-SEM MULT.'!$D20,'CAPEX - BLOCOS PAN S- MULT.'!$C$3:$O$52,13,FALSE))*P$57</f>
        <v>-1651326.5130071985</v>
      </c>
      <c r="Q20" s="1">
        <f>('RECEITAS - BLOCOS PAN'!P20-'OPEX - BLOCOS PAN'!P20-VLOOKUP('FLUXO DE CAIXA DESC.-SEM MULT.'!$D20,'CAPEX - BLOCOS PAN S- MULT.'!$C$3:$P$52,14,FALSE))*Q$57</f>
        <v>-1505876.3248638501</v>
      </c>
      <c r="R20" s="1">
        <f>('RECEITAS - BLOCOS PAN'!Q20-'OPEX - BLOCOS PAN'!Q20-VLOOKUP('FLUXO DE CAIXA DESC.-SEM MULT.'!$D20,'CAPEX - BLOCOS PAN S- MULT.'!$C$3:$Q$52,15,FALSE))*R$57</f>
        <v>-1373330.7773164567</v>
      </c>
      <c r="S20" s="1">
        <f>('RECEITAS - BLOCOS PAN'!R20-'OPEX - BLOCOS PAN'!R20-VLOOKUP('FLUXO DE CAIXA DESC.-SEM MULT.'!$D20,'CAPEX - BLOCOS PAN S- MULT.'!$C$3:$R$52,16,FALSE))*S$57</f>
        <v>-1252571.2896766702</v>
      </c>
      <c r="T20" s="1">
        <f>('RECEITAS - BLOCOS PAN'!S20-'OPEX - BLOCOS PAN'!S20-VLOOKUP('FLUXO DE CAIXA DESC.-SEM MULT.'!$D20,'CAPEX - BLOCOS PAN S- MULT.'!$C$3:$S$52,17,FALSE))*T$57</f>
        <v>-1142429.6172296768</v>
      </c>
      <c r="U20" s="1">
        <f>('RECEITAS - BLOCOS PAN'!T20-'OPEX - BLOCOS PAN'!T20-VLOOKUP('FLUXO DE CAIXA DESC.-SEM MULT.'!$D20,'CAPEX - BLOCOS PAN S- MULT.'!$C$3:$T$52,18,FALSE))*U$57</f>
        <v>-1041967.4676626385</v>
      </c>
      <c r="V20" s="1">
        <f>('RECEITAS - BLOCOS PAN'!U20-'OPEX - BLOCOS PAN'!U20-VLOOKUP('FLUXO DE CAIXA DESC.-SEM MULT.'!$D20,'CAPEX - BLOCOS PAN S- MULT.'!$C$3:$U$52,19,FALSE))*V$57</f>
        <v>-950289.57018155849</v>
      </c>
      <c r="W20" s="1">
        <f>('RECEITAS - BLOCOS PAN'!V20-'OPEX - BLOCOS PAN'!V20-VLOOKUP('FLUXO DE CAIXA DESC.-SEM MULT.'!$D20,'CAPEX - BLOCOS PAN S- MULT.'!$C$3:$V$52,20,FALSE))*W$57</f>
        <v>-866726.43121350487</v>
      </c>
      <c r="X20" s="1">
        <f>('RECEITAS - BLOCOS PAN'!W20-'OPEX - BLOCOS PAN'!W20-VLOOKUP('FLUXO DE CAIXA DESC.-SEM MULT.'!$D20,'CAPEX - BLOCOS PAN S- MULT.'!$C$3:$W$52,21,FALSE))*X$57</f>
        <v>-790503.53704396565</v>
      </c>
      <c r="Y20" s="1">
        <f>('RECEITAS - BLOCOS PAN'!X20-'OPEX - BLOCOS PAN'!X20-VLOOKUP('FLUXO DE CAIXA DESC.-SEM MULT.'!$D20,'CAPEX - BLOCOS PAN S- MULT.'!$C$3:$X$52,22,FALSE))*Y$57</f>
        <v>-720973.46459801635</v>
      </c>
      <c r="Z20" s="1">
        <f>('RECEITAS - BLOCOS PAN'!Y20-'OPEX - BLOCOS PAN'!Y20-VLOOKUP('FLUXO DE CAIXA DESC.-SEM MULT.'!$D20,'CAPEX - BLOCOS PAN S- MULT.'!$C$3:$Y$52,23,FALSE))*Z$57</f>
        <v>-657536.10465313564</v>
      </c>
      <c r="AA20" s="1">
        <f>('RECEITAS - BLOCOS PAN'!Z20-'OPEX - BLOCOS PAN'!Z20-VLOOKUP('FLUXO DE CAIXA DESC.-SEM MULT.'!$D20,'CAPEX - BLOCOS PAN S- MULT.'!$C$3:$Z$52,24,FALSE))*AA$57</f>
        <v>-599711.58278387622</v>
      </c>
      <c r="AB20" s="1">
        <f>('RECEITAS - BLOCOS PAN'!AA20-'OPEX - BLOCOS PAN'!AA20-VLOOKUP('FLUXO DE CAIXA DESC.-SEM MULT.'!$D20,'CAPEX - BLOCOS PAN S- MULT.'!$C$3:$AA$52,25,FALSE))*AB$57</f>
        <v>-546932.93906449398</v>
      </c>
      <c r="AC20" s="1">
        <f>('RECEITAS - BLOCOS PAN'!AB20-'OPEX - BLOCOS PAN'!AB20-VLOOKUP('FLUXO DE CAIXA DESC.-SEM MULT.'!$D20,'CAPEX - BLOCOS PAN S- MULT.'!$C$3:$AB$52,26,FALSE))*AC$57</f>
        <v>-498825.02989214845</v>
      </c>
      <c r="AD20" s="1">
        <f>('RECEITAS - BLOCOS PAN'!AC20-'OPEX - BLOCOS PAN'!AC20-VLOOKUP('FLUXO DE CAIXA DESC.-SEM MULT.'!$D20,'CAPEX - BLOCOS PAN S- MULT.'!$C$3:$AC$52,27,FALSE))*AD$57</f>
        <v>-454946.22230562719</v>
      </c>
      <c r="AE20" s="1">
        <f>('RECEITAS - BLOCOS PAN'!AD20-'OPEX - BLOCOS PAN'!AD20-VLOOKUP('FLUXO DE CAIXA DESC.-SEM MULT.'!$D20,'CAPEX - BLOCOS PAN S- MULT.'!$C$3:$AD$52,28,FALSE))*AE$57</f>
        <v>-414926.87351911678</v>
      </c>
      <c r="AF20" s="1">
        <f>('RECEITAS - BLOCOS PAN'!AE20-'OPEX - BLOCOS PAN'!AE20-VLOOKUP('FLUXO DE CAIXA DESC.-SEM MULT.'!$D20,'CAPEX - BLOCOS PAN S- MULT.'!$C$3:$AE$52,29,FALSE))*AF$57</f>
        <v>-378431.05269593833</v>
      </c>
      <c r="AG20" s="1">
        <f>('RECEITAS - BLOCOS PAN'!AF20-'OPEX - BLOCOS PAN'!AF20-VLOOKUP('FLUXO DE CAIXA DESC.-SEM MULT.'!$D20,'CAPEX - BLOCOS PAN S- MULT.'!$C$3:$AF$52,30,FALSE))*AG$57</f>
        <v>-345151.45710086788</v>
      </c>
      <c r="AH20" s="1">
        <f>('RECEITAS - BLOCOS PAN'!AG20-'OPEX - BLOCOS PAN'!AG20-VLOOKUP('FLUXO DE CAIXA DESC.-SEM MULT.'!$D20,'CAPEX - BLOCOS PAN S- MULT.'!$C$3:$AG$52,31,FALSE))*AH$57</f>
        <v>-314792.43028520857</v>
      </c>
      <c r="AI20" s="1">
        <f>('RECEITAS - BLOCOS PAN'!AH20-'OPEX - BLOCOS PAN'!AH20-VLOOKUP('FLUXO DE CAIXA DESC.-SEM MULT.'!$D20,'CAPEX - BLOCOS PAN S- MULT.'!$C$3:$AH$52,32,FALSE))*AI$57</f>
        <v>-287114.20615293906</v>
      </c>
      <c r="AJ20" s="1">
        <f>('RECEITAS - BLOCOS PAN'!AI20-'OPEX - BLOCOS PAN'!AI20-VLOOKUP('FLUXO DE CAIXA DESC.-SEM MULT.'!$D20,'CAPEX - BLOCOS PAN S- MULT.'!$C$3:$AI$52,33,FALSE))*AJ$57</f>
        <v>-261866.93839481854</v>
      </c>
      <c r="AK20" s="1">
        <f>('RECEITAS - BLOCOS PAN'!AJ20-'OPEX - BLOCOS PAN'!AJ20-VLOOKUP('FLUXO DE CAIXA DESC.-SEM MULT.'!$D20,'CAPEX - BLOCOS PAN S- MULT.'!$C$3:$AJ$52,34,FALSE))*AK$57</f>
        <v>-238837.43049895001</v>
      </c>
      <c r="AL20" s="1">
        <f>('RECEITAS - BLOCOS PAN'!AK20-'OPEX - BLOCOS PAN'!AK20-VLOOKUP('FLUXO DE CAIXA DESC.-SEM MULT.'!$D20,'CAPEX - BLOCOS PAN S- MULT.'!$C$3:$AK$52,35,FALSE))*AL$57</f>
        <v>-217831.03406154097</v>
      </c>
      <c r="AM20" s="44">
        <f t="shared" si="0"/>
        <v>-58805989.987631135</v>
      </c>
      <c r="AN20">
        <v>0</v>
      </c>
      <c r="AO20" t="s">
        <v>310</v>
      </c>
      <c r="AP20">
        <v>-8.0500000000000007</v>
      </c>
      <c r="AQ20">
        <v>-38.31666666666667</v>
      </c>
      <c r="AR20" s="48">
        <f>VLOOKUP(D20,'Projeção - Demanda PAX'!$C$3:$H$37,6,FALSE)</f>
        <v>4022</v>
      </c>
      <c r="AS20" s="1">
        <f t="shared" si="1"/>
        <v>-52077609.68458049</v>
      </c>
      <c r="AT20" t="s">
        <v>387</v>
      </c>
    </row>
    <row r="21" spans="1:46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259</v>
      </c>
      <c r="H21" t="s">
        <v>33</v>
      </c>
      <c r="I21" s="1">
        <f>('RECEITAS - BLOCOS PAN'!H21-'OPEX - BLOCOS PAN'!H21-VLOOKUP('FLUXO DE CAIXA DESC.-SEM MULT.'!$D21,'CAPEX - BLOCOS PAN S- MULT.'!$C$3:$H$52,6,FALSE))*I$57</f>
        <v>-12726799.198633334</v>
      </c>
      <c r="J21" s="1">
        <f>('RECEITAS - BLOCOS PAN'!I21-'OPEX - BLOCOS PAN'!I21-VLOOKUP('FLUXO DE CAIXA DESC.-SEM MULT.'!$D21,'CAPEX - BLOCOS PAN S- MULT.'!$C$3:$I$52,7,FALSE))*J$57</f>
        <v>-11585239.905005326</v>
      </c>
      <c r="K21" s="1">
        <f>('RECEITAS - BLOCOS PAN'!J21-'OPEX - BLOCOS PAN'!J21-VLOOKUP('FLUXO DE CAIXA DESC.-SEM MULT.'!$D21,'CAPEX - BLOCOS PAN S- MULT.'!$C$3:$J$52,8,FALSE))*K$57</f>
        <v>-10551832.92810311</v>
      </c>
      <c r="L21" s="1">
        <f>('RECEITAS - BLOCOS PAN'!K21-'OPEX - BLOCOS PAN'!K21-VLOOKUP('FLUXO DE CAIXA DESC.-SEM MULT.'!$D21,'CAPEX - BLOCOS PAN S- MULT.'!$C$3:$K$52,9,FALSE))*L$57</f>
        <v>-1889224.3454710387</v>
      </c>
      <c r="M21" s="1">
        <f>('RECEITAS - BLOCOS PAN'!L21-'OPEX - BLOCOS PAN'!L21-VLOOKUP('FLUXO DE CAIXA DESC.-SEM MULT.'!$D21,'CAPEX - BLOCOS PAN S- MULT.'!$C$3:$L$52,10,FALSE))*M$57</f>
        <v>-1711451.614108661</v>
      </c>
      <c r="N21" s="1">
        <f>('RECEITAS - BLOCOS PAN'!M21-'OPEX - BLOCOS PAN'!M21-VLOOKUP('FLUXO DE CAIXA DESC.-SEM MULT.'!$D21,'CAPEX - BLOCOS PAN S- MULT.'!$C$3:$M$52,11,FALSE))*N$57</f>
        <v>-1551493.0118637038</v>
      </c>
      <c r="O21" s="1">
        <f>('RECEITAS - BLOCOS PAN'!N21-'OPEX - BLOCOS PAN'!N21-VLOOKUP('FLUXO DE CAIXA DESC.-SEM MULT.'!$D21,'CAPEX - BLOCOS PAN S- MULT.'!$C$3:$N$52,12,FALSE))*O$57</f>
        <v>-1406678.4861291714</v>
      </c>
      <c r="P21" s="1">
        <f>('RECEITAS - BLOCOS PAN'!O21-'OPEX - BLOCOS PAN'!O21-VLOOKUP('FLUXO DE CAIXA DESC.-SEM MULT.'!$D21,'CAPEX - BLOCOS PAN S- MULT.'!$C$3:$O$52,13,FALSE))*P$57</f>
        <v>-1275736.8837418049</v>
      </c>
      <c r="Q21" s="1">
        <f>('RECEITAS - BLOCOS PAN'!P21-'OPEX - BLOCOS PAN'!P21-VLOOKUP('FLUXO DE CAIXA DESC.-SEM MULT.'!$D21,'CAPEX - BLOCOS PAN S- MULT.'!$C$3:$P$52,14,FALSE))*Q$57</f>
        <v>-1157263.3231895783</v>
      </c>
      <c r="R21" s="1">
        <f>('RECEITAS - BLOCOS PAN'!Q21-'OPEX - BLOCOS PAN'!Q21-VLOOKUP('FLUXO DE CAIXA DESC.-SEM MULT.'!$D21,'CAPEX - BLOCOS PAN S- MULT.'!$C$3:$Q$52,15,FALSE))*R$57</f>
        <v>-1118918.9018233649</v>
      </c>
      <c r="S21" s="1">
        <f>('RECEITAS - BLOCOS PAN'!R21-'OPEX - BLOCOS PAN'!R21-VLOOKUP('FLUXO DE CAIXA DESC.-SEM MULT.'!$D21,'CAPEX - BLOCOS PAN S- MULT.'!$C$3:$R$52,16,FALSE))*S$57</f>
        <v>-1015987.2168432447</v>
      </c>
      <c r="T21" s="1">
        <f>('RECEITAS - BLOCOS PAN'!S21-'OPEX - BLOCOS PAN'!S21-VLOOKUP('FLUXO DE CAIXA DESC.-SEM MULT.'!$D21,'CAPEX - BLOCOS PAN S- MULT.'!$C$3:$S$52,17,FALSE))*T$57</f>
        <v>-922801.96234666195</v>
      </c>
      <c r="U21" s="1">
        <f>('RECEITAS - BLOCOS PAN'!T21-'OPEX - BLOCOS PAN'!T21-VLOOKUP('FLUXO DE CAIXA DESC.-SEM MULT.'!$D21,'CAPEX - BLOCOS PAN S- MULT.'!$C$3:$T$52,18,FALSE))*U$57</f>
        <v>-837941.90481202351</v>
      </c>
      <c r="V21" s="1">
        <f>('RECEITAS - BLOCOS PAN'!U21-'OPEX - BLOCOS PAN'!U21-VLOOKUP('FLUXO DE CAIXA DESC.-SEM MULT.'!$D21,'CAPEX - BLOCOS PAN S- MULT.'!$C$3:$U$52,19,FALSE))*V$57</f>
        <v>-761038.84876861877</v>
      </c>
      <c r="W21" s="1">
        <f>('RECEITAS - BLOCOS PAN'!V21-'OPEX - BLOCOS PAN'!V21-VLOOKUP('FLUXO DE CAIXA DESC.-SEM MULT.'!$D21,'CAPEX - BLOCOS PAN S- MULT.'!$C$3:$V$52,20,FALSE))*W$57</f>
        <v>-691008.70351061877</v>
      </c>
      <c r="X21" s="1">
        <f>('RECEITAS - BLOCOS PAN'!W21-'OPEX - BLOCOS PAN'!W21-VLOOKUP('FLUXO DE CAIXA DESC.-SEM MULT.'!$D21,'CAPEX - BLOCOS PAN S- MULT.'!$C$3:$W$52,21,FALSE))*X$57</f>
        <v>-627441.11429679813</v>
      </c>
      <c r="Y21" s="1">
        <f>('RECEITAS - BLOCOS PAN'!X21-'OPEX - BLOCOS PAN'!X21-VLOOKUP('FLUXO DE CAIXA DESC.-SEM MULT.'!$D21,'CAPEX - BLOCOS PAN S- MULT.'!$C$3:$X$52,22,FALSE))*Y$57</f>
        <v>-569649.04628351703</v>
      </c>
      <c r="Z21" s="1">
        <f>('RECEITAS - BLOCOS PAN'!Y21-'OPEX - BLOCOS PAN'!Y21-VLOOKUP('FLUXO DE CAIXA DESC.-SEM MULT.'!$D21,'CAPEX - BLOCOS PAN S- MULT.'!$C$3:$Y$52,23,FALSE))*Z$57</f>
        <v>-517179.78130765457</v>
      </c>
      <c r="AA21" s="1">
        <f>('RECEITAS - BLOCOS PAN'!Z21-'OPEX - BLOCOS PAN'!Z21-VLOOKUP('FLUXO DE CAIXA DESC.-SEM MULT.'!$D21,'CAPEX - BLOCOS PAN S- MULT.'!$C$3:$Z$52,24,FALSE))*AA$57</f>
        <v>-469413.52638589835</v>
      </c>
      <c r="AB21" s="1">
        <f>('RECEITAS - BLOCOS PAN'!AA21-'OPEX - BLOCOS PAN'!AA21-VLOOKUP('FLUXO DE CAIXA DESC.-SEM MULT.'!$D21,'CAPEX - BLOCOS PAN S- MULT.'!$C$3:$AA$52,25,FALSE))*AB$57</f>
        <v>-426077.96478508966</v>
      </c>
      <c r="AC21" s="1">
        <f>('RECEITAS - BLOCOS PAN'!AB21-'OPEX - BLOCOS PAN'!AB21-VLOOKUP('FLUXO DE CAIXA DESC.-SEM MULT.'!$D21,'CAPEX - BLOCOS PAN S- MULT.'!$C$3:$AB$52,26,FALSE))*AC$57</f>
        <v>-386700.58489194984</v>
      </c>
      <c r="AD21" s="1">
        <f>('RECEITAS - BLOCOS PAN'!AC21-'OPEX - BLOCOS PAN'!AC21-VLOOKUP('FLUXO DE CAIXA DESC.-SEM MULT.'!$D21,'CAPEX - BLOCOS PAN S- MULT.'!$C$3:$AC$52,27,FALSE))*AD$57</f>
        <v>-350996.88272286212</v>
      </c>
      <c r="AE21" s="1">
        <f>('RECEITAS - BLOCOS PAN'!AD21-'OPEX - BLOCOS PAN'!AD21-VLOOKUP('FLUXO DE CAIXA DESC.-SEM MULT.'!$D21,'CAPEX - BLOCOS PAN S- MULT.'!$C$3:$AD$52,28,FALSE))*AE$57</f>
        <v>-318544.97803943814</v>
      </c>
      <c r="AF21" s="1">
        <f>('RECEITAS - BLOCOS PAN'!AE21-'OPEX - BLOCOS PAN'!AE21-VLOOKUP('FLUXO DE CAIXA DESC.-SEM MULT.'!$D21,'CAPEX - BLOCOS PAN S- MULT.'!$C$3:$AE$52,29,FALSE))*AF$57</f>
        <v>-289293.58249747002</v>
      </c>
      <c r="AG21" s="1">
        <f>('RECEITAS - BLOCOS PAN'!AF21-'OPEX - BLOCOS PAN'!AF21-VLOOKUP('FLUXO DE CAIXA DESC.-SEM MULT.'!$D21,'CAPEX - BLOCOS PAN S- MULT.'!$C$3:$AF$52,30,FALSE))*AG$57</f>
        <v>-262604.77986448747</v>
      </c>
      <c r="AH21" s="1">
        <f>('RECEITAS - BLOCOS PAN'!AG21-'OPEX - BLOCOS PAN'!AG21-VLOOKUP('FLUXO DE CAIXA DESC.-SEM MULT.'!$D21,'CAPEX - BLOCOS PAN S- MULT.'!$C$3:$AG$52,31,FALSE))*AH$57</f>
        <v>-238448.03832791408</v>
      </c>
      <c r="AI21" s="1">
        <f>('RECEITAS - BLOCOS PAN'!AH21-'OPEX - BLOCOS PAN'!AH21-VLOOKUP('FLUXO DE CAIXA DESC.-SEM MULT.'!$D21,'CAPEX - BLOCOS PAN S- MULT.'!$C$3:$AH$52,32,FALSE))*AI$57</f>
        <v>-216456.72300428676</v>
      </c>
      <c r="AJ21" s="1">
        <f>('RECEITAS - BLOCOS PAN'!AI21-'OPEX - BLOCOS PAN'!AI21-VLOOKUP('FLUXO DE CAIXA DESC.-SEM MULT.'!$D21,'CAPEX - BLOCOS PAN S- MULT.'!$C$3:$AI$52,33,FALSE))*AJ$57</f>
        <v>-196557.98223729254</v>
      </c>
      <c r="AK21" s="1">
        <f>('RECEITAS - BLOCOS PAN'!AJ21-'OPEX - BLOCOS PAN'!AJ21-VLOOKUP('FLUXO DE CAIXA DESC.-SEM MULT.'!$D21,'CAPEX - BLOCOS PAN S- MULT.'!$C$3:$AJ$52,34,FALSE))*AK$57</f>
        <v>-178470.37016013692</v>
      </c>
      <c r="AL21" s="1">
        <f>('RECEITAS - BLOCOS PAN'!AK21-'OPEX - BLOCOS PAN'!AK21-VLOOKUP('FLUXO DE CAIXA DESC.-SEM MULT.'!$D21,'CAPEX - BLOCOS PAN S- MULT.'!$C$3:$AK$52,35,FALSE))*AL$57</f>
        <v>-162023.31166666292</v>
      </c>
      <c r="AM21" s="44">
        <f t="shared" si="0"/>
        <v>-54413275.900821738</v>
      </c>
      <c r="AN21">
        <v>1</v>
      </c>
      <c r="AO21" t="s">
        <v>391</v>
      </c>
      <c r="AP21">
        <v>-1.6333333333333333</v>
      </c>
      <c r="AQ21">
        <v>-50.43333333333333</v>
      </c>
      <c r="AR21" s="48">
        <f>VLOOKUP(D21,'Projeção - Demanda PAX'!$C$3:$H$37,6,FALSE)</f>
        <v>18258</v>
      </c>
      <c r="AS21" s="1">
        <f t="shared" si="1"/>
        <v>-49203417.234350264</v>
      </c>
      <c r="AT21" t="s">
        <v>396</v>
      </c>
    </row>
    <row r="22" spans="1:46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259</v>
      </c>
      <c r="H22" t="s">
        <v>33</v>
      </c>
      <c r="I22" s="1">
        <f>('RECEITAS - BLOCOS PAN'!H22-'OPEX - BLOCOS PAN'!H22-VLOOKUP('FLUXO DE CAIXA DESC.-SEM MULT.'!$D22,'CAPEX - BLOCOS PAN S- MULT.'!$C$3:$H$52,6,FALSE))*I$57</f>
        <v>-25720432.88143333</v>
      </c>
      <c r="J22" s="1">
        <f>('RECEITAS - BLOCOS PAN'!I22-'OPEX - BLOCOS PAN'!I22-VLOOKUP('FLUXO DE CAIXA DESC.-SEM MULT.'!$D22,'CAPEX - BLOCOS PAN S- MULT.'!$C$3:$I$52,7,FALSE))*J$57</f>
        <v>-23406651.837091129</v>
      </c>
      <c r="K22" s="1">
        <f>('RECEITAS - BLOCOS PAN'!J22-'OPEX - BLOCOS PAN'!J22-VLOOKUP('FLUXO DE CAIXA DESC.-SEM MULT.'!$D22,'CAPEX - BLOCOS PAN S- MULT.'!$C$3:$J$52,8,FALSE))*K$57</f>
        <v>-22156729.967212316</v>
      </c>
      <c r="L22" s="1">
        <f>('RECEITAS - BLOCOS PAN'!K22-'OPEX - BLOCOS PAN'!K22-VLOOKUP('FLUXO DE CAIXA DESC.-SEM MULT.'!$D22,'CAPEX - BLOCOS PAN S- MULT.'!$C$3:$K$52,9,FALSE))*L$57</f>
        <v>-2343340.2980390205</v>
      </c>
      <c r="M22" s="1">
        <f>('RECEITAS - BLOCOS PAN'!L22-'OPEX - BLOCOS PAN'!L22-VLOOKUP('FLUXO DE CAIXA DESC.-SEM MULT.'!$D22,'CAPEX - BLOCOS PAN S- MULT.'!$C$3:$L$52,10,FALSE))*M$57</f>
        <v>-2108009.2962744096</v>
      </c>
      <c r="N22" s="1">
        <f>('RECEITAS - BLOCOS PAN'!M22-'OPEX - BLOCOS PAN'!M22-VLOOKUP('FLUXO DE CAIXA DESC.-SEM MULT.'!$D22,'CAPEX - BLOCOS PAN S- MULT.'!$C$3:$M$52,11,FALSE))*N$57</f>
        <v>-1897911.222840721</v>
      </c>
      <c r="O22" s="1">
        <f>('RECEITAS - BLOCOS PAN'!N22-'OPEX - BLOCOS PAN'!N22-VLOOKUP('FLUXO DE CAIXA DESC.-SEM MULT.'!$D22,'CAPEX - BLOCOS PAN S- MULT.'!$C$3:$N$52,12,FALSE))*O$57</f>
        <v>-1709683.3715737851</v>
      </c>
      <c r="P22" s="1">
        <f>('RECEITAS - BLOCOS PAN'!O22-'OPEX - BLOCOS PAN'!O22-VLOOKUP('FLUXO DE CAIXA DESC.-SEM MULT.'!$D22,'CAPEX - BLOCOS PAN S- MULT.'!$C$3:$O$52,13,FALSE))*P$57</f>
        <v>-1540683.2035977577</v>
      </c>
      <c r="Q22" s="1">
        <f>('RECEITAS - BLOCOS PAN'!P22-'OPEX - BLOCOS PAN'!P22-VLOOKUP('FLUXO DE CAIXA DESC.-SEM MULT.'!$D22,'CAPEX - BLOCOS PAN S- MULT.'!$C$3:$P$52,14,FALSE))*Q$57</f>
        <v>-1389265.1264487028</v>
      </c>
      <c r="R22" s="1">
        <f>('RECEITAS - BLOCOS PAN'!Q22-'OPEX - BLOCOS PAN'!Q22-VLOOKUP('FLUXO DE CAIXA DESC.-SEM MULT.'!$D22,'CAPEX - BLOCOS PAN S- MULT.'!$C$3:$Q$52,15,FALSE))*R$57</f>
        <v>-1253622.3372104615</v>
      </c>
      <c r="S22" s="1">
        <f>('RECEITAS - BLOCOS PAN'!R22-'OPEX - BLOCOS PAN'!R22-VLOOKUP('FLUXO DE CAIXA DESC.-SEM MULT.'!$D22,'CAPEX - BLOCOS PAN S- MULT.'!$C$3:$R$52,16,FALSE))*S$57</f>
        <v>-1131897.2297412148</v>
      </c>
      <c r="T22" s="1">
        <f>('RECEITAS - BLOCOS PAN'!S22-'OPEX - BLOCOS PAN'!S22-VLOOKUP('FLUXO DE CAIXA DESC.-SEM MULT.'!$D22,'CAPEX - BLOCOS PAN S- MULT.'!$C$3:$S$52,17,FALSE))*T$57</f>
        <v>-1021923.5300445845</v>
      </c>
      <c r="U22" s="1">
        <f>('RECEITAS - BLOCOS PAN'!T22-'OPEX - BLOCOS PAN'!T22-VLOOKUP('FLUXO DE CAIXA DESC.-SEM MULT.'!$D22,'CAPEX - BLOCOS PAN S- MULT.'!$C$3:$T$52,18,FALSE))*U$57</f>
        <v>-922520.49270143162</v>
      </c>
      <c r="V22" s="1">
        <f>('RECEITAS - BLOCOS PAN'!U22-'OPEX - BLOCOS PAN'!U22-VLOOKUP('FLUXO DE CAIXA DESC.-SEM MULT.'!$D22,'CAPEX - BLOCOS PAN S- MULT.'!$C$3:$U$52,19,FALSE))*V$57</f>
        <v>-832413.98772233422</v>
      </c>
      <c r="W22" s="1">
        <f>('RECEITAS - BLOCOS PAN'!V22-'OPEX - BLOCOS PAN'!V22-VLOOKUP('FLUXO DE CAIXA DESC.-SEM MULT.'!$D22,'CAPEX - BLOCOS PAN S- MULT.'!$C$3:$V$52,20,FALSE))*W$57</f>
        <v>-751170.72510834481</v>
      </c>
      <c r="X22" s="1">
        <f>('RECEITAS - BLOCOS PAN'!W22-'OPEX - BLOCOS PAN'!W22-VLOOKUP('FLUXO DE CAIXA DESC.-SEM MULT.'!$D22,'CAPEX - BLOCOS PAN S- MULT.'!$C$3:$W$52,21,FALSE))*X$57</f>
        <v>-677596.42530317511</v>
      </c>
      <c r="Y22" s="1">
        <f>('RECEITAS - BLOCOS PAN'!X22-'OPEX - BLOCOS PAN'!X22-VLOOKUP('FLUXO DE CAIXA DESC.-SEM MULT.'!$D22,'CAPEX - BLOCOS PAN S- MULT.'!$C$3:$X$52,22,FALSE))*Y$57</f>
        <v>-611115.1012341216</v>
      </c>
      <c r="Z22" s="1">
        <f>('RECEITAS - BLOCOS PAN'!Y22-'OPEX - BLOCOS PAN'!Y22-VLOOKUP('FLUXO DE CAIXA DESC.-SEM MULT.'!$D22,'CAPEX - BLOCOS PAN S- MULT.'!$C$3:$Y$52,23,FALSE))*Z$57</f>
        <v>-550895.21896142024</v>
      </c>
      <c r="AA22" s="1">
        <f>('RECEITAS - BLOCOS PAN'!Z22-'OPEX - BLOCOS PAN'!Z22-VLOOKUP('FLUXO DE CAIXA DESC.-SEM MULT.'!$D22,'CAPEX - BLOCOS PAN S- MULT.'!$C$3:$Z$52,24,FALSE))*AA$57</f>
        <v>-496408.03870899783</v>
      </c>
      <c r="AB22" s="1">
        <f>('RECEITAS - BLOCOS PAN'!AA22-'OPEX - BLOCOS PAN'!AA22-VLOOKUP('FLUXO DE CAIXA DESC.-SEM MULT.'!$D22,'CAPEX - BLOCOS PAN S- MULT.'!$C$3:$AA$52,25,FALSE))*AB$57</f>
        <v>-447170.42142638436</v>
      </c>
      <c r="AC22" s="1">
        <f>('RECEITAS - BLOCOS PAN'!AB22-'OPEX - BLOCOS PAN'!AB22-VLOOKUP('FLUXO DE CAIXA DESC.-SEM MULT.'!$D22,'CAPEX - BLOCOS PAN S- MULT.'!$C$3:$AB$52,26,FALSE))*AC$57</f>
        <v>-402853.61827061721</v>
      </c>
      <c r="AD22" s="1">
        <f>('RECEITAS - BLOCOS PAN'!AC22-'OPEX - BLOCOS PAN'!AC22-VLOOKUP('FLUXO DE CAIXA DESC.-SEM MULT.'!$D22,'CAPEX - BLOCOS PAN S- MULT.'!$C$3:$AC$52,27,FALSE))*AD$57</f>
        <v>-362809.4050152977</v>
      </c>
      <c r="AE22" s="1">
        <f>('RECEITAS - BLOCOS PAN'!AD22-'OPEX - BLOCOS PAN'!AD22-VLOOKUP('FLUXO DE CAIXA DESC.-SEM MULT.'!$D22,'CAPEX - BLOCOS PAN S- MULT.'!$C$3:$AD$52,28,FALSE))*AE$57</f>
        <v>-326718.78215962846</v>
      </c>
      <c r="AF22" s="1">
        <f>('RECEITAS - BLOCOS PAN'!AE22-'OPEX - BLOCOS PAN'!AE22-VLOOKUP('FLUXO DE CAIXA DESC.-SEM MULT.'!$D22,'CAPEX - BLOCOS PAN S- MULT.'!$C$3:$AE$52,29,FALSE))*AF$57</f>
        <v>-294441.47112647205</v>
      </c>
      <c r="AG22" s="1">
        <f>('RECEITAS - BLOCOS PAN'!AF22-'OPEX - BLOCOS PAN'!AF22-VLOOKUP('FLUXO DE CAIXA DESC.-SEM MULT.'!$D22,'CAPEX - BLOCOS PAN S- MULT.'!$C$3:$AF$52,30,FALSE))*AG$57</f>
        <v>-265449.15735050937</v>
      </c>
      <c r="AH22" s="1">
        <f>('RECEITAS - BLOCOS PAN'!AG22-'OPEX - BLOCOS PAN'!AG22-VLOOKUP('FLUXO DE CAIXA DESC.-SEM MULT.'!$D22,'CAPEX - BLOCOS PAN S- MULT.'!$C$3:$AG$52,31,FALSE))*AH$57</f>
        <v>-239307.80856439771</v>
      </c>
      <c r="AI22" s="1">
        <f>('RECEITAS - BLOCOS PAN'!AH22-'OPEX - BLOCOS PAN'!AH22-VLOOKUP('FLUXO DE CAIXA DESC.-SEM MULT.'!$D22,'CAPEX - BLOCOS PAN S- MULT.'!$C$3:$AH$52,32,FALSE))*AI$57</f>
        <v>-215813.02634386034</v>
      </c>
      <c r="AJ22" s="1">
        <f>('RECEITAS - BLOCOS PAN'!AI22-'OPEX - BLOCOS PAN'!AI22-VLOOKUP('FLUXO DE CAIXA DESC.-SEM MULT.'!$D22,'CAPEX - BLOCOS PAN S- MULT.'!$C$3:$AI$52,33,FALSE))*AJ$57</f>
        <v>-194595.62184843089</v>
      </c>
      <c r="AK22" s="1">
        <f>('RECEITAS - BLOCOS PAN'!AJ22-'OPEX - BLOCOS PAN'!AJ22-VLOOKUP('FLUXO DE CAIXA DESC.-SEM MULT.'!$D22,'CAPEX - BLOCOS PAN S- MULT.'!$C$3:$AJ$52,34,FALSE))*AK$57</f>
        <v>-175386.37904977862</v>
      </c>
      <c r="AL22" s="1">
        <f>('RECEITAS - BLOCOS PAN'!AK22-'OPEX - BLOCOS PAN'!AK22-VLOOKUP('FLUXO DE CAIXA DESC.-SEM MULT.'!$D22,'CAPEX - BLOCOS PAN S- MULT.'!$C$3:$AK$52,35,FALSE))*AL$57</f>
        <v>-158023.49126630576</v>
      </c>
      <c r="AM22" s="44">
        <f t="shared" si="0"/>
        <v>-93604839.473668963</v>
      </c>
      <c r="AN22">
        <v>1</v>
      </c>
      <c r="AO22" t="s">
        <v>283</v>
      </c>
      <c r="AP22">
        <v>-11.483333333333333</v>
      </c>
      <c r="AQ22">
        <v>-61.45</v>
      </c>
      <c r="AR22" s="48">
        <f>VLOOKUP(D22,'Projeção - Demanda PAX'!$C$3:$H$37,6,FALSE)</f>
        <v>41162</v>
      </c>
      <c r="AS22" s="1">
        <f t="shared" si="1"/>
        <v>-88186255.507039547</v>
      </c>
      <c r="AT22" t="s">
        <v>386</v>
      </c>
    </row>
    <row r="23" spans="1:46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257</v>
      </c>
      <c r="H23" t="s">
        <v>33</v>
      </c>
      <c r="I23" s="1">
        <f>('RECEITAS - BLOCOS PAN'!H23-'OPEX - BLOCOS PAN'!H23-VLOOKUP('FLUXO DE CAIXA DESC.-SEM MULT.'!$D23,'CAPEX - BLOCOS PAN S- MULT.'!$C$3:$H$52,6,FALSE))*I$57</f>
        <v>-17307464.459033333</v>
      </c>
      <c r="J23" s="1">
        <f>('RECEITAS - BLOCOS PAN'!I23-'OPEX - BLOCOS PAN'!I23-VLOOKUP('FLUXO DE CAIXA DESC.-SEM MULT.'!$D23,'CAPEX - BLOCOS PAN S- MULT.'!$C$3:$I$52,7,FALSE))*J$57</f>
        <v>-15794311.586520618</v>
      </c>
      <c r="K23" s="1">
        <f>('RECEITAS - BLOCOS PAN'!J23-'OPEX - BLOCOS PAN'!J23-VLOOKUP('FLUXO DE CAIXA DESC.-SEM MULT.'!$D23,'CAPEX - BLOCOS PAN S- MULT.'!$C$3:$J$52,8,FALSE))*K$57</f>
        <v>-14414252.23650158</v>
      </c>
      <c r="L23" s="1">
        <f>('RECEITAS - BLOCOS PAN'!K23-'OPEX - BLOCOS PAN'!K23-VLOOKUP('FLUXO DE CAIXA DESC.-SEM MULT.'!$D23,'CAPEX - BLOCOS PAN S- MULT.'!$C$3:$K$52,9,FALSE))*L$57</f>
        <v>-2698279.7444495894</v>
      </c>
      <c r="M23" s="1">
        <f>('RECEITAS - BLOCOS PAN'!L23-'OPEX - BLOCOS PAN'!L23-VLOOKUP('FLUXO DE CAIXA DESC.-SEM MULT.'!$D23,'CAPEX - BLOCOS PAN S- MULT.'!$C$3:$L$52,10,FALSE))*M$57</f>
        <v>-2461250.757875999</v>
      </c>
      <c r="N23" s="1">
        <f>('RECEITAS - BLOCOS PAN'!M23-'OPEX - BLOCOS PAN'!M23-VLOOKUP('FLUXO DE CAIXA DESC.-SEM MULT.'!$D23,'CAPEX - BLOCOS PAN S- MULT.'!$C$3:$M$52,11,FALSE))*N$57</f>
        <v>-2245141.9424409857</v>
      </c>
      <c r="O23" s="1">
        <f>('RECEITAS - BLOCOS PAN'!N23-'OPEX - BLOCOS PAN'!N23-VLOOKUP('FLUXO DE CAIXA DESC.-SEM MULT.'!$D23,'CAPEX - BLOCOS PAN S- MULT.'!$C$3:$N$52,12,FALSE))*O$57</f>
        <v>-2048073.6529977995</v>
      </c>
      <c r="P23" s="1">
        <f>('RECEITAS - BLOCOS PAN'!O23-'OPEX - BLOCOS PAN'!O23-VLOOKUP('FLUXO DE CAIXA DESC.-SEM MULT.'!$D23,'CAPEX - BLOCOS PAN S- MULT.'!$C$3:$O$52,13,FALSE))*P$57</f>
        <v>-1868347.6168123502</v>
      </c>
      <c r="Q23" s="1">
        <f>('RECEITAS - BLOCOS PAN'!P23-'OPEX - BLOCOS PAN'!P23-VLOOKUP('FLUXO DE CAIXA DESC.-SEM MULT.'!$D23,'CAPEX - BLOCOS PAN S- MULT.'!$C$3:$P$52,14,FALSE))*Q$57</f>
        <v>-1704454.5589086749</v>
      </c>
      <c r="R23" s="1">
        <f>('RECEITAS - BLOCOS PAN'!Q23-'OPEX - BLOCOS PAN'!Q23-VLOOKUP('FLUXO DE CAIXA DESC.-SEM MULT.'!$D23,'CAPEX - BLOCOS PAN S- MULT.'!$C$3:$Q$52,15,FALSE))*R$57</f>
        <v>-1555007.0003592945</v>
      </c>
      <c r="S23" s="1">
        <f>('RECEITAS - BLOCOS PAN'!R23-'OPEX - BLOCOS PAN'!R23-VLOOKUP('FLUXO DE CAIXA DESC.-SEM MULT.'!$D23,'CAPEX - BLOCOS PAN S- MULT.'!$C$3:$R$52,16,FALSE))*S$57</f>
        <v>-1418720.0928159959</v>
      </c>
      <c r="T23" s="1">
        <f>('RECEITAS - BLOCOS PAN'!S23-'OPEX - BLOCOS PAN'!S23-VLOOKUP('FLUXO DE CAIXA DESC.-SEM MULT.'!$D23,'CAPEX - BLOCOS PAN S- MULT.'!$C$3:$S$52,17,FALSE))*T$57</f>
        <v>-1294356.3907143082</v>
      </c>
      <c r="U23" s="1">
        <f>('RECEITAS - BLOCOS PAN'!T23-'OPEX - BLOCOS PAN'!T23-VLOOKUP('FLUXO DE CAIXA DESC.-SEM MULT.'!$D23,'CAPEX - BLOCOS PAN S- MULT.'!$C$3:$T$52,18,FALSE))*U$57</f>
        <v>-1180918.0757337336</v>
      </c>
      <c r="V23" s="1">
        <f>('RECEITAS - BLOCOS PAN'!U23-'OPEX - BLOCOS PAN'!U23-VLOOKUP('FLUXO DE CAIXA DESC.-SEM MULT.'!$D23,'CAPEX - BLOCOS PAN S- MULT.'!$C$3:$U$52,19,FALSE))*V$57</f>
        <v>-1077399.4499570348</v>
      </c>
      <c r="W23" s="1">
        <f>('RECEITAS - BLOCOS PAN'!V23-'OPEX - BLOCOS PAN'!V23-VLOOKUP('FLUXO DE CAIXA DESC.-SEM MULT.'!$D23,'CAPEX - BLOCOS PAN S- MULT.'!$C$3:$V$52,20,FALSE))*W$57</f>
        <v>-982974.87222629669</v>
      </c>
      <c r="X23" s="1">
        <f>('RECEITAS - BLOCOS PAN'!W23-'OPEX - BLOCOS PAN'!W23-VLOOKUP('FLUXO DE CAIXA DESC.-SEM MULT.'!$D23,'CAPEX - BLOCOS PAN S- MULT.'!$C$3:$W$52,21,FALSE))*X$57</f>
        <v>-896807.34153956338</v>
      </c>
      <c r="Y23" s="1">
        <f>('RECEITAS - BLOCOS PAN'!X23-'OPEX - BLOCOS PAN'!X23-VLOOKUP('FLUXO DE CAIXA DESC.-SEM MULT.'!$D23,'CAPEX - BLOCOS PAN S- MULT.'!$C$3:$X$52,22,FALSE))*Y$57</f>
        <v>-818197.7914081855</v>
      </c>
      <c r="Z23" s="1">
        <f>('RECEITAS - BLOCOS PAN'!Y23-'OPEX - BLOCOS PAN'!Y23-VLOOKUP('FLUXO DE CAIXA DESC.-SEM MULT.'!$D23,'CAPEX - BLOCOS PAN S- MULT.'!$C$3:$Y$52,23,FALSE))*Z$57</f>
        <v>-746468.1249593735</v>
      </c>
      <c r="AA23" s="1">
        <f>('RECEITAS - BLOCOS PAN'!Z23-'OPEX - BLOCOS PAN'!Z23-VLOOKUP('FLUXO DE CAIXA DESC.-SEM MULT.'!$D23,'CAPEX - BLOCOS PAN S- MULT.'!$C$3:$Z$52,24,FALSE))*AA$57</f>
        <v>-681021.10959980183</v>
      </c>
      <c r="AB23" s="1">
        <f>('RECEITAS - BLOCOS PAN'!AA23-'OPEX - BLOCOS PAN'!AA23-VLOOKUP('FLUXO DE CAIXA DESC.-SEM MULT.'!$D23,'CAPEX - BLOCOS PAN S- MULT.'!$C$3:$AA$52,25,FALSE))*AB$57</f>
        <v>-621306.95639426226</v>
      </c>
      <c r="AC23" s="1">
        <f>('RECEITAS - BLOCOS PAN'!AB23-'OPEX - BLOCOS PAN'!AB23-VLOOKUP('FLUXO DE CAIXA DESC.-SEM MULT.'!$D23,'CAPEX - BLOCOS PAN S- MULT.'!$C$3:$AB$52,26,FALSE))*AC$57</f>
        <v>-566837.7874987016</v>
      </c>
      <c r="AD23" s="1">
        <f>('RECEITAS - BLOCOS PAN'!AC23-'OPEX - BLOCOS PAN'!AC23-VLOOKUP('FLUXO DE CAIXA DESC.-SEM MULT.'!$D23,'CAPEX - BLOCOS PAN S- MULT.'!$C$3:$AC$52,27,FALSE))*AD$57</f>
        <v>-517137.38970589172</v>
      </c>
      <c r="AE23" s="1">
        <f>('RECEITAS - BLOCOS PAN'!AD23-'OPEX - BLOCOS PAN'!AD23-VLOOKUP('FLUXO DE CAIXA DESC.-SEM MULT.'!$D23,'CAPEX - BLOCOS PAN S- MULT.'!$C$3:$AD$52,28,FALSE))*AE$57</f>
        <v>-471800.35078374582</v>
      </c>
      <c r="AF23" s="1">
        <f>('RECEITAS - BLOCOS PAN'!AE23-'OPEX - BLOCOS PAN'!AE23-VLOOKUP('FLUXO DE CAIXA DESC.-SEM MULT.'!$D23,'CAPEX - BLOCOS PAN S- MULT.'!$C$3:$AE$52,29,FALSE))*AF$57</f>
        <v>-430437.84903541656</v>
      </c>
      <c r="AG23" s="1">
        <f>('RECEITAS - BLOCOS PAN'!AF23-'OPEX - BLOCOS PAN'!AF23-VLOOKUP('FLUXO DE CAIXA DESC.-SEM MULT.'!$D23,'CAPEX - BLOCOS PAN S- MULT.'!$C$3:$AF$52,30,FALSE))*AG$57</f>
        <v>-392709.47104688385</v>
      </c>
      <c r="AH23" s="1">
        <f>('RECEITAS - BLOCOS PAN'!AG23-'OPEX - BLOCOS PAN'!AG23-VLOOKUP('FLUXO DE CAIXA DESC.-SEM MULT.'!$D23,'CAPEX - BLOCOS PAN S- MULT.'!$C$3:$AG$52,31,FALSE))*AH$57</f>
        <v>-358282.02737478563</v>
      </c>
      <c r="AI23" s="1">
        <f>('RECEITAS - BLOCOS PAN'!AH23-'OPEX - BLOCOS PAN'!AH23-VLOOKUP('FLUXO DE CAIXA DESC.-SEM MULT.'!$D23,'CAPEX - BLOCOS PAN S- MULT.'!$C$3:$AH$52,32,FALSE))*AI$57</f>
        <v>-326884.68385052978</v>
      </c>
      <c r="AJ23" s="1">
        <f>('RECEITAS - BLOCOS PAN'!AI23-'OPEX - BLOCOS PAN'!AI23-VLOOKUP('FLUXO DE CAIXA DESC.-SEM MULT.'!$D23,'CAPEX - BLOCOS PAN S- MULT.'!$C$3:$AI$52,33,FALSE))*AJ$57</f>
        <v>-298237.49139012501</v>
      </c>
      <c r="AK23" s="1">
        <f>('RECEITAS - BLOCOS PAN'!AJ23-'OPEX - BLOCOS PAN'!AJ23-VLOOKUP('FLUXO DE CAIXA DESC.-SEM MULT.'!$D23,'CAPEX - BLOCOS PAN S- MULT.'!$C$3:$AJ$52,34,FALSE))*AK$57</f>
        <v>-272098.55861422716</v>
      </c>
      <c r="AL23" s="1">
        <f>('RECEITAS - BLOCOS PAN'!AK23-'OPEX - BLOCOS PAN'!AK23-VLOOKUP('FLUXO DE CAIXA DESC.-SEM MULT.'!$D23,'CAPEX - BLOCOS PAN S- MULT.'!$C$3:$AK$52,35,FALSE))*AL$57</f>
        <v>-248248.46823554626</v>
      </c>
      <c r="AM23" s="44">
        <f t="shared" si="0"/>
        <v>-75697427.838784635</v>
      </c>
      <c r="AN23">
        <v>1</v>
      </c>
      <c r="AO23" t="s">
        <v>314</v>
      </c>
      <c r="AP23">
        <v>-10.183333333333334</v>
      </c>
      <c r="AQ23">
        <v>-59.45</v>
      </c>
      <c r="AR23" s="48">
        <f>VLOOKUP(D23,'Projeção - Demanda PAX'!$C$3:$H$37,6,FALSE)</f>
        <v>2567</v>
      </c>
      <c r="AS23" s="1">
        <f t="shared" si="1"/>
        <v>-68050952.437347606</v>
      </c>
      <c r="AT23" t="s">
        <v>389</v>
      </c>
    </row>
    <row r="24" spans="1:46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259</v>
      </c>
      <c r="H24" t="s">
        <v>33</v>
      </c>
      <c r="I24" s="1">
        <f>('RECEITAS - BLOCOS PAN'!H24-'OPEX - BLOCOS PAN'!H24-VLOOKUP('FLUXO DE CAIXA DESC.-SEM MULT.'!$D24,'CAPEX - BLOCOS PAN S- MULT.'!$C$3:$H$52,6,FALSE))*I$57</f>
        <v>-13245326.809833335</v>
      </c>
      <c r="J24" s="1">
        <f>('RECEITAS - BLOCOS PAN'!I24-'OPEX - BLOCOS PAN'!I24-VLOOKUP('FLUXO DE CAIXA DESC.-SEM MULT.'!$D24,'CAPEX - BLOCOS PAN S- MULT.'!$C$3:$I$52,7,FALSE))*J$57</f>
        <v>-12079474.041563975</v>
      </c>
      <c r="K24" s="1">
        <f>('RECEITAS - BLOCOS PAN'!J24-'OPEX - BLOCOS PAN'!J24-VLOOKUP('FLUXO DE CAIXA DESC.-SEM MULT.'!$D24,'CAPEX - BLOCOS PAN S- MULT.'!$C$3:$J$52,8,FALSE))*K$57</f>
        <v>-11016867.880892215</v>
      </c>
      <c r="L24" s="1">
        <f>('RECEITAS - BLOCOS PAN'!K24-'OPEX - BLOCOS PAN'!K24-VLOOKUP('FLUXO DE CAIXA DESC.-SEM MULT.'!$D24,'CAPEX - BLOCOS PAN S- MULT.'!$C$3:$K$52,9,FALSE))*L$57</f>
        <v>-1982169.2964077883</v>
      </c>
      <c r="M24" s="1">
        <f>('RECEITAS - BLOCOS PAN'!L24-'OPEX - BLOCOS PAN'!L24-VLOOKUP('FLUXO DE CAIXA DESC.-SEM MULT.'!$D24,'CAPEX - BLOCOS PAN S- MULT.'!$C$3:$L$52,10,FALSE))*M$57</f>
        <v>-1803542.9196069855</v>
      </c>
      <c r="N24" s="1">
        <f>('RECEITAS - BLOCOS PAN'!M24-'OPEX - BLOCOS PAN'!M24-VLOOKUP('FLUXO DE CAIXA DESC.-SEM MULT.'!$D24,'CAPEX - BLOCOS PAN S- MULT.'!$C$3:$M$52,11,FALSE))*N$57</f>
        <v>-1641874.984064647</v>
      </c>
      <c r="O24" s="1">
        <f>('RECEITAS - BLOCOS PAN'!N24-'OPEX - BLOCOS PAN'!N24-VLOOKUP('FLUXO DE CAIXA DESC.-SEM MULT.'!$D24,'CAPEX - BLOCOS PAN S- MULT.'!$C$3:$N$52,12,FALSE))*O$57</f>
        <v>-1495308.4025164067</v>
      </c>
      <c r="P24" s="1">
        <f>('RECEITAS - BLOCOS PAN'!O24-'OPEX - BLOCOS PAN'!O24-VLOOKUP('FLUXO DE CAIXA DESC.-SEM MULT.'!$D24,'CAPEX - BLOCOS PAN S- MULT.'!$C$3:$O$52,13,FALSE))*P$57</f>
        <v>-1361723.0663207744</v>
      </c>
      <c r="Q24" s="1">
        <f>('RECEITAS - BLOCOS PAN'!P24-'OPEX - BLOCOS PAN'!P24-VLOOKUP('FLUXO DE CAIXA DESC.-SEM MULT.'!$D24,'CAPEX - BLOCOS PAN S- MULT.'!$C$3:$P$52,14,FALSE))*Q$57</f>
        <v>-1240368.0729040888</v>
      </c>
      <c r="R24" s="1">
        <f>('RECEITAS - BLOCOS PAN'!Q24-'OPEX - BLOCOS PAN'!Q24-VLOOKUP('FLUXO DE CAIXA DESC.-SEM MULT.'!$D24,'CAPEX - BLOCOS PAN S- MULT.'!$C$3:$Q$52,15,FALSE))*R$57</f>
        <v>-1129804.056603844</v>
      </c>
      <c r="S24" s="1">
        <f>('RECEITAS - BLOCOS PAN'!R24-'OPEX - BLOCOS PAN'!R24-VLOOKUP('FLUXO DE CAIXA DESC.-SEM MULT.'!$D24,'CAPEX - BLOCOS PAN S- MULT.'!$C$3:$R$52,16,FALSE))*S$57</f>
        <v>-1029343.2357311446</v>
      </c>
      <c r="T24" s="1">
        <f>('RECEITAS - BLOCOS PAN'!S24-'OPEX - BLOCOS PAN'!S24-VLOOKUP('FLUXO DE CAIXA DESC.-SEM MULT.'!$D24,'CAPEX - BLOCOS PAN S- MULT.'!$C$3:$S$52,17,FALSE))*T$57</f>
        <v>-937633.76512403553</v>
      </c>
      <c r="U24" s="1">
        <f>('RECEITAS - BLOCOS PAN'!T24-'OPEX - BLOCOS PAN'!T24-VLOOKUP('FLUXO DE CAIXA DESC.-SEM MULT.'!$D24,'CAPEX - BLOCOS PAN S- MULT.'!$C$3:$T$52,18,FALSE))*U$57</f>
        <v>-854287.59549717419</v>
      </c>
      <c r="V24" s="1">
        <f>('RECEITAS - BLOCOS PAN'!U24-'OPEX - BLOCOS PAN'!U24-VLOOKUP('FLUXO DE CAIXA DESC.-SEM MULT.'!$D24,'CAPEX - BLOCOS PAN S- MULT.'!$C$3:$U$52,19,FALSE))*V$57</f>
        <v>-778107.01308823354</v>
      </c>
      <c r="W24" s="1">
        <f>('RECEITAS - BLOCOS PAN'!V24-'OPEX - BLOCOS PAN'!V24-VLOOKUP('FLUXO DE CAIXA DESC.-SEM MULT.'!$D24,'CAPEX - BLOCOS PAN S- MULT.'!$C$3:$V$52,20,FALSE))*W$57</f>
        <v>-708907.79695303878</v>
      </c>
      <c r="X24" s="1">
        <f>('RECEITAS - BLOCOS PAN'!W24-'OPEX - BLOCOS PAN'!W24-VLOOKUP('FLUXO DE CAIXA DESC.-SEM MULT.'!$D24,'CAPEX - BLOCOS PAN S- MULT.'!$C$3:$W$52,21,FALSE))*X$57</f>
        <v>-645678.09846154635</v>
      </c>
      <c r="Y24" s="1">
        <f>('RECEITAS - BLOCOS PAN'!X24-'OPEX - BLOCOS PAN'!X24-VLOOKUP('FLUXO DE CAIXA DESC.-SEM MULT.'!$D24,'CAPEX - BLOCOS PAN S- MULT.'!$C$3:$X$52,22,FALSE))*Y$57</f>
        <v>-588224.85878554243</v>
      </c>
      <c r="Z24" s="1">
        <f>('RECEITAS - BLOCOS PAN'!Y24-'OPEX - BLOCOS PAN'!Y24-VLOOKUP('FLUXO DE CAIXA DESC.-SEM MULT.'!$D24,'CAPEX - BLOCOS PAN S- MULT.'!$C$3:$Y$52,23,FALSE))*Z$57</f>
        <v>-535702.80636088387</v>
      </c>
      <c r="AA24" s="1">
        <f>('RECEITAS - BLOCOS PAN'!Z24-'OPEX - BLOCOS PAN'!Z24-VLOOKUP('FLUXO DE CAIXA DESC.-SEM MULT.'!$D24,'CAPEX - BLOCOS PAN S- MULT.'!$C$3:$Z$52,24,FALSE))*AA$57</f>
        <v>-488047.74839788745</v>
      </c>
      <c r="AB24" s="1">
        <f>('RECEITAS - BLOCOS PAN'!AA24-'OPEX - BLOCOS PAN'!AA24-VLOOKUP('FLUXO DE CAIXA DESC.-SEM MULT.'!$D24,'CAPEX - BLOCOS PAN S- MULT.'!$C$3:$AA$52,25,FALSE))*AB$57</f>
        <v>-444439.71756362787</v>
      </c>
      <c r="AC24" s="1">
        <f>('RECEITAS - BLOCOS PAN'!AB24-'OPEX - BLOCOS PAN'!AB24-VLOOKUP('FLUXO DE CAIXA DESC.-SEM MULT.'!$D24,'CAPEX - BLOCOS PAN S- MULT.'!$C$3:$AB$52,26,FALSE))*AC$57</f>
        <v>-404881.33544426656</v>
      </c>
      <c r="AD24" s="1">
        <f>('RECEITAS - BLOCOS PAN'!AC24-'OPEX - BLOCOS PAN'!AC24-VLOOKUP('FLUXO DE CAIXA DESC.-SEM MULT.'!$D24,'CAPEX - BLOCOS PAN S- MULT.'!$C$3:$AC$52,27,FALSE))*AD$57</f>
        <v>-368692.91607027885</v>
      </c>
      <c r="AE24" s="1">
        <f>('RECEITAS - BLOCOS PAN'!AD24-'OPEX - BLOCOS PAN'!AD24-VLOOKUP('FLUXO DE CAIXA DESC.-SEM MULT.'!$D24,'CAPEX - BLOCOS PAN S- MULT.'!$C$3:$AD$52,28,FALSE))*AE$57</f>
        <v>-335835.10485266318</v>
      </c>
      <c r="AF24" s="1">
        <f>('RECEITAS - BLOCOS PAN'!AE24-'OPEX - BLOCOS PAN'!AE24-VLOOKUP('FLUXO DE CAIXA DESC.-SEM MULT.'!$D24,'CAPEX - BLOCOS PAN S- MULT.'!$C$3:$AE$52,29,FALSE))*AF$57</f>
        <v>-305918.21698876121</v>
      </c>
      <c r="AG24" s="1">
        <f>('RECEITAS - BLOCOS PAN'!AF24-'OPEX - BLOCOS PAN'!AF24-VLOOKUP('FLUXO DE CAIXA DESC.-SEM MULT.'!$D24,'CAPEX - BLOCOS PAN S- MULT.'!$C$3:$AF$52,30,FALSE))*AG$57</f>
        <v>-278745.89740155218</v>
      </c>
      <c r="AH24" s="1">
        <f>('RECEITAS - BLOCOS PAN'!AG24-'OPEX - BLOCOS PAN'!AG24-VLOOKUP('FLUXO DE CAIXA DESC.-SEM MULT.'!$D24,'CAPEX - BLOCOS PAN S- MULT.'!$C$3:$AG$52,31,FALSE))*AH$57</f>
        <v>-253890.6245516825</v>
      </c>
      <c r="AI24" s="1">
        <f>('RECEITAS - BLOCOS PAN'!AH24-'OPEX - BLOCOS PAN'!AH24-VLOOKUP('FLUXO DE CAIXA DESC.-SEM MULT.'!$D24,'CAPEX - BLOCOS PAN S- MULT.'!$C$3:$AH$52,32,FALSE))*AI$57</f>
        <v>-231334.63509893429</v>
      </c>
      <c r="AJ24" s="1">
        <f>('RECEITAS - BLOCOS PAN'!AI24-'OPEX - BLOCOS PAN'!AI24-VLOOKUP('FLUXO DE CAIXA DESC.-SEM MULT.'!$D24,'CAPEX - BLOCOS PAN S- MULT.'!$C$3:$AI$52,33,FALSE))*AJ$57</f>
        <v>-210718.48770337304</v>
      </c>
      <c r="AK24" s="1">
        <f>('RECEITAS - BLOCOS PAN'!AJ24-'OPEX - BLOCOS PAN'!AJ24-VLOOKUP('FLUXO DE CAIXA DESC.-SEM MULT.'!$D24,'CAPEX - BLOCOS PAN S- MULT.'!$C$3:$AJ$52,34,FALSE))*AK$57</f>
        <v>-191929.8447622699</v>
      </c>
      <c r="AL24" s="1">
        <f>('RECEITAS - BLOCOS PAN'!AK24-'OPEX - BLOCOS PAN'!AK24-VLOOKUP('FLUXO DE CAIXA DESC.-SEM MULT.'!$D24,'CAPEX - BLOCOS PAN S- MULT.'!$C$3:$AK$52,35,FALSE))*AL$57</f>
        <v>-174803.42912618347</v>
      </c>
      <c r="AM24" s="44">
        <f t="shared" si="0"/>
        <v>-56763582.658677146</v>
      </c>
      <c r="AN24">
        <v>1</v>
      </c>
      <c r="AO24" t="s">
        <v>312</v>
      </c>
      <c r="AP24">
        <v>-4.4000000000000004</v>
      </c>
      <c r="AQ24">
        <v>-59.583333333333336</v>
      </c>
      <c r="AR24" s="48">
        <f>VLOOKUP(D24,'Projeção - Demanda PAX'!$C$3:$H$37,6,FALSE)</f>
        <v>4718</v>
      </c>
      <c r="AS24" s="1">
        <f t="shared" si="1"/>
        <v>-51304738.93710769</v>
      </c>
      <c r="AT24" t="s">
        <v>383</v>
      </c>
    </row>
    <row r="25" spans="1:46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259</v>
      </c>
      <c r="H25" t="s">
        <v>33</v>
      </c>
      <c r="I25" s="1">
        <f>('RECEITAS - BLOCOS PAN'!H25-'OPEX - BLOCOS PAN'!H25-VLOOKUP('FLUXO DE CAIXA DESC.-SEM MULT.'!$D25,'CAPEX - BLOCOS PAN S- MULT.'!$C$3:$H$52,6,FALSE))*I$57</f>
        <v>-15286989.928466666</v>
      </c>
      <c r="J25" s="1">
        <f>('RECEITAS - BLOCOS PAN'!I25-'OPEX - BLOCOS PAN'!I25-VLOOKUP('FLUXO DE CAIXA DESC.-SEM MULT.'!$D25,'CAPEX - BLOCOS PAN S- MULT.'!$C$3:$I$52,7,FALSE))*J$57</f>
        <v>-13921158.922288148</v>
      </c>
      <c r="K25" s="1">
        <f>('RECEITAS - BLOCOS PAN'!J25-'OPEX - BLOCOS PAN'!J25-VLOOKUP('FLUXO DE CAIXA DESC.-SEM MULT.'!$D25,'CAPEX - BLOCOS PAN S- MULT.'!$C$3:$J$52,8,FALSE))*K$57</f>
        <v>-12684397.525470192</v>
      </c>
      <c r="L25" s="1">
        <f>('RECEITAS - BLOCOS PAN'!K25-'OPEX - BLOCOS PAN'!K25-VLOOKUP('FLUXO DE CAIXA DESC.-SEM MULT.'!$D25,'CAPEX - BLOCOS PAN S- MULT.'!$C$3:$K$52,9,FALSE))*L$57</f>
        <v>-1761859.6578427406</v>
      </c>
      <c r="M25" s="1">
        <f>('RECEITAS - BLOCOS PAN'!L25-'OPEX - BLOCOS PAN'!L25-VLOOKUP('FLUXO DE CAIXA DESC.-SEM MULT.'!$D25,'CAPEX - BLOCOS PAN S- MULT.'!$C$3:$L$52,10,FALSE))*M$57</f>
        <v>-1597030.5322883478</v>
      </c>
      <c r="N25" s="1">
        <f>('RECEITAS - BLOCOS PAN'!M25-'OPEX - BLOCOS PAN'!M25-VLOOKUP('FLUXO DE CAIXA DESC.-SEM MULT.'!$D25,'CAPEX - BLOCOS PAN S- MULT.'!$C$3:$M$52,11,FALSE))*N$57</f>
        <v>-1448526.0208327444</v>
      </c>
      <c r="O25" s="1">
        <f>('RECEITAS - BLOCOS PAN'!N25-'OPEX - BLOCOS PAN'!N25-VLOOKUP('FLUXO DE CAIXA DESC.-SEM MULT.'!$D25,'CAPEX - BLOCOS PAN S- MULT.'!$C$3:$N$52,12,FALSE))*O$57</f>
        <v>-1397812.960275521</v>
      </c>
      <c r="P25" s="1">
        <f>('RECEITAS - BLOCOS PAN'!O25-'OPEX - BLOCOS PAN'!O25-VLOOKUP('FLUXO DE CAIXA DESC.-SEM MULT.'!$D25,'CAPEX - BLOCOS PAN S- MULT.'!$C$3:$O$52,13,FALSE))*P$57</f>
        <v>-1269535.3272900856</v>
      </c>
      <c r="Q25" s="1">
        <f>('RECEITAS - BLOCOS PAN'!P25-'OPEX - BLOCOS PAN'!P25-VLOOKUP('FLUXO DE CAIXA DESC.-SEM MULT.'!$D25,'CAPEX - BLOCOS PAN S- MULT.'!$C$3:$P$52,14,FALSE))*Q$57</f>
        <v>-1153529.2294038017</v>
      </c>
      <c r="R25" s="1">
        <f>('RECEITAS - BLOCOS PAN'!Q25-'OPEX - BLOCOS PAN'!Q25-VLOOKUP('FLUXO DE CAIXA DESC.-SEM MULT.'!$D25,'CAPEX - BLOCOS PAN S- MULT.'!$C$3:$Q$52,15,FALSE))*R$57</f>
        <v>-1048847.9795789057</v>
      </c>
      <c r="S25" s="1">
        <f>('RECEITAS - BLOCOS PAN'!R25-'OPEX - BLOCOS PAN'!R25-VLOOKUP('FLUXO DE CAIXA DESC.-SEM MULT.'!$D25,'CAPEX - BLOCOS PAN S- MULT.'!$C$3:$R$52,16,FALSE))*S$57</f>
        <v>-953937.80649099417</v>
      </c>
      <c r="T25" s="1">
        <f>('RECEITAS - BLOCOS PAN'!S25-'OPEX - BLOCOS PAN'!S25-VLOOKUP('FLUXO DE CAIXA DESC.-SEM MULT.'!$D25,'CAPEX - BLOCOS PAN S- MULT.'!$C$3:$S$52,17,FALSE))*T$57</f>
        <v>-867782.53250136098</v>
      </c>
      <c r="U25" s="1">
        <f>('RECEITAS - BLOCOS PAN'!T25-'OPEX - BLOCOS PAN'!T25-VLOOKUP('FLUXO DE CAIXA DESC.-SEM MULT.'!$D25,'CAPEX - BLOCOS PAN S- MULT.'!$C$3:$T$52,18,FALSE))*U$57</f>
        <v>-789489.67860631028</v>
      </c>
      <c r="V25" s="1">
        <f>('RECEITAS - BLOCOS PAN'!U25-'OPEX - BLOCOS PAN'!U25-VLOOKUP('FLUXO DE CAIXA DESC.-SEM MULT.'!$D25,'CAPEX - BLOCOS PAN S- MULT.'!$C$3:$U$52,19,FALSE))*V$57</f>
        <v>-718143.36822457425</v>
      </c>
      <c r="W25" s="1">
        <f>('RECEITAS - BLOCOS PAN'!V25-'OPEX - BLOCOS PAN'!V25-VLOOKUP('FLUXO DE CAIXA DESC.-SEM MULT.'!$D25,'CAPEX - BLOCOS PAN S- MULT.'!$C$3:$V$52,20,FALSE))*W$57</f>
        <v>-653324.24983918539</v>
      </c>
      <c r="X25" s="1">
        <f>('RECEITAS - BLOCOS PAN'!W25-'OPEX - BLOCOS PAN'!W25-VLOOKUP('FLUXO DE CAIXA DESC.-SEM MULT.'!$D25,'CAPEX - BLOCOS PAN S- MULT.'!$C$3:$W$52,21,FALSE))*X$57</f>
        <v>-594443.0432236325</v>
      </c>
      <c r="Y25" s="1">
        <f>('RECEITAS - BLOCOS PAN'!X25-'OPEX - BLOCOS PAN'!X25-VLOOKUP('FLUXO DE CAIXA DESC.-SEM MULT.'!$D25,'CAPEX - BLOCOS PAN S- MULT.'!$C$3:$X$52,22,FALSE))*Y$57</f>
        <v>-540869.63064060581</v>
      </c>
      <c r="Z25" s="1">
        <f>('RECEITAS - BLOCOS PAN'!Y25-'OPEX - BLOCOS PAN'!Y25-VLOOKUP('FLUXO DE CAIXA DESC.-SEM MULT.'!$D25,'CAPEX - BLOCOS PAN S- MULT.'!$C$3:$Y$52,23,FALSE))*Z$57</f>
        <v>-492064.83622107439</v>
      </c>
      <c r="AA25" s="1">
        <f>('RECEITAS - BLOCOS PAN'!Z25-'OPEX - BLOCOS PAN'!Z25-VLOOKUP('FLUXO DE CAIXA DESC.-SEM MULT.'!$D25,'CAPEX - BLOCOS PAN S- MULT.'!$C$3:$Z$52,24,FALSE))*AA$57</f>
        <v>-447622.80580098409</v>
      </c>
      <c r="AB25" s="1">
        <f>('RECEITAS - BLOCOS PAN'!AA25-'OPEX - BLOCOS PAN'!AA25-VLOOKUP('FLUXO DE CAIXA DESC.-SEM MULT.'!$D25,'CAPEX - BLOCOS PAN S- MULT.'!$C$3:$AA$52,25,FALSE))*AB$57</f>
        <v>-407270.57684588176</v>
      </c>
      <c r="AC25" s="1">
        <f>('RECEITAS - BLOCOS PAN'!AB25-'OPEX - BLOCOS PAN'!AB25-VLOOKUP('FLUXO DE CAIXA DESC.-SEM MULT.'!$D25,'CAPEX - BLOCOS PAN S- MULT.'!$C$3:$AB$52,26,FALSE))*AC$57</f>
        <v>-370591.1699948695</v>
      </c>
      <c r="AD25" s="1">
        <f>('RECEITAS - BLOCOS PAN'!AC25-'OPEX - BLOCOS PAN'!AC25-VLOOKUP('FLUXO DE CAIXA DESC.-SEM MULT.'!$D25,'CAPEX - BLOCOS PAN S- MULT.'!$C$3:$AC$52,27,FALSE))*AD$57</f>
        <v>-337217.97549920098</v>
      </c>
      <c r="AE25" s="1">
        <f>('RECEITAS - BLOCOS PAN'!AD25-'OPEX - BLOCOS PAN'!AD25-VLOOKUP('FLUXO DE CAIXA DESC.-SEM MULT.'!$D25,'CAPEX - BLOCOS PAN S- MULT.'!$C$3:$AD$52,28,FALSE))*AE$57</f>
        <v>-306895.94464715134</v>
      </c>
      <c r="AF25" s="1">
        <f>('RECEITAS - BLOCOS PAN'!AE25-'OPEX - BLOCOS PAN'!AE25-VLOOKUP('FLUXO DE CAIXA DESC.-SEM MULT.'!$D25,'CAPEX - BLOCOS PAN S- MULT.'!$C$3:$AE$52,29,FALSE))*AF$57</f>
        <v>-279336.65190731396</v>
      </c>
      <c r="AG25" s="1">
        <f>('RECEITAS - BLOCOS PAN'!AF25-'OPEX - BLOCOS PAN'!AF25-VLOOKUP('FLUXO DE CAIXA DESC.-SEM MULT.'!$D25,'CAPEX - BLOCOS PAN S- MULT.'!$C$3:$AF$52,30,FALSE))*AG$57</f>
        <v>-254284.19671355936</v>
      </c>
      <c r="AH25" s="1">
        <f>('RECEITAS - BLOCOS PAN'!AG25-'OPEX - BLOCOS PAN'!AG25-VLOOKUP('FLUXO DE CAIXA DESC.-SEM MULT.'!$D25,'CAPEX - BLOCOS PAN S- MULT.'!$C$3:$AG$52,31,FALSE))*AH$57</f>
        <v>-231478.349032742</v>
      </c>
      <c r="AI25" s="1">
        <f>('RECEITAS - BLOCOS PAN'!AH25-'OPEX - BLOCOS PAN'!AH25-VLOOKUP('FLUXO DE CAIXA DESC.-SEM MULT.'!$D25,'CAPEX - BLOCOS PAN S- MULT.'!$C$3:$AH$52,32,FALSE))*AI$57</f>
        <v>-210797.46643824957</v>
      </c>
      <c r="AJ25" s="1">
        <f>('RECEITAS - BLOCOS PAN'!AI25-'OPEX - BLOCOS PAN'!AI25-VLOOKUP('FLUXO DE CAIXA DESC.-SEM MULT.'!$D25,'CAPEX - BLOCOS PAN S- MULT.'!$C$3:$AI$52,33,FALSE))*AJ$57</f>
        <v>-191971.62893374971</v>
      </c>
      <c r="AK25" s="1">
        <f>('RECEITAS - BLOCOS PAN'!AJ25-'OPEX - BLOCOS PAN'!AJ25-VLOOKUP('FLUXO DE CAIXA DESC.-SEM MULT.'!$D25,'CAPEX - BLOCOS PAN S- MULT.'!$C$3:$AJ$52,34,FALSE))*AK$57</f>
        <v>-174827.28530913551</v>
      </c>
      <c r="AL25" s="1">
        <f>('RECEITAS - BLOCOS PAN'!AK25-'OPEX - BLOCOS PAN'!AK25-VLOOKUP('FLUXO DE CAIXA DESC.-SEM MULT.'!$D25,'CAPEX - BLOCOS PAN S- MULT.'!$C$3:$AK$52,35,FALSE))*AL$57</f>
        <v>-159209.12352715089</v>
      </c>
      <c r="AM25" s="44">
        <f t="shared" si="0"/>
        <v>-60551246.404134892</v>
      </c>
      <c r="AN25">
        <v>1</v>
      </c>
      <c r="AO25" t="s">
        <v>308</v>
      </c>
      <c r="AP25">
        <v>-4.8666666666666671</v>
      </c>
      <c r="AQ25">
        <v>-66.88333333333334</v>
      </c>
      <c r="AR25" s="48">
        <f>VLOOKUP(D25,'Projeção - Demanda PAX'!$C$3:$H$37,6,FALSE)</f>
        <v>21568</v>
      </c>
      <c r="AS25" s="1">
        <f t="shared" si="1"/>
        <v>-55552365.719399586</v>
      </c>
      <c r="AT25" t="s">
        <v>381</v>
      </c>
    </row>
    <row r="26" spans="1:46" x14ac:dyDescent="0.35">
      <c r="A26" t="s">
        <v>126</v>
      </c>
      <c r="B26" t="s">
        <v>175</v>
      </c>
      <c r="C26">
        <v>130140</v>
      </c>
      <c r="D26" t="s">
        <v>128</v>
      </c>
      <c r="E26" t="s">
        <v>127</v>
      </c>
      <c r="F26" t="s">
        <v>35</v>
      </c>
      <c r="G26" t="s">
        <v>259</v>
      </c>
      <c r="H26" t="s">
        <v>33</v>
      </c>
      <c r="I26" s="1">
        <f>('RECEITAS - BLOCOS PAN'!H26-'OPEX - BLOCOS PAN'!H26-VLOOKUP('FLUXO DE CAIXA DESC.-SEM MULT.'!$D26,'CAPEX - BLOCOS PAN S- MULT.'!$C$3:$H$52,6,FALSE))*I$57</f>
        <v>-9787048.6489000004</v>
      </c>
      <c r="J26" s="1">
        <f>('RECEITAS - BLOCOS PAN'!I26-'OPEX - BLOCOS PAN'!I26-VLOOKUP('FLUXO DE CAIXA DESC.-SEM MULT.'!$D26,'CAPEX - BLOCOS PAN S- MULT.'!$C$3:$I$52,7,FALSE))*J$57</f>
        <v>-8907110.683249658</v>
      </c>
      <c r="K26" s="1">
        <f>('RECEITAS - BLOCOS PAN'!J26-'OPEX - BLOCOS PAN'!J26-VLOOKUP('FLUXO DE CAIXA DESC.-SEM MULT.'!$D26,'CAPEX - BLOCOS PAN S- MULT.'!$C$3:$J$52,8,FALSE))*K$57</f>
        <v>-8112606.732617002</v>
      </c>
      <c r="L26" s="1">
        <f>('RECEITAS - BLOCOS PAN'!K26-'OPEX - BLOCOS PAN'!K26-VLOOKUP('FLUXO DE CAIXA DESC.-SEM MULT.'!$D26,'CAPEX - BLOCOS PAN S- MULT.'!$C$3:$K$52,9,FALSE))*L$57</f>
        <v>-1860403.5128070856</v>
      </c>
      <c r="M26" s="1">
        <f>('RECEITAS - BLOCOS PAN'!L26-'OPEX - BLOCOS PAN'!L26-VLOOKUP('FLUXO DE CAIXA DESC.-SEM MULT.'!$D26,'CAPEX - BLOCOS PAN S- MULT.'!$C$3:$L$52,10,FALSE))*M$57</f>
        <v>-1689651.0214463554</v>
      </c>
      <c r="N26" s="1">
        <f>('RECEITAS - BLOCOS PAN'!M26-'OPEX - BLOCOS PAN'!M26-VLOOKUP('FLUXO DE CAIXA DESC.-SEM MULT.'!$D26,'CAPEX - BLOCOS PAN S- MULT.'!$C$3:$M$52,11,FALSE))*N$57</f>
        <v>-1535486.3314707095</v>
      </c>
      <c r="O26" s="1">
        <f>('RECEITAS - BLOCOS PAN'!N26-'OPEX - BLOCOS PAN'!N26-VLOOKUP('FLUXO DE CAIXA DESC.-SEM MULT.'!$D26,'CAPEX - BLOCOS PAN S- MULT.'!$C$3:$N$52,12,FALSE))*O$57</f>
        <v>-1395914.0633645372</v>
      </c>
      <c r="P26" s="1">
        <f>('RECEITAS - BLOCOS PAN'!O26-'OPEX - BLOCOS PAN'!O26-VLOOKUP('FLUXO DE CAIXA DESC.-SEM MULT.'!$D26,'CAPEX - BLOCOS PAN S- MULT.'!$C$3:$O$52,13,FALSE))*P$57</f>
        <v>-1269331.7556830933</v>
      </c>
      <c r="Q26" s="1">
        <f>('RECEITAS - BLOCOS PAN'!P26-'OPEX - BLOCOS PAN'!P26-VLOOKUP('FLUXO DE CAIXA DESC.-SEM MULT.'!$D26,'CAPEX - BLOCOS PAN S- MULT.'!$C$3:$P$52,14,FALSE))*Q$57</f>
        <v>-1154659.1791437489</v>
      </c>
      <c r="R26" s="1">
        <f>('RECEITAS - BLOCOS PAN'!Q26-'OPEX - BLOCOS PAN'!Q26-VLOOKUP('FLUXO DE CAIXA DESC.-SEM MULT.'!$D26,'CAPEX - BLOCOS PAN S- MULT.'!$C$3:$Q$52,15,FALSE))*R$57</f>
        <v>-1050740.5023866126</v>
      </c>
      <c r="S26" s="1">
        <f>('RECEITAS - BLOCOS PAN'!R26-'OPEX - BLOCOS PAN'!R26-VLOOKUP('FLUXO DE CAIXA DESC.-SEM MULT.'!$D26,'CAPEX - BLOCOS PAN S- MULT.'!$C$3:$R$52,16,FALSE))*S$57</f>
        <v>-956488.50867943396</v>
      </c>
      <c r="T26" s="1">
        <f>('RECEITAS - BLOCOS PAN'!S26-'OPEX - BLOCOS PAN'!S26-VLOOKUP('FLUXO DE CAIXA DESC.-SEM MULT.'!$D26,'CAPEX - BLOCOS PAN S- MULT.'!$C$3:$S$52,17,FALSE))*T$57</f>
        <v>-870752.62679456046</v>
      </c>
      <c r="U26" s="1">
        <f>('RECEITAS - BLOCOS PAN'!T26-'OPEX - BLOCOS PAN'!T26-VLOOKUP('FLUXO DE CAIXA DESC.-SEM MULT.'!$D26,'CAPEX - BLOCOS PAN S- MULT.'!$C$3:$T$52,18,FALSE))*U$57</f>
        <v>-792762.98418570461</v>
      </c>
      <c r="V26" s="1">
        <f>('RECEITAS - BLOCOS PAN'!U26-'OPEX - BLOCOS PAN'!U26-VLOOKUP('FLUXO DE CAIXA DESC.-SEM MULT.'!$D26,'CAPEX - BLOCOS PAN S- MULT.'!$C$3:$U$52,19,FALSE))*V$57</f>
        <v>-721734.52078487724</v>
      </c>
      <c r="W26" s="1">
        <f>('RECEITAS - BLOCOS PAN'!V26-'OPEX - BLOCOS PAN'!V26-VLOOKUP('FLUXO DE CAIXA DESC.-SEM MULT.'!$D26,'CAPEX - BLOCOS PAN S- MULT.'!$C$3:$V$52,20,FALSE))*W$57</f>
        <v>-657062.57771452679</v>
      </c>
      <c r="X26" s="1">
        <f>('RECEITAS - BLOCOS PAN'!W26-'OPEX - BLOCOS PAN'!W26-VLOOKUP('FLUXO DE CAIXA DESC.-SEM MULT.'!$D26,'CAPEX - BLOCOS PAN S- MULT.'!$C$3:$W$52,21,FALSE))*X$57</f>
        <v>-598261.60522971326</v>
      </c>
      <c r="Y26" s="1">
        <f>('RECEITAS - BLOCOS PAN'!X26-'OPEX - BLOCOS PAN'!X26-VLOOKUP('FLUXO DE CAIXA DESC.-SEM MULT.'!$D26,'CAPEX - BLOCOS PAN S- MULT.'!$C$3:$X$52,22,FALSE))*Y$57</f>
        <v>-544668.11181281938</v>
      </c>
      <c r="Z26" s="1">
        <f>('RECEITAS - BLOCOS PAN'!Y26-'OPEX - BLOCOS PAN'!Y26-VLOOKUP('FLUXO DE CAIXA DESC.-SEM MULT.'!$D26,'CAPEX - BLOCOS PAN S- MULT.'!$C$3:$Y$52,23,FALSE))*Z$57</f>
        <v>-495880.73149804882</v>
      </c>
      <c r="AA26" s="1">
        <f>('RECEITAS - BLOCOS PAN'!Z26-'OPEX - BLOCOS PAN'!Z26-VLOOKUP('FLUXO DE CAIXA DESC.-SEM MULT.'!$D26,'CAPEX - BLOCOS PAN S- MULT.'!$C$3:$Z$52,24,FALSE))*AA$57</f>
        <v>-451414.62275020825</v>
      </c>
      <c r="AB26" s="1">
        <f>('RECEITAS - BLOCOS PAN'!AA26-'OPEX - BLOCOS PAN'!AA26-VLOOKUP('FLUXO DE CAIXA DESC.-SEM MULT.'!$D26,'CAPEX - BLOCOS PAN S- MULT.'!$C$3:$AA$52,25,FALSE))*AB$57</f>
        <v>-411001.08210929594</v>
      </c>
      <c r="AC26" s="1">
        <f>('RECEITAS - BLOCOS PAN'!AB26-'OPEX - BLOCOS PAN'!AB26-VLOOKUP('FLUXO DE CAIXA DESC.-SEM MULT.'!$D26,'CAPEX - BLOCOS PAN S- MULT.'!$C$3:$AB$52,26,FALSE))*AC$57</f>
        <v>-374228.50437872572</v>
      </c>
      <c r="AD26" s="1">
        <f>('RECEITAS - BLOCOS PAN'!AC26-'OPEX - BLOCOS PAN'!AC26-VLOOKUP('FLUXO DE CAIXA DESC.-SEM MULT.'!$D26,'CAPEX - BLOCOS PAN S- MULT.'!$C$3:$AC$52,27,FALSE))*AD$57</f>
        <v>-340722.76971094316</v>
      </c>
      <c r="AE26" s="1">
        <f>('RECEITAS - BLOCOS PAN'!AD26-'OPEX - BLOCOS PAN'!AD26-VLOOKUP('FLUXO DE CAIXA DESC.-SEM MULT.'!$D26,'CAPEX - BLOCOS PAN S- MULT.'!$C$3:$AD$52,28,FALSE))*AE$57</f>
        <v>-310253.19390987814</v>
      </c>
      <c r="AF26" s="1">
        <f>('RECEITAS - BLOCOS PAN'!AE26-'OPEX - BLOCOS PAN'!AE26-VLOOKUP('FLUXO DE CAIXA DESC.-SEM MULT.'!$D26,'CAPEX - BLOCOS PAN S- MULT.'!$C$3:$AE$52,29,FALSE))*AF$57</f>
        <v>-282466.376588516</v>
      </c>
      <c r="AG26" s="1">
        <f>('RECEITAS - BLOCOS PAN'!AF26-'OPEX - BLOCOS PAN'!AF26-VLOOKUP('FLUXO DE CAIXA DESC.-SEM MULT.'!$D26,'CAPEX - BLOCOS PAN S- MULT.'!$C$3:$AF$52,30,FALSE))*AG$57</f>
        <v>-257198.46520701228</v>
      </c>
      <c r="AH26" s="1">
        <f>('RECEITAS - BLOCOS PAN'!AG26-'OPEX - BLOCOS PAN'!AG26-VLOOKUP('FLUXO DE CAIXA DESC.-SEM MULT.'!$D26,'CAPEX - BLOCOS PAN S- MULT.'!$C$3:$AG$52,31,FALSE))*AH$57</f>
        <v>-234187.9539435003</v>
      </c>
      <c r="AI26" s="1">
        <f>('RECEITAS - BLOCOS PAN'!AH26-'OPEX - BLOCOS PAN'!AH26-VLOOKUP('FLUXO DE CAIXA DESC.-SEM MULT.'!$D26,'CAPEX - BLOCOS PAN S- MULT.'!$C$3:$AH$52,32,FALSE))*AI$57</f>
        <v>-213260.96573891374</v>
      </c>
      <c r="AJ26" s="1">
        <f>('RECEITAS - BLOCOS PAN'!AI26-'OPEX - BLOCOS PAN'!AI26-VLOOKUP('FLUXO DE CAIXA DESC.-SEM MULT.'!$D26,'CAPEX - BLOCOS PAN S- MULT.'!$C$3:$AI$52,33,FALSE))*AJ$57</f>
        <v>-194228.86984931375</v>
      </c>
      <c r="AK26" s="1">
        <f>('RECEITAS - BLOCOS PAN'!AJ26-'OPEX - BLOCOS PAN'!AJ26-VLOOKUP('FLUXO DE CAIXA DESC.-SEM MULT.'!$D26,'CAPEX - BLOCOS PAN S- MULT.'!$C$3:$AJ$52,34,FALSE))*AK$57</f>
        <v>-188085.77922700293</v>
      </c>
      <c r="AL26" s="1">
        <f>('RECEITAS - BLOCOS PAN'!AK26-'OPEX - BLOCOS PAN'!AK26-VLOOKUP('FLUXO DE CAIXA DESC.-SEM MULT.'!$D26,'CAPEX - BLOCOS PAN S- MULT.'!$C$3:$AK$52,35,FALSE))*AL$57</f>
        <v>-171314.80107467866</v>
      </c>
      <c r="AM26" s="44">
        <f t="shared" si="0"/>
        <v>-45828927.482256472</v>
      </c>
      <c r="AN26">
        <v>1</v>
      </c>
      <c r="AO26" t="s">
        <v>308</v>
      </c>
      <c r="AP26">
        <v>-6.6333333333333329</v>
      </c>
      <c r="AQ26">
        <v>-69.86666666666666</v>
      </c>
      <c r="AR26" s="48">
        <f>VLOOKUP(D26,'Projeção - Demanda PAX'!$C$3:$H$37,6,FALSE)</f>
        <v>13770</v>
      </c>
      <c r="AS26" s="1">
        <f t="shared" si="1"/>
        <v>-40761753.649227902</v>
      </c>
      <c r="AT26" t="s">
        <v>381</v>
      </c>
    </row>
    <row r="27" spans="1:46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257</v>
      </c>
      <c r="H27" t="s">
        <v>33</v>
      </c>
      <c r="I27" s="1">
        <f>('RECEITAS - BLOCOS PAN'!H27-'OPEX - BLOCOS PAN'!H27-VLOOKUP('FLUXO DE CAIXA DESC.-SEM MULT.'!$D27,'CAPEX - BLOCOS PAN S- MULT.'!$C$3:$H$52,6,FALSE))*I$57</f>
        <v>-22815566.772100002</v>
      </c>
      <c r="J27" s="1">
        <f>('RECEITAS - BLOCOS PAN'!I27-'OPEX - BLOCOS PAN'!I27-VLOOKUP('FLUXO DE CAIXA DESC.-SEM MULT.'!$D27,'CAPEX - BLOCOS PAN S- MULT.'!$C$3:$I$52,7,FALSE))*J$57</f>
        <v>-20794912.753811046</v>
      </c>
      <c r="K27" s="1">
        <f>('RECEITAS - BLOCOS PAN'!J27-'OPEX - BLOCOS PAN'!J27-VLOOKUP('FLUXO DE CAIXA DESC.-SEM MULT.'!$D27,'CAPEX - BLOCOS PAN S- MULT.'!$C$3:$J$52,8,FALSE))*K$57</f>
        <v>-18959369.218959518</v>
      </c>
      <c r="L27" s="1">
        <f>('RECEITAS - BLOCOS PAN'!K27-'OPEX - BLOCOS PAN'!K27-VLOOKUP('FLUXO DE CAIXA DESC.-SEM MULT.'!$D27,'CAPEX - BLOCOS PAN S- MULT.'!$C$3:$K$52,9,FALSE))*L$57</f>
        <v>-2451881.4957017577</v>
      </c>
      <c r="M27" s="1">
        <f>('RECEITAS - BLOCOS PAN'!L27-'OPEX - BLOCOS PAN'!L27-VLOOKUP('FLUXO DE CAIXA DESC.-SEM MULT.'!$D27,'CAPEX - BLOCOS PAN S- MULT.'!$C$3:$L$52,10,FALSE))*M$57</f>
        <v>-2226314.0728930021</v>
      </c>
      <c r="N27" s="1">
        <f>('RECEITAS - BLOCOS PAN'!M27-'OPEX - BLOCOS PAN'!M27-VLOOKUP('FLUXO DE CAIXA DESC.-SEM MULT.'!$D27,'CAPEX - BLOCOS PAN S- MULT.'!$C$3:$M$52,11,FALSE))*N$57</f>
        <v>-2022411.0323557649</v>
      </c>
      <c r="O27" s="1">
        <f>('RECEITAS - BLOCOS PAN'!N27-'OPEX - BLOCOS PAN'!N27-VLOOKUP('FLUXO DE CAIXA DESC.-SEM MULT.'!$D27,'CAPEX - BLOCOS PAN S- MULT.'!$C$3:$N$52,12,FALSE))*O$57</f>
        <v>-1837462.6061173684</v>
      </c>
      <c r="P27" s="1">
        <f>('RECEITAS - BLOCOS PAN'!O27-'OPEX - BLOCOS PAN'!O27-VLOOKUP('FLUXO DE CAIXA DESC.-SEM MULT.'!$D27,'CAPEX - BLOCOS PAN S- MULT.'!$C$3:$O$52,13,FALSE))*P$57</f>
        <v>-1752672.3170763515</v>
      </c>
      <c r="Q27" s="1">
        <f>('RECEITAS - BLOCOS PAN'!P27-'OPEX - BLOCOS PAN'!P27-VLOOKUP('FLUXO DE CAIXA DESC.-SEM MULT.'!$D27,'CAPEX - BLOCOS PAN S- MULT.'!$C$3:$P$52,14,FALSE))*Q$57</f>
        <v>-1592933.4387409582</v>
      </c>
      <c r="R27" s="1">
        <f>('RECEITAS - BLOCOS PAN'!Q27-'OPEX - BLOCOS PAN'!Q27-VLOOKUP('FLUXO DE CAIXA DESC.-SEM MULT.'!$D27,'CAPEX - BLOCOS PAN S- MULT.'!$C$3:$Q$52,15,FALSE))*R$57</f>
        <v>-1448183.6939283856</v>
      </c>
      <c r="S27" s="1">
        <f>('RECEITAS - BLOCOS PAN'!R27-'OPEX - BLOCOS PAN'!R27-VLOOKUP('FLUXO DE CAIXA DESC.-SEM MULT.'!$D27,'CAPEX - BLOCOS PAN S- MULT.'!$C$3:$R$52,16,FALSE))*S$57</f>
        <v>-1316938.1719811151</v>
      </c>
      <c r="T27" s="1">
        <f>('RECEITAS - BLOCOS PAN'!S27-'OPEX - BLOCOS PAN'!S27-VLOOKUP('FLUXO DE CAIXA DESC.-SEM MULT.'!$D27,'CAPEX - BLOCOS PAN S- MULT.'!$C$3:$S$52,17,FALSE))*T$57</f>
        <v>-1197580.0756358933</v>
      </c>
      <c r="U27" s="1">
        <f>('RECEITAS - BLOCOS PAN'!T27-'OPEX - BLOCOS PAN'!T27-VLOOKUP('FLUXO DE CAIXA DESC.-SEM MULT.'!$D27,'CAPEX - BLOCOS PAN S- MULT.'!$C$3:$T$52,18,FALSE))*U$57</f>
        <v>-1089071.7426114383</v>
      </c>
      <c r="V27" s="1">
        <f>('RECEITAS - BLOCOS PAN'!U27-'OPEX - BLOCOS PAN'!U27-VLOOKUP('FLUXO DE CAIXA DESC.-SEM MULT.'!$D27,'CAPEX - BLOCOS PAN S- MULT.'!$C$3:$U$52,19,FALSE))*V$57</f>
        <v>-990302.63189479942</v>
      </c>
      <c r="W27" s="1">
        <f>('RECEITAS - BLOCOS PAN'!V27-'OPEX - BLOCOS PAN'!V27-VLOOKUP('FLUXO DE CAIXA DESC.-SEM MULT.'!$D27,'CAPEX - BLOCOS PAN S- MULT.'!$C$3:$V$52,20,FALSE))*W$57</f>
        <v>-900537.00261945825</v>
      </c>
      <c r="X27" s="1">
        <f>('RECEITAS - BLOCOS PAN'!W27-'OPEX - BLOCOS PAN'!W27-VLOOKUP('FLUXO DE CAIXA DESC.-SEM MULT.'!$D27,'CAPEX - BLOCOS PAN S- MULT.'!$C$3:$W$52,21,FALSE))*X$57</f>
        <v>-818852.66177316103</v>
      </c>
      <c r="Y27" s="1">
        <f>('RECEITAS - BLOCOS PAN'!X27-'OPEX - BLOCOS PAN'!X27-VLOOKUP('FLUXO DE CAIXA DESC.-SEM MULT.'!$D27,'CAPEX - BLOCOS PAN S- MULT.'!$C$3:$X$52,22,FALSE))*Y$57</f>
        <v>-744589.72068105242</v>
      </c>
      <c r="Z27" s="1">
        <f>('RECEITAS - BLOCOS PAN'!Y27-'OPEX - BLOCOS PAN'!Y27-VLOOKUP('FLUXO DE CAIXA DESC.-SEM MULT.'!$D27,'CAPEX - BLOCOS PAN S- MULT.'!$C$3:$Y$52,23,FALSE))*Z$57</f>
        <v>-676963.80667391396</v>
      </c>
      <c r="AA27" s="1">
        <f>('RECEITAS - BLOCOS PAN'!Z27-'OPEX - BLOCOS PAN'!Z27-VLOOKUP('FLUXO DE CAIXA DESC.-SEM MULT.'!$D27,'CAPEX - BLOCOS PAN S- MULT.'!$C$3:$Z$52,24,FALSE))*AA$57</f>
        <v>-615434.27637550095</v>
      </c>
      <c r="AB27" s="1">
        <f>('RECEITAS - BLOCOS PAN'!AA27-'OPEX - BLOCOS PAN'!AA27-VLOOKUP('FLUXO DE CAIXA DESC.-SEM MULT.'!$D27,'CAPEX - BLOCOS PAN S- MULT.'!$C$3:$AA$52,25,FALSE))*AB$57</f>
        <v>-559462.46127295902</v>
      </c>
      <c r="AC27" s="1">
        <f>('RECEITAS - BLOCOS PAN'!AB27-'OPEX - BLOCOS PAN'!AB27-VLOOKUP('FLUXO DE CAIXA DESC.-SEM MULT.'!$D27,'CAPEX - BLOCOS PAN S- MULT.'!$C$3:$AB$52,26,FALSE))*AC$57</f>
        <v>-508636.77060871909</v>
      </c>
      <c r="AD27" s="1">
        <f>('RECEITAS - BLOCOS PAN'!AC27-'OPEX - BLOCOS PAN'!AC27-VLOOKUP('FLUXO DE CAIXA DESC.-SEM MULT.'!$D27,'CAPEX - BLOCOS PAN S- MULT.'!$C$3:$AC$52,27,FALSE))*AD$57</f>
        <v>-462402.11025235039</v>
      </c>
      <c r="AE27" s="1">
        <f>('RECEITAS - BLOCOS PAN'!AD27-'OPEX - BLOCOS PAN'!AD27-VLOOKUP('FLUXO DE CAIXA DESC.-SEM MULT.'!$D27,'CAPEX - BLOCOS PAN S- MULT.'!$C$3:$AD$52,28,FALSE))*AE$57</f>
        <v>-420376.41764420917</v>
      </c>
      <c r="AF27" s="1">
        <f>('RECEITAS - BLOCOS PAN'!AE27-'OPEX - BLOCOS PAN'!AE27-VLOOKUP('FLUXO DE CAIXA DESC.-SEM MULT.'!$D27,'CAPEX - BLOCOS PAN S- MULT.'!$C$3:$AE$52,29,FALSE))*AF$57</f>
        <v>-382162.13792623754</v>
      </c>
      <c r="AG27" s="1">
        <f>('RECEITAS - BLOCOS PAN'!AF27-'OPEX - BLOCOS PAN'!AF27-VLOOKUP('FLUXO DE CAIXA DESC.-SEM MULT.'!$D27,'CAPEX - BLOCOS PAN S- MULT.'!$C$3:$AF$52,30,FALSE))*AG$57</f>
        <v>-347438.31270827627</v>
      </c>
      <c r="AH27" s="1">
        <f>('RECEITAS - BLOCOS PAN'!AG27-'OPEX - BLOCOS PAN'!AG27-VLOOKUP('FLUXO DE CAIXA DESC.-SEM MULT.'!$D27,'CAPEX - BLOCOS PAN S- MULT.'!$C$3:$AG$52,31,FALSE))*AH$57</f>
        <v>-315848.24475288729</v>
      </c>
      <c r="AI27" s="1">
        <f>('RECEITAS - BLOCOS PAN'!AH27-'OPEX - BLOCOS PAN'!AH27-VLOOKUP('FLUXO DE CAIXA DESC.-SEM MULT.'!$D27,'CAPEX - BLOCOS PAN S- MULT.'!$C$3:$AH$52,32,FALSE))*AI$57</f>
        <v>-287172.20205644018</v>
      </c>
      <c r="AJ27" s="1">
        <f>('RECEITAS - BLOCOS PAN'!AI27-'OPEX - BLOCOS PAN'!AI27-VLOOKUP('FLUXO DE CAIXA DESC.-SEM MULT.'!$D27,'CAPEX - BLOCOS PAN S- MULT.'!$C$3:$AI$52,33,FALSE))*AJ$57</f>
        <v>-261083.33786776965</v>
      </c>
      <c r="AK27" s="1">
        <f>('RECEITAS - BLOCOS PAN'!AJ27-'OPEX - BLOCOS PAN'!AJ27-VLOOKUP('FLUXO DE CAIXA DESC.-SEM MULT.'!$D27,'CAPEX - BLOCOS PAN S- MULT.'!$C$3:$AJ$52,34,FALSE))*AK$57</f>
        <v>-237344.07087752133</v>
      </c>
      <c r="AL27" s="1">
        <f>('RECEITAS - BLOCOS PAN'!AK27-'OPEX - BLOCOS PAN'!AK27-VLOOKUP('FLUXO DE CAIXA DESC.-SEM MULT.'!$D27,'CAPEX - BLOCOS PAN S- MULT.'!$C$3:$AK$52,35,FALSE))*AL$57</f>
        <v>-215745.52023151531</v>
      </c>
      <c r="AM27" s="44">
        <f t="shared" si="0"/>
        <v>-88249649.078129366</v>
      </c>
      <c r="AN27">
        <v>1</v>
      </c>
      <c r="AO27" t="s">
        <v>315</v>
      </c>
      <c r="AP27">
        <v>-13.566666666666666</v>
      </c>
      <c r="AQ27">
        <v>-52.266666666666666</v>
      </c>
      <c r="AR27" s="48">
        <f>VLOOKUP(D27,'Projeção - Demanda PAX'!$C$3:$H$37,6,FALSE)</f>
        <v>20223</v>
      </c>
      <c r="AS27" s="1">
        <f t="shared" si="1"/>
        <v>-81396137.026426867</v>
      </c>
      <c r="AT27" t="s">
        <v>390</v>
      </c>
    </row>
    <row r="28" spans="1:46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259</v>
      </c>
      <c r="H28" t="s">
        <v>33</v>
      </c>
      <c r="I28" s="1">
        <f>('RECEITAS - BLOCOS PAN'!H28-'OPEX - BLOCOS PAN'!H28-VLOOKUP('FLUXO DE CAIXA DESC.-SEM MULT.'!$D28,'CAPEX - BLOCOS PAN S- MULT.'!$C$3:$H$52,6,FALSE))*I$57</f>
        <v>-24414358.025766667</v>
      </c>
      <c r="J28" s="1">
        <f>('RECEITAS - BLOCOS PAN'!I28-'OPEX - BLOCOS PAN'!I28-VLOOKUP('FLUXO DE CAIXA DESC.-SEM MULT.'!$D28,'CAPEX - BLOCOS PAN S- MULT.'!$C$3:$I$52,7,FALSE))*J$57</f>
        <v>-22399588.717906591</v>
      </c>
      <c r="K28" s="1">
        <f>('RECEITAS - BLOCOS PAN'!J28-'OPEX - BLOCOS PAN'!J28-VLOOKUP('FLUXO DE CAIXA DESC.-SEM MULT.'!$D28,'CAPEX - BLOCOS PAN S- MULT.'!$C$3:$J$52,8,FALSE))*K$57</f>
        <v>-20407400.24948889</v>
      </c>
      <c r="L28" s="1">
        <f>('RECEITAS - BLOCOS PAN'!K28-'OPEX - BLOCOS PAN'!K28-VLOOKUP('FLUXO DE CAIXA DESC.-SEM MULT.'!$D28,'CAPEX - BLOCOS PAN S- MULT.'!$C$3:$K$52,9,FALSE))*L$57</f>
        <v>-2180985.3398371106</v>
      </c>
      <c r="M28" s="1">
        <f>('RECEITAS - BLOCOS PAN'!L28-'OPEX - BLOCOS PAN'!L28-VLOOKUP('FLUXO DE CAIXA DESC.-SEM MULT.'!$D28,'CAPEX - BLOCOS PAN S- MULT.'!$C$3:$L$52,10,FALSE))*M$57</f>
        <v>-1973343.650824792</v>
      </c>
      <c r="N28" s="1">
        <f>('RECEITAS - BLOCOS PAN'!M28-'OPEX - BLOCOS PAN'!M28-VLOOKUP('FLUXO DE CAIXA DESC.-SEM MULT.'!$D28,'CAPEX - BLOCOS PAN S- MULT.'!$C$3:$M$52,11,FALSE))*N$57</f>
        <v>-1787435.6808767573</v>
      </c>
      <c r="O28" s="1">
        <f>('RECEITAS - BLOCOS PAN'!N28-'OPEX - BLOCOS PAN'!N28-VLOOKUP('FLUXO DE CAIXA DESC.-SEM MULT.'!$D28,'CAPEX - BLOCOS PAN S- MULT.'!$C$3:$N$52,12,FALSE))*O$57</f>
        <v>-1619951.0439816669</v>
      </c>
      <c r="P28" s="1">
        <f>('RECEITAS - BLOCOS PAN'!O28-'OPEX - BLOCOS PAN'!O28-VLOOKUP('FLUXO DE CAIXA DESC.-SEM MULT.'!$D28,'CAPEX - BLOCOS PAN S- MULT.'!$C$3:$O$52,13,FALSE))*P$57</f>
        <v>-1468731.2062063063</v>
      </c>
      <c r="Q28" s="1">
        <f>('RECEITAS - BLOCOS PAN'!P28-'OPEX - BLOCOS PAN'!P28-VLOOKUP('FLUXO DE CAIXA DESC.-SEM MULT.'!$D28,'CAPEX - BLOCOS PAN S- MULT.'!$C$3:$P$52,14,FALSE))*Q$57</f>
        <v>-1332301.282718627</v>
      </c>
      <c r="R28" s="1">
        <f>('RECEITAS - BLOCOS PAN'!Q28-'OPEX - BLOCOS PAN'!Q28-VLOOKUP('FLUXO DE CAIXA DESC.-SEM MULT.'!$D28,'CAPEX - BLOCOS PAN S- MULT.'!$C$3:$Q$52,15,FALSE))*R$57</f>
        <v>-1209318.6126665354</v>
      </c>
      <c r="S28" s="1">
        <f>('RECEITAS - BLOCOS PAN'!R28-'OPEX - BLOCOS PAN'!R28-VLOOKUP('FLUXO DE CAIXA DESC.-SEM MULT.'!$D28,'CAPEX - BLOCOS PAN S- MULT.'!$C$3:$R$52,16,FALSE))*S$57</f>
        <v>-1098156.9531645791</v>
      </c>
      <c r="T28" s="1">
        <f>('RECEITAS - BLOCOS PAN'!S28-'OPEX - BLOCOS PAN'!S28-VLOOKUP('FLUXO DE CAIXA DESC.-SEM MULT.'!$D28,'CAPEX - BLOCOS PAN S- MULT.'!$C$3:$S$52,17,FALSE))*T$57</f>
        <v>-997238.41874834441</v>
      </c>
      <c r="U28" s="1">
        <f>('RECEITAS - BLOCOS PAN'!T28-'OPEX - BLOCOS PAN'!T28-VLOOKUP('FLUXO DE CAIXA DESC.-SEM MULT.'!$D28,'CAPEX - BLOCOS PAN S- MULT.'!$C$3:$T$52,18,FALSE))*U$57</f>
        <v>-905645.96933107637</v>
      </c>
      <c r="V28" s="1">
        <f>('RECEITAS - BLOCOS PAN'!U28-'OPEX - BLOCOS PAN'!U28-VLOOKUP('FLUXO DE CAIXA DESC.-SEM MULT.'!$D28,'CAPEX - BLOCOS PAN S- MULT.'!$C$3:$U$52,19,FALSE))*V$57</f>
        <v>-822326.74022656947</v>
      </c>
      <c r="W28" s="1">
        <f>('RECEITAS - BLOCOS PAN'!V28-'OPEX - BLOCOS PAN'!V28-VLOOKUP('FLUXO DE CAIXA DESC.-SEM MULT.'!$D28,'CAPEX - BLOCOS PAN S- MULT.'!$C$3:$V$52,20,FALSE))*W$57</f>
        <v>-746782.82999570156</v>
      </c>
      <c r="X28" s="1">
        <f>('RECEITAS - BLOCOS PAN'!W28-'OPEX - BLOCOS PAN'!W28-VLOOKUP('FLUXO DE CAIXA DESC.-SEM MULT.'!$D28,'CAPEX - BLOCOS PAN S- MULT.'!$C$3:$W$52,21,FALSE))*X$57</f>
        <v>-831370.14235730213</v>
      </c>
      <c r="Y28" s="1">
        <f>('RECEITAS - BLOCOS PAN'!X28-'OPEX - BLOCOS PAN'!X28-VLOOKUP('FLUXO DE CAIXA DESC.-SEM MULT.'!$D28,'CAPEX - BLOCOS PAN S- MULT.'!$C$3:$X$52,22,FALSE))*Y$57</f>
        <v>-755404.65330882184</v>
      </c>
      <c r="Z28" s="1">
        <f>('RECEITAS - BLOCOS PAN'!Y28-'OPEX - BLOCOS PAN'!Y28-VLOOKUP('FLUXO DE CAIXA DESC.-SEM MULT.'!$D28,'CAPEX - BLOCOS PAN S- MULT.'!$C$3:$Y$52,23,FALSE))*Z$57</f>
        <v>-686236.47908948513</v>
      </c>
      <c r="AA28" s="1">
        <f>('RECEITAS - BLOCOS PAN'!Z28-'OPEX - BLOCOS PAN'!Z28-VLOOKUP('FLUXO DE CAIXA DESC.-SEM MULT.'!$D28,'CAPEX - BLOCOS PAN S- MULT.'!$C$3:$Z$52,24,FALSE))*AA$57</f>
        <v>-623387.94065345323</v>
      </c>
      <c r="AB28" s="1">
        <f>('RECEITAS - BLOCOS PAN'!AA28-'OPEX - BLOCOS PAN'!AA28-VLOOKUP('FLUXO DE CAIXA DESC.-SEM MULT.'!$D28,'CAPEX - BLOCOS PAN S- MULT.'!$C$3:$AA$52,25,FALSE))*AB$57</f>
        <v>-566229.8585824141</v>
      </c>
      <c r="AC28" s="1">
        <f>('RECEITAS - BLOCOS PAN'!AB28-'OPEX - BLOCOS PAN'!AB28-VLOOKUP('FLUXO DE CAIXA DESC.-SEM MULT.'!$D28,'CAPEX - BLOCOS PAN S- MULT.'!$C$3:$AB$52,26,FALSE))*AC$57</f>
        <v>-514400.65224828728</v>
      </c>
      <c r="AD28" s="1">
        <f>('RECEITAS - BLOCOS PAN'!AC28-'OPEX - BLOCOS PAN'!AC28-VLOOKUP('FLUXO DE CAIXA DESC.-SEM MULT.'!$D28,'CAPEX - BLOCOS PAN S- MULT.'!$C$3:$AC$52,27,FALSE))*AD$57</f>
        <v>-467281.40202188218</v>
      </c>
      <c r="AE28" s="1">
        <f>('RECEITAS - BLOCOS PAN'!AD28-'OPEX - BLOCOS PAN'!AD28-VLOOKUP('FLUXO DE CAIXA DESC.-SEM MULT.'!$D28,'CAPEX - BLOCOS PAN S- MULT.'!$C$3:$AD$52,28,FALSE))*AE$57</f>
        <v>-424524.52677457256</v>
      </c>
      <c r="AF28" s="1">
        <f>('RECEITAS - BLOCOS PAN'!AE28-'OPEX - BLOCOS PAN'!AE28-VLOOKUP('FLUXO DE CAIXA DESC.-SEM MULT.'!$D28,'CAPEX - BLOCOS PAN S- MULT.'!$C$3:$AE$52,29,FALSE))*AF$57</f>
        <v>-385762.63235214446</v>
      </c>
      <c r="AG28" s="1">
        <f>('RECEITAS - BLOCOS PAN'!AF28-'OPEX - BLOCOS PAN'!AF28-VLOOKUP('FLUXO DE CAIXA DESC.-SEM MULT.'!$D28,'CAPEX - BLOCOS PAN S- MULT.'!$C$3:$AF$52,30,FALSE))*AG$57</f>
        <v>-350593.57128322107</v>
      </c>
      <c r="AH28" s="1">
        <f>('RECEITAS - BLOCOS PAN'!AG28-'OPEX - BLOCOS PAN'!AG28-VLOOKUP('FLUXO DE CAIXA DESC.-SEM MULT.'!$D28,'CAPEX - BLOCOS PAN S- MULT.'!$C$3:$AG$52,31,FALSE))*AH$57</f>
        <v>-318597.2136082853</v>
      </c>
      <c r="AI28" s="1">
        <f>('RECEITAS - BLOCOS PAN'!AH28-'OPEX - BLOCOS PAN'!AH28-VLOOKUP('FLUXO DE CAIXA DESC.-SEM MULT.'!$D28,'CAPEX - BLOCOS PAN S- MULT.'!$C$3:$AH$52,32,FALSE))*AI$57</f>
        <v>-289612.54204448324</v>
      </c>
      <c r="AJ28" s="1">
        <f>('RECEITAS - BLOCOS PAN'!AI28-'OPEX - BLOCOS PAN'!AI28-VLOOKUP('FLUXO DE CAIXA DESC.-SEM MULT.'!$D28,'CAPEX - BLOCOS PAN S- MULT.'!$C$3:$AI$52,33,FALSE))*AJ$57</f>
        <v>-263280.02157942182</v>
      </c>
      <c r="AK28" s="1">
        <f>('RECEITAS - BLOCOS PAN'!AJ28-'OPEX - BLOCOS PAN'!AJ28-VLOOKUP('FLUXO DE CAIXA DESC.-SEM MULT.'!$D28,'CAPEX - BLOCOS PAN S- MULT.'!$C$3:$AJ$52,34,FALSE))*AK$57</f>
        <v>-239325.58864835554</v>
      </c>
      <c r="AL28" s="1">
        <f>('RECEITAS - BLOCOS PAN'!AK28-'OPEX - BLOCOS PAN'!AK28-VLOOKUP('FLUXO DE CAIXA DESC.-SEM MULT.'!$D28,'CAPEX - BLOCOS PAN S- MULT.'!$C$3:$AK$52,35,FALSE))*AL$57</f>
        <v>-217532.49579601921</v>
      </c>
      <c r="AM28" s="44">
        <f t="shared" si="0"/>
        <v>-90297104.442088366</v>
      </c>
      <c r="AN28">
        <v>1</v>
      </c>
      <c r="AO28" t="s">
        <v>316</v>
      </c>
      <c r="AP28">
        <v>-7.2166666666666668</v>
      </c>
      <c r="AQ28">
        <v>-48.233333333333334</v>
      </c>
      <c r="AR28" s="48">
        <f>VLOOKUP(D28,'Projeção - Demanda PAX'!$C$3:$H$37,6,FALSE)</f>
        <v>25831</v>
      </c>
      <c r="AS28" s="1">
        <f t="shared" si="1"/>
        <v>-83363564.721740216</v>
      </c>
      <c r="AT28" t="s">
        <v>388</v>
      </c>
    </row>
    <row r="29" spans="1:46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257</v>
      </c>
      <c r="H29" t="s">
        <v>33</v>
      </c>
      <c r="I29" s="1">
        <f>('RECEITAS - BLOCOS PAN'!H29-'OPEX - BLOCOS PAN'!H29-VLOOKUP('FLUXO DE CAIXA DESC.-SEM MULT.'!$D29,'CAPEX - BLOCOS PAN S- MULT.'!$C$3:$H$52,6,FALSE))*I$57</f>
        <v>-4316752.4978999998</v>
      </c>
      <c r="J29" s="1">
        <f>('RECEITAS - BLOCOS PAN'!I29-'OPEX - BLOCOS PAN'!I29-VLOOKUP('FLUXO DE CAIXA DESC.-SEM MULT.'!$D29,'CAPEX - BLOCOS PAN S- MULT.'!$C$3:$I$52,7,FALSE))*J$57</f>
        <v>-3939319.5744408946</v>
      </c>
      <c r="K29" s="1">
        <f>('RECEITAS - BLOCOS PAN'!J29-'OPEX - BLOCOS PAN'!J29-VLOOKUP('FLUXO DE CAIXA DESC.-SEM MULT.'!$D29,'CAPEX - BLOCOS PAN S- MULT.'!$C$3:$J$52,8,FALSE))*K$57</f>
        <v>-3595085.3899015537</v>
      </c>
      <c r="L29" s="1">
        <f>('RECEITAS - BLOCOS PAN'!K29-'OPEX - BLOCOS PAN'!K29-VLOOKUP('FLUXO DE CAIXA DESC.-SEM MULT.'!$D29,'CAPEX - BLOCOS PAN S- MULT.'!$C$3:$K$52,9,FALSE))*L$57</f>
        <v>-1497477.6917396481</v>
      </c>
      <c r="M29" s="1">
        <f>('RECEITAS - BLOCOS PAN'!L29-'OPEX - BLOCOS PAN'!L29-VLOOKUP('FLUXO DE CAIXA DESC.-SEM MULT.'!$D29,'CAPEX - BLOCOS PAN S- MULT.'!$C$3:$L$52,10,FALSE))*M$57</f>
        <v>-1366492.8978403546</v>
      </c>
      <c r="N29" s="1">
        <f>('RECEITAS - BLOCOS PAN'!M29-'OPEX - BLOCOS PAN'!M29-VLOOKUP('FLUXO DE CAIXA DESC.-SEM MULT.'!$D29,'CAPEX - BLOCOS PAN S- MULT.'!$C$3:$M$52,11,FALSE))*N$57</f>
        <v>-1246973.8436756474</v>
      </c>
      <c r="O29" s="1">
        <f>('RECEITAS - BLOCOS PAN'!N29-'OPEX - BLOCOS PAN'!N29-VLOOKUP('FLUXO DE CAIXA DESC.-SEM MULT.'!$D29,'CAPEX - BLOCOS PAN S- MULT.'!$C$3:$N$52,12,FALSE))*O$57</f>
        <v>-1137939.67711673</v>
      </c>
      <c r="P29" s="1">
        <f>('RECEITAS - BLOCOS PAN'!O29-'OPEX - BLOCOS PAN'!O29-VLOOKUP('FLUXO DE CAIXA DESC.-SEM MULT.'!$D29,'CAPEX - BLOCOS PAN S- MULT.'!$C$3:$O$52,13,FALSE))*P$57</f>
        <v>-1038442.4210298944</v>
      </c>
      <c r="Q29" s="1">
        <f>('RECEITAS - BLOCOS PAN'!P29-'OPEX - BLOCOS PAN'!P29-VLOOKUP('FLUXO DE CAIXA DESC.-SEM MULT.'!$D29,'CAPEX - BLOCOS PAN S- MULT.'!$C$3:$P$52,14,FALSE))*Q$57</f>
        <v>-947661.48779541464</v>
      </c>
      <c r="R29" s="1">
        <f>('RECEITAS - BLOCOS PAN'!Q29-'OPEX - BLOCOS PAN'!Q29-VLOOKUP('FLUXO DE CAIXA DESC.-SEM MULT.'!$D29,'CAPEX - BLOCOS PAN S- MULT.'!$C$3:$Q$52,15,FALSE))*R$57</f>
        <v>-864828.52041474264</v>
      </c>
      <c r="S29" s="1">
        <f>('RECEITAS - BLOCOS PAN'!R29-'OPEX - BLOCOS PAN'!R29-VLOOKUP('FLUXO DE CAIXA DESC.-SEM MULT.'!$D29,'CAPEX - BLOCOS PAN S- MULT.'!$C$3:$R$52,16,FALSE))*S$57</f>
        <v>-789257.5312913534</v>
      </c>
      <c r="T29" s="1">
        <f>('RECEITAS - BLOCOS PAN'!S29-'OPEX - BLOCOS PAN'!S29-VLOOKUP('FLUXO DE CAIXA DESC.-SEM MULT.'!$D29,'CAPEX - BLOCOS PAN S- MULT.'!$C$3:$S$52,17,FALSE))*T$57</f>
        <v>-720285.12477445556</v>
      </c>
      <c r="U29" s="1">
        <f>('RECEITAS - BLOCOS PAN'!T29-'OPEX - BLOCOS PAN'!T29-VLOOKUP('FLUXO DE CAIXA DESC.-SEM MULT.'!$D29,'CAPEX - BLOCOS PAN S- MULT.'!$C$3:$T$52,18,FALSE))*U$57</f>
        <v>-657342.11060051166</v>
      </c>
      <c r="V29" s="1">
        <f>('RECEITAS - BLOCOS PAN'!U29-'OPEX - BLOCOS PAN'!U29-VLOOKUP('FLUXO DE CAIXA DESC.-SEM MULT.'!$D29,'CAPEX - BLOCOS PAN S- MULT.'!$C$3:$U$52,19,FALSE))*V$57</f>
        <v>-599893.44937764993</v>
      </c>
      <c r="W29" s="1">
        <f>('RECEITAS - BLOCOS PAN'!V29-'OPEX - BLOCOS PAN'!V29-VLOOKUP('FLUXO DE CAIXA DESC.-SEM MULT.'!$D29,'CAPEX - BLOCOS PAN S- MULT.'!$C$3:$V$52,20,FALSE))*W$57</f>
        <v>-547473.0663787697</v>
      </c>
      <c r="X29" s="1">
        <f>('RECEITAS - BLOCOS PAN'!W29-'OPEX - BLOCOS PAN'!W29-VLOOKUP('FLUXO DE CAIXA DESC.-SEM MULT.'!$D29,'CAPEX - BLOCOS PAN S- MULT.'!$C$3:$W$52,21,FALSE))*X$57</f>
        <v>-499629.84661471826</v>
      </c>
      <c r="Y29" s="1">
        <f>('RECEITAS - BLOCOS PAN'!X29-'OPEX - BLOCOS PAN'!X29-VLOOKUP('FLUXO DE CAIXA DESC.-SEM MULT.'!$D29,'CAPEX - BLOCOS PAN S- MULT.'!$C$3:$X$52,22,FALSE))*Y$57</f>
        <v>-455967.58116388816</v>
      </c>
      <c r="Z29" s="1">
        <f>('RECEITAS - BLOCOS PAN'!Y29-'OPEX - BLOCOS PAN'!Y29-VLOOKUP('FLUXO DE CAIXA DESC.-SEM MULT.'!$D29,'CAPEX - BLOCOS PAN S- MULT.'!$C$3:$Y$52,23,FALSE))*Z$57</f>
        <v>-416116.41976103868</v>
      </c>
      <c r="AA29" s="1">
        <f>('RECEITAS - BLOCOS PAN'!Z29-'OPEX - BLOCOS PAN'!Z29-VLOOKUP('FLUXO DE CAIXA DESC.-SEM MULT.'!$D29,'CAPEX - BLOCOS PAN S- MULT.'!$C$3:$Z$52,24,FALSE))*AA$57</f>
        <v>-379752.28531685175</v>
      </c>
      <c r="AB29" s="1">
        <f>('RECEITAS - BLOCOS PAN'!AA29-'OPEX - BLOCOS PAN'!AA29-VLOOKUP('FLUXO DE CAIXA DESC.-SEM MULT.'!$D29,'CAPEX - BLOCOS PAN S- MULT.'!$C$3:$AA$52,25,FALSE))*AB$57</f>
        <v>-346561.1755252899</v>
      </c>
      <c r="AC29" s="1">
        <f>('RECEITAS - BLOCOS PAN'!AB29-'OPEX - BLOCOS PAN'!AB29-VLOOKUP('FLUXO DE CAIXA DESC.-SEM MULT.'!$D29,'CAPEX - BLOCOS PAN S- MULT.'!$C$3:$AB$52,26,FALSE))*AC$57</f>
        <v>-316275.39102505613</v>
      </c>
      <c r="AD29" s="1">
        <f>('RECEITAS - BLOCOS PAN'!AC29-'OPEX - BLOCOS PAN'!AC29-VLOOKUP('FLUXO DE CAIXA DESC.-SEM MULT.'!$D29,'CAPEX - BLOCOS PAN S- MULT.'!$C$3:$AC$52,27,FALSE))*AD$57</f>
        <v>-288630.2571844242</v>
      </c>
      <c r="AE29" s="1">
        <f>('RECEITAS - BLOCOS PAN'!AD29-'OPEX - BLOCOS PAN'!AD29-VLOOKUP('FLUXO DE CAIXA DESC.-SEM MULT.'!$D29,'CAPEX - BLOCOS PAN S- MULT.'!$C$3:$AD$52,28,FALSE))*AE$57</f>
        <v>-263405.97316473298</v>
      </c>
      <c r="AF29" s="1">
        <f>('RECEITAS - BLOCOS PAN'!AE29-'OPEX - BLOCOS PAN'!AE29-VLOOKUP('FLUXO DE CAIXA DESC.-SEM MULT.'!$D29,'CAPEX - BLOCOS PAN S- MULT.'!$C$3:$AE$52,29,FALSE))*AF$57</f>
        <v>-240385.36929861212</v>
      </c>
      <c r="AG29" s="1">
        <f>('RECEITAS - BLOCOS PAN'!AF29-'OPEX - BLOCOS PAN'!AF29-VLOOKUP('FLUXO DE CAIXA DESC.-SEM MULT.'!$D29,'CAPEX - BLOCOS PAN S- MULT.'!$C$3:$AF$52,30,FALSE))*AG$57</f>
        <v>-219378.17806499416</v>
      </c>
      <c r="AH29" s="1">
        <f>('RECEITAS - BLOCOS PAN'!AG29-'OPEX - BLOCOS PAN'!AG29-VLOOKUP('FLUXO DE CAIXA DESC.-SEM MULT.'!$D29,'CAPEX - BLOCOS PAN S- MULT.'!$C$3:$AG$52,31,FALSE))*AH$57</f>
        <v>-200209.55971697666</v>
      </c>
      <c r="AI29" s="1">
        <f>('RECEITAS - BLOCOS PAN'!AH29-'OPEX - BLOCOS PAN'!AH29-VLOOKUP('FLUXO DE CAIXA DESC.-SEM MULT.'!$D29,'CAPEX - BLOCOS PAN S- MULT.'!$C$3:$AH$52,32,FALSE))*AI$57</f>
        <v>-182715.82966297097</v>
      </c>
      <c r="AJ29" s="1">
        <f>('RECEITAS - BLOCOS PAN'!AI29-'OPEX - BLOCOS PAN'!AI29-VLOOKUP('FLUXO DE CAIXA DESC.-SEM MULT.'!$D29,'CAPEX - BLOCOS PAN S- MULT.'!$C$3:$AI$52,33,FALSE))*AJ$57</f>
        <v>-166751.79816514667</v>
      </c>
      <c r="AK29" s="1">
        <f>('RECEITAS - BLOCOS PAN'!AJ29-'OPEX - BLOCOS PAN'!AJ29-VLOOKUP('FLUXO DE CAIXA DESC.-SEM MULT.'!$D29,'CAPEX - BLOCOS PAN S- MULT.'!$C$3:$AJ$52,34,FALSE))*AK$57</f>
        <v>-152180.90575276228</v>
      </c>
      <c r="AL29" s="1">
        <f>('RECEITAS - BLOCOS PAN'!AK29-'OPEX - BLOCOS PAN'!AK29-VLOOKUP('FLUXO DE CAIXA DESC.-SEM MULT.'!$D29,'CAPEX - BLOCOS PAN S- MULT.'!$C$3:$AK$52,35,FALSE))*AL$57</f>
        <v>-138882.79703824647</v>
      </c>
      <c r="AM29" s="44">
        <f t="shared" si="0"/>
        <v>-27532068.651733331</v>
      </c>
      <c r="AN29">
        <v>1</v>
      </c>
      <c r="AO29" t="s">
        <v>314</v>
      </c>
      <c r="AP29">
        <v>-11.416666666666666</v>
      </c>
      <c r="AQ29">
        <v>-58.7</v>
      </c>
      <c r="AR29" s="48">
        <f>VLOOKUP(D29,'Projeção - Demanda PAX'!$C$3:$H$37,6,FALSE)</f>
        <v>808</v>
      </c>
      <c r="AS29" s="1">
        <f t="shared" si="1"/>
        <v>-23265225.284277625</v>
      </c>
      <c r="AT29" t="s">
        <v>389</v>
      </c>
    </row>
    <row r="30" spans="1:46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257</v>
      </c>
      <c r="H30" t="s">
        <v>33</v>
      </c>
      <c r="I30" s="1">
        <f>('RECEITAS - BLOCOS PAN'!H30-'OPEX - BLOCOS PAN'!H30-VLOOKUP('FLUXO DE CAIXA DESC.-SEM MULT.'!$D30,'CAPEX - BLOCOS PAN S- MULT.'!$C$3:$H$52,6,FALSE))*I$57</f>
        <v>-10034316.509300001</v>
      </c>
      <c r="J30" s="1">
        <f>('RECEITAS - BLOCOS PAN'!I30-'OPEX - BLOCOS PAN'!I30-VLOOKUP('FLUXO DE CAIXA DESC.-SEM MULT.'!$D30,'CAPEX - BLOCOS PAN S- MULT.'!$C$3:$I$52,7,FALSE))*J$57</f>
        <v>-9143338.221816523</v>
      </c>
      <c r="K30" s="1">
        <f>('RECEITAS - BLOCOS PAN'!J30-'OPEX - BLOCOS PAN'!J30-VLOOKUP('FLUXO DE CAIXA DESC.-SEM MULT.'!$D30,'CAPEX - BLOCOS PAN S- MULT.'!$C$3:$J$52,8,FALSE))*K$57</f>
        <v>-8334675.8965195362</v>
      </c>
      <c r="L30" s="1">
        <f>('RECEITAS - BLOCOS PAN'!K30-'OPEX - BLOCOS PAN'!K30-VLOOKUP('FLUXO DE CAIXA DESC.-SEM MULT.'!$D30,'CAPEX - BLOCOS PAN S- MULT.'!$C$3:$K$52,9,FALSE))*L$57</f>
        <v>-2599152.4660535008</v>
      </c>
      <c r="M30" s="1">
        <f>('RECEITAS - BLOCOS PAN'!L30-'OPEX - BLOCOS PAN'!L30-VLOOKUP('FLUXO DE CAIXA DESC.-SEM MULT.'!$D30,'CAPEX - BLOCOS PAN S- MULT.'!$C$3:$L$52,10,FALSE))*M$57</f>
        <v>-2366485.729652008</v>
      </c>
      <c r="N30" s="1">
        <f>('RECEITAS - BLOCOS PAN'!M30-'OPEX - BLOCOS PAN'!M30-VLOOKUP('FLUXO DE CAIXA DESC.-SEM MULT.'!$D30,'CAPEX - BLOCOS PAN S- MULT.'!$C$3:$M$52,11,FALSE))*N$57</f>
        <v>-2155018.3309658938</v>
      </c>
      <c r="O30" s="1">
        <f>('RECEITAS - BLOCOS PAN'!N30-'OPEX - BLOCOS PAN'!N30-VLOOKUP('FLUXO DE CAIXA DESC.-SEM MULT.'!$D30,'CAPEX - BLOCOS PAN S- MULT.'!$C$3:$N$52,12,FALSE))*O$57</f>
        <v>-1962820.0482991294</v>
      </c>
      <c r="P30" s="1">
        <f>('RECEITAS - BLOCOS PAN'!O30-'OPEX - BLOCOS PAN'!O30-VLOOKUP('FLUXO DE CAIXA DESC.-SEM MULT.'!$D30,'CAPEX - BLOCOS PAN S- MULT.'!$C$3:$O$52,13,FALSE))*P$57</f>
        <v>-1787913.1000780754</v>
      </c>
      <c r="Q30" s="1">
        <f>('RECEITAS - BLOCOS PAN'!P30-'OPEX - BLOCOS PAN'!P30-VLOOKUP('FLUXO DE CAIXA DESC.-SEM MULT.'!$D30,'CAPEX - BLOCOS PAN S- MULT.'!$C$3:$P$52,14,FALSE))*Q$57</f>
        <v>-1628881.1780339743</v>
      </c>
      <c r="R30" s="1">
        <f>('RECEITAS - BLOCOS PAN'!Q30-'OPEX - BLOCOS PAN'!Q30-VLOOKUP('FLUXO DE CAIXA DESC.-SEM MULT.'!$D30,'CAPEX - BLOCOS PAN S- MULT.'!$C$3:$Q$52,15,FALSE))*R$57</f>
        <v>-1484224.581389159</v>
      </c>
      <c r="S30" s="1">
        <f>('RECEITAS - BLOCOS PAN'!R30-'OPEX - BLOCOS PAN'!R30-VLOOKUP('FLUXO DE CAIXA DESC.-SEM MULT.'!$D30,'CAPEX - BLOCOS PAN S- MULT.'!$C$3:$R$52,16,FALSE))*S$57</f>
        <v>-1352614.7066686314</v>
      </c>
      <c r="T30" s="1">
        <f>('RECEITAS - BLOCOS PAN'!S30-'OPEX - BLOCOS PAN'!S30-VLOOKUP('FLUXO DE CAIXA DESC.-SEM MULT.'!$D30,'CAPEX - BLOCOS PAN S- MULT.'!$C$3:$S$52,17,FALSE))*T$57</f>
        <v>-1232687.4060041732</v>
      </c>
      <c r="U30" s="1">
        <f>('RECEITAS - BLOCOS PAN'!T30-'OPEX - BLOCOS PAN'!T30-VLOOKUP('FLUXO DE CAIXA DESC.-SEM MULT.'!$D30,'CAPEX - BLOCOS PAN S- MULT.'!$C$3:$T$52,18,FALSE))*U$57</f>
        <v>-1123438.1211638339</v>
      </c>
      <c r="V30" s="1">
        <f>('RECEITAS - BLOCOS PAN'!U30-'OPEX - BLOCOS PAN'!U30-VLOOKUP('FLUXO DE CAIXA DESC.-SEM MULT.'!$D30,'CAPEX - BLOCOS PAN S- MULT.'!$C$3:$U$52,19,FALSE))*V$57</f>
        <v>-1023824.9756642664</v>
      </c>
      <c r="W30" s="1">
        <f>('RECEITAS - BLOCOS PAN'!V30-'OPEX - BLOCOS PAN'!V30-VLOOKUP('FLUXO DE CAIXA DESC.-SEM MULT.'!$D30,'CAPEX - BLOCOS PAN S- MULT.'!$C$3:$V$52,20,FALSE))*W$57</f>
        <v>-933053.6483039119</v>
      </c>
      <c r="X30" s="1">
        <f>('RECEITAS - BLOCOS PAN'!W30-'OPEX - BLOCOS PAN'!W30-VLOOKUP('FLUXO DE CAIXA DESC.-SEM MULT.'!$D30,'CAPEX - BLOCOS PAN S- MULT.'!$C$3:$W$52,21,FALSE))*X$57</f>
        <v>-850338.8221428066</v>
      </c>
      <c r="Y30" s="1">
        <f>('RECEITAS - BLOCOS PAN'!X30-'OPEX - BLOCOS PAN'!X30-VLOOKUP('FLUXO DE CAIXA DESC.-SEM MULT.'!$D30,'CAPEX - BLOCOS PAN S- MULT.'!$C$3:$X$52,22,FALSE))*Y$57</f>
        <v>-774941.31022044376</v>
      </c>
      <c r="Z30" s="1">
        <f>('RECEITAS - BLOCOS PAN'!Y30-'OPEX - BLOCOS PAN'!Y30-VLOOKUP('FLUXO DE CAIXA DESC.-SEM MULT.'!$D30,'CAPEX - BLOCOS PAN S- MULT.'!$C$3:$Y$52,23,FALSE))*Z$57</f>
        <v>-706212.05387751502</v>
      </c>
      <c r="AA30" s="1">
        <f>('RECEITAS - BLOCOS PAN'!Z30-'OPEX - BLOCOS PAN'!Z30-VLOOKUP('FLUXO DE CAIXA DESC.-SEM MULT.'!$D30,'CAPEX - BLOCOS PAN S- MULT.'!$C$3:$Z$52,24,FALSE))*AA$57</f>
        <v>-643553.33975188644</v>
      </c>
      <c r="AB30" s="1">
        <f>('RECEITAS - BLOCOS PAN'!AA30-'OPEX - BLOCOS PAN'!AA30-VLOOKUP('FLUXO DE CAIXA DESC.-SEM MULT.'!$D30,'CAPEX - BLOCOS PAN S- MULT.'!$C$3:$AA$52,25,FALSE))*AB$57</f>
        <v>-586440.69429800531</v>
      </c>
      <c r="AC30" s="1">
        <f>('RECEITAS - BLOCOS PAN'!AB30-'OPEX - BLOCOS PAN'!AB30-VLOOKUP('FLUXO DE CAIXA DESC.-SEM MULT.'!$D30,'CAPEX - BLOCOS PAN S- MULT.'!$C$3:$AB$52,26,FALSE))*AC$57</f>
        <v>-534436.49616146996</v>
      </c>
      <c r="AD30" s="1">
        <f>('RECEITAS - BLOCOS PAN'!AC30-'OPEX - BLOCOS PAN'!AC30-VLOOKUP('FLUXO DE CAIXA DESC.-SEM MULT.'!$D30,'CAPEX - BLOCOS PAN S- MULT.'!$C$3:$AC$52,27,FALSE))*AD$57</f>
        <v>-487021.52452000353</v>
      </c>
      <c r="AE30" s="1">
        <f>('RECEITAS - BLOCOS PAN'!AD30-'OPEX - BLOCOS PAN'!AD30-VLOOKUP('FLUXO DE CAIXA DESC.-SEM MULT.'!$D30,'CAPEX - BLOCOS PAN S- MULT.'!$C$3:$AD$52,28,FALSE))*AE$57</f>
        <v>-443833.06009790022</v>
      </c>
      <c r="AF30" s="1">
        <f>('RECEITAS - BLOCOS PAN'!AE30-'OPEX - BLOCOS PAN'!AE30-VLOOKUP('FLUXO DE CAIXA DESC.-SEM MULT.'!$D30,'CAPEX - BLOCOS PAN S- MULT.'!$C$3:$AE$52,29,FALSE))*AF$57</f>
        <v>-404429.45538390335</v>
      </c>
      <c r="AG30" s="1">
        <f>('RECEITAS - BLOCOS PAN'!AF30-'OPEX - BLOCOS PAN'!AF30-VLOOKUP('FLUXO DE CAIXA DESC.-SEM MULT.'!$D30,'CAPEX - BLOCOS PAN S- MULT.'!$C$3:$AF$52,30,FALSE))*AG$57</f>
        <v>-368548.65891739907</v>
      </c>
      <c r="AH30" s="1">
        <f>('RECEITAS - BLOCOS PAN'!AG30-'OPEX - BLOCOS PAN'!AG30-VLOOKUP('FLUXO DE CAIXA DESC.-SEM MULT.'!$D30,'CAPEX - BLOCOS PAN S- MULT.'!$C$3:$AG$52,31,FALSE))*AH$57</f>
        <v>-335838.52733571298</v>
      </c>
      <c r="AI30" s="1">
        <f>('RECEITAS - BLOCOS PAN'!AH30-'OPEX - BLOCOS PAN'!AH30-VLOOKUP('FLUXO DE CAIXA DESC.-SEM MULT.'!$D30,'CAPEX - BLOCOS PAN S- MULT.'!$C$3:$AH$52,32,FALSE))*AI$57</f>
        <v>-306061.32842761604</v>
      </c>
      <c r="AJ30" s="1">
        <f>('RECEITAS - BLOCOS PAN'!AI30-'OPEX - BLOCOS PAN'!AI30-VLOOKUP('FLUXO DE CAIXA DESC.-SEM MULT.'!$D30,'CAPEX - BLOCOS PAN S- MULT.'!$C$3:$AI$52,33,FALSE))*AJ$57</f>
        <v>-278914.66785220365</v>
      </c>
      <c r="AK30" s="1">
        <f>('RECEITAS - BLOCOS PAN'!AJ30-'OPEX - BLOCOS PAN'!AJ30-VLOOKUP('FLUXO DE CAIXA DESC.-SEM MULT.'!$D30,'CAPEX - BLOCOS PAN S- MULT.'!$C$3:$AJ$52,34,FALSE))*AK$57</f>
        <v>-254170.98426425006</v>
      </c>
      <c r="AL30" s="1">
        <f>('RECEITAS - BLOCOS PAN'!AK30-'OPEX - BLOCOS PAN'!AK30-VLOOKUP('FLUXO DE CAIXA DESC.-SEM MULT.'!$D30,'CAPEX - BLOCOS PAN S- MULT.'!$C$3:$AK$52,35,FALSE))*AL$57</f>
        <v>-231619.76301985251</v>
      </c>
      <c r="AM30" s="44">
        <f t="shared" si="0"/>
        <v>-54368805.606183574</v>
      </c>
      <c r="AN30">
        <v>1</v>
      </c>
      <c r="AO30" t="s">
        <v>314</v>
      </c>
      <c r="AP30">
        <v>-16.033333333333335</v>
      </c>
      <c r="AQ30">
        <v>-57.616666666666667</v>
      </c>
      <c r="AR30" s="48">
        <f>VLOOKUP(D30,'Projeção - Demanda PAX'!$C$3:$H$37,6,FALSE)</f>
        <v>9515</v>
      </c>
      <c r="AS30" s="1">
        <f t="shared" si="1"/>
        <v>-47162444.919912614</v>
      </c>
      <c r="AT30" t="s">
        <v>389</v>
      </c>
    </row>
    <row r="31" spans="1:46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258</v>
      </c>
      <c r="H31" t="s">
        <v>33</v>
      </c>
      <c r="I31" s="1">
        <f>('RECEITAS - BLOCOS PAN'!H31-'OPEX - BLOCOS PAN'!H31-VLOOKUP('FLUXO DE CAIXA DESC.-SEM MULT.'!$D31,'CAPEX - BLOCOS PAN S- MULT.'!$C$3:$H$52,6,FALSE))*I$57</f>
        <v>-6634340.6427333336</v>
      </c>
      <c r="J31" s="1">
        <f>('RECEITAS - BLOCOS PAN'!I31-'OPEX - BLOCOS PAN'!I31-VLOOKUP('FLUXO DE CAIXA DESC.-SEM MULT.'!$D31,'CAPEX - BLOCOS PAN S- MULT.'!$C$3:$I$52,7,FALSE))*J$57</f>
        <v>-6014113.4196561696</v>
      </c>
      <c r="K31" s="1">
        <f>('RECEITAS - BLOCOS PAN'!J31-'OPEX - BLOCOS PAN'!J31-VLOOKUP('FLUXO DE CAIXA DESC.-SEM MULT.'!$D31,'CAPEX - BLOCOS PAN S- MULT.'!$C$3:$J$52,8,FALSE))*K$57</f>
        <v>-5466511.2651280863</v>
      </c>
      <c r="L31" s="1">
        <f>('RECEITAS - BLOCOS PAN'!K31-'OPEX - BLOCOS PAN'!K31-VLOOKUP('FLUXO DE CAIXA DESC.-SEM MULT.'!$D31,'CAPEX - BLOCOS PAN S- MULT.'!$C$3:$K$52,9,FALSE))*L$57</f>
        <v>-2517527.1868920228</v>
      </c>
      <c r="M31" s="1">
        <f>('RECEITAS - BLOCOS PAN'!L31-'OPEX - BLOCOS PAN'!L31-VLOOKUP('FLUXO DE CAIXA DESC.-SEM MULT.'!$D31,'CAPEX - BLOCOS PAN S- MULT.'!$C$3:$L$52,10,FALSE))*M$57</f>
        <v>-2284589.3717861096</v>
      </c>
      <c r="N31" s="1">
        <f>('RECEITAS - BLOCOS PAN'!M31-'OPEX - BLOCOS PAN'!M31-VLOOKUP('FLUXO DE CAIXA DESC.-SEM MULT.'!$D31,'CAPEX - BLOCOS PAN S- MULT.'!$C$3:$M$52,11,FALSE))*N$57</f>
        <v>-2073974.8678658761</v>
      </c>
      <c r="O31" s="1">
        <f>('RECEITAS - BLOCOS PAN'!N31-'OPEX - BLOCOS PAN'!N31-VLOOKUP('FLUXO DE CAIXA DESC.-SEM MULT.'!$D31,'CAPEX - BLOCOS PAN S- MULT.'!$C$3:$N$52,12,FALSE))*O$57</f>
        <v>-2062860.2008649039</v>
      </c>
      <c r="P31" s="1">
        <f>('RECEITAS - BLOCOS PAN'!O31-'OPEX - BLOCOS PAN'!O31-VLOOKUP('FLUXO DE CAIXA DESC.-SEM MULT.'!$D31,'CAPEX - BLOCOS PAN S- MULT.'!$C$3:$O$52,13,FALSE))*P$57</f>
        <v>-1879957.9493859238</v>
      </c>
      <c r="Q31" s="1">
        <f>('RECEITAS - BLOCOS PAN'!P31-'OPEX - BLOCOS PAN'!P31-VLOOKUP('FLUXO DE CAIXA DESC.-SEM MULT.'!$D31,'CAPEX - BLOCOS PAN S- MULT.'!$C$3:$P$52,14,FALSE))*Q$57</f>
        <v>-1705672.1843410484</v>
      </c>
      <c r="R31" s="1">
        <f>('RECEITAS - BLOCOS PAN'!Q31-'OPEX - BLOCOS PAN'!Q31-VLOOKUP('FLUXO DE CAIXA DESC.-SEM MULT.'!$D31,'CAPEX - BLOCOS PAN S- MULT.'!$C$3:$Q$52,15,FALSE))*R$57</f>
        <v>-1547536.633072475</v>
      </c>
      <c r="S31" s="1">
        <f>('RECEITAS - BLOCOS PAN'!R31-'OPEX - BLOCOS PAN'!R31-VLOOKUP('FLUXO DE CAIXA DESC.-SEM MULT.'!$D31,'CAPEX - BLOCOS PAN S- MULT.'!$C$3:$R$52,16,FALSE))*S$57</f>
        <v>-1410551.227754513</v>
      </c>
      <c r="T31" s="1">
        <f>('RECEITAS - BLOCOS PAN'!S31-'OPEX - BLOCOS PAN'!S31-VLOOKUP('FLUXO DE CAIXA DESC.-SEM MULT.'!$D31,'CAPEX - BLOCOS PAN S- MULT.'!$C$3:$S$52,17,FALSE))*T$57</f>
        <v>-1279780.303743528</v>
      </c>
      <c r="U31" s="1">
        <f>('RECEITAS - BLOCOS PAN'!T31-'OPEX - BLOCOS PAN'!T31-VLOOKUP('FLUXO DE CAIXA DESC.-SEM MULT.'!$D31,'CAPEX - BLOCOS PAN S- MULT.'!$C$3:$T$52,18,FALSE))*U$57</f>
        <v>-1166521.3929885912</v>
      </c>
      <c r="V31" s="1">
        <f>('RECEITAS - BLOCOS PAN'!U31-'OPEX - BLOCOS PAN'!U31-VLOOKUP('FLUXO DE CAIXA DESC.-SEM MULT.'!$D31,'CAPEX - BLOCOS PAN S- MULT.'!$C$3:$U$52,19,FALSE))*V$57</f>
        <v>-1058194.7409005393</v>
      </c>
      <c r="W31" s="1">
        <f>('RECEITAS - BLOCOS PAN'!V31-'OPEX - BLOCOS PAN'!V31-VLOOKUP('FLUXO DE CAIXA DESC.-SEM MULT.'!$D31,'CAPEX - BLOCOS PAN S- MULT.'!$C$3:$V$52,20,FALSE))*W$57</f>
        <v>-964570.64240276301</v>
      </c>
      <c r="X31" s="1">
        <f>('RECEITAS - BLOCOS PAN'!W31-'OPEX - BLOCOS PAN'!W31-VLOOKUP('FLUXO DE CAIXA DESC.-SEM MULT.'!$D31,'CAPEX - BLOCOS PAN S- MULT.'!$C$3:$W$52,21,FALSE))*X$57</f>
        <v>-879231.9731666412</v>
      </c>
      <c r="Y31" s="1">
        <f>('RECEITAS - BLOCOS PAN'!X31-'OPEX - BLOCOS PAN'!X31-VLOOKUP('FLUXO DE CAIXA DESC.-SEM MULT.'!$D31,'CAPEX - BLOCOS PAN S- MULT.'!$C$3:$X$52,22,FALSE))*Y$57</f>
        <v>-797548.09460952948</v>
      </c>
      <c r="Z31" s="1">
        <f>('RECEITAS - BLOCOS PAN'!Y31-'OPEX - BLOCOS PAN'!Y31-VLOOKUP('FLUXO DE CAIXA DESC.-SEM MULT.'!$D31,'CAPEX - BLOCOS PAN S- MULT.'!$C$3:$Y$52,23,FALSE))*Z$57</f>
        <v>-726931.33841670107</v>
      </c>
      <c r="AA31" s="1">
        <f>('RECEITAS - BLOCOS PAN'!Z31-'OPEX - BLOCOS PAN'!Z31-VLOOKUP('FLUXO DE CAIXA DESC.-SEM MULT.'!$D31,'CAPEX - BLOCOS PAN S- MULT.'!$C$3:$Z$52,24,FALSE))*AA$57</f>
        <v>-659222.2107932003</v>
      </c>
      <c r="AB31" s="1">
        <f>('RECEITAS - BLOCOS PAN'!AA31-'OPEX - BLOCOS PAN'!AA31-VLOOKUP('FLUXO DE CAIXA DESC.-SEM MULT.'!$D31,'CAPEX - BLOCOS PAN S- MULT.'!$C$3:$AA$52,25,FALSE))*AB$57</f>
        <v>-600834.56123300281</v>
      </c>
      <c r="AC31" s="1">
        <f>('RECEITAS - BLOCOS PAN'!AB31-'OPEX - BLOCOS PAN'!AB31-VLOOKUP('FLUXO DE CAIXA DESC.-SEM MULT.'!$D31,'CAPEX - BLOCOS PAN S- MULT.'!$C$3:$AB$52,26,FALSE))*AC$57</f>
        <v>-544881.48317561951</v>
      </c>
      <c r="AD31" s="1">
        <f>('RECEITAS - BLOCOS PAN'!AC31-'OPEX - BLOCOS PAN'!AC31-VLOOKUP('FLUXO DE CAIXA DESC.-SEM MULT.'!$D31,'CAPEX - BLOCOS PAN S- MULT.'!$C$3:$AC$52,27,FALSE))*AD$57</f>
        <v>-496673.78997158381</v>
      </c>
      <c r="AE31" s="1">
        <f>('RECEITAS - BLOCOS PAN'!AD31-'OPEX - BLOCOS PAN'!AD31-VLOOKUP('FLUXO DE CAIXA DESC.-SEM MULT.'!$D31,'CAPEX - BLOCOS PAN S- MULT.'!$C$3:$AD$52,28,FALSE))*AE$57</f>
        <v>-450395.19527924305</v>
      </c>
      <c r="AF31" s="1">
        <f>('RECEITAS - BLOCOS PAN'!AE31-'OPEX - BLOCOS PAN'!AE31-VLOOKUP('FLUXO DE CAIXA DESC.-SEM MULT.'!$D31,'CAPEX - BLOCOS PAN S- MULT.'!$C$3:$AE$52,29,FALSE))*AF$57</f>
        <v>-410584.3434842538</v>
      </c>
      <c r="AG31" s="1">
        <f>('RECEITAS - BLOCOS PAN'!AF31-'OPEX - BLOCOS PAN'!AF31-VLOOKUP('FLUXO DE CAIXA DESC.-SEM MULT.'!$D31,'CAPEX - BLOCOS PAN S- MULT.'!$C$3:$AF$52,30,FALSE))*AG$57</f>
        <v>-372309.28477600223</v>
      </c>
      <c r="AH31" s="1">
        <f>('RECEITAS - BLOCOS PAN'!AG31-'OPEX - BLOCOS PAN'!AG31-VLOOKUP('FLUXO DE CAIXA DESC.-SEM MULT.'!$D31,'CAPEX - BLOCOS PAN S- MULT.'!$C$3:$AG$52,31,FALSE))*AH$57</f>
        <v>-339428.90429893957</v>
      </c>
      <c r="AI31" s="1">
        <f>('RECEITAS - BLOCOS PAN'!AH31-'OPEX - BLOCOS PAN'!AH31-VLOOKUP('FLUXO DE CAIXA DESC.-SEM MULT.'!$D31,'CAPEX - BLOCOS PAN S- MULT.'!$C$3:$AH$52,32,FALSE))*AI$57</f>
        <v>-307825.32861290273</v>
      </c>
      <c r="AJ31" s="1">
        <f>('RECEITAS - BLOCOS PAN'!AI31-'OPEX - BLOCOS PAN'!AI31-VLOOKUP('FLUXO DE CAIXA DESC.-SEM MULT.'!$D31,'CAPEX - BLOCOS PAN S- MULT.'!$C$3:$AI$52,33,FALSE))*AJ$57</f>
        <v>-280712.47845320136</v>
      </c>
      <c r="AK31" s="1">
        <f>('RECEITAS - BLOCOS PAN'!AJ31-'OPEX - BLOCOS PAN'!AJ31-VLOOKUP('FLUXO DE CAIXA DESC.-SEM MULT.'!$D31,'CAPEX - BLOCOS PAN S- MULT.'!$C$3:$AJ$52,34,FALSE))*AK$57</f>
        <v>-255986.33194702494</v>
      </c>
      <c r="AL31" s="1">
        <f>('RECEITAS - BLOCOS PAN'!AK31-'OPEX - BLOCOS PAN'!AK31-VLOOKUP('FLUXO DE CAIXA DESC.-SEM MULT.'!$D31,'CAPEX - BLOCOS PAN S- MULT.'!$C$3:$AK$52,35,FALSE))*AL$57</f>
        <v>-233436.90757436413</v>
      </c>
      <c r="AM31" s="44">
        <f t="shared" si="0"/>
        <v>-45422704.255308092</v>
      </c>
      <c r="AN31">
        <v>0</v>
      </c>
      <c r="AO31" t="s">
        <v>310</v>
      </c>
      <c r="AP31">
        <v>-9.0666666666666664</v>
      </c>
      <c r="AQ31">
        <v>-42.633333333333333</v>
      </c>
      <c r="AR31" s="48">
        <f>VLOOKUP(D31,'Projeção - Demanda PAX'!$C$3:$H$37,6,FALSE)</f>
        <v>19650</v>
      </c>
      <c r="AS31" s="1">
        <f t="shared" si="1"/>
        <v>-38066702.029515877</v>
      </c>
      <c r="AT31" t="s">
        <v>387</v>
      </c>
    </row>
    <row r="32" spans="1:46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259</v>
      </c>
      <c r="H32" t="s">
        <v>33</v>
      </c>
      <c r="I32" s="1">
        <f>('RECEITAS - BLOCOS PAN'!H32-'OPEX - BLOCOS PAN'!H32-VLOOKUP('FLUXO DE CAIXA DESC.-SEM MULT.'!$D32,'CAPEX - BLOCOS PAN S- MULT.'!$C$3:$H$52,6,FALSE))*I$57</f>
        <v>-13661578.114066666</v>
      </c>
      <c r="J32" s="1">
        <f>('RECEITAS - BLOCOS PAN'!I32-'OPEX - BLOCOS PAN'!I32-VLOOKUP('FLUXO DE CAIXA DESC.-SEM MULT.'!$D32,'CAPEX - BLOCOS PAN S- MULT.'!$C$3:$I$52,7,FALSE))*J$57</f>
        <v>-12459745.817404533</v>
      </c>
      <c r="K32" s="1">
        <f>('RECEITAS - BLOCOS PAN'!J32-'OPEX - BLOCOS PAN'!J32-VLOOKUP('FLUXO DE CAIXA DESC.-SEM MULT.'!$D32,'CAPEX - BLOCOS PAN S- MULT.'!$C$3:$J$52,8,FALSE))*K$57</f>
        <v>-11365967.929852584</v>
      </c>
      <c r="L32" s="1">
        <f>('RECEITAS - BLOCOS PAN'!K32-'OPEX - BLOCOS PAN'!K32-VLOOKUP('FLUXO DE CAIXA DESC.-SEM MULT.'!$D32,'CAPEX - BLOCOS PAN S- MULT.'!$C$3:$K$52,9,FALSE))*L$57</f>
        <v>-1975117.7958916519</v>
      </c>
      <c r="M32" s="1">
        <f>('RECEITAS - BLOCOS PAN'!L32-'OPEX - BLOCOS PAN'!L32-VLOOKUP('FLUXO DE CAIXA DESC.-SEM MULT.'!$D32,'CAPEX - BLOCOS PAN S- MULT.'!$C$3:$L$52,10,FALSE))*M$57</f>
        <v>-1798822.9715134236</v>
      </c>
      <c r="N32" s="1">
        <f>('RECEITAS - BLOCOS PAN'!M32-'OPEX - BLOCOS PAN'!M32-VLOOKUP('FLUXO DE CAIXA DESC.-SEM MULT.'!$D32,'CAPEX - BLOCOS PAN S- MULT.'!$C$3:$M$52,11,FALSE))*N$57</f>
        <v>-1638391.3052267339</v>
      </c>
      <c r="O32" s="1">
        <f>('RECEITAS - BLOCOS PAN'!N32-'OPEX - BLOCOS PAN'!N32-VLOOKUP('FLUXO DE CAIXA DESC.-SEM MULT.'!$D32,'CAPEX - BLOCOS PAN S- MULT.'!$C$3:$N$52,12,FALSE))*O$57</f>
        <v>-1492454.2664140936</v>
      </c>
      <c r="P32" s="1">
        <f>('RECEITAS - BLOCOS PAN'!O32-'OPEX - BLOCOS PAN'!O32-VLOOKUP('FLUXO DE CAIXA DESC.-SEM MULT.'!$D32,'CAPEX - BLOCOS PAN S- MULT.'!$C$3:$O$52,13,FALSE))*P$57</f>
        <v>-1359721.8731894705</v>
      </c>
      <c r="Q32" s="1">
        <f>('RECEITAS - BLOCOS PAN'!P32-'OPEX - BLOCOS PAN'!P32-VLOOKUP('FLUXO DE CAIXA DESC.-SEM MULT.'!$D32,'CAPEX - BLOCOS PAN S- MULT.'!$C$3:$P$52,14,FALSE))*Q$57</f>
        <v>-1238796.3877337524</v>
      </c>
      <c r="R32" s="1">
        <f>('RECEITAS - BLOCOS PAN'!Q32-'OPEX - BLOCOS PAN'!Q32-VLOOKUP('FLUXO DE CAIXA DESC.-SEM MULT.'!$D32,'CAPEX - BLOCOS PAN S- MULT.'!$C$3:$Q$52,15,FALSE))*R$57</f>
        <v>-1128746.6898915619</v>
      </c>
      <c r="S32" s="1">
        <f>('RECEITAS - BLOCOS PAN'!R32-'OPEX - BLOCOS PAN'!R32-VLOOKUP('FLUXO DE CAIXA DESC.-SEM MULT.'!$D32,'CAPEX - BLOCOS PAN S- MULT.'!$C$3:$R$52,16,FALSE))*S$57</f>
        <v>-1028579.2982679019</v>
      </c>
      <c r="T32" s="1">
        <f>('RECEITAS - BLOCOS PAN'!S32-'OPEX - BLOCOS PAN'!S32-VLOOKUP('FLUXO DE CAIXA DESC.-SEM MULT.'!$D32,'CAPEX - BLOCOS PAN S- MULT.'!$C$3:$S$52,17,FALSE))*T$57</f>
        <v>-937282.47287690011</v>
      </c>
      <c r="U32" s="1">
        <f>('RECEITAS - BLOCOS PAN'!T32-'OPEX - BLOCOS PAN'!T32-VLOOKUP('FLUXO DE CAIXA DESC.-SEM MULT.'!$D32,'CAPEX - BLOCOS PAN S- MULT.'!$C$3:$T$52,18,FALSE))*U$57</f>
        <v>-854081.79358177958</v>
      </c>
      <c r="V32" s="1">
        <f>('RECEITAS - BLOCOS PAN'!U32-'OPEX - BLOCOS PAN'!U32-VLOOKUP('FLUXO DE CAIXA DESC.-SEM MULT.'!$D32,'CAPEX - BLOCOS PAN S- MULT.'!$C$3:$U$52,19,FALSE))*V$57</f>
        <v>-778220.60370652855</v>
      </c>
      <c r="W32" s="1">
        <f>('RECEITAS - BLOCOS PAN'!V32-'OPEX - BLOCOS PAN'!V32-VLOOKUP('FLUXO DE CAIXA DESC.-SEM MULT.'!$D32,'CAPEX - BLOCOS PAN S- MULT.'!$C$3:$V$52,20,FALSE))*W$57</f>
        <v>-709043.38935533364</v>
      </c>
      <c r="X32" s="1">
        <f>('RECEITAS - BLOCOS PAN'!W32-'OPEX - BLOCOS PAN'!W32-VLOOKUP('FLUXO DE CAIXA DESC.-SEM MULT.'!$D32,'CAPEX - BLOCOS PAN S- MULT.'!$C$3:$W$52,21,FALSE))*X$57</f>
        <v>-646031.21327575366</v>
      </c>
      <c r="Y32" s="1">
        <f>('RECEITAS - BLOCOS PAN'!X32-'OPEX - BLOCOS PAN'!X32-VLOOKUP('FLUXO DE CAIXA DESC.-SEM MULT.'!$D32,'CAPEX - BLOCOS PAN S- MULT.'!$C$3:$X$52,22,FALSE))*Y$57</f>
        <v>-588563.80584919988</v>
      </c>
      <c r="Z32" s="1">
        <f>('RECEITAS - BLOCOS PAN'!Y32-'OPEX - BLOCOS PAN'!Y32-VLOOKUP('FLUXO DE CAIXA DESC.-SEM MULT.'!$D32,'CAPEX - BLOCOS PAN S- MULT.'!$C$3:$Y$52,23,FALSE))*Z$57</f>
        <v>-536221.50556488323</v>
      </c>
      <c r="AA32" s="1">
        <f>('RECEITAS - BLOCOS PAN'!Z32-'OPEX - BLOCOS PAN'!Z32-VLOOKUP('FLUXO DE CAIXA DESC.-SEM MULT.'!$D32,'CAPEX - BLOCOS PAN S- MULT.'!$C$3:$Z$52,24,FALSE))*AA$57</f>
        <v>-488468.62086654227</v>
      </c>
      <c r="AB32" s="1">
        <f>('RECEITAS - BLOCOS PAN'!AA32-'OPEX - BLOCOS PAN'!AA32-VLOOKUP('FLUXO DE CAIXA DESC.-SEM MULT.'!$D32,'CAPEX - BLOCOS PAN S- MULT.'!$C$3:$AA$52,25,FALSE))*AB$57</f>
        <v>-444942.78977225506</v>
      </c>
      <c r="AC32" s="1">
        <f>('RECEITAS - BLOCOS PAN'!AB32-'OPEX - BLOCOS PAN'!AB32-VLOOKUP('FLUXO DE CAIXA DESC.-SEM MULT.'!$D32,'CAPEX - BLOCOS PAN S- MULT.'!$C$3:$AB$52,26,FALSE))*AC$57</f>
        <v>-405312.77889740677</v>
      </c>
      <c r="AD32" s="1">
        <f>('RECEITAS - BLOCOS PAN'!AC32-'OPEX - BLOCOS PAN'!AC32-VLOOKUP('FLUXO DE CAIXA DESC.-SEM MULT.'!$D32,'CAPEX - BLOCOS PAN S- MULT.'!$C$3:$AC$52,27,FALSE))*AD$57</f>
        <v>-369160.46043003304</v>
      </c>
      <c r="AE32" s="1">
        <f>('RECEITAS - BLOCOS PAN'!AD32-'OPEX - BLOCOS PAN'!AD32-VLOOKUP('FLUXO DE CAIXA DESC.-SEM MULT.'!$D32,'CAPEX - BLOCOS PAN S- MULT.'!$C$3:$AD$52,28,FALSE))*AE$57</f>
        <v>-336265.73595164716</v>
      </c>
      <c r="AF32" s="1">
        <f>('RECEITAS - BLOCOS PAN'!AE32-'OPEX - BLOCOS PAN'!AE32-VLOOKUP('FLUXO DE CAIXA DESC.-SEM MULT.'!$D32,'CAPEX - BLOCOS PAN S- MULT.'!$C$3:$AE$52,29,FALSE))*AF$57</f>
        <v>-306195.48653430585</v>
      </c>
      <c r="AG32" s="1">
        <f>('RECEITAS - BLOCOS PAN'!AF32-'OPEX - BLOCOS PAN'!AF32-VLOOKUP('FLUXO DE CAIXA DESC.-SEM MULT.'!$D32,'CAPEX - BLOCOS PAN S- MULT.'!$C$3:$AF$52,30,FALSE))*AG$57</f>
        <v>-278817.98246941151</v>
      </c>
      <c r="AH32" s="1">
        <f>('RECEITAS - BLOCOS PAN'!AG32-'OPEX - BLOCOS PAN'!AG32-VLOOKUP('FLUXO DE CAIXA DESC.-SEM MULT.'!$D32,'CAPEX - BLOCOS PAN S- MULT.'!$C$3:$AG$52,31,FALSE))*AH$57</f>
        <v>-253861.37968456565</v>
      </c>
      <c r="AI32" s="1">
        <f>('RECEITAS - BLOCOS PAN'!AH32-'OPEX - BLOCOS PAN'!AH32-VLOOKUP('FLUXO DE CAIXA DESC.-SEM MULT.'!$D32,'CAPEX - BLOCOS PAN S- MULT.'!$C$3:$AH$52,32,FALSE))*AI$57</f>
        <v>-231175.79688482362</v>
      </c>
      <c r="AJ32" s="1">
        <f>('RECEITAS - BLOCOS PAN'!AI32-'OPEX - BLOCOS PAN'!AI32-VLOOKUP('FLUXO DE CAIXA DESC.-SEM MULT.'!$D32,'CAPEX - BLOCOS PAN S- MULT.'!$C$3:$AI$52,33,FALSE))*AJ$57</f>
        <v>-210490.64391464519</v>
      </c>
      <c r="AK32" s="1">
        <f>('RECEITAS - BLOCOS PAN'!AJ32-'OPEX - BLOCOS PAN'!AJ32-VLOOKUP('FLUXO DE CAIXA DESC.-SEM MULT.'!$D32,'CAPEX - BLOCOS PAN S- MULT.'!$C$3:$AJ$52,34,FALSE))*AK$57</f>
        <v>-191644.00921359228</v>
      </c>
      <c r="AL32" s="1">
        <f>('RECEITAS - BLOCOS PAN'!AK32-'OPEX - BLOCOS PAN'!AK32-VLOOKUP('FLUXO DE CAIXA DESC.-SEM MULT.'!$D32,'CAPEX - BLOCOS PAN S- MULT.'!$C$3:$AK$52,35,FALSE))*AL$57</f>
        <v>-174468.39831765759</v>
      </c>
      <c r="AM32" s="44">
        <f t="shared" si="0"/>
        <v>-57888171.31659963</v>
      </c>
      <c r="AN32">
        <v>1</v>
      </c>
      <c r="AO32" t="s">
        <v>308</v>
      </c>
      <c r="AP32">
        <v>-7.2666666666666666</v>
      </c>
      <c r="AQ32">
        <v>-64.766666666666666</v>
      </c>
      <c r="AR32" s="48">
        <f>VLOOKUP(D32,'Projeção - Demanda PAX'!$C$3:$H$37,6,FALSE)</f>
        <v>5912</v>
      </c>
      <c r="AS32" s="1">
        <f t="shared" si="1"/>
        <v>-52426550.708972901</v>
      </c>
      <c r="AT32" t="s">
        <v>381</v>
      </c>
    </row>
    <row r="33" spans="1:46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259</v>
      </c>
      <c r="H33" t="s">
        <v>33</v>
      </c>
      <c r="I33" s="1">
        <f>('RECEITAS - BLOCOS PAN'!H33-'OPEX - BLOCOS PAN'!H33-VLOOKUP('FLUXO DE CAIXA DESC.-SEM MULT.'!$D33,'CAPEX - BLOCOS PAN S- MULT.'!$C$3:$H$52,6,FALSE))*I$57</f>
        <v>-4221230.5676666666</v>
      </c>
      <c r="J33" s="1">
        <f>('RECEITAS - BLOCOS PAN'!I33-'OPEX - BLOCOS PAN'!I33-VLOOKUP('FLUXO DE CAIXA DESC.-SEM MULT.'!$D33,'CAPEX - BLOCOS PAN S- MULT.'!$C$3:$I$52,7,FALSE))*J$57</f>
        <v>-3852496.0635934887</v>
      </c>
      <c r="K33" s="1">
        <f>('RECEITAS - BLOCOS PAN'!J33-'OPEX - BLOCOS PAN'!J33-VLOOKUP('FLUXO DE CAIXA DESC.-SEM MULT.'!$D33,'CAPEX - BLOCOS PAN S- MULT.'!$C$3:$J$52,8,FALSE))*K$57</f>
        <v>-3516135.751202154</v>
      </c>
      <c r="L33" s="1">
        <f>('RECEITAS - BLOCOS PAN'!K33-'OPEX - BLOCOS PAN'!K33-VLOOKUP('FLUXO DE CAIXA DESC.-SEM MULT.'!$D33,'CAPEX - BLOCOS PAN S- MULT.'!$C$3:$K$52,9,FALSE))*L$57</f>
        <v>-1089696.0975281459</v>
      </c>
      <c r="M33" s="1">
        <f>('RECEITAS - BLOCOS PAN'!L33-'OPEX - BLOCOS PAN'!L33-VLOOKUP('FLUXO DE CAIXA DESC.-SEM MULT.'!$D33,'CAPEX - BLOCOS PAN S- MULT.'!$C$3:$L$52,10,FALSE))*M$57</f>
        <v>-994457.28315844899</v>
      </c>
      <c r="N33" s="1">
        <f>('RECEITAS - BLOCOS PAN'!M33-'OPEX - BLOCOS PAN'!M33-VLOOKUP('FLUXO DE CAIXA DESC.-SEM MULT.'!$D33,'CAPEX - BLOCOS PAN S- MULT.'!$C$3:$M$52,11,FALSE))*N$57</f>
        <v>-907568.0113982039</v>
      </c>
      <c r="O33" s="1">
        <f>('RECEITAS - BLOCOS PAN'!N33-'OPEX - BLOCOS PAN'!N33-VLOOKUP('FLUXO DE CAIXA DESC.-SEM MULT.'!$D33,'CAPEX - BLOCOS PAN S- MULT.'!$C$3:$N$52,12,FALSE))*O$57</f>
        <v>-828278.37015844032</v>
      </c>
      <c r="P33" s="1">
        <f>('RECEITAS - BLOCOS PAN'!O33-'OPEX - BLOCOS PAN'!O33-VLOOKUP('FLUXO DE CAIXA DESC.-SEM MULT.'!$D33,'CAPEX - BLOCOS PAN S- MULT.'!$C$3:$O$52,13,FALSE))*P$57</f>
        <v>-755930.15309992817</v>
      </c>
      <c r="Q33" s="1">
        <f>('RECEITAS - BLOCOS PAN'!P33-'OPEX - BLOCOS PAN'!P33-VLOOKUP('FLUXO DE CAIXA DESC.-SEM MULT.'!$D33,'CAPEX - BLOCOS PAN S- MULT.'!$C$3:$P$52,14,FALSE))*Q$57</f>
        <v>-689897.70751550607</v>
      </c>
      <c r="R33" s="1">
        <f>('RECEITAS - BLOCOS PAN'!Q33-'OPEX - BLOCOS PAN'!Q33-VLOOKUP('FLUXO DE CAIXA DESC.-SEM MULT.'!$D33,'CAPEX - BLOCOS PAN S- MULT.'!$C$3:$Q$52,15,FALSE))*R$57</f>
        <v>-629636.67843795312</v>
      </c>
      <c r="S33" s="1">
        <f>('RECEITAS - BLOCOS PAN'!R33-'OPEX - BLOCOS PAN'!R33-VLOOKUP('FLUXO DE CAIXA DESC.-SEM MULT.'!$D33,'CAPEX - BLOCOS PAN S- MULT.'!$C$3:$R$52,16,FALSE))*S$57</f>
        <v>-574655.63485982677</v>
      </c>
      <c r="T33" s="1">
        <f>('RECEITAS - BLOCOS PAN'!S33-'OPEX - BLOCOS PAN'!S33-VLOOKUP('FLUXO DE CAIXA DESC.-SEM MULT.'!$D33,'CAPEX - BLOCOS PAN S- MULT.'!$C$3:$S$52,17,FALSE))*T$57</f>
        <v>-524470.6524691059</v>
      </c>
      <c r="U33" s="1">
        <f>('RECEITAS - BLOCOS PAN'!T33-'OPEX - BLOCOS PAN'!T33-VLOOKUP('FLUXO DE CAIXA DESC.-SEM MULT.'!$D33,'CAPEX - BLOCOS PAN S- MULT.'!$C$3:$T$52,18,FALSE))*U$57</f>
        <v>-478672.87561317428</v>
      </c>
      <c r="V33" s="1">
        <f>('RECEITAS - BLOCOS PAN'!U33-'OPEX - BLOCOS PAN'!U33-VLOOKUP('FLUXO DE CAIXA DESC.-SEM MULT.'!$D33,'CAPEX - BLOCOS PAN S- MULT.'!$C$3:$U$52,19,FALSE))*V$57</f>
        <v>-436874.2368353114</v>
      </c>
      <c r="W33" s="1">
        <f>('RECEITAS - BLOCOS PAN'!V33-'OPEX - BLOCOS PAN'!V33-VLOOKUP('FLUXO DE CAIXA DESC.-SEM MULT.'!$D33,'CAPEX - BLOCOS PAN S- MULT.'!$C$3:$V$52,20,FALSE))*W$57</f>
        <v>-398725.52515035612</v>
      </c>
      <c r="X33" s="1">
        <f>('RECEITAS - BLOCOS PAN'!W33-'OPEX - BLOCOS PAN'!W33-VLOOKUP('FLUXO DE CAIXA DESC.-SEM MULT.'!$D33,'CAPEX - BLOCOS PAN S- MULT.'!$C$3:$W$52,21,FALSE))*X$57</f>
        <v>-363908.02407527313</v>
      </c>
      <c r="Y33" s="1">
        <f>('RECEITAS - BLOCOS PAN'!X33-'OPEX - BLOCOS PAN'!X33-VLOOKUP('FLUXO DE CAIXA DESC.-SEM MULT.'!$D33,'CAPEX - BLOCOS PAN S- MULT.'!$C$3:$X$52,22,FALSE))*Y$57</f>
        <v>-332130.84757271281</v>
      </c>
      <c r="Z33" s="1">
        <f>('RECEITAS - BLOCOS PAN'!Y33-'OPEX - BLOCOS PAN'!Y33-VLOOKUP('FLUXO DE CAIXA DESC.-SEM MULT.'!$D33,'CAPEX - BLOCOS PAN S- MULT.'!$C$3:$Y$52,23,FALSE))*Z$57</f>
        <v>-303128.50960345351</v>
      </c>
      <c r="AA33" s="1">
        <f>('RECEITAS - BLOCOS PAN'!Z33-'OPEX - BLOCOS PAN'!Z33-VLOOKUP('FLUXO DE CAIXA DESC.-SEM MULT.'!$D33,'CAPEX - BLOCOS PAN S- MULT.'!$C$3:$Z$52,24,FALSE))*AA$57</f>
        <v>-276654.61380247591</v>
      </c>
      <c r="AB33" s="1">
        <f>('RECEITAS - BLOCOS PAN'!AA33-'OPEX - BLOCOS PAN'!AA33-VLOOKUP('FLUXO DE CAIXA DESC.-SEM MULT.'!$D33,'CAPEX - BLOCOS PAN S- MULT.'!$C$3:$AA$52,25,FALSE))*AB$57</f>
        <v>-252489.36937887868</v>
      </c>
      <c r="AC33" s="1">
        <f>('RECEITAS - BLOCOS PAN'!AB33-'OPEX - BLOCOS PAN'!AB33-VLOOKUP('FLUXO DE CAIXA DESC.-SEM MULT.'!$D33,'CAPEX - BLOCOS PAN S- MULT.'!$C$3:$AB$52,26,FALSE))*AC$57</f>
        <v>-230441.46689138049</v>
      </c>
      <c r="AD33" s="1">
        <f>('RECEITAS - BLOCOS PAN'!AC33-'OPEX - BLOCOS PAN'!AC33-VLOOKUP('FLUXO DE CAIXA DESC.-SEM MULT.'!$D33,'CAPEX - BLOCOS PAN S- MULT.'!$C$3:$AC$52,27,FALSE))*AD$57</f>
        <v>-210318.82826482446</v>
      </c>
      <c r="AE33" s="1">
        <f>('RECEITAS - BLOCOS PAN'!AD33-'OPEX - BLOCOS PAN'!AD33-VLOOKUP('FLUXO DE CAIXA DESC.-SEM MULT.'!$D33,'CAPEX - BLOCOS PAN S- MULT.'!$C$3:$AD$52,28,FALSE))*AE$57</f>
        <v>-191953.33608581341</v>
      </c>
      <c r="AF33" s="1">
        <f>('RECEITAS - BLOCOS PAN'!AE33-'OPEX - BLOCOS PAN'!AE33-VLOOKUP('FLUXO DE CAIXA DESC.-SEM MULT.'!$D33,'CAPEX - BLOCOS PAN S- MULT.'!$C$3:$AE$52,29,FALSE))*AF$57</f>
        <v>-175191.55371844734</v>
      </c>
      <c r="AG33" s="1">
        <f>('RECEITAS - BLOCOS PAN'!AF33-'OPEX - BLOCOS PAN'!AF33-VLOOKUP('FLUXO DE CAIXA DESC.-SEM MULT.'!$D33,'CAPEX - BLOCOS PAN S- MULT.'!$C$3:$AF$52,30,FALSE))*AG$57</f>
        <v>-159893.44233655665</v>
      </c>
      <c r="AH33" s="1">
        <f>('RECEITAS - BLOCOS PAN'!AG33-'OPEX - BLOCOS PAN'!AG33-VLOOKUP('FLUXO DE CAIXA DESC.-SEM MULT.'!$D33,'CAPEX - BLOCOS PAN S- MULT.'!$C$3:$AG$52,31,FALSE))*AH$57</f>
        <v>-145927.03233212599</v>
      </c>
      <c r="AI33" s="1">
        <f>('RECEITAS - BLOCOS PAN'!AH33-'OPEX - BLOCOS PAN'!AH33-VLOOKUP('FLUXO DE CAIXA DESC.-SEM MULT.'!$D33,'CAPEX - BLOCOS PAN S- MULT.'!$C$3:$AH$52,32,FALSE))*AI$57</f>
        <v>-133184.35568378522</v>
      </c>
      <c r="AJ33" s="1">
        <f>('RECEITAS - BLOCOS PAN'!AI33-'OPEX - BLOCOS PAN'!AI33-VLOOKUP('FLUXO DE CAIXA DESC.-SEM MULT.'!$D33,'CAPEX - BLOCOS PAN S- MULT.'!$C$3:$AI$52,33,FALSE))*AJ$57</f>
        <v>-121556.70573201971</v>
      </c>
      <c r="AK33" s="1">
        <f>('RECEITAS - BLOCOS PAN'!AJ33-'OPEX - BLOCOS PAN'!AJ33-VLOOKUP('FLUXO DE CAIXA DESC.-SEM MULT.'!$D33,'CAPEX - BLOCOS PAN S- MULT.'!$C$3:$AJ$52,34,FALSE))*AK$57</f>
        <v>-110938.34191651722</v>
      </c>
      <c r="AL33" s="1">
        <f>('RECEITAS - BLOCOS PAN'!AK33-'OPEX - BLOCOS PAN'!AK33-VLOOKUP('FLUXO DE CAIXA DESC.-SEM MULT.'!$D33,'CAPEX - BLOCOS PAN S- MULT.'!$C$3:$AK$52,35,FALSE))*AL$57</f>
        <v>-101250.94823112944</v>
      </c>
      <c r="AM33" s="44">
        <f t="shared" si="0"/>
        <v>-23007692.98431211</v>
      </c>
      <c r="AN33">
        <v>1</v>
      </c>
      <c r="AO33" t="s">
        <v>312</v>
      </c>
      <c r="AP33">
        <v>-3.3666666666666667</v>
      </c>
      <c r="AQ33">
        <v>-57.716666666666669</v>
      </c>
      <c r="AR33" s="48">
        <f>VLOOKUP(D33,'Projeção - Demanda PAX'!$C$3:$H$37,6,FALSE)</f>
        <v>397</v>
      </c>
      <c r="AS33" s="1">
        <f t="shared" si="1"/>
        <v>-19898725.608686708</v>
      </c>
      <c r="AT33" t="s">
        <v>383</v>
      </c>
    </row>
    <row r="34" spans="1:46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259</v>
      </c>
      <c r="H34" t="s">
        <v>33</v>
      </c>
      <c r="I34" s="1">
        <f>('RECEITAS - BLOCOS PAN'!H34-'OPEX - BLOCOS PAN'!H34-VLOOKUP('FLUXO DE CAIXA DESC.-SEM MULT.'!$D34,'CAPEX - BLOCOS PAN S- MULT.'!$C$3:$H$52,6,FALSE))*I$57</f>
        <v>-25520516.314199999</v>
      </c>
      <c r="J34" s="1">
        <f>('RECEITAS - BLOCOS PAN'!I34-'OPEX - BLOCOS PAN'!I34-VLOOKUP('FLUXO DE CAIXA DESC.-SEM MULT.'!$D34,'CAPEX - BLOCOS PAN S- MULT.'!$C$3:$I$52,7,FALSE))*J$57</f>
        <v>-23155243.285714287</v>
      </c>
      <c r="K34" s="1">
        <f>('RECEITAS - BLOCOS PAN'!J34-'OPEX - BLOCOS PAN'!J34-VLOOKUP('FLUXO DE CAIXA DESC.-SEM MULT.'!$D34,'CAPEX - BLOCOS PAN S- MULT.'!$C$3:$J$52,8,FALSE))*K$57</f>
        <v>-21035127.019729901</v>
      </c>
      <c r="L34" s="1">
        <f>('RECEITAS - BLOCOS PAN'!K34-'OPEX - BLOCOS PAN'!K34-VLOOKUP('FLUXO DE CAIXA DESC.-SEM MULT.'!$D34,'CAPEX - BLOCOS PAN S- MULT.'!$C$3:$K$52,9,FALSE))*L$57</f>
        <v>-2033398.0686087059</v>
      </c>
      <c r="M34" s="1">
        <f>('RECEITAS - BLOCOS PAN'!L34-'OPEX - BLOCOS PAN'!L34-VLOOKUP('FLUXO DE CAIXA DESC.-SEM MULT.'!$D34,'CAPEX - BLOCOS PAN S- MULT.'!$C$3:$L$52,10,FALSE))*M$57</f>
        <v>-1800807.2754031483</v>
      </c>
      <c r="N34" s="1">
        <f>('RECEITAS - BLOCOS PAN'!M34-'OPEX - BLOCOS PAN'!M34-VLOOKUP('FLUXO DE CAIXA DESC.-SEM MULT.'!$D34,'CAPEX - BLOCOS PAN S- MULT.'!$C$3:$M$52,11,FALSE))*N$57</f>
        <v>-1597736.3027433758</v>
      </c>
      <c r="O34" s="1">
        <f>('RECEITAS - BLOCOS PAN'!N34-'OPEX - BLOCOS PAN'!N34-VLOOKUP('FLUXO DE CAIXA DESC.-SEM MULT.'!$D34,'CAPEX - BLOCOS PAN S- MULT.'!$C$3:$N$52,12,FALSE))*O$57</f>
        <v>-1418976.6285601633</v>
      </c>
      <c r="P34" s="1">
        <f>('RECEITAS - BLOCOS PAN'!O34-'OPEX - BLOCOS PAN'!O34-VLOOKUP('FLUXO DE CAIXA DESC.-SEM MULT.'!$D34,'CAPEX - BLOCOS PAN S- MULT.'!$C$3:$O$52,13,FALSE))*P$57</f>
        <v>-1260157.3141067002</v>
      </c>
      <c r="Q34" s="1">
        <f>('RECEITAS - BLOCOS PAN'!P34-'OPEX - BLOCOS PAN'!P34-VLOOKUP('FLUXO DE CAIXA DESC.-SEM MULT.'!$D34,'CAPEX - BLOCOS PAN S- MULT.'!$C$3:$P$52,14,FALSE))*Q$57</f>
        <v>-1119961.835806879</v>
      </c>
      <c r="R34" s="1">
        <f>('RECEITAS - BLOCOS PAN'!Q34-'OPEX - BLOCOS PAN'!Q34-VLOOKUP('FLUXO DE CAIXA DESC.-SEM MULT.'!$D34,'CAPEX - BLOCOS PAN S- MULT.'!$C$3:$Q$52,15,FALSE))*R$57</f>
        <v>-996090.63314762735</v>
      </c>
      <c r="S34" s="1">
        <f>('RECEITAS - BLOCOS PAN'!R34-'OPEX - BLOCOS PAN'!R34-VLOOKUP('FLUXO DE CAIXA DESC.-SEM MULT.'!$D34,'CAPEX - BLOCOS PAN S- MULT.'!$C$3:$R$52,16,FALSE))*S$57</f>
        <v>-886771.90897840436</v>
      </c>
      <c r="T34" s="1">
        <f>('RECEITAS - BLOCOS PAN'!S34-'OPEX - BLOCOS PAN'!S34-VLOOKUP('FLUXO DE CAIXA DESC.-SEM MULT.'!$D34,'CAPEX - BLOCOS PAN S- MULT.'!$C$3:$S$52,17,FALSE))*T$57</f>
        <v>-788399.16287290014</v>
      </c>
      <c r="U34" s="1">
        <f>('RECEITAS - BLOCOS PAN'!T34-'OPEX - BLOCOS PAN'!T34-VLOOKUP('FLUXO DE CAIXA DESC.-SEM MULT.'!$D34,'CAPEX - BLOCOS PAN S- MULT.'!$C$3:$T$52,18,FALSE))*U$57</f>
        <v>-700749.50417240942</v>
      </c>
      <c r="V34" s="1">
        <f>('RECEITAS - BLOCOS PAN'!U34-'OPEX - BLOCOS PAN'!U34-VLOOKUP('FLUXO DE CAIXA DESC.-SEM MULT.'!$D34,'CAPEX - BLOCOS PAN S- MULT.'!$C$3:$U$52,19,FALSE))*V$57</f>
        <v>-621576.90607958194</v>
      </c>
      <c r="W34" s="1">
        <f>('RECEITAS - BLOCOS PAN'!V34-'OPEX - BLOCOS PAN'!V34-VLOOKUP('FLUXO DE CAIXA DESC.-SEM MULT.'!$D34,'CAPEX - BLOCOS PAN S- MULT.'!$C$3:$V$52,20,FALSE))*W$57</f>
        <v>-551255.17870863411</v>
      </c>
      <c r="X34" s="1">
        <f>('RECEITAS - BLOCOS PAN'!W34-'OPEX - BLOCOS PAN'!W34-VLOOKUP('FLUXO DE CAIXA DESC.-SEM MULT.'!$D34,'CAPEX - BLOCOS PAN S- MULT.'!$C$3:$W$52,21,FALSE))*X$57</f>
        <v>-487913.64615537616</v>
      </c>
      <c r="Y34" s="1">
        <f>('RECEITAS - BLOCOS PAN'!X34-'OPEX - BLOCOS PAN'!X34-VLOOKUP('FLUXO DE CAIXA DESC.-SEM MULT.'!$D34,'CAPEX - BLOCOS PAN S- MULT.'!$C$3:$X$52,22,FALSE))*Y$57</f>
        <v>-431460.29291539919</v>
      </c>
      <c r="Z34" s="1">
        <f>('RECEITAS - BLOCOS PAN'!Y34-'OPEX - BLOCOS PAN'!Y34-VLOOKUP('FLUXO DE CAIXA DESC.-SEM MULT.'!$D34,'CAPEX - BLOCOS PAN S- MULT.'!$C$3:$Y$52,23,FALSE))*Z$57</f>
        <v>-380580.28784006304</v>
      </c>
      <c r="AA34" s="1">
        <f>('RECEITAS - BLOCOS PAN'!Z34-'OPEX - BLOCOS PAN'!Z34-VLOOKUP('FLUXO DE CAIXA DESC.-SEM MULT.'!$D34,'CAPEX - BLOCOS PAN S- MULT.'!$C$3:$Z$52,24,FALSE))*AA$57</f>
        <v>-335257.65062910941</v>
      </c>
      <c r="AB34" s="1">
        <f>('RECEITAS - BLOCOS PAN'!AA34-'OPEX - BLOCOS PAN'!AA34-VLOOKUP('FLUXO DE CAIXA DESC.-SEM MULT.'!$D34,'CAPEX - BLOCOS PAN S- MULT.'!$C$3:$AA$52,25,FALSE))*AB$57</f>
        <v>-294444.33403268101</v>
      </c>
      <c r="AC34" s="1">
        <f>('RECEITAS - BLOCOS PAN'!AB34-'OPEX - BLOCOS PAN'!AB34-VLOOKUP('FLUXO DE CAIXA DESC.-SEM MULT.'!$D34,'CAPEX - BLOCOS PAN S- MULT.'!$C$3:$AB$52,26,FALSE))*AC$57</f>
        <v>-258515.83912139211</v>
      </c>
      <c r="AD34" s="1">
        <f>('RECEITAS - BLOCOS PAN'!AC34-'OPEX - BLOCOS PAN'!AC34-VLOOKUP('FLUXO DE CAIXA DESC.-SEM MULT.'!$D34,'CAPEX - BLOCOS PAN S- MULT.'!$C$3:$AC$52,27,FALSE))*AD$57</f>
        <v>-226249.20974622073</v>
      </c>
      <c r="AE34" s="1">
        <f>('RECEITAS - BLOCOS PAN'!AD34-'OPEX - BLOCOS PAN'!AD34-VLOOKUP('FLUXO DE CAIXA DESC.-SEM MULT.'!$D34,'CAPEX - BLOCOS PAN S- MULT.'!$C$3:$AD$52,28,FALSE))*AE$57</f>
        <v>-197781.96811621613</v>
      </c>
      <c r="AF34" s="1">
        <f>('RECEITAS - BLOCOS PAN'!AE34-'OPEX - BLOCOS PAN'!AE34-VLOOKUP('FLUXO DE CAIXA DESC.-SEM MULT.'!$D34,'CAPEX - BLOCOS PAN S- MULT.'!$C$3:$AE$52,29,FALSE))*AF$57</f>
        <v>-172445.72459595246</v>
      </c>
      <c r="AG34" s="1">
        <f>('RECEITAS - BLOCOS PAN'!AF34-'OPEX - BLOCOS PAN'!AF34-VLOOKUP('FLUXO DE CAIXA DESC.-SEM MULT.'!$D34,'CAPEX - BLOCOS PAN S- MULT.'!$C$3:$AF$52,30,FALSE))*AG$57</f>
        <v>-150065.87144654323</v>
      </c>
      <c r="AH34" s="1">
        <f>('RECEITAS - BLOCOS PAN'!AG34-'OPEX - BLOCOS PAN'!AG34-VLOOKUP('FLUXO DE CAIXA DESC.-SEM MULT.'!$D34,'CAPEX - BLOCOS PAN S- MULT.'!$C$3:$AG$52,31,FALSE))*AH$57</f>
        <v>-129996.25140607535</v>
      </c>
      <c r="AI34" s="1">
        <f>('RECEITAS - BLOCOS PAN'!AH34-'OPEX - BLOCOS PAN'!AH34-VLOOKUP('FLUXO DE CAIXA DESC.-SEM MULT.'!$D34,'CAPEX - BLOCOS PAN S- MULT.'!$C$3:$AH$52,32,FALSE))*AI$57</f>
        <v>-112497.21970708881</v>
      </c>
      <c r="AJ34" s="1">
        <f>('RECEITAS - BLOCOS PAN'!AI34-'OPEX - BLOCOS PAN'!AI34-VLOOKUP('FLUXO DE CAIXA DESC.-SEM MULT.'!$D34,'CAPEX - BLOCOS PAN S- MULT.'!$C$3:$AI$52,33,FALSE))*AJ$57</f>
        <v>-96835.322303960173</v>
      </c>
      <c r="AK34" s="1">
        <f>('RECEITAS - BLOCOS PAN'!AJ34-'OPEX - BLOCOS PAN'!AJ34-VLOOKUP('FLUXO DE CAIXA DESC.-SEM MULT.'!$D34,'CAPEX - BLOCOS PAN S- MULT.'!$C$3:$AJ$52,34,FALSE))*AK$57</f>
        <v>-82949.677159444123</v>
      </c>
      <c r="AL34" s="1">
        <f>('RECEITAS - BLOCOS PAN'!AK34-'OPEX - BLOCOS PAN'!AK34-VLOOKUP('FLUXO DE CAIXA DESC.-SEM MULT.'!$D34,'CAPEX - BLOCOS PAN S- MULT.'!$C$3:$AK$52,35,FALSE))*AL$57</f>
        <v>-70630.388040023652</v>
      </c>
      <c r="AM34" s="44">
        <f t="shared" si="0"/>
        <v>-86914391.022048235</v>
      </c>
      <c r="AN34">
        <v>1</v>
      </c>
      <c r="AO34" t="s">
        <v>312</v>
      </c>
      <c r="AP34">
        <v>-2.6666666666666665</v>
      </c>
      <c r="AQ34">
        <v>-56.766666666666666</v>
      </c>
      <c r="AR34" s="48">
        <f>VLOOKUP(D34,'Projeção - Demanda PAX'!$C$3:$H$37,6,FALSE)</f>
        <v>58695</v>
      </c>
      <c r="AS34" s="1">
        <f t="shared" si="1"/>
        <v>-83486767.338832691</v>
      </c>
      <c r="AT34" t="s">
        <v>383</v>
      </c>
    </row>
    <row r="35" spans="1:46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257</v>
      </c>
      <c r="H35" t="s">
        <v>33</v>
      </c>
      <c r="I35" s="1">
        <f>('RECEITAS - BLOCOS PAN'!H35-'OPEX - BLOCOS PAN'!H35-VLOOKUP('FLUXO DE CAIXA DESC.-SEM MULT.'!$D35,'CAPEX - BLOCOS PAN S- MULT.'!$C$3:$H$52,6,FALSE))*I$57</f>
        <v>-15760000.350666666</v>
      </c>
      <c r="J35" s="1">
        <f>('RECEITAS - BLOCOS PAN'!I35-'OPEX - BLOCOS PAN'!I35-VLOOKUP('FLUXO DE CAIXA DESC.-SEM MULT.'!$D35,'CAPEX - BLOCOS PAN S- MULT.'!$C$3:$I$52,7,FALSE))*J$57</f>
        <v>-14355027.433105126</v>
      </c>
      <c r="K35" s="1">
        <f>('RECEITAS - BLOCOS PAN'!J35-'OPEX - BLOCOS PAN'!J35-VLOOKUP('FLUXO DE CAIXA DESC.-SEM MULT.'!$D35,'CAPEX - BLOCOS PAN S- MULT.'!$C$3:$J$52,8,FALSE))*K$57</f>
        <v>-13081046.948809227</v>
      </c>
      <c r="L35" s="1">
        <f>('RECEITAS - BLOCOS PAN'!K35-'OPEX - BLOCOS PAN'!K35-VLOOKUP('FLUXO DE CAIXA DESC.-SEM MULT.'!$D35,'CAPEX - BLOCOS PAN S- MULT.'!$C$3:$K$52,9,FALSE))*L$57</f>
        <v>-2473203.4191616699</v>
      </c>
      <c r="M35" s="1">
        <f>('RECEITAS - BLOCOS PAN'!L35-'OPEX - BLOCOS PAN'!L35-VLOOKUP('FLUXO DE CAIXA DESC.-SEM MULT.'!$D35,'CAPEX - BLOCOS PAN S- MULT.'!$C$3:$L$52,10,FALSE))*M$57</f>
        <v>-2245323.0567349414</v>
      </c>
      <c r="N35" s="1">
        <f>('RECEITAS - BLOCOS PAN'!M35-'OPEX - BLOCOS PAN'!M35-VLOOKUP('FLUXO DE CAIXA DESC.-SEM MULT.'!$D35,'CAPEX - BLOCOS PAN S- MULT.'!$C$3:$M$52,11,FALSE))*N$57</f>
        <v>-2039295.5867765369</v>
      </c>
      <c r="O35" s="1">
        <f>('RECEITAS - BLOCOS PAN'!N35-'OPEX - BLOCOS PAN'!N35-VLOOKUP('FLUXO DE CAIXA DESC.-SEM MULT.'!$D35,'CAPEX - BLOCOS PAN S- MULT.'!$C$3:$N$52,12,FALSE))*O$57</f>
        <v>-1852651.8862574324</v>
      </c>
      <c r="P35" s="1">
        <f>('RECEITAS - BLOCOS PAN'!O35-'OPEX - BLOCOS PAN'!O35-VLOOKUP('FLUXO DE CAIXA DESC.-SEM MULT.'!$D35,'CAPEX - BLOCOS PAN S- MULT.'!$C$3:$O$52,13,FALSE))*P$57</f>
        <v>-1683270.6365820162</v>
      </c>
      <c r="Q35" s="1">
        <f>('RECEITAS - BLOCOS PAN'!P35-'OPEX - BLOCOS PAN'!P35-VLOOKUP('FLUXO DE CAIXA DESC.-SEM MULT.'!$D35,'CAPEX - BLOCOS PAN S- MULT.'!$C$3:$P$52,14,FALSE))*Q$57</f>
        <v>-1529941.7959497443</v>
      </c>
      <c r="R35" s="1">
        <f>('RECEITAS - BLOCOS PAN'!Q35-'OPEX - BLOCOS PAN'!Q35-VLOOKUP('FLUXO DE CAIXA DESC.-SEM MULT.'!$D35,'CAPEX - BLOCOS PAN S- MULT.'!$C$3:$Q$52,15,FALSE))*R$57</f>
        <v>-1460451.5679644342</v>
      </c>
      <c r="S35" s="1">
        <f>('RECEITAS - BLOCOS PAN'!R35-'OPEX - BLOCOS PAN'!R35-VLOOKUP('FLUXO DE CAIXA DESC.-SEM MULT.'!$D35,'CAPEX - BLOCOS PAN S- MULT.'!$C$3:$R$52,16,FALSE))*S$57</f>
        <v>-1328405.5384662391</v>
      </c>
      <c r="T35" s="1">
        <f>('RECEITAS - BLOCOS PAN'!S35-'OPEX - BLOCOS PAN'!S35-VLOOKUP('FLUXO DE CAIXA DESC.-SEM MULT.'!$D35,'CAPEX - BLOCOS PAN S- MULT.'!$C$3:$S$52,17,FALSE))*T$57</f>
        <v>-1208309.2018549978</v>
      </c>
      <c r="U35" s="1">
        <f>('RECEITAS - BLOCOS PAN'!T35-'OPEX - BLOCOS PAN'!T35-VLOOKUP('FLUXO DE CAIXA DESC.-SEM MULT.'!$D35,'CAPEX - BLOCOS PAN S- MULT.'!$C$3:$T$52,18,FALSE))*U$57</f>
        <v>-1099080.552354774</v>
      </c>
      <c r="V35" s="1">
        <f>('RECEITAS - BLOCOS PAN'!U35-'OPEX - BLOCOS PAN'!U35-VLOOKUP('FLUXO DE CAIXA DESC.-SEM MULT.'!$D35,'CAPEX - BLOCOS PAN S- MULT.'!$C$3:$U$52,19,FALSE))*V$57</f>
        <v>-999643.48582171497</v>
      </c>
      <c r="W35" s="1">
        <f>('RECEITAS - BLOCOS PAN'!V35-'OPEX - BLOCOS PAN'!V35-VLOOKUP('FLUXO DE CAIXA DESC.-SEM MULT.'!$D35,'CAPEX - BLOCOS PAN S- MULT.'!$C$3:$V$52,20,FALSE))*W$57</f>
        <v>-909270.55054592341</v>
      </c>
      <c r="X35" s="1">
        <f>('RECEITAS - BLOCOS PAN'!W35-'OPEX - BLOCOS PAN'!W35-VLOOKUP('FLUXO DE CAIXA DESC.-SEM MULT.'!$D35,'CAPEX - BLOCOS PAN S- MULT.'!$C$3:$W$52,21,FALSE))*X$57</f>
        <v>-826991.85248418699</v>
      </c>
      <c r="Y35" s="1">
        <f>('RECEITAS - BLOCOS PAN'!X35-'OPEX - BLOCOS PAN'!X35-VLOOKUP('FLUXO DE CAIXA DESC.-SEM MULT.'!$D35,'CAPEX - BLOCOS PAN S- MULT.'!$C$3:$X$52,22,FALSE))*Y$57</f>
        <v>-752161.71526372747</v>
      </c>
      <c r="Z35" s="1">
        <f>('RECEITAS - BLOCOS PAN'!Y35-'OPEX - BLOCOS PAN'!Y35-VLOOKUP('FLUXO DE CAIXA DESC.-SEM MULT.'!$D35,'CAPEX - BLOCOS PAN S- MULT.'!$C$3:$Y$52,23,FALSE))*Z$57</f>
        <v>-684008.94741414499</v>
      </c>
      <c r="AA35" s="1">
        <f>('RECEITAS - BLOCOS PAN'!Z35-'OPEX - BLOCOS PAN'!Z35-VLOOKUP('FLUXO DE CAIXA DESC.-SEM MULT.'!$D35,'CAPEX - BLOCOS PAN S- MULT.'!$C$3:$Z$52,24,FALSE))*AA$57</f>
        <v>-622027.96959072328</v>
      </c>
      <c r="AB35" s="1">
        <f>('RECEITAS - BLOCOS PAN'!AA35-'OPEX - BLOCOS PAN'!AA35-VLOOKUP('FLUXO DE CAIXA DESC.-SEM MULT.'!$D35,'CAPEX - BLOCOS PAN S- MULT.'!$C$3:$AA$52,25,FALSE))*AB$57</f>
        <v>-565604.96931139834</v>
      </c>
      <c r="AC35" s="1">
        <f>('RECEITAS - BLOCOS PAN'!AB35-'OPEX - BLOCOS PAN'!AB35-VLOOKUP('FLUXO DE CAIXA DESC.-SEM MULT.'!$D35,'CAPEX - BLOCOS PAN S- MULT.'!$C$3:$AB$52,26,FALSE))*AC$57</f>
        <v>-514349.64050837833</v>
      </c>
      <c r="AD35" s="1">
        <f>('RECEITAS - BLOCOS PAN'!AC35-'OPEX - BLOCOS PAN'!AC35-VLOOKUP('FLUXO DE CAIXA DESC.-SEM MULT.'!$D35,'CAPEX - BLOCOS PAN S- MULT.'!$C$3:$AC$52,27,FALSE))*AD$57</f>
        <v>-467696.72292591858</v>
      </c>
      <c r="AE35" s="1">
        <f>('RECEITAS - BLOCOS PAN'!AD35-'OPEX - BLOCOS PAN'!AD35-VLOOKUP('FLUXO DE CAIXA DESC.-SEM MULT.'!$D35,'CAPEX - BLOCOS PAN S- MULT.'!$C$3:$AD$52,28,FALSE))*AE$57</f>
        <v>-425295.83110780339</v>
      </c>
      <c r="AF35" s="1">
        <f>('RECEITAS - BLOCOS PAN'!AE35-'OPEX - BLOCOS PAN'!AE35-VLOOKUP('FLUXO DE CAIXA DESC.-SEM MULT.'!$D35,'CAPEX - BLOCOS PAN S- MULT.'!$C$3:$AE$52,29,FALSE))*AF$57</f>
        <v>-386747.2003568433</v>
      </c>
      <c r="AG35" s="1">
        <f>('RECEITAS - BLOCOS PAN'!AF35-'OPEX - BLOCOS PAN'!AF35-VLOOKUP('FLUXO DE CAIXA DESC.-SEM MULT.'!$D35,'CAPEX - BLOCOS PAN S- MULT.'!$C$3:$AF$52,30,FALSE))*AG$57</f>
        <v>-351722.71260124119</v>
      </c>
      <c r="AH35" s="1">
        <f>('RECEITAS - BLOCOS PAN'!AG35-'OPEX - BLOCOS PAN'!AG35-VLOOKUP('FLUXO DE CAIXA DESC.-SEM MULT.'!$D35,'CAPEX - BLOCOS PAN S- MULT.'!$C$3:$AG$52,31,FALSE))*AH$57</f>
        <v>-319858.30749068042</v>
      </c>
      <c r="AI35" s="1">
        <f>('RECEITAS - BLOCOS PAN'!AH35-'OPEX - BLOCOS PAN'!AH35-VLOOKUP('FLUXO DE CAIXA DESC.-SEM MULT.'!$D35,'CAPEX - BLOCOS PAN S- MULT.'!$C$3:$AH$52,32,FALSE))*AI$57</f>
        <v>-290911.21971956972</v>
      </c>
      <c r="AJ35" s="1">
        <f>('RECEITAS - BLOCOS PAN'!AI35-'OPEX - BLOCOS PAN'!AI35-VLOOKUP('FLUXO DE CAIXA DESC.-SEM MULT.'!$D35,'CAPEX - BLOCOS PAN S- MULT.'!$C$3:$AI$52,33,FALSE))*AJ$57</f>
        <v>-264580.24300027592</v>
      </c>
      <c r="AK35" s="1">
        <f>('RECEITAS - BLOCOS PAN'!AJ35-'OPEX - BLOCOS PAN'!AJ35-VLOOKUP('FLUXO DE CAIXA DESC.-SEM MULT.'!$D35,'CAPEX - BLOCOS PAN S- MULT.'!$C$3:$AJ$52,34,FALSE))*AK$57</f>
        <v>-240613.77032145418</v>
      </c>
      <c r="AL35" s="1">
        <f>('RECEITAS - BLOCOS PAN'!AK35-'OPEX - BLOCOS PAN'!AK35-VLOOKUP('FLUXO DE CAIXA DESC.-SEM MULT.'!$D35,'CAPEX - BLOCOS PAN S- MULT.'!$C$3:$AK$52,35,FALSE))*AL$57</f>
        <v>-218804.08975374559</v>
      </c>
      <c r="AM35" s="44">
        <f t="shared" si="0"/>
        <v>-68956297.202901542</v>
      </c>
      <c r="AN35">
        <v>1</v>
      </c>
      <c r="AO35" t="s">
        <v>314</v>
      </c>
      <c r="AP35">
        <v>-14.65</v>
      </c>
      <c r="AQ35">
        <v>-57.43333333333333</v>
      </c>
      <c r="AR35" s="48">
        <f>VLOOKUP(D35,'Projeção - Demanda PAX'!$C$3:$H$37,6,FALSE)</f>
        <v>18307</v>
      </c>
      <c r="AS35" s="1">
        <f t="shared" si="1"/>
        <v>-62024922.011051446</v>
      </c>
      <c r="AT35" t="s">
        <v>389</v>
      </c>
    </row>
    <row r="36" spans="1:46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259</v>
      </c>
      <c r="H36" t="s">
        <v>33</v>
      </c>
      <c r="I36" s="1">
        <f>('RECEITAS - BLOCOS PAN'!H36-'OPEX - BLOCOS PAN'!H36-VLOOKUP('FLUXO DE CAIXA DESC.-SEM MULT.'!$D36,'CAPEX - BLOCOS PAN S- MULT.'!$C$3:$H$52,6,FALSE))*I$57</f>
        <v>-32785687.562933333</v>
      </c>
      <c r="J36" s="1">
        <f>('RECEITAS - BLOCOS PAN'!I36-'OPEX - BLOCOS PAN'!I36-VLOOKUP('FLUXO DE CAIXA DESC.-SEM MULT.'!$D36,'CAPEX - BLOCOS PAN S- MULT.'!$C$3:$I$52,7,FALSE))*J$57</f>
        <v>-29844981.901080176</v>
      </c>
      <c r="K36" s="1">
        <f>('RECEITAS - BLOCOS PAN'!J36-'OPEX - BLOCOS PAN'!J36-VLOOKUP('FLUXO DE CAIXA DESC.-SEM MULT.'!$D36,'CAPEX - BLOCOS PAN S- MULT.'!$C$3:$J$52,8,FALSE))*K$57</f>
        <v>-28065887.953422442</v>
      </c>
      <c r="L36" s="1">
        <f>('RECEITAS - BLOCOS PAN'!K36-'OPEX - BLOCOS PAN'!K36-VLOOKUP('FLUXO DE CAIXA DESC.-SEM MULT.'!$D36,'CAPEX - BLOCOS PAN S- MULT.'!$C$3:$K$52,9,FALSE))*L$57</f>
        <v>-2473039.0183988139</v>
      </c>
      <c r="M36" s="1">
        <f>('RECEITAS - BLOCOS PAN'!L36-'OPEX - BLOCOS PAN'!L36-VLOOKUP('FLUXO DE CAIXA DESC.-SEM MULT.'!$D36,'CAPEX - BLOCOS PAN S- MULT.'!$C$3:$L$52,10,FALSE))*M$57</f>
        <v>-2214575.8036806621</v>
      </c>
      <c r="N36" s="1">
        <f>('RECEITAS - BLOCOS PAN'!M36-'OPEX - BLOCOS PAN'!M36-VLOOKUP('FLUXO DE CAIXA DESC.-SEM MULT.'!$D36,'CAPEX - BLOCOS PAN S- MULT.'!$C$3:$M$52,11,FALSE))*N$57</f>
        <v>-1988285.8352788647</v>
      </c>
      <c r="O36" s="1">
        <f>('RECEITAS - BLOCOS PAN'!N36-'OPEX - BLOCOS PAN'!N36-VLOOKUP('FLUXO DE CAIXA DESC.-SEM MULT.'!$D36,'CAPEX - BLOCOS PAN S- MULT.'!$C$3:$N$52,12,FALSE))*O$57</f>
        <v>-1781591.3912951567</v>
      </c>
      <c r="P36" s="1">
        <f>('RECEITAS - BLOCOS PAN'!O36-'OPEX - BLOCOS PAN'!O36-VLOOKUP('FLUXO DE CAIXA DESC.-SEM MULT.'!$D36,'CAPEX - BLOCOS PAN S- MULT.'!$C$3:$O$52,13,FALSE))*P$57</f>
        <v>-1599422.3696401108</v>
      </c>
      <c r="Q36" s="1">
        <f>('RECEITAS - BLOCOS PAN'!P36-'OPEX - BLOCOS PAN'!P36-VLOOKUP('FLUXO DE CAIXA DESC.-SEM MULT.'!$D36,'CAPEX - BLOCOS PAN S- MULT.'!$C$3:$P$52,14,FALSE))*Q$57</f>
        <v>-1432471.8475895273</v>
      </c>
      <c r="R36" s="1">
        <f>('RECEITAS - BLOCOS PAN'!Q36-'OPEX - BLOCOS PAN'!Q36-VLOOKUP('FLUXO DE CAIXA DESC.-SEM MULT.'!$D36,'CAPEX - BLOCOS PAN S- MULT.'!$C$3:$Q$52,15,FALSE))*R$57</f>
        <v>-1286957.4106907626</v>
      </c>
      <c r="S36" s="1">
        <f>('RECEITAS - BLOCOS PAN'!R36-'OPEX - BLOCOS PAN'!R36-VLOOKUP('FLUXO DE CAIXA DESC.-SEM MULT.'!$D36,'CAPEX - BLOCOS PAN S- MULT.'!$C$3:$R$52,16,FALSE))*S$57</f>
        <v>-1154726.9120340548</v>
      </c>
      <c r="T36" s="1">
        <f>('RECEITAS - BLOCOS PAN'!S36-'OPEX - BLOCOS PAN'!S36-VLOOKUP('FLUXO DE CAIXA DESC.-SEM MULT.'!$D36,'CAPEX - BLOCOS PAN S- MULT.'!$C$3:$S$52,17,FALSE))*T$57</f>
        <v>-1037186.6521828671</v>
      </c>
      <c r="U36" s="1">
        <f>('RECEITAS - BLOCOS PAN'!T36-'OPEX - BLOCOS PAN'!T36-VLOOKUP('FLUXO DE CAIXA DESC.-SEM MULT.'!$D36,'CAPEX - BLOCOS PAN S- MULT.'!$C$3:$T$52,18,FALSE))*U$57</f>
        <v>-929830.49730736681</v>
      </c>
      <c r="V36" s="1">
        <f>('RECEITAS - BLOCOS PAN'!U36-'OPEX - BLOCOS PAN'!U36-VLOOKUP('FLUXO DE CAIXA DESC.-SEM MULT.'!$D36,'CAPEX - BLOCOS PAN S- MULT.'!$C$3:$U$52,19,FALSE))*V$57</f>
        <v>-834592.42591381015</v>
      </c>
      <c r="W36" s="1">
        <f>('RECEITAS - BLOCOS PAN'!V36-'OPEX - BLOCOS PAN'!V36-VLOOKUP('FLUXO DE CAIXA DESC.-SEM MULT.'!$D36,'CAPEX - BLOCOS PAN S- MULT.'!$C$3:$V$52,20,FALSE))*W$57</f>
        <v>-747348.4135424362</v>
      </c>
      <c r="X36" s="1">
        <f>('RECEITAS - BLOCOS PAN'!W36-'OPEX - BLOCOS PAN'!W36-VLOOKUP('FLUXO DE CAIXA DESC.-SEM MULT.'!$D36,'CAPEX - BLOCOS PAN S- MULT.'!$C$3:$W$52,21,FALSE))*X$57</f>
        <v>-670393.59954131988</v>
      </c>
      <c r="Y36" s="1">
        <f>('RECEITAS - BLOCOS PAN'!X36-'OPEX - BLOCOS PAN'!X36-VLOOKUP('FLUXO DE CAIXA DESC.-SEM MULT.'!$D36,'CAPEX - BLOCOS PAN S- MULT.'!$C$3:$X$52,22,FALSE))*Y$57</f>
        <v>-599856.46441521449</v>
      </c>
      <c r="Z36" s="1">
        <f>('RECEITAS - BLOCOS PAN'!Y36-'OPEX - BLOCOS PAN'!Y36-VLOOKUP('FLUXO DE CAIXA DESC.-SEM MULT.'!$D36,'CAPEX - BLOCOS PAN S- MULT.'!$C$3:$Y$52,23,FALSE))*Z$57</f>
        <v>-537749.84061907686</v>
      </c>
      <c r="AA36" s="1">
        <f>('RECEITAS - BLOCOS PAN'!Z36-'OPEX - BLOCOS PAN'!Z36-VLOOKUP('FLUXO DE CAIXA DESC.-SEM MULT.'!$D36,'CAPEX - BLOCOS PAN S- MULT.'!$C$3:$Z$52,24,FALSE))*AA$57</f>
        <v>-480568.2737400239</v>
      </c>
      <c r="AB36" s="1">
        <f>('RECEITAS - BLOCOS PAN'!AA36-'OPEX - BLOCOS PAN'!AA36-VLOOKUP('FLUXO DE CAIXA DESC.-SEM MULT.'!$D36,'CAPEX - BLOCOS PAN S- MULT.'!$C$3:$AA$52,25,FALSE))*AB$57</f>
        <v>-430609.56774259661</v>
      </c>
      <c r="AC36" s="1">
        <f>('RECEITAS - BLOCOS PAN'!AB36-'OPEX - BLOCOS PAN'!AB36-VLOOKUP('FLUXO DE CAIXA DESC.-SEM MULT.'!$D36,'CAPEX - BLOCOS PAN S- MULT.'!$C$3:$AB$52,26,FALSE))*AC$57</f>
        <v>-384562.97942054848</v>
      </c>
      <c r="AD36" s="1">
        <f>('RECEITAS - BLOCOS PAN'!AC36-'OPEX - BLOCOS PAN'!AC36-VLOOKUP('FLUXO DE CAIXA DESC.-SEM MULT.'!$D36,'CAPEX - BLOCOS PAN S- MULT.'!$C$3:$AC$52,27,FALSE))*AD$57</f>
        <v>-344351.04498769954</v>
      </c>
      <c r="AE36" s="1">
        <f>('RECEITAS - BLOCOS PAN'!AD36-'OPEX - BLOCOS PAN'!AD36-VLOOKUP('FLUXO DE CAIXA DESC.-SEM MULT.'!$D36,'CAPEX - BLOCOS PAN S- MULT.'!$C$3:$AD$52,28,FALSE))*AE$57</f>
        <v>-307007.86614399729</v>
      </c>
      <c r="AF36" s="1">
        <f>('RECEITAS - BLOCOS PAN'!AE36-'OPEX - BLOCOS PAN'!AE36-VLOOKUP('FLUXO DE CAIXA DESC.-SEM MULT.'!$D36,'CAPEX - BLOCOS PAN S- MULT.'!$C$3:$AE$52,29,FALSE))*AF$57</f>
        <v>-275757.99564612255</v>
      </c>
      <c r="AG36" s="1">
        <f>('RECEITAS - BLOCOS PAN'!AF36-'OPEX - BLOCOS PAN'!AF36-VLOOKUP('FLUXO DE CAIXA DESC.-SEM MULT.'!$D36,'CAPEX - BLOCOS PAN S- MULT.'!$C$3:$AF$52,30,FALSE))*AG$57</f>
        <v>-246582.91181935373</v>
      </c>
      <c r="AH36" s="1">
        <f>('RECEITAS - BLOCOS PAN'!AG36-'OPEX - BLOCOS PAN'!AG36-VLOOKUP('FLUXO DE CAIXA DESC.-SEM MULT.'!$D36,'CAPEX - BLOCOS PAN S- MULT.'!$C$3:$AG$52,31,FALSE))*AH$57</f>
        <v>-211178.78015991999</v>
      </c>
      <c r="AI36" s="1">
        <f>('RECEITAS - BLOCOS PAN'!AH36-'OPEX - BLOCOS PAN'!AH36-VLOOKUP('FLUXO DE CAIXA DESC.-SEM MULT.'!$D36,'CAPEX - BLOCOS PAN S- MULT.'!$C$3:$AH$52,32,FALSE))*AI$57</f>
        <v>-188121.16573994386</v>
      </c>
      <c r="AJ36" s="1">
        <f>('RECEITAS - BLOCOS PAN'!AI36-'OPEX - BLOCOS PAN'!AI36-VLOOKUP('FLUXO DE CAIXA DESC.-SEM MULT.'!$D36,'CAPEX - BLOCOS PAN S- MULT.'!$C$3:$AI$52,33,FALSE))*AJ$57</f>
        <v>-168560.11039934243</v>
      </c>
      <c r="AK36" s="1">
        <f>('RECEITAS - BLOCOS PAN'!AJ36-'OPEX - BLOCOS PAN'!AJ36-VLOOKUP('FLUXO DE CAIXA DESC.-SEM MULT.'!$D36,'CAPEX - BLOCOS PAN S- MULT.'!$C$3:$AJ$52,34,FALSE))*AK$57</f>
        <v>-150921.63360497338</v>
      </c>
      <c r="AL36" s="1">
        <f>('RECEITAS - BLOCOS PAN'!AK36-'OPEX - BLOCOS PAN'!AK36-VLOOKUP('FLUXO DE CAIXA DESC.-SEM MULT.'!$D36,'CAPEX - BLOCOS PAN S- MULT.'!$C$3:$AK$52,35,FALSE))*AL$57</f>
        <v>-135025.05192747017</v>
      </c>
      <c r="AM36" s="44">
        <f t="shared" si="0"/>
        <v>-113307833.28089795</v>
      </c>
      <c r="AN36">
        <v>1</v>
      </c>
      <c r="AO36" t="s">
        <v>391</v>
      </c>
      <c r="AP36">
        <v>-0.68333333333333335</v>
      </c>
      <c r="AQ36">
        <v>-47.333333333333336</v>
      </c>
      <c r="AR36" s="48">
        <f>VLOOKUP(D36,'Projeção - Demanda PAX'!$C$3:$H$37,6,FALSE)</f>
        <v>39679</v>
      </c>
      <c r="AS36" s="1">
        <f t="shared" si="1"/>
        <v>-108176585.99499036</v>
      </c>
      <c r="AT36" t="s">
        <v>396</v>
      </c>
    </row>
    <row r="37" spans="1:46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258</v>
      </c>
      <c r="H37" t="s">
        <v>33</v>
      </c>
      <c r="I37" s="1">
        <f>('RECEITAS - BLOCOS PAN'!H37-'OPEX - BLOCOS PAN'!H37-VLOOKUP('FLUXO DE CAIXA DESC.-SEM MULT.'!$D37,'CAPEX - BLOCOS PAN S- MULT.'!$C$3:$H$52,6,FALSE))*I$57</f>
        <v>-21484986.270833332</v>
      </c>
      <c r="J37" s="1">
        <f>('RECEITAS - BLOCOS PAN'!I37-'OPEX - BLOCOS PAN'!I37-VLOOKUP('FLUXO DE CAIXA DESC.-SEM MULT.'!$D37,'CAPEX - BLOCOS PAN S- MULT.'!$C$3:$I$52,7,FALSE))*J$57</f>
        <v>-19478858.632253159</v>
      </c>
      <c r="K37" s="1">
        <f>('RECEITAS - BLOCOS PAN'!J37-'OPEX - BLOCOS PAN'!J37-VLOOKUP('FLUXO DE CAIXA DESC.-SEM MULT.'!$D37,'CAPEX - BLOCOS PAN S- MULT.'!$C$3:$J$52,8,FALSE))*K$57</f>
        <v>-17683601.268733975</v>
      </c>
      <c r="L37" s="1">
        <f>('RECEITAS - BLOCOS PAN'!K37-'OPEX - BLOCOS PAN'!K37-VLOOKUP('FLUXO DE CAIXA DESC.-SEM MULT.'!$D37,'CAPEX - BLOCOS PAN S- MULT.'!$C$3:$K$52,9,FALSE))*L$57</f>
        <v>-2411759.9637261597</v>
      </c>
      <c r="M37" s="1">
        <f>('RECEITAS - BLOCOS PAN'!L37-'OPEX - BLOCOS PAN'!L37-VLOOKUP('FLUXO DE CAIXA DESC.-SEM MULT.'!$D37,'CAPEX - BLOCOS PAN S- MULT.'!$C$3:$L$52,10,FALSE))*M$57</f>
        <v>-2148564.1007167799</v>
      </c>
      <c r="N37" s="1">
        <f>('RECEITAS - BLOCOS PAN'!M37-'OPEX - BLOCOS PAN'!M37-VLOOKUP('FLUXO DE CAIXA DESC.-SEM MULT.'!$D37,'CAPEX - BLOCOS PAN S- MULT.'!$C$3:$M$52,11,FALSE))*N$57</f>
        <v>-1916415.3021760692</v>
      </c>
      <c r="O37" s="1">
        <f>('RECEITAS - BLOCOS PAN'!N37-'OPEX - BLOCOS PAN'!N37-VLOOKUP('FLUXO DE CAIXA DESC.-SEM MULT.'!$D37,'CAPEX - BLOCOS PAN S- MULT.'!$C$3:$N$52,12,FALSE))*O$57</f>
        <v>-1710653.4217635007</v>
      </c>
      <c r="P37" s="1">
        <f>('RECEITAS - BLOCOS PAN'!O37-'OPEX - BLOCOS PAN'!O37-VLOOKUP('FLUXO DE CAIXA DESC.-SEM MULT.'!$D37,'CAPEX - BLOCOS PAN S- MULT.'!$C$3:$O$52,13,FALSE))*P$57</f>
        <v>-1525598.1907270248</v>
      </c>
      <c r="Q37" s="1">
        <f>('RECEITAS - BLOCOS PAN'!P37-'OPEX - BLOCOS PAN'!P37-VLOOKUP('FLUXO DE CAIXA DESC.-SEM MULT.'!$D37,'CAPEX - BLOCOS PAN S- MULT.'!$C$3:$P$52,14,FALSE))*Q$57</f>
        <v>-1361852.6285783502</v>
      </c>
      <c r="R37" s="1">
        <f>('RECEITAS - BLOCOS PAN'!Q37-'OPEX - BLOCOS PAN'!Q37-VLOOKUP('FLUXO DE CAIXA DESC.-SEM MULT.'!$D37,'CAPEX - BLOCOS PAN S- MULT.'!$C$3:$Q$52,15,FALSE))*R$57</f>
        <v>-1217553.8805476949</v>
      </c>
      <c r="S37" s="1">
        <f>('RECEITAS - BLOCOS PAN'!R37-'OPEX - BLOCOS PAN'!R37-VLOOKUP('FLUXO DE CAIXA DESC.-SEM MULT.'!$D37,'CAPEX - BLOCOS PAN S- MULT.'!$C$3:$R$52,16,FALSE))*S$57</f>
        <v>-1088720.3928783454</v>
      </c>
      <c r="T37" s="1">
        <f>('RECEITAS - BLOCOS PAN'!S37-'OPEX - BLOCOS PAN'!S37-VLOOKUP('FLUXO DE CAIXA DESC.-SEM MULT.'!$D37,'CAPEX - BLOCOS PAN S- MULT.'!$C$3:$S$52,17,FALSE))*T$57</f>
        <v>-974151.65104953898</v>
      </c>
      <c r="U37" s="1">
        <f>('RECEITAS - BLOCOS PAN'!T37-'OPEX - BLOCOS PAN'!T37-VLOOKUP('FLUXO DE CAIXA DESC.-SEM MULT.'!$D37,'CAPEX - BLOCOS PAN S- MULT.'!$C$3:$T$52,18,FALSE))*U$57</f>
        <v>-870722.696353195</v>
      </c>
      <c r="V37" s="1">
        <f>('RECEITAS - BLOCOS PAN'!U37-'OPEX - BLOCOS PAN'!U37-VLOOKUP('FLUXO DE CAIXA DESC.-SEM MULT.'!$D37,'CAPEX - BLOCOS PAN S- MULT.'!$C$3:$U$52,19,FALSE))*V$57</f>
        <v>-777574.39254077652</v>
      </c>
      <c r="W37" s="1">
        <f>('RECEITAS - BLOCOS PAN'!V37-'OPEX - BLOCOS PAN'!V37-VLOOKUP('FLUXO DE CAIXA DESC.-SEM MULT.'!$D37,'CAPEX - BLOCOS PAN S- MULT.'!$C$3:$V$52,20,FALSE))*W$57</f>
        <v>-693960.61224158423</v>
      </c>
      <c r="X37" s="1">
        <f>('RECEITAS - BLOCOS PAN'!W37-'OPEX - BLOCOS PAN'!W37-VLOOKUP('FLUXO DE CAIXA DESC.-SEM MULT.'!$D37,'CAPEX - BLOCOS PAN S- MULT.'!$C$3:$W$52,21,FALSE))*X$57</f>
        <v>-619187.42217463569</v>
      </c>
      <c r="Y37" s="1">
        <f>('RECEITAS - BLOCOS PAN'!X37-'OPEX - BLOCOS PAN'!X37-VLOOKUP('FLUXO DE CAIXA DESC.-SEM MULT.'!$D37,'CAPEX - BLOCOS PAN S- MULT.'!$C$3:$X$52,22,FALSE))*Y$57</f>
        <v>-552229.63281368639</v>
      </c>
      <c r="Z37" s="1">
        <f>('RECEITAS - BLOCOS PAN'!Y37-'OPEX - BLOCOS PAN'!Y37-VLOOKUP('FLUXO DE CAIXA DESC.-SEM MULT.'!$D37,'CAPEX - BLOCOS PAN S- MULT.'!$C$3:$Y$52,23,FALSE))*Z$57</f>
        <v>-491870.19618843752</v>
      </c>
      <c r="AA37" s="1">
        <f>('RECEITAS - BLOCOS PAN'!Z37-'OPEX - BLOCOS PAN'!Z37-VLOOKUP('FLUXO DE CAIXA DESC.-SEM MULT.'!$D37,'CAPEX - BLOCOS PAN S- MULT.'!$C$3:$Z$52,24,FALSE))*AA$57</f>
        <v>-438149.52386021696</v>
      </c>
      <c r="AB37" s="1">
        <f>('RECEITAS - BLOCOS PAN'!AA37-'OPEX - BLOCOS PAN'!AA37-VLOOKUP('FLUXO DE CAIXA DESC.-SEM MULT.'!$D37,'CAPEX - BLOCOS PAN S- MULT.'!$C$3:$AA$52,25,FALSE))*AB$57</f>
        <v>-389376.03927111044</v>
      </c>
      <c r="AC37" s="1">
        <f>('RECEITAS - BLOCOS PAN'!AB37-'OPEX - BLOCOS PAN'!AB37-VLOOKUP('FLUXO DE CAIXA DESC.-SEM MULT.'!$D37,'CAPEX - BLOCOS PAN S- MULT.'!$C$3:$AB$52,26,FALSE))*AC$57</f>
        <v>-346282.97334483231</v>
      </c>
      <c r="AD37" s="1">
        <f>('RECEITAS - BLOCOS PAN'!AC37-'OPEX - BLOCOS PAN'!AC37-VLOOKUP('FLUXO DE CAIXA DESC.-SEM MULT.'!$D37,'CAPEX - BLOCOS PAN S- MULT.'!$C$3:$AC$52,27,FALSE))*AD$57</f>
        <v>-307638.38305029873</v>
      </c>
      <c r="AE37" s="1">
        <f>('RECEITAS - BLOCOS PAN'!AD37-'OPEX - BLOCOS PAN'!AD37-VLOOKUP('FLUXO DE CAIXA DESC.-SEM MULT.'!$D37,'CAPEX - BLOCOS PAN S- MULT.'!$C$3:$AD$52,28,FALSE))*AE$57</f>
        <v>-272776.91620370711</v>
      </c>
      <c r="AF37" s="1">
        <f>('RECEITAS - BLOCOS PAN'!AE37-'OPEX - BLOCOS PAN'!AE37-VLOOKUP('FLUXO DE CAIXA DESC.-SEM MULT.'!$D37,'CAPEX - BLOCOS PAN S- MULT.'!$C$3:$AE$52,29,FALSE))*AF$57</f>
        <v>-242481.8208761203</v>
      </c>
      <c r="AG37" s="1">
        <f>('RECEITAS - BLOCOS PAN'!AF37-'OPEX - BLOCOS PAN'!AF37-VLOOKUP('FLUXO DE CAIXA DESC.-SEM MULT.'!$D37,'CAPEX - BLOCOS PAN S- MULT.'!$C$3:$AF$52,30,FALSE))*AG$57</f>
        <v>-215111.09005487451</v>
      </c>
      <c r="AH37" s="1">
        <f>('RECEITAS - BLOCOS PAN'!AG37-'OPEX - BLOCOS PAN'!AG37-VLOOKUP('FLUXO DE CAIXA DESC.-SEM MULT.'!$D37,'CAPEX - BLOCOS PAN S- MULT.'!$C$3:$AG$52,31,FALSE))*AH$57</f>
        <v>-190854.93033368027</v>
      </c>
      <c r="AI37" s="1">
        <f>('RECEITAS - BLOCOS PAN'!AH37-'OPEX - BLOCOS PAN'!AH37-VLOOKUP('FLUXO DE CAIXA DESC.-SEM MULT.'!$D37,'CAPEX - BLOCOS PAN S- MULT.'!$C$3:$AH$52,32,FALSE))*AI$57</f>
        <v>-169228.85842499489</v>
      </c>
      <c r="AJ37" s="1">
        <f>('RECEITAS - BLOCOS PAN'!AI37-'OPEX - BLOCOS PAN'!AI37-VLOOKUP('FLUXO DE CAIXA DESC.-SEM MULT.'!$D37,'CAPEX - BLOCOS PAN S- MULT.'!$C$3:$AI$52,33,FALSE))*AJ$57</f>
        <v>-149851.91406607156</v>
      </c>
      <c r="AK37" s="1">
        <f>('RECEITAS - BLOCOS PAN'!AJ37-'OPEX - BLOCOS PAN'!AJ37-VLOOKUP('FLUXO DE CAIXA DESC.-SEM MULT.'!$D37,'CAPEX - BLOCOS PAN S- MULT.'!$C$3:$AJ$52,34,FALSE))*AK$57</f>
        <v>-132498.80326637786</v>
      </c>
      <c r="AL37" s="1">
        <f>('RECEITAS - BLOCOS PAN'!AK37-'OPEX - BLOCOS PAN'!AK37-VLOOKUP('FLUXO DE CAIXA DESC.-SEM MULT.'!$D37,'CAPEX - BLOCOS PAN S- MULT.'!$C$3:$AK$52,35,FALSE))*AL$57</f>
        <v>-116954.92638895384</v>
      </c>
      <c r="AM37" s="44">
        <f t="shared" si="0"/>
        <v>-79979466.835437447</v>
      </c>
      <c r="AN37">
        <v>0</v>
      </c>
      <c r="AO37" t="s">
        <v>310</v>
      </c>
      <c r="AP37">
        <v>-2.75</v>
      </c>
      <c r="AQ37">
        <v>-42.8</v>
      </c>
      <c r="AR37" s="48">
        <f>VLOOKUP(D37,'Projeção - Demanda PAX'!$C$3:$H$37,6,FALSE)</f>
        <v>72847</v>
      </c>
      <c r="AS37" s="1">
        <f t="shared" si="1"/>
        <v>-75344973.405119464</v>
      </c>
      <c r="AT37" t="s">
        <v>387</v>
      </c>
    </row>
    <row r="38" spans="1:46" x14ac:dyDescent="0.35">
      <c r="A38" t="s">
        <v>53</v>
      </c>
      <c r="B38" s="5" t="s">
        <v>266</v>
      </c>
      <c r="C38">
        <v>150375</v>
      </c>
      <c r="D38" t="s">
        <v>289</v>
      </c>
      <c r="E38" t="s">
        <v>228</v>
      </c>
      <c r="F38" t="s">
        <v>29</v>
      </c>
      <c r="G38" t="s">
        <v>259</v>
      </c>
      <c r="H38" t="s">
        <v>33</v>
      </c>
      <c r="I38" s="1">
        <f>('RECEITAS - BLOCOS PAN'!H38-'OPEX - BLOCOS PAN'!H38-VLOOKUP('FLUXO DE CAIXA DESC.-SEM MULT.'!$D38,'CAPEX - BLOCOS PAN S- MULT.'!$C$3:$H$52,6,FALSE))*I$57</f>
        <v>-9613105.0458765682</v>
      </c>
      <c r="J38" s="1">
        <f>('RECEITAS - BLOCOS PAN'!I38-'OPEX - BLOCOS PAN'!I38-VLOOKUP('FLUXO DE CAIXA DESC.-SEM MULT.'!$D38,'CAPEX - BLOCOS PAN S- MULT.'!$C$3:$I$52,7,FALSE))*J$57</f>
        <v>-8775084.4782077298</v>
      </c>
      <c r="K38" s="1">
        <f>('RECEITAS - BLOCOS PAN'!J38-'OPEX - BLOCOS PAN'!J38-VLOOKUP('FLUXO DE CAIXA DESC.-SEM MULT.'!$D38,'CAPEX - BLOCOS PAN S- MULT.'!$C$3:$J$52,8,FALSE))*K$57</f>
        <v>-8010118.1909700874</v>
      </c>
      <c r="L38" s="1">
        <f>('RECEITAS - BLOCOS PAN'!K38-'OPEX - BLOCOS PAN'!K38-VLOOKUP('FLUXO DE CAIXA DESC.-SEM MULT.'!$D38,'CAPEX - BLOCOS PAN S- MULT.'!$C$3:$K$52,9,FALSE))*L$57</f>
        <v>-256515.83224967206</v>
      </c>
      <c r="M38" s="1">
        <f>('RECEITAS - BLOCOS PAN'!L38-'OPEX - BLOCOS PAN'!L38-VLOOKUP('FLUXO DE CAIXA DESC.-SEM MULT.'!$D38,'CAPEX - BLOCOS PAN S- MULT.'!$C$3:$L$52,10,FALSE))*M$57</f>
        <v>-234154.11433105622</v>
      </c>
      <c r="N38" s="1">
        <f>('RECEITAS - BLOCOS PAN'!M38-'OPEX - BLOCOS PAN'!M38-VLOOKUP('FLUXO DE CAIXA DESC.-SEM MULT.'!$D38,'CAPEX - BLOCOS PAN S- MULT.'!$C$3:$M$52,11,FALSE))*N$57</f>
        <v>-213741.77483437353</v>
      </c>
      <c r="O38" s="1">
        <f>('RECEITAS - BLOCOS PAN'!N38-'OPEX - BLOCOS PAN'!N38-VLOOKUP('FLUXO DE CAIXA DESC.-SEM MULT.'!$D38,'CAPEX - BLOCOS PAN S- MULT.'!$C$3:$N$52,12,FALSE))*O$57</f>
        <v>-195108.87707382342</v>
      </c>
      <c r="P38" s="1">
        <f>('RECEITAS - BLOCOS PAN'!O38-'OPEX - BLOCOS PAN'!O38-VLOOKUP('FLUXO DE CAIXA DESC.-SEM MULT.'!$D38,'CAPEX - BLOCOS PAN S- MULT.'!$C$3:$O$52,13,FALSE))*P$57</f>
        <v>-178100.29856122631</v>
      </c>
      <c r="Q38" s="1">
        <f>('RECEITAS - BLOCOS PAN'!P38-'OPEX - BLOCOS PAN'!P38-VLOOKUP('FLUXO DE CAIXA DESC.-SEM MULT.'!$D38,'CAPEX - BLOCOS PAN S- MULT.'!$C$3:$P$52,14,FALSE))*Q$57</f>
        <v>-162574.43958121983</v>
      </c>
      <c r="R38" s="1">
        <f>('RECEITAS - BLOCOS PAN'!Q38-'OPEX - BLOCOS PAN'!Q38-VLOOKUP('FLUXO DE CAIXA DESC.-SEM MULT.'!$D38,'CAPEX - BLOCOS PAN S- MULT.'!$C$3:$Q$52,15,FALSE))*R$57</f>
        <v>-148402.04434616142</v>
      </c>
      <c r="S38" s="1">
        <f>('RECEITAS - BLOCOS PAN'!R38-'OPEX - BLOCOS PAN'!R38-VLOOKUP('FLUXO DE CAIXA DESC.-SEM MULT.'!$D38,'CAPEX - BLOCOS PAN S- MULT.'!$C$3:$R$52,16,FALSE))*S$57</f>
        <v>-135465.12491662387</v>
      </c>
      <c r="T38" s="1">
        <f>('RECEITAS - BLOCOS PAN'!S38-'OPEX - BLOCOS PAN'!S38-VLOOKUP('FLUXO DE CAIXA DESC.-SEM MULT.'!$D38,'CAPEX - BLOCOS PAN S- MULT.'!$C$3:$S$52,17,FALSE))*T$57</f>
        <v>-123655.97892891271</v>
      </c>
      <c r="U38" s="1">
        <f>('RECEITAS - BLOCOS PAN'!T38-'OPEX - BLOCOS PAN'!T38-VLOOKUP('FLUXO DE CAIXA DESC.-SEM MULT.'!$D38,'CAPEX - BLOCOS PAN S- MULT.'!$C$3:$T$52,18,FALSE))*U$57</f>
        <v>-112876.29295199701</v>
      </c>
      <c r="V38" s="1">
        <f>('RECEITAS - BLOCOS PAN'!U38-'OPEX - BLOCOS PAN'!U38-VLOOKUP('FLUXO DE CAIXA DESC.-SEM MULT.'!$D38,'CAPEX - BLOCOS PAN S- MULT.'!$C$3:$U$52,19,FALSE))*V$57</f>
        <v>-103036.32400912551</v>
      </c>
      <c r="W38" s="1">
        <f>('RECEITAS - BLOCOS PAN'!V38-'OPEX - BLOCOS PAN'!V38-VLOOKUP('FLUXO DE CAIXA DESC.-SEM MULT.'!$D38,'CAPEX - BLOCOS PAN S- MULT.'!$C$3:$V$52,20,FALSE))*W$57</f>
        <v>-94054.152450137379</v>
      </c>
      <c r="X38" s="1">
        <f>('RECEITAS - BLOCOS PAN'!W38-'OPEX - BLOCOS PAN'!W38-VLOOKUP('FLUXO DE CAIXA DESC.-SEM MULT.'!$D38,'CAPEX - BLOCOS PAN S- MULT.'!$C$3:$W$52,21,FALSE))*X$57</f>
        <v>-85854.999954484156</v>
      </c>
      <c r="Y38" s="1">
        <f>('RECEITAS - BLOCOS PAN'!X38-'OPEX - BLOCOS PAN'!X38-VLOOKUP('FLUXO DE CAIXA DESC.-SEM MULT.'!$D38,'CAPEX - BLOCOS PAN S- MULT.'!$C$3:$X$52,22,FALSE))*Y$57</f>
        <v>-78370.606987205989</v>
      </c>
      <c r="Z38" s="1">
        <f>('RECEITAS - BLOCOS PAN'!Y38-'OPEX - BLOCOS PAN'!Y38-VLOOKUP('FLUXO DE CAIXA DESC.-SEM MULT.'!$D38,'CAPEX - BLOCOS PAN S- MULT.'!$C$3:$Y$52,23,FALSE))*Z$57</f>
        <v>-71538.664525062515</v>
      </c>
      <c r="AA38" s="1">
        <f>('RECEITAS - BLOCOS PAN'!Z38-'OPEX - BLOCOS PAN'!Z38-VLOOKUP('FLUXO DE CAIXA DESC.-SEM MULT.'!$D38,'CAPEX - BLOCOS PAN S- MULT.'!$C$3:$Z$52,24,FALSE))*AA$57</f>
        <v>-65302.295321827965</v>
      </c>
      <c r="AB38" s="1">
        <f>('RECEITAS - BLOCOS PAN'!AA38-'OPEX - BLOCOS PAN'!AA38-VLOOKUP('FLUXO DE CAIXA DESC.-SEM MULT.'!$D38,'CAPEX - BLOCOS PAN S- MULT.'!$C$3:$AA$52,25,FALSE))*AB$57</f>
        <v>-59609.580394183446</v>
      </c>
      <c r="AC38" s="1">
        <f>('RECEITAS - BLOCOS PAN'!AB38-'OPEX - BLOCOS PAN'!AB38-VLOOKUP('FLUXO DE CAIXA DESC.-SEM MULT.'!$D38,'CAPEX - BLOCOS PAN S- MULT.'!$C$3:$AB$52,26,FALSE))*AC$57</f>
        <v>-54413.126786109948</v>
      </c>
      <c r="AD38" s="1">
        <f>('RECEITAS - BLOCOS PAN'!AC38-'OPEX - BLOCOS PAN'!AC38-VLOOKUP('FLUXO DE CAIXA DESC.-SEM MULT.'!$D38,'CAPEX - BLOCOS PAN S- MULT.'!$C$3:$AC$52,27,FALSE))*AD$57</f>
        <v>-49669.673013336331</v>
      </c>
      <c r="AE38" s="1">
        <f>('RECEITAS - BLOCOS PAN'!AD38-'OPEX - BLOCOS PAN'!AD38-VLOOKUP('FLUXO DE CAIXA DESC.-SEM MULT.'!$D38,'CAPEX - BLOCOS PAN S- MULT.'!$C$3:$AD$52,28,FALSE))*AE$57</f>
        <v>-45339.728903091127</v>
      </c>
      <c r="AF38" s="1">
        <f>('RECEITAS - BLOCOS PAN'!AE38-'OPEX - BLOCOS PAN'!AE38-VLOOKUP('FLUXO DE CAIXA DESC.-SEM MULT.'!$D38,'CAPEX - BLOCOS PAN S- MULT.'!$C$3:$AE$52,29,FALSE))*AF$57</f>
        <v>-41387.246830754113</v>
      </c>
      <c r="AG38" s="1">
        <f>('RECEITAS - BLOCOS PAN'!AF38-'OPEX - BLOCOS PAN'!AF38-VLOOKUP('FLUXO DE CAIXA DESC.-SEM MULT.'!$D38,'CAPEX - BLOCOS PAN S- MULT.'!$C$3:$AF$52,30,FALSE))*AG$57</f>
        <v>-37779.321616388974</v>
      </c>
      <c r="AH38" s="1">
        <f>('RECEITAS - BLOCOS PAN'!AG38-'OPEX - BLOCOS PAN'!AG38-VLOOKUP('FLUXO DE CAIXA DESC.-SEM MULT.'!$D38,'CAPEX - BLOCOS PAN S- MULT.'!$C$3:$AG$52,31,FALSE))*AH$57</f>
        <v>-34485.91658273754</v>
      </c>
      <c r="AI38" s="1">
        <f>('RECEITAS - BLOCOS PAN'!AH38-'OPEX - BLOCOS PAN'!AH38-VLOOKUP('FLUXO DE CAIXA DESC.-SEM MULT.'!$D38,'CAPEX - BLOCOS PAN S- MULT.'!$C$3:$AH$52,32,FALSE))*AI$57</f>
        <v>-31479.613494055258</v>
      </c>
      <c r="AJ38" s="1">
        <f>('RECEITAS - BLOCOS PAN'!AI38-'OPEX - BLOCOS PAN'!AI38-VLOOKUP('FLUXO DE CAIXA DESC.-SEM MULT.'!$D38,'CAPEX - BLOCOS PAN S- MULT.'!$C$3:$AI$52,33,FALSE))*AJ$57</f>
        <v>-28735.384293980162</v>
      </c>
      <c r="AK38" s="1">
        <f>('RECEITAS - BLOCOS PAN'!AJ38-'OPEX - BLOCOS PAN'!AJ38-VLOOKUP('FLUXO DE CAIXA DESC.-SEM MULT.'!$D38,'CAPEX - BLOCOS PAN S- MULT.'!$C$3:$AJ$52,34,FALSE))*AK$57</f>
        <v>-26230.38274210877</v>
      </c>
      <c r="AL38" s="1">
        <f>('RECEITAS - BLOCOS PAN'!AK38-'OPEX - BLOCOS PAN'!AK38-VLOOKUP('FLUXO DE CAIXA DESC.-SEM MULT.'!$D38,'CAPEX - BLOCOS PAN S- MULT.'!$C$3:$AK$52,35,FALSE))*AL$57</f>
        <v>-23943.754214613207</v>
      </c>
      <c r="AM38" s="44">
        <f t="shared" si="0"/>
        <v>-29090133.264948647</v>
      </c>
      <c r="AN38">
        <v>1</v>
      </c>
      <c r="AO38" t="s">
        <v>309</v>
      </c>
      <c r="AP38">
        <v>-6.2333333333333334</v>
      </c>
      <c r="AQ38">
        <v>-57.766666666666666</v>
      </c>
      <c r="AR38" s="48">
        <v>0</v>
      </c>
      <c r="AS38" s="1">
        <f t="shared" si="1"/>
        <v>-28355992.969288711</v>
      </c>
      <c r="AT38" t="s">
        <v>384</v>
      </c>
    </row>
    <row r="39" spans="1:46" x14ac:dyDescent="0.35">
      <c r="A39" t="s">
        <v>86</v>
      </c>
      <c r="B39" s="5" t="s">
        <v>268</v>
      </c>
      <c r="C39">
        <v>130390</v>
      </c>
      <c r="D39" t="s">
        <v>290</v>
      </c>
      <c r="E39" t="s">
        <v>232</v>
      </c>
      <c r="F39" t="s">
        <v>35</v>
      </c>
      <c r="G39" t="s">
        <v>259</v>
      </c>
      <c r="H39" t="s">
        <v>33</v>
      </c>
      <c r="I39" s="1">
        <f>('RECEITAS - BLOCOS PAN'!H39-'OPEX - BLOCOS PAN'!H39-VLOOKUP('FLUXO DE CAIXA DESC.-SEM MULT.'!$D39,'CAPEX - BLOCOS PAN S- MULT.'!$C$3:$H$52,6,FALSE))*I$57</f>
        <v>-5678997.9244830916</v>
      </c>
      <c r="J39" s="1">
        <f>('RECEITAS - BLOCOS PAN'!I39-'OPEX - BLOCOS PAN'!I39-VLOOKUP('FLUXO DE CAIXA DESC.-SEM MULT.'!$D39,'CAPEX - BLOCOS PAN S- MULT.'!$C$3:$I$52,7,FALSE))*J$57</f>
        <v>-5183932.3820019094</v>
      </c>
      <c r="K39" s="1">
        <f>('RECEITAS - BLOCOS PAN'!J39-'OPEX - BLOCOS PAN'!J39-VLOOKUP('FLUXO DE CAIXA DESC.-SEM MULT.'!$D39,'CAPEX - BLOCOS PAN S- MULT.'!$C$3:$J$52,8,FALSE))*K$57</f>
        <v>-4732024.0821560109</v>
      </c>
      <c r="L39" s="1">
        <f>('RECEITAS - BLOCOS PAN'!K39-'OPEX - BLOCOS PAN'!K39-VLOOKUP('FLUXO DE CAIXA DESC.-SEM MULT.'!$D39,'CAPEX - BLOCOS PAN S- MULT.'!$C$3:$K$52,9,FALSE))*L$57</f>
        <v>-445754.59685049282</v>
      </c>
      <c r="M39" s="1">
        <f>('RECEITAS - BLOCOS PAN'!L39-'OPEX - BLOCOS PAN'!L39-VLOOKUP('FLUXO DE CAIXA DESC.-SEM MULT.'!$D39,'CAPEX - BLOCOS PAN S- MULT.'!$C$3:$L$52,10,FALSE))*M$57</f>
        <v>-406896.0263354567</v>
      </c>
      <c r="N39" s="1">
        <f>('RECEITAS - BLOCOS PAN'!M39-'OPEX - BLOCOS PAN'!M39-VLOOKUP('FLUXO DE CAIXA DESC.-SEM MULT.'!$D39,'CAPEX - BLOCOS PAN S- MULT.'!$C$3:$M$52,11,FALSE))*N$57</f>
        <v>-371424.94416746392</v>
      </c>
      <c r="O39" s="1">
        <f>('RECEITAS - BLOCOS PAN'!N39-'OPEX - BLOCOS PAN'!N39-VLOOKUP('FLUXO DE CAIXA DESC.-SEM MULT.'!$D39,'CAPEX - BLOCOS PAN S- MULT.'!$C$3:$N$52,12,FALSE))*O$57</f>
        <v>-339046.04670695018</v>
      </c>
      <c r="P39" s="1">
        <f>('RECEITAS - BLOCOS PAN'!O39-'OPEX - BLOCOS PAN'!O39-VLOOKUP('FLUXO DE CAIXA DESC.-SEM MULT.'!$D39,'CAPEX - BLOCOS PAN S- MULT.'!$C$3:$O$52,13,FALSE))*P$57</f>
        <v>-309489.77335184865</v>
      </c>
      <c r="Q39" s="1">
        <f>('RECEITAS - BLOCOS PAN'!P39-'OPEX - BLOCOS PAN'!P39-VLOOKUP('FLUXO DE CAIXA DESC.-SEM MULT.'!$D39,'CAPEX - BLOCOS PAN S- MULT.'!$C$3:$P$52,14,FALSE))*Q$57</f>
        <v>-282510.06239328953</v>
      </c>
      <c r="R39" s="1">
        <f>('RECEITAS - BLOCOS PAN'!Q39-'OPEX - BLOCOS PAN'!Q39-VLOOKUP('FLUXO DE CAIXA DESC.-SEM MULT.'!$D39,'CAPEX - BLOCOS PAN S- MULT.'!$C$3:$Q$52,15,FALSE))*R$57</f>
        <v>-257882.30250414379</v>
      </c>
      <c r="S39" s="1">
        <f>('RECEITAS - BLOCOS PAN'!R39-'OPEX - BLOCOS PAN'!R39-VLOOKUP('FLUXO DE CAIXA DESC.-SEM MULT.'!$D39,'CAPEX - BLOCOS PAN S- MULT.'!$C$3:$R$52,16,FALSE))*S$57</f>
        <v>-235401.46280615596</v>
      </c>
      <c r="T39" s="1">
        <f>('RECEITAS - BLOCOS PAN'!S39-'OPEX - BLOCOS PAN'!S39-VLOOKUP('FLUXO DE CAIXA DESC.-SEM MULT.'!$D39,'CAPEX - BLOCOS PAN S- MULT.'!$C$3:$S$52,17,FALSE))*T$57</f>
        <v>-214880.38594811133</v>
      </c>
      <c r="U39" s="1">
        <f>('RECEITAS - BLOCOS PAN'!T39-'OPEX - BLOCOS PAN'!T39-VLOOKUP('FLUXO DE CAIXA DESC.-SEM MULT.'!$D39,'CAPEX - BLOCOS PAN S- MULT.'!$C$3:$T$52,18,FALSE))*U$57</f>
        <v>-196148.2299845836</v>
      </c>
      <c r="V39" s="1">
        <f>('RECEITAS - BLOCOS PAN'!U39-'OPEX - BLOCOS PAN'!U39-VLOOKUP('FLUXO DE CAIXA DESC.-SEM MULT.'!$D39,'CAPEX - BLOCOS PAN S- MULT.'!$C$3:$U$52,19,FALSE))*V$57</f>
        <v>-179049.04608359982</v>
      </c>
      <c r="W39" s="1">
        <f>('RECEITAS - BLOCOS PAN'!V39-'OPEX - BLOCOS PAN'!V39-VLOOKUP('FLUXO DE CAIXA DESC.-SEM MULT.'!$D39,'CAPEX - BLOCOS PAN S- MULT.'!$C$3:$V$52,20,FALSE))*W$57</f>
        <v>-163440.48022236404</v>
      </c>
      <c r="X39" s="1">
        <f>('RECEITAS - BLOCOS PAN'!W39-'OPEX - BLOCOS PAN'!W39-VLOOKUP('FLUXO DE CAIXA DESC.-SEM MULT.'!$D39,'CAPEX - BLOCOS PAN S- MULT.'!$C$3:$W$52,21,FALSE))*X$57</f>
        <v>-149192.58806240442</v>
      </c>
      <c r="Y39" s="1">
        <f>('RECEITAS - BLOCOS PAN'!X39-'OPEX - BLOCOS PAN'!X39-VLOOKUP('FLUXO DE CAIXA DESC.-SEM MULT.'!$D39,'CAPEX - BLOCOS PAN S- MULT.'!$C$3:$X$52,22,FALSE))*Y$57</f>
        <v>-136186.75313774939</v>
      </c>
      <c r="Z39" s="1">
        <f>('RECEITAS - BLOCOS PAN'!Y39-'OPEX - BLOCOS PAN'!Y39-VLOOKUP('FLUXO DE CAIXA DESC.-SEM MULT.'!$D39,'CAPEX - BLOCOS PAN S- MULT.'!$C$3:$Y$52,23,FALSE))*Z$57</f>
        <v>-124314.69934983969</v>
      </c>
      <c r="AA39" s="1">
        <f>('RECEITAS - BLOCOS PAN'!Z39-'OPEX - BLOCOS PAN'!Z39-VLOOKUP('FLUXO DE CAIXA DESC.-SEM MULT.'!$D39,'CAPEX - BLOCOS PAN S- MULT.'!$C$3:$Z$52,24,FALSE))*AA$57</f>
        <v>-113477.58954800523</v>
      </c>
      <c r="AB39" s="1">
        <f>('RECEITAS - BLOCOS PAN'!AA39-'OPEX - BLOCOS PAN'!AA39-VLOOKUP('FLUXO DE CAIXA DESC.-SEM MULT.'!$D39,'CAPEX - BLOCOS PAN S- MULT.'!$C$3:$AA$52,25,FALSE))*AB$57</f>
        <v>-103585.20269101343</v>
      </c>
      <c r="AC39" s="1">
        <f>('RECEITAS - BLOCOS PAN'!AB39-'OPEX - BLOCOS PAN'!AB39-VLOOKUP('FLUXO DE CAIXA DESC.-SEM MULT.'!$D39,'CAPEX - BLOCOS PAN S- MULT.'!$C$3:$AB$52,26,FALSE))*AC$57</f>
        <v>-94555.182739400683</v>
      </c>
      <c r="AD39" s="1">
        <f>('RECEITAS - BLOCOS PAN'!AC39-'OPEX - BLOCOS PAN'!AC39-VLOOKUP('FLUXO DE CAIXA DESC.-SEM MULT.'!$D39,'CAPEX - BLOCOS PAN S- MULT.'!$C$3:$AC$52,27,FALSE))*AD$57</f>
        <v>-86312.353025468445</v>
      </c>
      <c r="AE39" s="1">
        <f>('RECEITAS - BLOCOS PAN'!AD39-'OPEX - BLOCOS PAN'!AD39-VLOOKUP('FLUXO DE CAIXA DESC.-SEM MULT.'!$D39,'CAPEX - BLOCOS PAN S- MULT.'!$C$3:$AD$52,28,FALSE))*AE$57</f>
        <v>-78788.090392942438</v>
      </c>
      <c r="AF39" s="1">
        <f>('RECEITAS - BLOCOS PAN'!AE39-'OPEX - BLOCOS PAN'!AE39-VLOOKUP('FLUXO DE CAIXA DESC.-SEM MULT.'!$D39,'CAPEX - BLOCOS PAN S- MULT.'!$C$3:$AE$52,29,FALSE))*AF$57</f>
        <v>-71919.753895885398</v>
      </c>
      <c r="AG39" s="1">
        <f>('RECEITAS - BLOCOS PAN'!AF39-'OPEX - BLOCOS PAN'!AF39-VLOOKUP('FLUXO DE CAIXA DESC.-SEM MULT.'!$D39,'CAPEX - BLOCOS PAN S- MULT.'!$C$3:$AF$52,30,FALSE))*AG$57</f>
        <v>-65650.163300671295</v>
      </c>
      <c r="AH39" s="1">
        <f>('RECEITAS - BLOCOS PAN'!AG39-'OPEX - BLOCOS PAN'!AG39-VLOOKUP('FLUXO DE CAIXA DESC.-SEM MULT.'!$D39,'CAPEX - BLOCOS PAN S- MULT.'!$C$3:$AG$52,31,FALSE))*AH$57</f>
        <v>-59927.123049448921</v>
      </c>
      <c r="AI39" s="1">
        <f>('RECEITAS - BLOCOS PAN'!AH39-'OPEX - BLOCOS PAN'!AH39-VLOOKUP('FLUXO DE CAIXA DESC.-SEM MULT.'!$D39,'CAPEX - BLOCOS PAN S- MULT.'!$C$3:$AH$52,32,FALSE))*AI$57</f>
        <v>-54702.987721998099</v>
      </c>
      <c r="AJ39" s="1">
        <f>('RECEITAS - BLOCOS PAN'!AI39-'OPEX - BLOCOS PAN'!AI39-VLOOKUP('FLUXO DE CAIXA DESC.-SEM MULT.'!$D39,'CAPEX - BLOCOS PAN S- MULT.'!$C$3:$AI$52,33,FALSE))*AJ$57</f>
        <v>-49934.265378364318</v>
      </c>
      <c r="AK39" s="1">
        <f>('RECEITAS - BLOCOS PAN'!AJ39-'OPEX - BLOCOS PAN'!AJ39-VLOOKUP('FLUXO DE CAIXA DESC.-SEM MULT.'!$D39,'CAPEX - BLOCOS PAN S- MULT.'!$C$3:$AJ$52,34,FALSE))*AK$57</f>
        <v>-45581.255480022199</v>
      </c>
      <c r="AL39" s="1">
        <f>('RECEITAS - BLOCOS PAN'!AK39-'OPEX - BLOCOS PAN'!AK39-VLOOKUP('FLUXO DE CAIXA DESC.-SEM MULT.'!$D39,'CAPEX - BLOCOS PAN S- MULT.'!$C$3:$AK$52,35,FALSE))*AL$57</f>
        <v>-41607.718375191413</v>
      </c>
      <c r="AM39" s="44">
        <f t="shared" si="0"/>
        <v>-20272613.472143877</v>
      </c>
      <c r="AN39">
        <v>1</v>
      </c>
      <c r="AO39" t="s">
        <v>308</v>
      </c>
      <c r="AP39">
        <v>-3.4666666666666668</v>
      </c>
      <c r="AQ39">
        <v>-68.916666666666671</v>
      </c>
      <c r="AR39" s="48">
        <v>0</v>
      </c>
      <c r="AS39" s="1">
        <f t="shared" si="1"/>
        <v>-18996877.745995469</v>
      </c>
      <c r="AT39" t="s">
        <v>381</v>
      </c>
    </row>
    <row r="40" spans="1:46" x14ac:dyDescent="0.35">
      <c r="A40" t="s">
        <v>161</v>
      </c>
      <c r="B40" s="5" t="s">
        <v>269</v>
      </c>
      <c r="C40">
        <v>510677</v>
      </c>
      <c r="D40" t="s">
        <v>301</v>
      </c>
      <c r="E40" t="s">
        <v>179</v>
      </c>
      <c r="F40" t="s">
        <v>37</v>
      </c>
      <c r="G40" t="s">
        <v>257</v>
      </c>
      <c r="H40" t="s">
        <v>33</v>
      </c>
      <c r="I40" s="1">
        <f>('RECEITAS - BLOCOS PAN'!H40-'OPEX - BLOCOS PAN'!H40-VLOOKUP('FLUXO DE CAIXA DESC.-SEM MULT.'!$D40,'CAPEX - BLOCOS PAN S- MULT.'!$C$3:$H$52,6,FALSE))*I$57</f>
        <v>-5920336.9493638119</v>
      </c>
      <c r="J40" s="1">
        <f>('RECEITAS - BLOCOS PAN'!I40-'OPEX - BLOCOS PAN'!I40-VLOOKUP('FLUXO DE CAIXA DESC.-SEM MULT.'!$D40,'CAPEX - BLOCOS PAN S- MULT.'!$C$3:$I$52,7,FALSE))*J$57</f>
        <v>-5404232.7242024755</v>
      </c>
      <c r="K40" s="1">
        <f>('RECEITAS - BLOCOS PAN'!J40-'OPEX - BLOCOS PAN'!J40-VLOOKUP('FLUXO DE CAIXA DESC.-SEM MULT.'!$D40,'CAPEX - BLOCOS PAN S- MULT.'!$C$3:$J$52,8,FALSE))*K$57</f>
        <v>-4933119.7847580798</v>
      </c>
      <c r="L40" s="1">
        <f>('RECEITAS - BLOCOS PAN'!K40-'OPEX - BLOCOS PAN'!K40-VLOOKUP('FLUXO DE CAIXA DESC.-SEM MULT.'!$D40,'CAPEX - BLOCOS PAN S- MULT.'!$C$3:$K$52,9,FALSE))*L$57</f>
        <v>-399274.52055394708</v>
      </c>
      <c r="M40" s="1">
        <f>('RECEITAS - BLOCOS PAN'!L40-'OPEX - BLOCOS PAN'!L40-VLOOKUP('FLUXO DE CAIXA DESC.-SEM MULT.'!$D40,'CAPEX - BLOCOS PAN S- MULT.'!$C$3:$L$52,10,FALSE))*M$57</f>
        <v>-364467.84167407313</v>
      </c>
      <c r="N40" s="1">
        <f>('RECEITAS - BLOCOS PAN'!M40-'OPEX - BLOCOS PAN'!M40-VLOOKUP('FLUXO DE CAIXA DESC.-SEM MULT.'!$D40,'CAPEX - BLOCOS PAN S- MULT.'!$C$3:$M$52,11,FALSE))*N$57</f>
        <v>-332695.42827391427</v>
      </c>
      <c r="O40" s="1">
        <f>('RECEITAS - BLOCOS PAN'!N40-'OPEX - BLOCOS PAN'!N40-VLOOKUP('FLUXO DE CAIXA DESC.-SEM MULT.'!$D40,'CAPEX - BLOCOS PAN S- MULT.'!$C$3:$N$52,12,FALSE))*O$57</f>
        <v>-303692.76884884923</v>
      </c>
      <c r="P40" s="1">
        <f>('RECEITAS - BLOCOS PAN'!O40-'OPEX - BLOCOS PAN'!O40-VLOOKUP('FLUXO DE CAIXA DESC.-SEM MULT.'!$D40,'CAPEX - BLOCOS PAN S- MULT.'!$C$3:$O$52,13,FALSE))*P$57</f>
        <v>-277218.41063336306</v>
      </c>
      <c r="Q40" s="1">
        <f>('RECEITAS - BLOCOS PAN'!P40-'OPEX - BLOCOS PAN'!P40-VLOOKUP('FLUXO DE CAIXA DESC.-SEM MULT.'!$D40,'CAPEX - BLOCOS PAN S- MULT.'!$C$3:$P$52,14,FALSE))*Q$57</f>
        <v>-253051.94945993891</v>
      </c>
      <c r="R40" s="1">
        <f>('RECEITAS - BLOCOS PAN'!Q40-'OPEX - BLOCOS PAN'!Q40-VLOOKUP('FLUXO DE CAIXA DESC.-SEM MULT.'!$D40,'CAPEX - BLOCOS PAN S- MULT.'!$C$3:$Q$52,15,FALSE))*R$57</f>
        <v>-230992.19485161014</v>
      </c>
      <c r="S40" s="1">
        <f>('RECEITAS - BLOCOS PAN'!R40-'OPEX - BLOCOS PAN'!R40-VLOOKUP('FLUXO DE CAIXA DESC.-SEM MULT.'!$D40,'CAPEX - BLOCOS PAN S- MULT.'!$C$3:$R$52,16,FALSE))*S$57</f>
        <v>-210855.49507221379</v>
      </c>
      <c r="T40" s="1">
        <f>('RECEITAS - BLOCOS PAN'!S40-'OPEX - BLOCOS PAN'!S40-VLOOKUP('FLUXO DE CAIXA DESC.-SEM MULT.'!$D40,'CAPEX - BLOCOS PAN S- MULT.'!$C$3:$S$52,17,FALSE))*T$57</f>
        <v>-192474.20819006278</v>
      </c>
      <c r="U40" s="1">
        <f>('RECEITAS - BLOCOS PAN'!T40-'OPEX - BLOCOS PAN'!T40-VLOOKUP('FLUXO DE CAIXA DESC.-SEM MULT.'!$D40,'CAPEX - BLOCOS PAN S- MULT.'!$C$3:$T$52,18,FALSE))*U$57</f>
        <v>-175695.30642634668</v>
      </c>
      <c r="V40" s="1">
        <f>('RECEITAS - BLOCOS PAN'!U40-'OPEX - BLOCOS PAN'!U40-VLOOKUP('FLUXO DE CAIXA DESC.-SEM MULT.'!$D40,'CAPEX - BLOCOS PAN S- MULT.'!$C$3:$U$52,19,FALSE))*V$57</f>
        <v>-160379.10216918911</v>
      </c>
      <c r="W40" s="1">
        <f>('RECEITAS - BLOCOS PAN'!V40-'OPEX - BLOCOS PAN'!V40-VLOOKUP('FLUXO DE CAIXA DESC.-SEM MULT.'!$D40,'CAPEX - BLOCOS PAN S- MULT.'!$C$3:$V$52,20,FALSE))*W$57</f>
        <v>-146398.08504718312</v>
      </c>
      <c r="X40" s="1">
        <f>('RECEITAS - BLOCOS PAN'!W40-'OPEX - BLOCOS PAN'!W40-VLOOKUP('FLUXO DE CAIXA DESC.-SEM MULT.'!$D40,'CAPEX - BLOCOS PAN S- MULT.'!$C$3:$W$52,21,FALSE))*X$57</f>
        <v>-133635.86038081528</v>
      </c>
      <c r="Y40" s="1">
        <f>('RECEITAS - BLOCOS PAN'!X40-'OPEX - BLOCOS PAN'!X40-VLOOKUP('FLUXO DE CAIXA DESC.-SEM MULT.'!$D40,'CAPEX - BLOCOS PAN S- MULT.'!$C$3:$X$52,22,FALSE))*Y$57</f>
        <v>-121986.180174181</v>
      </c>
      <c r="Z40" s="1">
        <f>('RECEITAS - BLOCOS PAN'!Y40-'OPEX - BLOCOS PAN'!Y40-VLOOKUP('FLUXO DE CAIXA DESC.-SEM MULT.'!$D40,'CAPEX - BLOCOS PAN S- MULT.'!$C$3:$Y$52,23,FALSE))*Z$57</f>
        <v>-111352.05857980922</v>
      </c>
      <c r="AA40" s="1">
        <f>('RECEITAS - BLOCOS PAN'!Z40-'OPEX - BLOCOS PAN'!Z40-VLOOKUP('FLUXO DE CAIXA DESC.-SEM MULT.'!$D40,'CAPEX - BLOCOS PAN S- MULT.'!$C$3:$Z$52,24,FALSE))*AA$57</f>
        <v>-101644.96447266932</v>
      </c>
      <c r="AB40" s="1">
        <f>('RECEITAS - BLOCOS PAN'!AA40-'OPEX - BLOCOS PAN'!AA40-VLOOKUP('FLUXO DE CAIXA DESC.-SEM MULT.'!$D40,'CAPEX - BLOCOS PAN S- MULT.'!$C$3:$AA$52,25,FALSE))*AB$57</f>
        <v>-92784.084411382311</v>
      </c>
      <c r="AC40" s="1">
        <f>('RECEITAS - BLOCOS PAN'!AB40-'OPEX - BLOCOS PAN'!AB40-VLOOKUP('FLUXO DE CAIXA DESC.-SEM MULT.'!$D40,'CAPEX - BLOCOS PAN S- MULT.'!$C$3:$AB$52,26,FALSE))*AC$57</f>
        <v>-84695.649850645656</v>
      </c>
      <c r="AD40" s="1">
        <f>('RECEITAS - BLOCOS PAN'!AC40-'OPEX - BLOCOS PAN'!AC40-VLOOKUP('FLUXO DE CAIXA DESC.-SEM MULT.'!$D40,'CAPEX - BLOCOS PAN S- MULT.'!$C$3:$AC$52,27,FALSE))*AD$57</f>
        <v>-77312.323003784259</v>
      </c>
      <c r="AE40" s="1">
        <f>('RECEITAS - BLOCOS PAN'!AD40-'OPEX - BLOCOS PAN'!AD40-VLOOKUP('FLUXO DE CAIXA DESC.-SEM MULT.'!$D40,'CAPEX - BLOCOS PAN S- MULT.'!$C$3:$AD$52,28,FALSE))*AE$57</f>
        <v>-70572.636242614579</v>
      </c>
      <c r="AF40" s="1">
        <f>('RECEITAS - BLOCOS PAN'!AE40-'OPEX - BLOCOS PAN'!AE40-VLOOKUP('FLUXO DE CAIXA DESC.-SEM MULT.'!$D40,'CAPEX - BLOCOS PAN S- MULT.'!$C$3:$AE$52,29,FALSE))*AF$57</f>
        <v>-64420.480367516735</v>
      </c>
      <c r="AG40" s="1">
        <f>('RECEITAS - BLOCOS PAN'!AF40-'OPEX - BLOCOS PAN'!AF40-VLOOKUP('FLUXO DE CAIXA DESC.-SEM MULT.'!$D40,'CAPEX - BLOCOS PAN S- MULT.'!$C$3:$AF$52,30,FALSE))*AG$57</f>
        <v>-58804.637487463937</v>
      </c>
      <c r="AH40" s="1">
        <f>('RECEITAS - BLOCOS PAN'!AG40-'OPEX - BLOCOS PAN'!AG40-VLOOKUP('FLUXO DE CAIXA DESC.-SEM MULT.'!$D40,'CAPEX - BLOCOS PAN S- MULT.'!$C$3:$AG$52,31,FALSE))*AH$57</f>
        <v>-53678.354621144623</v>
      </c>
      <c r="AI40" s="1">
        <f>('RECEITAS - BLOCOS PAN'!AH40-'OPEX - BLOCOS PAN'!AH40-VLOOKUP('FLUXO DE CAIXA DESC.-SEM MULT.'!$D40,'CAPEX - BLOCOS PAN S- MULT.'!$C$3:$AH$52,32,FALSE))*AI$57</f>
        <v>-48998.954469324162</v>
      </c>
      <c r="AJ40" s="1">
        <f>('RECEITAS - BLOCOS PAN'!AI40-'OPEX - BLOCOS PAN'!AI40-VLOOKUP('FLUXO DE CAIXA DESC.-SEM MULT.'!$D40,'CAPEX - BLOCOS PAN S- MULT.'!$C$3:$AI$52,33,FALSE))*AJ$57</f>
        <v>-44727.480118050364</v>
      </c>
      <c r="AK40" s="1">
        <f>('RECEITAS - BLOCOS PAN'!AJ40-'OPEX - BLOCOS PAN'!AJ40-VLOOKUP('FLUXO DE CAIXA DESC.-SEM MULT.'!$D40,'CAPEX - BLOCOS PAN S- MULT.'!$C$3:$AJ$52,34,FALSE))*AK$57</f>
        <v>-40828.3707147881</v>
      </c>
      <c r="AL40" s="1">
        <f>('RECEITAS - BLOCOS PAN'!AK40-'OPEX - BLOCOS PAN'!AK40-VLOOKUP('FLUXO DE CAIXA DESC.-SEM MULT.'!$D40,'CAPEX - BLOCOS PAN S- MULT.'!$C$3:$AK$52,35,FALSE))*AL$57</f>
        <v>-37269.16541742409</v>
      </c>
      <c r="AM40" s="44">
        <f t="shared" si="0"/>
        <v>-20447595.96983666</v>
      </c>
      <c r="AN40">
        <v>1</v>
      </c>
      <c r="AO40" t="s">
        <v>315</v>
      </c>
      <c r="AP40">
        <v>-10.916666666666666</v>
      </c>
      <c r="AQ40">
        <v>-51.6</v>
      </c>
      <c r="AR40" s="48">
        <v>0</v>
      </c>
      <c r="AS40" s="1">
        <f t="shared" si="1"/>
        <v>-19304884.769525051</v>
      </c>
      <c r="AT40" t="s">
        <v>390</v>
      </c>
    </row>
    <row r="41" spans="1:46" x14ac:dyDescent="0.35">
      <c r="A41" t="s">
        <v>114</v>
      </c>
      <c r="B41" s="5" t="s">
        <v>278</v>
      </c>
      <c r="C41">
        <v>120035</v>
      </c>
      <c r="D41" t="s">
        <v>294</v>
      </c>
      <c r="E41" t="s">
        <v>236</v>
      </c>
      <c r="F41" t="s">
        <v>41</v>
      </c>
      <c r="G41" t="s">
        <v>259</v>
      </c>
      <c r="H41" t="s">
        <v>33</v>
      </c>
      <c r="I41" s="1">
        <f>('RECEITAS - BLOCOS PAN'!H41-'OPEX - BLOCOS PAN'!H41-VLOOKUP('FLUXO DE CAIXA DESC.-SEM MULT.'!$D41,'CAPEX - BLOCOS PAN S- MULT.'!$C$3:$H$52,6,FALSE))*I$57</f>
        <v>-4664552.4747000001</v>
      </c>
      <c r="J41" s="1">
        <f>('RECEITAS - BLOCOS PAN'!I41-'OPEX - BLOCOS PAN'!I41-VLOOKUP('FLUXO DE CAIXA DESC.-SEM MULT.'!$D41,'CAPEX - BLOCOS PAN S- MULT.'!$C$3:$I$52,7,FALSE))*J$57</f>
        <v>-4257921.0175262438</v>
      </c>
      <c r="K41" s="1">
        <f>('RECEITAS - BLOCOS PAN'!J41-'OPEX - BLOCOS PAN'!J41-VLOOKUP('FLUXO DE CAIXA DESC.-SEM MULT.'!$D41,'CAPEX - BLOCOS PAN S- MULT.'!$C$3:$J$52,8,FALSE))*K$57</f>
        <v>-3886737.5787551296</v>
      </c>
      <c r="L41" s="1">
        <f>('RECEITAS - BLOCOS PAN'!K41-'OPEX - BLOCOS PAN'!K41-VLOOKUP('FLUXO DE CAIXA DESC.-SEM MULT.'!$D41,'CAPEX - BLOCOS PAN S- MULT.'!$C$3:$K$52,9,FALSE))*L$57</f>
        <v>-393777.96348925913</v>
      </c>
      <c r="M41" s="1">
        <f>('RECEITAS - BLOCOS PAN'!L41-'OPEX - BLOCOS PAN'!L41-VLOOKUP('FLUXO DE CAIXA DESC.-SEM MULT.'!$D41,'CAPEX - BLOCOS PAN S- MULT.'!$C$3:$L$52,10,FALSE))*M$57</f>
        <v>-359450.44590530277</v>
      </c>
      <c r="N41" s="1">
        <f>('RECEITAS - BLOCOS PAN'!M41-'OPEX - BLOCOS PAN'!M41-VLOOKUP('FLUXO DE CAIXA DESC.-SEM MULT.'!$D41,'CAPEX - BLOCOS PAN S- MULT.'!$C$3:$M$52,11,FALSE))*N$57</f>
        <v>-328115.42300803534</v>
      </c>
      <c r="O41" s="1">
        <f>('RECEITAS - BLOCOS PAN'!N41-'OPEX - BLOCOS PAN'!N41-VLOOKUP('FLUXO DE CAIXA DESC.-SEM MULT.'!$D41,'CAPEX - BLOCOS PAN S- MULT.'!$C$3:$N$52,12,FALSE))*O$57</f>
        <v>-299512.02465361514</v>
      </c>
      <c r="P41" s="1">
        <f>('RECEITAS - BLOCOS PAN'!O41-'OPEX - BLOCOS PAN'!O41-VLOOKUP('FLUXO DE CAIXA DESC.-SEM MULT.'!$D41,'CAPEX - BLOCOS PAN S- MULT.'!$C$3:$O$52,13,FALSE))*P$57</f>
        <v>-273402.12200238719</v>
      </c>
      <c r="Q41" s="1">
        <f>('RECEITAS - BLOCOS PAN'!P41-'OPEX - BLOCOS PAN'!P41-VLOOKUP('FLUXO DE CAIXA DESC.-SEM MULT.'!$D41,'CAPEX - BLOCOS PAN S- MULT.'!$C$3:$P$52,14,FALSE))*Q$57</f>
        <v>-249568.34505010242</v>
      </c>
      <c r="R41" s="1">
        <f>('RECEITAS - BLOCOS PAN'!Q41-'OPEX - BLOCOS PAN'!Q41-VLOOKUP('FLUXO DE CAIXA DESC.-SEM MULT.'!$D41,'CAPEX - BLOCOS PAN S- MULT.'!$C$3:$Q$52,15,FALSE))*R$57</f>
        <v>-227812.27298046774</v>
      </c>
      <c r="S41" s="1">
        <f>('RECEITAS - BLOCOS PAN'!R41-'OPEX - BLOCOS PAN'!R41-VLOOKUP('FLUXO DE CAIXA DESC.-SEM MULT.'!$D41,'CAPEX - BLOCOS PAN S- MULT.'!$C$3:$R$52,16,FALSE))*S$57</f>
        <v>-207952.78227336172</v>
      </c>
      <c r="T41" s="1">
        <f>('RECEITAS - BLOCOS PAN'!S41-'OPEX - BLOCOS PAN'!S41-VLOOKUP('FLUXO DE CAIXA DESC.-SEM MULT.'!$D41,'CAPEX - BLOCOS PAN S- MULT.'!$C$3:$S$52,17,FALSE))*T$57</f>
        <v>-189824.53881639591</v>
      </c>
      <c r="U41" s="1">
        <f>('RECEITAS - BLOCOS PAN'!T41-'OPEX - BLOCOS PAN'!T41-VLOOKUP('FLUXO DE CAIXA DESC.-SEM MULT.'!$D41,'CAPEX - BLOCOS PAN S- MULT.'!$C$3:$T$52,18,FALSE))*U$57</f>
        <v>-173276.62146635869</v>
      </c>
      <c r="V41" s="1">
        <f>('RECEITAS - BLOCOS PAN'!U41-'OPEX - BLOCOS PAN'!U41-VLOOKUP('FLUXO DE CAIXA DESC.-SEM MULT.'!$D41,'CAPEX - BLOCOS PAN S- MULT.'!$C$3:$U$52,19,FALSE))*V$57</f>
        <v>-158171.26560142281</v>
      </c>
      <c r="W41" s="1">
        <f>('RECEITAS - BLOCOS PAN'!V41-'OPEX - BLOCOS PAN'!V41-VLOOKUP('FLUXO DE CAIXA DESC.-SEM MULT.'!$D41,'CAPEX - BLOCOS PAN S- MULT.'!$C$3:$V$52,20,FALSE))*W$57</f>
        <v>-144382.71620394595</v>
      </c>
      <c r="X41" s="1">
        <f>('RECEITAS - BLOCOS PAN'!W41-'OPEX - BLOCOS PAN'!W41-VLOOKUP('FLUXO DE CAIXA DESC.-SEM MULT.'!$D41,'CAPEX - BLOCOS PAN S- MULT.'!$C$3:$W$52,21,FALSE))*X$57</f>
        <v>-131796.18092555544</v>
      </c>
      <c r="Y41" s="1">
        <f>('RECEITAS - BLOCOS PAN'!X41-'OPEX - BLOCOS PAN'!X41-VLOOKUP('FLUXO DE CAIXA DESC.-SEM MULT.'!$D41,'CAPEX - BLOCOS PAN S- MULT.'!$C$3:$X$52,22,FALSE))*Y$57</f>
        <v>-120306.87441858096</v>
      </c>
      <c r="Z41" s="1">
        <f>('RECEITAS - BLOCOS PAN'!Y41-'OPEX - BLOCOS PAN'!Y41-VLOOKUP('FLUXO DE CAIXA DESC.-SEM MULT.'!$D41,'CAPEX - BLOCOS PAN S- MULT.'!$C$3:$Y$52,23,FALSE))*Z$57</f>
        <v>-109819.14597770968</v>
      </c>
      <c r="AA41" s="1">
        <f>('RECEITAS - BLOCOS PAN'!Z41-'OPEX - BLOCOS PAN'!Z41-VLOOKUP('FLUXO DE CAIXA DESC.-SEM MULT.'!$D41,'CAPEX - BLOCOS PAN S- MULT.'!$C$3:$Z$52,24,FALSE))*AA$57</f>
        <v>-100245.68322931055</v>
      </c>
      <c r="AB41" s="1">
        <f>('RECEITAS - BLOCOS PAN'!AA41-'OPEX - BLOCOS PAN'!AA41-VLOOKUP('FLUXO DE CAIXA DESC.-SEM MULT.'!$D41,'CAPEX - BLOCOS PAN S- MULT.'!$C$3:$AA$52,25,FALSE))*AB$57</f>
        <v>-91506.785238987257</v>
      </c>
      <c r="AC41" s="1">
        <f>('RECEITAS - BLOCOS PAN'!AB41-'OPEX - BLOCOS PAN'!AB41-VLOOKUP('FLUXO DE CAIXA DESC.-SEM MULT.'!$D41,'CAPEX - BLOCOS PAN S- MULT.'!$C$3:$AB$52,26,FALSE))*AC$57</f>
        <v>-83529.698985839597</v>
      </c>
      <c r="AD41" s="1">
        <f>('RECEITAS - BLOCOS PAN'!AC41-'OPEX - BLOCOS PAN'!AC41-VLOOKUP('FLUXO DE CAIXA DESC.-SEM MULT.'!$D41,'CAPEX - BLOCOS PAN S- MULT.'!$C$3:$AC$52,27,FALSE))*AD$57</f>
        <v>-76248.013679451935</v>
      </c>
      <c r="AE41" s="1">
        <f>('RECEITAS - BLOCOS PAN'!AD41-'OPEX - BLOCOS PAN'!AD41-VLOOKUP('FLUXO DE CAIXA DESC.-SEM MULT.'!$D41,'CAPEX - BLOCOS PAN S- MULT.'!$C$3:$AD$52,28,FALSE))*AE$57</f>
        <v>-69601.10787718113</v>
      </c>
      <c r="AF41" s="1">
        <f>('RECEITAS - BLOCOS PAN'!AE41-'OPEX - BLOCOS PAN'!AE41-VLOOKUP('FLUXO DE CAIXA DESC.-SEM MULT.'!$D41,'CAPEX - BLOCOS PAN S- MULT.'!$C$3:$AE$52,29,FALSE))*AF$57</f>
        <v>-63533.644798887399</v>
      </c>
      <c r="AG41" s="1">
        <f>('RECEITAS - BLOCOS PAN'!AF41-'OPEX - BLOCOS PAN'!AF41-VLOOKUP('FLUXO DE CAIXA DESC.-SEM MULT.'!$D41,'CAPEX - BLOCOS PAN S- MULT.'!$C$3:$AF$52,30,FALSE))*AG$57</f>
        <v>-57995.111637505615</v>
      </c>
      <c r="AH41" s="1">
        <f>('RECEITAS - BLOCOS PAN'!AG41-'OPEX - BLOCOS PAN'!AG41-VLOOKUP('FLUXO DE CAIXA DESC.-SEM MULT.'!$D41,'CAPEX - BLOCOS PAN S- MULT.'!$C$3:$AG$52,31,FALSE))*AH$57</f>
        <v>-52939.399030128356</v>
      </c>
      <c r="AI41" s="1">
        <f>('RECEITAS - BLOCOS PAN'!AH41-'OPEX - BLOCOS PAN'!AH41-VLOOKUP('FLUXO DE CAIXA DESC.-SEM MULT.'!$D41,'CAPEX - BLOCOS PAN S- MULT.'!$C$3:$AH$52,32,FALSE))*AI$57</f>
        <v>-48324.417188615567</v>
      </c>
      <c r="AJ41" s="1">
        <f>('RECEITAS - BLOCOS PAN'!AI41-'OPEX - BLOCOS PAN'!AI41-VLOOKUP('FLUXO DE CAIXA DESC.-SEM MULT.'!$D41,'CAPEX - BLOCOS PAN S- MULT.'!$C$3:$AI$52,33,FALSE))*AJ$57</f>
        <v>-44111.745493943934</v>
      </c>
      <c r="AK41" s="1">
        <f>('RECEITAS - BLOCOS PAN'!AJ41-'OPEX - BLOCOS PAN'!AJ41-VLOOKUP('FLUXO DE CAIXA DESC.-SEM MULT.'!$D41,'CAPEX - BLOCOS PAN S- MULT.'!$C$3:$AJ$52,34,FALSE))*AK$57</f>
        <v>-40266.312637100804</v>
      </c>
      <c r="AL41" s="1">
        <f>('RECEITAS - BLOCOS PAN'!AK41-'OPEX - BLOCOS PAN'!AK41-VLOOKUP('FLUXO DE CAIXA DESC.-SEM MULT.'!$D41,'CAPEX - BLOCOS PAN S- MULT.'!$C$3:$AK$52,35,FALSE))*AL$57</f>
        <v>-36756.104643633778</v>
      </c>
      <c r="AM41" s="44">
        <f t="shared" si="0"/>
        <v>-16941437.818194464</v>
      </c>
      <c r="AN41">
        <v>1</v>
      </c>
      <c r="AO41" t="s">
        <v>308</v>
      </c>
      <c r="AP41" s="49">
        <v>-8.9499999999999993</v>
      </c>
      <c r="AQ41" s="49">
        <v>-72.766666666666666</v>
      </c>
      <c r="AR41" s="48">
        <v>0</v>
      </c>
      <c r="AS41" s="1">
        <f t="shared" si="1"/>
        <v>-15814457.59243203</v>
      </c>
      <c r="AT41" t="s">
        <v>381</v>
      </c>
    </row>
    <row r="42" spans="1:46" x14ac:dyDescent="0.35">
      <c r="A42" t="s">
        <v>87</v>
      </c>
      <c r="B42" s="5" t="s">
        <v>279</v>
      </c>
      <c r="C42">
        <v>150503</v>
      </c>
      <c r="D42" t="s">
        <v>291</v>
      </c>
      <c r="E42" t="s">
        <v>233</v>
      </c>
      <c r="F42" t="s">
        <v>29</v>
      </c>
      <c r="G42" t="s">
        <v>259</v>
      </c>
      <c r="H42" t="s">
        <v>33</v>
      </c>
      <c r="I42" s="1">
        <f>('RECEITAS - BLOCOS PAN'!H42-'OPEX - BLOCOS PAN'!H42-VLOOKUP('FLUXO DE CAIXA DESC.-SEM MULT.'!$D42,'CAPEX - BLOCOS PAN S- MULT.'!$C$3:$H$52,6,FALSE))*I$57</f>
        <v>-8892325.7183798254</v>
      </c>
      <c r="J42" s="1">
        <f>('RECEITAS - BLOCOS PAN'!I42-'OPEX - BLOCOS PAN'!I42-VLOOKUP('FLUXO DE CAIXA DESC.-SEM MULT.'!$D42,'CAPEX - BLOCOS PAN S- MULT.'!$C$3:$I$52,7,FALSE))*J$57</f>
        <v>-8117138.9487720914</v>
      </c>
      <c r="K42" s="1">
        <f>('RECEITAS - BLOCOS PAN'!J42-'OPEX - BLOCOS PAN'!J42-VLOOKUP('FLUXO DE CAIXA DESC.-SEM MULT.'!$D42,'CAPEX - BLOCOS PAN S- MULT.'!$C$3:$J$52,8,FALSE))*K$57</f>
        <v>-7409528.9354377836</v>
      </c>
      <c r="L42" s="1">
        <f>('RECEITAS - BLOCOS PAN'!K42-'OPEX - BLOCOS PAN'!K42-VLOOKUP('FLUXO DE CAIXA DESC.-SEM MULT.'!$D42,'CAPEX - BLOCOS PAN S- MULT.'!$C$3:$K$52,9,FALSE))*L$57</f>
        <v>-382747.3681013647</v>
      </c>
      <c r="M42" s="1">
        <f>('RECEITAS - BLOCOS PAN'!L42-'OPEX - BLOCOS PAN'!L42-VLOOKUP('FLUXO DE CAIXA DESC.-SEM MULT.'!$D42,'CAPEX - BLOCOS PAN S- MULT.'!$C$3:$L$52,10,FALSE))*M$57</f>
        <v>-349381.44053068443</v>
      </c>
      <c r="N42" s="1">
        <f>('RECEITAS - BLOCOS PAN'!M42-'OPEX - BLOCOS PAN'!M42-VLOOKUP('FLUXO DE CAIXA DESC.-SEM MULT.'!$D42,'CAPEX - BLOCOS PAN S- MULT.'!$C$3:$M$52,11,FALSE))*N$57</f>
        <v>-318924.18122381048</v>
      </c>
      <c r="O42" s="1">
        <f>('RECEITAS - BLOCOS PAN'!N42-'OPEX - BLOCOS PAN'!N42-VLOOKUP('FLUXO DE CAIXA DESC.-SEM MULT.'!$D42,'CAPEX - BLOCOS PAN S- MULT.'!$C$3:$N$52,12,FALSE))*O$57</f>
        <v>-291122.02758905571</v>
      </c>
      <c r="P42" s="1">
        <f>('RECEITAS - BLOCOS PAN'!O42-'OPEX - BLOCOS PAN'!O42-VLOOKUP('FLUXO DE CAIXA DESC.-SEM MULT.'!$D42,'CAPEX - BLOCOS PAN S- MULT.'!$C$3:$O$52,13,FALSE))*P$57</f>
        <v>-265743.52130447805</v>
      </c>
      <c r="Q42" s="1">
        <f>('RECEITAS - BLOCOS PAN'!P42-'OPEX - BLOCOS PAN'!P42-VLOOKUP('FLUXO DE CAIXA DESC.-SEM MULT.'!$D42,'CAPEX - BLOCOS PAN S- MULT.'!$C$3:$P$52,14,FALSE))*Q$57</f>
        <v>-242577.38138245375</v>
      </c>
      <c r="R42" s="1">
        <f>('RECEITAS - BLOCOS PAN'!Q42-'OPEX - BLOCOS PAN'!Q42-VLOOKUP('FLUXO DE CAIXA DESC.-SEM MULT.'!$D42,'CAPEX - BLOCOS PAN S- MULT.'!$C$3:$Q$52,15,FALSE))*R$57</f>
        <v>-221430.74521447168</v>
      </c>
      <c r="S42" s="1">
        <f>('RECEITAS - BLOCOS PAN'!R42-'OPEX - BLOCOS PAN'!R42-VLOOKUP('FLUXO DE CAIXA DESC.-SEM MULT.'!$D42,'CAPEX - BLOCOS PAN S- MULT.'!$C$3:$R$52,16,FALSE))*S$57</f>
        <v>-202127.56295250729</v>
      </c>
      <c r="T42" s="1">
        <f>('RECEITAS - BLOCOS PAN'!S42-'OPEX - BLOCOS PAN'!S42-VLOOKUP('FLUXO DE CAIXA DESC.-SEM MULT.'!$D42,'CAPEX - BLOCOS PAN S- MULT.'!$C$3:$S$52,17,FALSE))*T$57</f>
        <v>-184507.13185988797</v>
      </c>
      <c r="U42" s="1">
        <f>('RECEITAS - BLOCOS PAN'!T42-'OPEX - BLOCOS PAN'!T42-VLOOKUP('FLUXO DE CAIXA DESC.-SEM MULT.'!$D42,'CAPEX - BLOCOS PAN S- MULT.'!$C$3:$T$52,18,FALSE))*U$57</f>
        <v>-168422.75842983843</v>
      </c>
      <c r="V42" s="1">
        <f>('RECEITAS - BLOCOS PAN'!U42-'OPEX - BLOCOS PAN'!U42-VLOOKUP('FLUXO DE CAIXA DESC.-SEM MULT.'!$D42,'CAPEX - BLOCOS PAN S- MULT.'!$C$3:$U$52,19,FALSE))*V$57</f>
        <v>-153740.53713358138</v>
      </c>
      <c r="W42" s="1">
        <f>('RECEITAS - BLOCOS PAN'!V42-'OPEX - BLOCOS PAN'!V42-VLOOKUP('FLUXO DE CAIXA DESC.-SEM MULT.'!$D42,'CAPEX - BLOCOS PAN S- MULT.'!$C$3:$V$52,20,FALSE))*W$57</f>
        <v>-140338.23563083651</v>
      </c>
      <c r="X42" s="1">
        <f>('RECEITAS - BLOCOS PAN'!W42-'OPEX - BLOCOS PAN'!W42-VLOOKUP('FLUXO DE CAIXA DESC.-SEM MULT.'!$D42,'CAPEX - BLOCOS PAN S- MULT.'!$C$3:$W$52,21,FALSE))*X$57</f>
        <v>-128104.27716187724</v>
      </c>
      <c r="Y42" s="1">
        <f>('RECEITAS - BLOCOS PAN'!X42-'OPEX - BLOCOS PAN'!X42-VLOOKUP('FLUXO DE CAIXA DESC.-SEM MULT.'!$D42,'CAPEX - BLOCOS PAN S- MULT.'!$C$3:$X$52,22,FALSE))*Y$57</f>
        <v>-116936.81164936308</v>
      </c>
      <c r="Z42" s="1">
        <f>('RECEITAS - BLOCOS PAN'!Y42-'OPEX - BLOCOS PAN'!Y42-VLOOKUP('FLUXO DE CAIXA DESC.-SEM MULT.'!$D42,'CAPEX - BLOCOS PAN S- MULT.'!$C$3:$Y$52,23,FALSE))*Z$57</f>
        <v>-106742.86777668925</v>
      </c>
      <c r="AA42" s="1">
        <f>('RECEITAS - BLOCOS PAN'!Z42-'OPEX - BLOCOS PAN'!Z42-VLOOKUP('FLUXO DE CAIXA DESC.-SEM MULT.'!$D42,'CAPEX - BLOCOS PAN S- MULT.'!$C$3:$Z$52,24,FALSE))*AA$57</f>
        <v>-97437.578983741929</v>
      </c>
      <c r="AB42" s="1">
        <f>('RECEITAS - BLOCOS PAN'!AA42-'OPEX - BLOCOS PAN'!AA42-VLOOKUP('FLUXO DE CAIXA DESC.-SEM MULT.'!$D42,'CAPEX - BLOCOS PAN S- MULT.'!$C$3:$AA$52,25,FALSE))*AB$57</f>
        <v>-88943.476936323073</v>
      </c>
      <c r="AC42" s="1">
        <f>('RECEITAS - BLOCOS PAN'!AB42-'OPEX - BLOCOS PAN'!AB42-VLOOKUP('FLUXO DE CAIXA DESC.-SEM MULT.'!$D42,'CAPEX - BLOCOS PAN S- MULT.'!$C$3:$AB$52,26,FALSE))*AC$57</f>
        <v>-81189.846587241511</v>
      </c>
      <c r="AD42" s="1">
        <f>('RECEITAS - BLOCOS PAN'!AC42-'OPEX - BLOCOS PAN'!AC42-VLOOKUP('FLUXO DE CAIXA DESC.-SEM MULT.'!$D42,'CAPEX - BLOCOS PAN S- MULT.'!$C$3:$AC$52,27,FALSE))*AD$57</f>
        <v>-74112.137459827936</v>
      </c>
      <c r="AE42" s="1">
        <f>('RECEITAS - BLOCOS PAN'!AD42-'OPEX - BLOCOS PAN'!AD42-VLOOKUP('FLUXO DE CAIXA DESC.-SEM MULT.'!$D42,'CAPEX - BLOCOS PAN S- MULT.'!$C$3:$AD$52,28,FALSE))*AE$57</f>
        <v>-67651.426252695528</v>
      </c>
      <c r="AF42" s="1">
        <f>('RECEITAS - BLOCOS PAN'!AE42-'OPEX - BLOCOS PAN'!AE42-VLOOKUP('FLUXO DE CAIXA DESC.-SEM MULT.'!$D42,'CAPEX - BLOCOS PAN S- MULT.'!$C$3:$AE$52,29,FALSE))*AF$57</f>
        <v>-61753.926291826137</v>
      </c>
      <c r="AG42" s="1">
        <f>('RECEITAS - BLOCOS PAN'!AF42-'OPEX - BLOCOS PAN'!AF42-VLOOKUP('FLUXO DE CAIXA DESC.-SEM MULT.'!$D42,'CAPEX - BLOCOS PAN S- MULT.'!$C$3:$AF$52,30,FALSE))*AG$57</f>
        <v>-56370.53974607589</v>
      </c>
      <c r="AH42" s="1">
        <f>('RECEITAS - BLOCOS PAN'!AG42-'OPEX - BLOCOS PAN'!AG42-VLOOKUP('FLUXO DE CAIXA DESC.-SEM MULT.'!$D42,'CAPEX - BLOCOS PAN S- MULT.'!$C$3:$AG$52,31,FALSE))*AH$57</f>
        <v>-51456.448878207113</v>
      </c>
      <c r="AI42" s="1">
        <f>('RECEITAS - BLOCOS PAN'!AH42-'OPEX - BLOCOS PAN'!AH42-VLOOKUP('FLUXO DE CAIXA DESC.-SEM MULT.'!$D42,'CAPEX - BLOCOS PAN S- MULT.'!$C$3:$AH$52,32,FALSE))*AI$57</f>
        <v>-46970.74292853228</v>
      </c>
      <c r="AJ42" s="1">
        <f>('RECEITAS - BLOCOS PAN'!AI42-'OPEX - BLOCOS PAN'!AI42-VLOOKUP('FLUXO DE CAIXA DESC.-SEM MULT.'!$D42,'CAPEX - BLOCOS PAN S- MULT.'!$C$3:$AI$52,33,FALSE))*AJ$57</f>
        <v>-42876.077524903958</v>
      </c>
      <c r="AK42" s="1">
        <f>('RECEITAS - BLOCOS PAN'!AJ42-'OPEX - BLOCOS PAN'!AJ42-VLOOKUP('FLUXO DE CAIXA DESC.-SEM MULT.'!$D42,'CAPEX - BLOCOS PAN S- MULT.'!$C$3:$AJ$52,34,FALSE))*AK$57</f>
        <v>-39138.363783572757</v>
      </c>
      <c r="AL42" s="1">
        <f>('RECEITAS - BLOCOS PAN'!AK42-'OPEX - BLOCOS PAN'!AK42-VLOOKUP('FLUXO DE CAIXA DESC.-SEM MULT.'!$D42,'CAPEX - BLOCOS PAN S- MULT.'!$C$3:$AK$52,35,FALSE))*AL$57</f>
        <v>-35726.484512617761</v>
      </c>
      <c r="AM42" s="44">
        <f t="shared" si="0"/>
        <v>-28435467.500416167</v>
      </c>
      <c r="AN42">
        <v>1</v>
      </c>
      <c r="AO42" t="s">
        <v>309</v>
      </c>
      <c r="AP42">
        <v>-7.1166666666666663</v>
      </c>
      <c r="AQ42">
        <v>-55.4</v>
      </c>
      <c r="AR42" s="48">
        <v>0</v>
      </c>
      <c r="AS42" s="1">
        <f t="shared" si="1"/>
        <v>-27340056.493942674</v>
      </c>
      <c r="AT42" t="s">
        <v>384</v>
      </c>
    </row>
    <row r="43" spans="1:46" s="49" customFormat="1" x14ac:dyDescent="0.35">
      <c r="A43" s="49" t="s">
        <v>369</v>
      </c>
      <c r="B43" s="76" t="s">
        <v>370</v>
      </c>
      <c r="C43" s="49">
        <v>260110</v>
      </c>
      <c r="D43" s="49" t="s">
        <v>371</v>
      </c>
      <c r="E43" s="49" t="s">
        <v>370</v>
      </c>
      <c r="F43" s="49" t="s">
        <v>36</v>
      </c>
      <c r="G43" s="49" t="s">
        <v>258</v>
      </c>
      <c r="H43" s="49" t="s">
        <v>33</v>
      </c>
      <c r="I43" s="72">
        <f>('RECEITAS - BLOCOS PAN'!H43-'OPEX - BLOCOS PAN'!H43-VLOOKUP('FLUXO DE CAIXA DESC.-SEM MULT.'!$D43,'CAPEX - BLOCOS PAN S- MULT.'!$C$3:$H$52,6,FALSE))*I$57</f>
        <v>-6315583.3907242781</v>
      </c>
      <c r="J43" s="72">
        <f>('RECEITAS - BLOCOS PAN'!I43-'OPEX - BLOCOS PAN'!I43-VLOOKUP('FLUXO DE CAIXA DESC.-SEM MULT.'!$D43,'CAPEX - BLOCOS PAN S- MULT.'!$C$3:$I$52,7,FALSE))*J$57</f>
        <v>-5765023.633705412</v>
      </c>
      <c r="K43" s="72">
        <f>('RECEITAS - BLOCOS PAN'!J43-'OPEX - BLOCOS PAN'!J43-VLOOKUP('FLUXO DE CAIXA DESC.-SEM MULT.'!$D43,'CAPEX - BLOCOS PAN S- MULT.'!$C$3:$J$52,8,FALSE))*K$57</f>
        <v>-5262458.8167096414</v>
      </c>
      <c r="L43" s="72">
        <f>('RECEITAS - BLOCOS PAN'!K43-'OPEX - BLOCOS PAN'!K43-VLOOKUP('FLUXO DE CAIXA DESC.-SEM MULT.'!$D43,'CAPEX - BLOCOS PAN S- MULT.'!$C$3:$K$52,9,FALSE))*L$57</f>
        <v>-504987.90665314812</v>
      </c>
      <c r="M43" s="72">
        <f>('RECEITAS - BLOCOS PAN'!L43-'OPEX - BLOCOS PAN'!L43-VLOOKUP('FLUXO DE CAIXA DESC.-SEM MULT.'!$D43,'CAPEX - BLOCOS PAN S- MULT.'!$C$3:$L$52,10,FALSE))*M$57</f>
        <v>-460965.68384586781</v>
      </c>
      <c r="N43" s="72">
        <f>('RECEITAS - BLOCOS PAN'!M43-'OPEX - BLOCOS PAN'!M43-VLOOKUP('FLUXO DE CAIXA DESC.-SEM MULT.'!$D43,'CAPEX - BLOCOS PAN S- MULT.'!$C$3:$M$52,11,FALSE))*N$57</f>
        <v>-420781.08977258584</v>
      </c>
      <c r="O43" s="72">
        <f>('RECEITAS - BLOCOS PAN'!N43-'OPEX - BLOCOS PAN'!N43-VLOOKUP('FLUXO DE CAIXA DESC.-SEM MULT.'!$D43,'CAPEX - BLOCOS PAN S- MULT.'!$C$3:$N$52,12,FALSE))*O$57</f>
        <v>-384099.57989282144</v>
      </c>
      <c r="P43" s="72">
        <f>('RECEITAS - BLOCOS PAN'!O43-'OPEX - BLOCOS PAN'!O43-VLOOKUP('FLUXO DE CAIXA DESC.-SEM MULT.'!$D43,'CAPEX - BLOCOS PAN S- MULT.'!$C$3:$O$52,13,FALSE))*P$57</f>
        <v>-350615.77352151659</v>
      </c>
      <c r="Q43" s="72">
        <f>('RECEITAS - BLOCOS PAN'!P43-'OPEX - BLOCOS PAN'!P43-VLOOKUP('FLUXO DE CAIXA DESC.-SEM MULT.'!$D43,'CAPEX - BLOCOS PAN S- MULT.'!$C$3:$P$52,14,FALSE))*Q$57</f>
        <v>-320050.91147559712</v>
      </c>
      <c r="R43" s="72">
        <f>('RECEITAS - BLOCOS PAN'!Q43-'OPEX - BLOCOS PAN'!Q43-VLOOKUP('FLUXO DE CAIXA DESC.-SEM MULT.'!$D43,'CAPEX - BLOCOS PAN S- MULT.'!$C$3:$Q$52,15,FALSE))*R$57</f>
        <v>-292150.53534970072</v>
      </c>
      <c r="S43" s="72">
        <f>('RECEITAS - BLOCOS PAN'!R43-'OPEX - BLOCOS PAN'!R43-VLOOKUP('FLUXO DE CAIXA DESC.-SEM MULT.'!$D43,'CAPEX - BLOCOS PAN S- MULT.'!$C$3:$R$52,16,FALSE))*S$57</f>
        <v>-266682.36910059402</v>
      </c>
      <c r="T43" s="72">
        <f>('RECEITAS - BLOCOS PAN'!S43-'OPEX - BLOCOS PAN'!S43-VLOOKUP('FLUXO DE CAIXA DESC.-SEM MULT.'!$D43,'CAPEX - BLOCOS PAN S- MULT.'!$C$3:$S$52,17,FALSE))*T$57</f>
        <v>-243434.3853040566</v>
      </c>
      <c r="U43" s="72">
        <f>('RECEITAS - BLOCOS PAN'!T43-'OPEX - BLOCOS PAN'!T43-VLOOKUP('FLUXO DE CAIXA DESC.-SEM MULT.'!$D43,'CAPEX - BLOCOS PAN S- MULT.'!$C$3:$T$52,18,FALSE))*U$57</f>
        <v>-222213.03998544649</v>
      </c>
      <c r="V43" s="72">
        <f>('RECEITAS - BLOCOS PAN'!U43-'OPEX - BLOCOS PAN'!U43-VLOOKUP('FLUXO DE CAIXA DESC.-SEM MULT.'!$D43,'CAPEX - BLOCOS PAN S- MULT.'!$C$3:$U$52,19,FALSE))*V$57</f>
        <v>-202841.66132856821</v>
      </c>
      <c r="W43" s="72">
        <f>('RECEITAS - BLOCOS PAN'!V43-'OPEX - BLOCOS PAN'!V43-VLOOKUP('FLUXO DE CAIXA DESC.-SEM MULT.'!$D43,'CAPEX - BLOCOS PAN S- MULT.'!$C$3:$V$52,20,FALSE))*W$57</f>
        <v>-185158.9788485333</v>
      </c>
      <c r="X43" s="72">
        <f>('RECEITAS - BLOCOS PAN'!W43-'OPEX - BLOCOS PAN'!W43-VLOOKUP('FLUXO DE CAIXA DESC.-SEM MULT.'!$D43,'CAPEX - BLOCOS PAN S- MULT.'!$C$3:$W$52,21,FALSE))*X$57</f>
        <v>-169017.78078369083</v>
      </c>
      <c r="Y43" s="72">
        <f>('RECEITAS - BLOCOS PAN'!X43-'OPEX - BLOCOS PAN'!X43-VLOOKUP('FLUXO DE CAIXA DESC.-SEM MULT.'!$D43,'CAPEX - BLOCOS PAN S- MULT.'!$C$3:$X$52,22,FALSE))*Y$57</f>
        <v>-154283.68852915641</v>
      </c>
      <c r="Z43" s="72">
        <f>('RECEITAS - BLOCOS PAN'!Y43-'OPEX - BLOCOS PAN'!Y43-VLOOKUP('FLUXO DE CAIXA DESC.-SEM MULT.'!$D43,'CAPEX - BLOCOS PAN S- MULT.'!$C$3:$Y$52,23,FALSE))*Z$57</f>
        <v>-140834.03790886025</v>
      </c>
      <c r="AA43" s="72">
        <f>('RECEITAS - BLOCOS PAN'!Z43-'OPEX - BLOCOS PAN'!Z43-VLOOKUP('FLUXO DE CAIXA DESC.-SEM MULT.'!$D43,'CAPEX - BLOCOS PAN S- MULT.'!$C$3:$Z$52,24,FALSE))*AA$57</f>
        <v>-128556.85797248771</v>
      </c>
      <c r="AB43" s="72">
        <f>('RECEITAS - BLOCOS PAN'!AA43-'OPEX - BLOCOS PAN'!AA43-VLOOKUP('FLUXO DE CAIXA DESC.-SEM MULT.'!$D43,'CAPEX - BLOCOS PAN S- MULT.'!$C$3:$AA$52,25,FALSE))*AB$57</f>
        <v>-117349.93881559809</v>
      </c>
      <c r="AC43" s="72">
        <f>('RECEITAS - BLOCOS PAN'!AB43-'OPEX - BLOCOS PAN'!AB43-VLOOKUP('FLUXO DE CAIXA DESC.-SEM MULT.'!$D43,'CAPEX - BLOCOS PAN S- MULT.'!$C$3:$AB$52,26,FALSE))*AC$57</f>
        <v>-107119.98066234423</v>
      </c>
      <c r="AD43" s="72">
        <f>('RECEITAS - BLOCOS PAN'!AC43-'OPEX - BLOCOS PAN'!AC43-VLOOKUP('FLUXO DE CAIXA DESC.-SEM MULT.'!$D43,'CAPEX - BLOCOS PAN S- MULT.'!$C$3:$AC$52,27,FALSE))*AD$57</f>
        <v>-97781.817126740498</v>
      </c>
      <c r="AE43" s="72">
        <f>('RECEITAS - BLOCOS PAN'!AD43-'OPEX - BLOCOS PAN'!AD43-VLOOKUP('FLUXO DE CAIXA DESC.-SEM MULT.'!$D43,'CAPEX - BLOCOS PAN S- MULT.'!$C$3:$AD$52,28,FALSE))*AE$57</f>
        <v>-89257.706185979463</v>
      </c>
      <c r="AF43" s="72">
        <f>('RECEITAS - BLOCOS PAN'!AE43-'OPEX - BLOCOS PAN'!AE43-VLOOKUP('FLUXO DE CAIXA DESC.-SEM MULT.'!$D43,'CAPEX - BLOCOS PAN S- MULT.'!$C$3:$AE$52,29,FALSE))*AF$57</f>
        <v>-81476.682963011845</v>
      </c>
      <c r="AG43" s="72">
        <f>('RECEITAS - BLOCOS PAN'!AF43-'OPEX - BLOCOS PAN'!AF43-VLOOKUP('FLUXO DE CAIXA DESC.-SEM MULT.'!$D43,'CAPEX - BLOCOS PAN S- MULT.'!$C$3:$AF$52,30,FALSE))*AG$57</f>
        <v>-74373.96893017969</v>
      </c>
      <c r="AH43" s="72">
        <f>('RECEITAS - BLOCOS PAN'!AG43-'OPEX - BLOCOS PAN'!AG43-VLOOKUP('FLUXO DE CAIXA DESC.-SEM MULT.'!$D43,'CAPEX - BLOCOS PAN S- MULT.'!$C$3:$AG$52,31,FALSE))*AH$57</f>
        <v>-67890.432615408208</v>
      </c>
      <c r="AI43" s="72">
        <f>('RECEITAS - BLOCOS PAN'!AH43-'OPEX - BLOCOS PAN'!AH43-VLOOKUP('FLUXO DE CAIXA DESC.-SEM MULT.'!$D43,'CAPEX - BLOCOS PAN S- MULT.'!$C$3:$AH$52,32,FALSE))*AI$57</f>
        <v>-61972.097321230678</v>
      </c>
      <c r="AJ43" s="72">
        <f>('RECEITAS - BLOCOS PAN'!AI43-'OPEX - BLOCOS PAN'!AI43-VLOOKUP('FLUXO DE CAIXA DESC.-SEM MULT.'!$D43,'CAPEX - BLOCOS PAN S- MULT.'!$C$3:$AI$52,33,FALSE))*AJ$57</f>
        <v>-56569.691758311899</v>
      </c>
      <c r="AK43" s="72">
        <f>('RECEITAS - BLOCOS PAN'!AJ43-'OPEX - BLOCOS PAN'!AJ43-VLOOKUP('FLUXO DE CAIXA DESC.-SEM MULT.'!$D43,'CAPEX - BLOCOS PAN S- MULT.'!$C$3:$AJ$52,34,FALSE))*AK$57</f>
        <v>-51638.23985240703</v>
      </c>
      <c r="AL43" s="72">
        <f>('RECEITAS - BLOCOS PAN'!AK43-'OPEX - BLOCOS PAN'!AK43-VLOOKUP('FLUXO DE CAIXA DESC.-SEM MULT.'!$D43,'CAPEX - BLOCOS PAN S- MULT.'!$C$3:$AK$52,35,FALSE))*AL$57</f>
        <v>-47136.686309819284</v>
      </c>
      <c r="AM43" s="77">
        <f t="shared" ref="AM43" si="2">SUM(I43:AL43)</f>
        <v>-22642307.363952991</v>
      </c>
      <c r="AN43" s="49">
        <v>0</v>
      </c>
      <c r="AO43" s="49" t="s">
        <v>310</v>
      </c>
      <c r="AP43" s="49">
        <v>-7.583333333333333</v>
      </c>
      <c r="AQ43" s="49">
        <v>-40.533333333333331</v>
      </c>
      <c r="AR43" s="78">
        <v>0</v>
      </c>
      <c r="AS43" s="72">
        <f t="shared" ref="AS43" si="3">SUM(I43:W43)</f>
        <v>-21197047.756217767</v>
      </c>
      <c r="AT43" t="s">
        <v>387</v>
      </c>
    </row>
    <row r="44" spans="1:46" x14ac:dyDescent="0.35">
      <c r="A44" t="s">
        <v>88</v>
      </c>
      <c r="B44" s="5" t="s">
        <v>270</v>
      </c>
      <c r="C44">
        <v>210120</v>
      </c>
      <c r="D44" t="s">
        <v>292</v>
      </c>
      <c r="E44" t="s">
        <v>234</v>
      </c>
      <c r="F44" t="s">
        <v>31</v>
      </c>
      <c r="G44" t="s">
        <v>258</v>
      </c>
      <c r="H44" t="s">
        <v>33</v>
      </c>
      <c r="I44" s="1">
        <f>('RECEITAS - BLOCOS PAN'!H44-'OPEX - BLOCOS PAN'!H44-VLOOKUP('FLUXO DE CAIXA DESC.-SEM MULT.'!$D44,'CAPEX - BLOCOS PAN S- MULT.'!$C$3:$H$52,6,FALSE))*I$57</f>
        <v>-9361610.4000301529</v>
      </c>
      <c r="J44" s="1">
        <f>('RECEITAS - BLOCOS PAN'!I44-'OPEX - BLOCOS PAN'!I44-VLOOKUP('FLUXO DE CAIXA DESC.-SEM MULT.'!$D44,'CAPEX - BLOCOS PAN S- MULT.'!$C$3:$I$52,7,FALSE))*J$57</f>
        <v>-8545513.8293292131</v>
      </c>
      <c r="K44" s="1">
        <f>('RECEITAS - BLOCOS PAN'!J44-'OPEX - BLOCOS PAN'!J44-VLOOKUP('FLUXO DE CAIXA DESC.-SEM MULT.'!$D44,'CAPEX - BLOCOS PAN S- MULT.'!$C$3:$J$52,8,FALSE))*K$57</f>
        <v>-7800560.3188765077</v>
      </c>
      <c r="L44" s="1">
        <f>('RECEITAS - BLOCOS PAN'!K44-'OPEX - BLOCOS PAN'!K44-VLOOKUP('FLUXO DE CAIXA DESC.-SEM MULT.'!$D44,'CAPEX - BLOCOS PAN S- MULT.'!$C$3:$K$52,9,FALSE))*L$57</f>
        <v>-370439.04596761259</v>
      </c>
      <c r="M44" s="1">
        <f>('RECEITAS - BLOCOS PAN'!L44-'OPEX - BLOCOS PAN'!L44-VLOOKUP('FLUXO DE CAIXA DESC.-SEM MULT.'!$D44,'CAPEX - BLOCOS PAN S- MULT.'!$C$3:$L$52,10,FALSE))*M$57</f>
        <v>-338146.09399143094</v>
      </c>
      <c r="N44" s="1">
        <f>('RECEITAS - BLOCOS PAN'!M44-'OPEX - BLOCOS PAN'!M44-VLOOKUP('FLUXO DE CAIXA DESC.-SEM MULT.'!$D44,'CAPEX - BLOCOS PAN S- MULT.'!$C$3:$M$52,11,FALSE))*N$57</f>
        <v>-308668.27383973612</v>
      </c>
      <c r="O44" s="1">
        <f>('RECEITAS - BLOCOS PAN'!N44-'OPEX - BLOCOS PAN'!N44-VLOOKUP('FLUXO DE CAIXA DESC.-SEM MULT.'!$D44,'CAPEX - BLOCOS PAN S- MULT.'!$C$3:$N$52,12,FALSE))*O$57</f>
        <v>-281760.17694179475</v>
      </c>
      <c r="P44" s="1">
        <f>('RECEITAS - BLOCOS PAN'!O44-'OPEX - BLOCOS PAN'!O44-VLOOKUP('FLUXO DE CAIXA DESC.-SEM MULT.'!$D44,'CAPEX - BLOCOS PAN S- MULT.'!$C$3:$O$52,13,FALSE))*P$57</f>
        <v>-257197.7881714238</v>
      </c>
      <c r="Q44" s="1">
        <f>('RECEITAS - BLOCOS PAN'!P44-'OPEX - BLOCOS PAN'!P44-VLOOKUP('FLUXO DE CAIXA DESC.-SEM MULT.'!$D44,'CAPEX - BLOCOS PAN S- MULT.'!$C$3:$P$52,14,FALSE))*Q$57</f>
        <v>-234776.62087761189</v>
      </c>
      <c r="R44" s="1">
        <f>('RECEITAS - BLOCOS PAN'!Q44-'OPEX - BLOCOS PAN'!Q44-VLOOKUP('FLUXO DE CAIXA DESC.-SEM MULT.'!$D44,'CAPEX - BLOCOS PAN S- MULT.'!$C$3:$Q$52,15,FALSE))*R$57</f>
        <v>-214310.01449348417</v>
      </c>
      <c r="S44" s="1">
        <f>('RECEITAS - BLOCOS PAN'!R44-'OPEX - BLOCOS PAN'!R44-VLOOKUP('FLUXO DE CAIXA DESC.-SEM MULT.'!$D44,'CAPEX - BLOCOS PAN S- MULT.'!$C$3:$R$52,16,FALSE))*S$57</f>
        <v>-195627.58055087557</v>
      </c>
      <c r="T44" s="1">
        <f>('RECEITAS - BLOCOS PAN'!S44-'OPEX - BLOCOS PAN'!S44-VLOOKUP('FLUXO DE CAIXA DESC.-SEM MULT.'!$D44,'CAPEX - BLOCOS PAN S- MULT.'!$C$3:$S$52,17,FALSE))*T$57</f>
        <v>-178573.78416328214</v>
      </c>
      <c r="U44" s="1">
        <f>('RECEITAS - BLOCOS PAN'!T44-'OPEX - BLOCOS PAN'!T44-VLOOKUP('FLUXO DE CAIXA DESC.-SEM MULT.'!$D44,'CAPEX - BLOCOS PAN S- MULT.'!$C$3:$T$52,18,FALSE))*U$57</f>
        <v>-163006.64916776097</v>
      </c>
      <c r="V44" s="1">
        <f>('RECEITAS - BLOCOS PAN'!U44-'OPEX - BLOCOS PAN'!U44-VLOOKUP('FLUXO DE CAIXA DESC.-SEM MULT.'!$D44,'CAPEX - BLOCOS PAN S- MULT.'!$C$3:$U$52,19,FALSE))*V$57</f>
        <v>-148796.57614583382</v>
      </c>
      <c r="W44" s="1">
        <f>('RECEITAS - BLOCOS PAN'!V44-'OPEX - BLOCOS PAN'!V44-VLOOKUP('FLUXO DE CAIXA DESC.-SEM MULT.'!$D44,'CAPEX - BLOCOS PAN S- MULT.'!$C$3:$V$52,20,FALSE))*W$57</f>
        <v>-135825.26348318925</v>
      </c>
      <c r="X44" s="1">
        <f>('RECEITAS - BLOCOS PAN'!W44-'OPEX - BLOCOS PAN'!W44-VLOOKUP('FLUXO DE CAIXA DESC.-SEM MULT.'!$D44,'CAPEX - BLOCOS PAN S- MULT.'!$C$3:$W$52,21,FALSE))*X$57</f>
        <v>-123984.72248579578</v>
      </c>
      <c r="Y44" s="1">
        <f>('RECEITAS - BLOCOS PAN'!X44-'OPEX - BLOCOS PAN'!X44-VLOOKUP('FLUXO DE CAIXA DESC.-SEM MULT.'!$D44,'CAPEX - BLOCOS PAN S- MULT.'!$C$3:$X$52,22,FALSE))*Y$57</f>
        <v>-113176.37835307694</v>
      </c>
      <c r="Z44" s="1">
        <f>('RECEITAS - BLOCOS PAN'!Y44-'OPEX - BLOCOS PAN'!Y44-VLOOKUP('FLUXO DE CAIXA DESC.-SEM MULT.'!$D44,'CAPEX - BLOCOS PAN S- MULT.'!$C$3:$Y$52,23,FALSE))*Z$57</f>
        <v>-103310.24952357548</v>
      </c>
      <c r="AA44" s="1">
        <f>('RECEITAS - BLOCOS PAN'!Z44-'OPEX - BLOCOS PAN'!Z44-VLOOKUP('FLUXO DE CAIXA DESC.-SEM MULT.'!$D44,'CAPEX - BLOCOS PAN S- MULT.'!$C$3:$Z$52,24,FALSE))*AA$57</f>
        <v>-94304.198560999997</v>
      </c>
      <c r="AB44" s="1">
        <f>('RECEITAS - BLOCOS PAN'!AA44-'OPEX - BLOCOS PAN'!AA44-VLOOKUP('FLUXO DE CAIXA DESC.-SEM MULT.'!$D44,'CAPEX - BLOCOS PAN S- MULT.'!$C$3:$AA$52,25,FALSE))*AB$57</f>
        <v>-86083.248344135092</v>
      </c>
      <c r="AC44" s="1">
        <f>('RECEITAS - BLOCOS PAN'!AB44-'OPEX - BLOCOS PAN'!AB44-VLOOKUP('FLUXO DE CAIXA DESC.-SEM MULT.'!$D44,'CAPEX - BLOCOS PAN S- MULT.'!$C$3:$AB$52,26,FALSE))*AC$57</f>
        <v>-78578.957867763675</v>
      </c>
      <c r="AD44" s="1">
        <f>('RECEITAS - BLOCOS PAN'!AC44-'OPEX - BLOCOS PAN'!AC44-VLOOKUP('FLUXO DE CAIXA DESC.-SEM MULT.'!$D44,'CAPEX - BLOCOS PAN S- MULT.'!$C$3:$AC$52,27,FALSE))*AD$57</f>
        <v>-71728.85245802252</v>
      </c>
      <c r="AE44" s="1">
        <f>('RECEITAS - BLOCOS PAN'!AD44-'OPEX - BLOCOS PAN'!AD44-VLOOKUP('FLUXO DE CAIXA DESC.-SEM MULT.'!$D44,'CAPEX - BLOCOS PAN S- MULT.'!$C$3:$AD$52,28,FALSE))*AE$57</f>
        <v>-65475.903658623938</v>
      </c>
      <c r="AF44" s="1">
        <f>('RECEITAS - BLOCOS PAN'!AE44-'OPEX - BLOCOS PAN'!AE44-VLOOKUP('FLUXO DE CAIXA DESC.-SEM MULT.'!$D44,'CAPEX - BLOCOS PAN S- MULT.'!$C$3:$AE$52,29,FALSE))*AF$57</f>
        <v>-59768.054457894978</v>
      </c>
      <c r="AG44" s="1">
        <f>('RECEITAS - BLOCOS PAN'!AF44-'OPEX - BLOCOS PAN'!AF44-VLOOKUP('FLUXO DE CAIXA DESC.-SEM MULT.'!$D44,'CAPEX - BLOCOS PAN S- MULT.'!$C$3:$AF$52,30,FALSE))*AG$57</f>
        <v>-54557.785904057491</v>
      </c>
      <c r="AH44" s="1">
        <f>('RECEITAS - BLOCOS PAN'!AG44-'OPEX - BLOCOS PAN'!AG44-VLOOKUP('FLUXO DE CAIXA DESC.-SEM MULT.'!$D44,'CAPEX - BLOCOS PAN S- MULT.'!$C$3:$AG$52,31,FALSE))*AH$57</f>
        <v>-49801.721500737098</v>
      </c>
      <c r="AI44" s="1">
        <f>('RECEITAS - BLOCOS PAN'!AH44-'OPEX - BLOCOS PAN'!AH44-VLOOKUP('FLUXO DE CAIXA DESC.-SEM MULT.'!$D44,'CAPEX - BLOCOS PAN S- MULT.'!$C$3:$AH$52,32,FALSE))*AI$57</f>
        <v>-45460.266089216886</v>
      </c>
      <c r="AJ44" s="1">
        <f>('RECEITAS - BLOCOS PAN'!AI44-'OPEX - BLOCOS PAN'!AI44-VLOOKUP('FLUXO DE CAIXA DESC.-SEM MULT.'!$D44,'CAPEX - BLOCOS PAN S- MULT.'!$C$3:$AI$52,33,FALSE))*AJ$57</f>
        <v>-41497.276211060605</v>
      </c>
      <c r="AK44" s="1">
        <f>('RECEITAS - BLOCOS PAN'!AJ44-'OPEX - BLOCOS PAN'!AJ44-VLOOKUP('FLUXO DE CAIXA DESC.-SEM MULT.'!$D44,'CAPEX - BLOCOS PAN S- MULT.'!$C$3:$AJ$52,34,FALSE))*AK$57</f>
        <v>-37879.759206810224</v>
      </c>
      <c r="AL44" s="1">
        <f>('RECEITAS - BLOCOS PAN'!AK44-'OPEX - BLOCOS PAN'!AK44-VLOOKUP('FLUXO DE CAIXA DESC.-SEM MULT.'!$D44,'CAPEX - BLOCOS PAN S- MULT.'!$C$3:$AK$52,35,FALSE))*AL$57</f>
        <v>-34577.598545696237</v>
      </c>
      <c r="AM44" s="44">
        <f t="shared" si="0"/>
        <v>-29594997.389197379</v>
      </c>
      <c r="AN44">
        <v>1</v>
      </c>
      <c r="AO44" t="s">
        <v>316</v>
      </c>
      <c r="AP44">
        <v>-4.2166666666666668</v>
      </c>
      <c r="AQ44">
        <v>-44.81666666666667</v>
      </c>
      <c r="AR44" s="48">
        <v>0</v>
      </c>
      <c r="AS44" s="1">
        <f t="shared" si="1"/>
        <v>-28534812.416029911</v>
      </c>
      <c r="AT44" t="s">
        <v>388</v>
      </c>
    </row>
    <row r="45" spans="1:46" x14ac:dyDescent="0.35">
      <c r="A45" t="s">
        <v>89</v>
      </c>
      <c r="B45" s="5" t="s">
        <v>271</v>
      </c>
      <c r="C45">
        <v>210140</v>
      </c>
      <c r="D45" t="s">
        <v>293</v>
      </c>
      <c r="E45" t="s">
        <v>235</v>
      </c>
      <c r="F45" t="s">
        <v>31</v>
      </c>
      <c r="G45" t="s">
        <v>258</v>
      </c>
      <c r="H45" t="s">
        <v>33</v>
      </c>
      <c r="I45" s="1">
        <f>('RECEITAS - BLOCOS PAN'!H45-'OPEX - BLOCOS PAN'!H45-VLOOKUP('FLUXO DE CAIXA DESC.-SEM MULT.'!$D45,'CAPEX - BLOCOS PAN S- MULT.'!$C$3:$H$52,6,FALSE))*I$57</f>
        <v>-6912953.1778546115</v>
      </c>
      <c r="J45" s="1">
        <f>('RECEITAS - BLOCOS PAN'!I45-'OPEX - BLOCOS PAN'!I45-VLOOKUP('FLUXO DE CAIXA DESC.-SEM MULT.'!$D45,'CAPEX - BLOCOS PAN S- MULT.'!$C$3:$I$52,7,FALSE))*J$57</f>
        <v>-6310317.825517674</v>
      </c>
      <c r="K45" s="1">
        <f>('RECEITAS - BLOCOS PAN'!J45-'OPEX - BLOCOS PAN'!J45-VLOOKUP('FLUXO DE CAIXA DESC.-SEM MULT.'!$D45,'CAPEX - BLOCOS PAN S- MULT.'!$C$3:$J$52,8,FALSE))*K$57</f>
        <v>-5760217.093124303</v>
      </c>
      <c r="L45" s="1">
        <f>('RECEITAS - BLOCOS PAN'!K45-'OPEX - BLOCOS PAN'!K45-VLOOKUP('FLUXO DE CAIXA DESC.-SEM MULT.'!$D45,'CAPEX - BLOCOS PAN S- MULT.'!$C$3:$K$52,9,FALSE))*L$57</f>
        <v>-329109.77315858932</v>
      </c>
      <c r="M45" s="1">
        <f>('RECEITAS - BLOCOS PAN'!L45-'OPEX - BLOCOS PAN'!L45-VLOOKUP('FLUXO DE CAIXA DESC.-SEM MULT.'!$D45,'CAPEX - BLOCOS PAN S- MULT.'!$C$3:$L$52,10,FALSE))*M$57</f>
        <v>-300419.69252267398</v>
      </c>
      <c r="N45" s="1">
        <f>('RECEITAS - BLOCOS PAN'!M45-'OPEX - BLOCOS PAN'!M45-VLOOKUP('FLUXO DE CAIXA DESC.-SEM MULT.'!$D45,'CAPEX - BLOCOS PAN S- MULT.'!$C$3:$M$52,11,FALSE))*N$57</f>
        <v>-274230.66410102596</v>
      </c>
      <c r="O45" s="1">
        <f>('RECEITAS - BLOCOS PAN'!N45-'OPEX - BLOCOS PAN'!N45-VLOOKUP('FLUXO DE CAIXA DESC.-SEM MULT.'!$D45,'CAPEX - BLOCOS PAN S- MULT.'!$C$3:$N$52,12,FALSE))*O$57</f>
        <v>-250324.65915200915</v>
      </c>
      <c r="P45" s="1">
        <f>('RECEITAS - BLOCOS PAN'!O45-'OPEX - BLOCOS PAN'!O45-VLOOKUP('FLUXO DE CAIXA DESC.-SEM MULT.'!$D45,'CAPEX - BLOCOS PAN S- MULT.'!$C$3:$O$52,13,FALSE))*P$57</f>
        <v>-228502.65554724706</v>
      </c>
      <c r="Q45" s="1">
        <f>('RECEITAS - BLOCOS PAN'!P45-'OPEX - BLOCOS PAN'!P45-VLOOKUP('FLUXO DE CAIXA DESC.-SEM MULT.'!$D45,'CAPEX - BLOCOS PAN S- MULT.'!$C$3:$P$52,14,FALSE))*Q$57</f>
        <v>-208582.98087379924</v>
      </c>
      <c r="R45" s="1">
        <f>('RECEITAS - BLOCOS PAN'!Q45-'OPEX - BLOCOS PAN'!Q45-VLOOKUP('FLUXO DE CAIXA DESC.-SEM MULT.'!$D45,'CAPEX - BLOCOS PAN S- MULT.'!$C$3:$Q$52,15,FALSE))*R$57</f>
        <v>-190399.7999760833</v>
      </c>
      <c r="S45" s="1">
        <f>('RECEITAS - BLOCOS PAN'!R45-'OPEX - BLOCOS PAN'!R45-VLOOKUP('FLUXO DE CAIXA DESC.-SEM MULT.'!$D45,'CAPEX - BLOCOS PAN S- MULT.'!$C$3:$R$52,16,FALSE))*S$57</f>
        <v>-173801.73434603683</v>
      </c>
      <c r="T45" s="1">
        <f>('RECEITAS - BLOCOS PAN'!S45-'OPEX - BLOCOS PAN'!S45-VLOOKUP('FLUXO DE CAIXA DESC.-SEM MULT.'!$D45,'CAPEX - BLOCOS PAN S- MULT.'!$C$3:$S$52,17,FALSE))*T$57</f>
        <v>-158650.60186767395</v>
      </c>
      <c r="U45" s="1">
        <f>('RECEITAS - BLOCOS PAN'!T45-'OPEX - BLOCOS PAN'!T45-VLOOKUP('FLUXO DE CAIXA DESC.-SEM MULT.'!$D45,'CAPEX - BLOCOS PAN S- MULT.'!$C$3:$T$52,18,FALSE))*U$57</f>
        <v>-144820.2664241661</v>
      </c>
      <c r="V45" s="1">
        <f>('RECEITAS - BLOCOS PAN'!U45-'OPEX - BLOCOS PAN'!U45-VLOOKUP('FLUXO DE CAIXA DESC.-SEM MULT.'!$D45,'CAPEX - BLOCOS PAN S- MULT.'!$C$3:$U$52,19,FALSE))*V$57</f>
        <v>-132195.58779020183</v>
      </c>
      <c r="W45" s="1">
        <f>('RECEITAS - BLOCOS PAN'!V45-'OPEX - BLOCOS PAN'!V45-VLOOKUP('FLUXO DE CAIXA DESC.-SEM MULT.'!$D45,'CAPEX - BLOCOS PAN S- MULT.'!$C$3:$V$52,20,FALSE))*W$57</f>
        <v>-120671.46306727688</v>
      </c>
      <c r="X45" s="1">
        <f>('RECEITAS - BLOCOS PAN'!W45-'OPEX - BLOCOS PAN'!W45-VLOOKUP('FLUXO DE CAIXA DESC.-SEM MULT.'!$D45,'CAPEX - BLOCOS PAN S- MULT.'!$C$3:$W$52,21,FALSE))*X$57</f>
        <v>-110151.95168167676</v>
      </c>
      <c r="Y45" s="1">
        <f>('RECEITAS - BLOCOS PAN'!X45-'OPEX - BLOCOS PAN'!X45-VLOOKUP('FLUXO DE CAIXA DESC.-SEM MULT.'!$D45,'CAPEX - BLOCOS PAN S- MULT.'!$C$3:$X$52,22,FALSE))*Y$57</f>
        <v>-100549.47666059039</v>
      </c>
      <c r="Z45" s="1">
        <f>('RECEITAS - BLOCOS PAN'!Y45-'OPEX - BLOCOS PAN'!Y45-VLOOKUP('FLUXO DE CAIXA DESC.-SEM MULT.'!$D45,'CAPEX - BLOCOS PAN S- MULT.'!$C$3:$Y$52,23,FALSE))*Z$57</f>
        <v>-91784.095536823719</v>
      </c>
      <c r="AA45" s="1">
        <f>('RECEITAS - BLOCOS PAN'!Z45-'OPEX - BLOCOS PAN'!Z45-VLOOKUP('FLUXO DE CAIXA DESC.-SEM MULT.'!$D45,'CAPEX - BLOCOS PAN S- MULT.'!$C$3:$Z$52,24,FALSE))*AA$57</f>
        <v>-83782.834812253524</v>
      </c>
      <c r="AB45" s="1">
        <f>('RECEITAS - BLOCOS PAN'!AA45-'OPEX - BLOCOS PAN'!AA45-VLOOKUP('FLUXO DE CAIXA DESC.-SEM MULT.'!$D45,'CAPEX - BLOCOS PAN S- MULT.'!$C$3:$AA$52,25,FALSE))*AB$57</f>
        <v>-76479.082439300342</v>
      </c>
      <c r="AC45" s="1">
        <f>('RECEITAS - BLOCOS PAN'!AB45-'OPEX - BLOCOS PAN'!AB45-VLOOKUP('FLUXO DE CAIXA DESC.-SEM MULT.'!$D45,'CAPEX - BLOCOS PAN S- MULT.'!$C$3:$AB$52,26,FALSE))*AC$57</f>
        <v>-69812.033262711411</v>
      </c>
      <c r="AD45" s="1">
        <f>('RECEITAS - BLOCOS PAN'!AC45-'OPEX - BLOCOS PAN'!AC45-VLOOKUP('FLUXO DE CAIXA DESC.-SEM MULT.'!$D45,'CAPEX - BLOCOS PAN S- MULT.'!$C$3:$AC$52,27,FALSE))*AD$57</f>
        <v>-63726.182804848388</v>
      </c>
      <c r="AE45" s="1">
        <f>('RECEITAS - BLOCOS PAN'!AD45-'OPEX - BLOCOS PAN'!AD45-VLOOKUP('FLUXO DE CAIXA DESC.-SEM MULT.'!$D45,'CAPEX - BLOCOS PAN S- MULT.'!$C$3:$AD$52,28,FALSE))*AE$57</f>
        <v>-58170.865180144581</v>
      </c>
      <c r="AF45" s="1">
        <f>('RECEITAS - BLOCOS PAN'!AE45-'OPEX - BLOCOS PAN'!AE45-VLOOKUP('FLUXO DE CAIXA DESC.-SEM MULT.'!$D45,'CAPEX - BLOCOS PAN S- MULT.'!$C$3:$AE$52,29,FALSE))*AF$57</f>
        <v>-53099.831291779636</v>
      </c>
      <c r="AG45" s="1">
        <f>('RECEITAS - BLOCOS PAN'!AF45-'OPEX - BLOCOS PAN'!AF45-VLOOKUP('FLUXO DE CAIXA DESC.-SEM MULT.'!$D45,'CAPEX - BLOCOS PAN S- MULT.'!$C$3:$AF$52,30,FALSE))*AG$57</f>
        <v>-48470.863798977305</v>
      </c>
      <c r="AH45" s="1">
        <f>('RECEITAS - BLOCOS PAN'!AG45-'OPEX - BLOCOS PAN'!AG45-VLOOKUP('FLUXO DE CAIXA DESC.-SEM MULT.'!$D45,'CAPEX - BLOCOS PAN S- MULT.'!$C$3:$AG$52,31,FALSE))*AH$57</f>
        <v>-44245.42564945441</v>
      </c>
      <c r="AI45" s="1">
        <f>('RECEITAS - BLOCOS PAN'!AH45-'OPEX - BLOCOS PAN'!AH45-VLOOKUP('FLUXO DE CAIXA DESC.-SEM MULT.'!$D45,'CAPEX - BLOCOS PAN S- MULT.'!$C$3:$AH$52,32,FALSE))*AI$57</f>
        <v>-40388.339250985315</v>
      </c>
      <c r="AJ45" s="1">
        <f>('RECEITAS - BLOCOS PAN'!AI45-'OPEX - BLOCOS PAN'!AI45-VLOOKUP('FLUXO DE CAIXA DESC.-SEM MULT.'!$D45,'CAPEX - BLOCOS PAN S- MULT.'!$C$3:$AI$52,33,FALSE))*AJ$57</f>
        <v>-36867.493611123064</v>
      </c>
      <c r="AK45" s="1">
        <f>('RECEITAS - BLOCOS PAN'!AJ45-'OPEX - BLOCOS PAN'!AJ45-VLOOKUP('FLUXO DE CAIXA DESC.-SEM MULT.'!$D45,'CAPEX - BLOCOS PAN S- MULT.'!$C$3:$AJ$52,34,FALSE))*AK$57</f>
        <v>-33653.577006958527</v>
      </c>
      <c r="AL45" s="1">
        <f>('RECEITAS - BLOCOS PAN'!AK45-'OPEX - BLOCOS PAN'!AK45-VLOOKUP('FLUXO DE CAIXA DESC.-SEM MULT.'!$D45,'CAPEX - BLOCOS PAN S- MULT.'!$C$3:$AK$52,35,FALSE))*AL$57</f>
        <v>-30719.832959341416</v>
      </c>
      <c r="AM45" s="44">
        <f t="shared" si="0"/>
        <v>-22437099.861270349</v>
      </c>
      <c r="AN45">
        <v>1</v>
      </c>
      <c r="AO45" t="s">
        <v>316</v>
      </c>
      <c r="AP45">
        <v>-7.5166666666666666</v>
      </c>
      <c r="AQ45">
        <v>-46.05</v>
      </c>
      <c r="AR45" s="48">
        <v>0</v>
      </c>
      <c r="AS45" s="1">
        <f t="shared" si="1"/>
        <v>-21495197.975323379</v>
      </c>
      <c r="AT45" t="s">
        <v>388</v>
      </c>
    </row>
    <row r="46" spans="1:46" s="49" customFormat="1" x14ac:dyDescent="0.35">
      <c r="A46" s="49" t="s">
        <v>373</v>
      </c>
      <c r="B46" s="76" t="s">
        <v>374</v>
      </c>
      <c r="C46" s="49">
        <v>260600</v>
      </c>
      <c r="D46" s="49" t="s">
        <v>375</v>
      </c>
      <c r="E46" s="49" t="s">
        <v>374</v>
      </c>
      <c r="F46" s="49" t="s">
        <v>36</v>
      </c>
      <c r="G46" s="49" t="s">
        <v>258</v>
      </c>
      <c r="H46" s="49" t="s">
        <v>33</v>
      </c>
      <c r="I46" s="72">
        <f>('RECEITAS - BLOCOS PAN'!H46-'OPEX - BLOCOS PAN'!H46-VLOOKUP('FLUXO DE CAIXA DESC.-SEM MULT.'!$D46,'CAPEX - BLOCOS PAN S- MULT.'!$C$3:$H$52,6,FALSE))*I$57</f>
        <v>-6589112.7296884395</v>
      </c>
      <c r="J46" s="72">
        <f>('RECEITAS - BLOCOS PAN'!I46-'OPEX - BLOCOS PAN'!I46-VLOOKUP('FLUXO DE CAIXA DESC.-SEM MULT.'!$D46,'CAPEX - BLOCOS PAN S- MULT.'!$C$3:$I$52,7,FALSE))*J$57</f>
        <v>-6014708.1056033224</v>
      </c>
      <c r="K46" s="72">
        <f>('RECEITAS - BLOCOS PAN'!J46-'OPEX - BLOCOS PAN'!J46-VLOOKUP('FLUXO DE CAIXA DESC.-SEM MULT.'!$D46,'CAPEX - BLOCOS PAN S- MULT.'!$C$3:$J$52,8,FALSE))*K$57</f>
        <v>-5490377.0932024857</v>
      </c>
      <c r="L46" s="72">
        <f>('RECEITAS - BLOCOS PAN'!K46-'OPEX - BLOCOS PAN'!K46-VLOOKUP('FLUXO DE CAIXA DESC.-SEM MULT.'!$D46,'CAPEX - BLOCOS PAN S- MULT.'!$C$3:$K$52,9,FALSE))*L$57</f>
        <v>-503417.30457000388</v>
      </c>
      <c r="M46" s="72">
        <f>('RECEITAS - BLOCOS PAN'!L46-'OPEX - BLOCOS PAN'!L46-VLOOKUP('FLUXO DE CAIXA DESC.-SEM MULT.'!$D46,'CAPEX - BLOCOS PAN S- MULT.'!$C$3:$L$52,10,FALSE))*M$57</f>
        <v>-459531.99869466358</v>
      </c>
      <c r="N46" s="72">
        <f>('RECEITAS - BLOCOS PAN'!M46-'OPEX - BLOCOS PAN'!M46-VLOOKUP('FLUXO DE CAIXA DESC.-SEM MULT.'!$D46,'CAPEX - BLOCOS PAN S- MULT.'!$C$3:$M$52,11,FALSE))*N$57</f>
        <v>-419472.38584633823</v>
      </c>
      <c r="O46" s="72">
        <f>('RECEITAS - BLOCOS PAN'!N46-'OPEX - BLOCOS PAN'!N46-VLOOKUP('FLUXO DE CAIXA DESC.-SEM MULT.'!$D46,'CAPEX - BLOCOS PAN S- MULT.'!$C$3:$N$52,12,FALSE))*O$57</f>
        <v>-382904.96197748813</v>
      </c>
      <c r="P46" s="72">
        <f>('RECEITAS - BLOCOS PAN'!O46-'OPEX - BLOCOS PAN'!O46-VLOOKUP('FLUXO DE CAIXA DESC.-SEM MULT.'!$D46,'CAPEX - BLOCOS PAN S- MULT.'!$C$3:$O$52,13,FALSE))*P$57</f>
        <v>-349525.29619122605</v>
      </c>
      <c r="Q46" s="72">
        <f>('RECEITAS - BLOCOS PAN'!P46-'OPEX - BLOCOS PAN'!P46-VLOOKUP('FLUXO DE CAIXA DESC.-SEM MULT.'!$D46,'CAPEX - BLOCOS PAN S- MULT.'!$C$3:$P$52,14,FALSE))*Q$57</f>
        <v>-319055.49629504891</v>
      </c>
      <c r="R46" s="72">
        <f>('RECEITAS - BLOCOS PAN'!Q46-'OPEX - BLOCOS PAN'!Q46-VLOOKUP('FLUXO DE CAIXA DESC.-SEM MULT.'!$D46,'CAPEX - BLOCOS PAN S- MULT.'!$C$3:$Q$52,15,FALSE))*R$57</f>
        <v>-291241.89529443078</v>
      </c>
      <c r="S46" s="72">
        <f>('RECEITAS - BLOCOS PAN'!R46-'OPEX - BLOCOS PAN'!R46-VLOOKUP('FLUXO DE CAIXA DESC.-SEM MULT.'!$D46,'CAPEX - BLOCOS PAN S- MULT.'!$C$3:$R$52,16,FALSE))*S$57</f>
        <v>-265852.93956588849</v>
      </c>
      <c r="T46" s="72">
        <f>('RECEITAS - BLOCOS PAN'!S46-'OPEX - BLOCOS PAN'!S46-VLOOKUP('FLUXO DE CAIXA DESC.-SEM MULT.'!$D46,'CAPEX - BLOCOS PAN S- MULT.'!$C$3:$S$52,17,FALSE))*T$57</f>
        <v>-242677.26112815016</v>
      </c>
      <c r="U46" s="72">
        <f>('RECEITAS - BLOCOS PAN'!T46-'OPEX - BLOCOS PAN'!T46-VLOOKUP('FLUXO DE CAIXA DESC.-SEM MULT.'!$D46,'CAPEX - BLOCOS PAN S- MULT.'!$C$3:$T$52,18,FALSE))*U$57</f>
        <v>-221521.91796271125</v>
      </c>
      <c r="V46" s="72">
        <f>('RECEITAS - BLOCOS PAN'!U46-'OPEX - BLOCOS PAN'!U46-VLOOKUP('FLUXO DE CAIXA DESC.-SEM MULT.'!$D46,'CAPEX - BLOCOS PAN S- MULT.'!$C$3:$U$52,19,FALSE))*V$57</f>
        <v>-202210.78773410426</v>
      </c>
      <c r="W46" s="72">
        <f>('RECEITAS - BLOCOS PAN'!V46-'OPEX - BLOCOS PAN'!V46-VLOOKUP('FLUXO DE CAIXA DESC.-SEM MULT.'!$D46,'CAPEX - BLOCOS PAN S- MULT.'!$C$3:$V$52,20,FALSE))*W$57</f>
        <v>-184583.10153729282</v>
      </c>
      <c r="X46" s="72">
        <f>('RECEITAS - BLOCOS PAN'!W46-'OPEX - BLOCOS PAN'!W46-VLOOKUP('FLUXO DE CAIXA DESC.-SEM MULT.'!$D46,'CAPEX - BLOCOS PAN S- MULT.'!$C$3:$W$52,21,FALSE))*X$57</f>
        <v>-168492.10546535172</v>
      </c>
      <c r="Y46" s="72">
        <f>('RECEITAS - BLOCOS PAN'!X46-'OPEX - BLOCOS PAN'!X46-VLOOKUP('FLUXO DE CAIXA DESC.-SEM MULT.'!$D46,'CAPEX - BLOCOS PAN S- MULT.'!$C$3:$X$52,22,FALSE))*Y$57</f>
        <v>-153803.83885472547</v>
      </c>
      <c r="Z46" s="72">
        <f>('RECEITAS - BLOCOS PAN'!Y46-'OPEX - BLOCOS PAN'!Y46-VLOOKUP('FLUXO DE CAIXA DESC.-SEM MULT.'!$D46,'CAPEX - BLOCOS PAN S- MULT.'!$C$3:$Y$52,23,FALSE))*Z$57</f>
        <v>-140396.01903671882</v>
      </c>
      <c r="AA46" s="72">
        <f>('RECEITAS - BLOCOS PAN'!Z46-'OPEX - BLOCOS PAN'!Z46-VLOOKUP('FLUXO DE CAIXA DESC.-SEM MULT.'!$D46,'CAPEX - BLOCOS PAN S- MULT.'!$C$3:$Z$52,24,FALSE))*AA$57</f>
        <v>-128157.02331056034</v>
      </c>
      <c r="AB46" s="72">
        <f>('RECEITAS - BLOCOS PAN'!AA46-'OPEX - BLOCOS PAN'!AA46-VLOOKUP('FLUXO DE CAIXA DESC.-SEM MULT.'!$D46,'CAPEX - BLOCOS PAN S- MULT.'!$C$3:$AA$52,25,FALSE))*AB$57</f>
        <v>-116984.95966276617</v>
      </c>
      <c r="AC46" s="72">
        <f>('RECEITAS - BLOCOS PAN'!AB46-'OPEX - BLOCOS PAN'!AB46-VLOOKUP('FLUXO DE CAIXA DESC.-SEM MULT.'!$D46,'CAPEX - BLOCOS PAN S- MULT.'!$C$3:$AB$52,26,FALSE))*AC$57</f>
        <v>-106786.81849636347</v>
      </c>
      <c r="AD46" s="72">
        <f>('RECEITAS - BLOCOS PAN'!AC46-'OPEX - BLOCOS PAN'!AC46-VLOOKUP('FLUXO DE CAIXA DESC.-SEM MULT.'!$D46,'CAPEX - BLOCOS PAN S- MULT.'!$C$3:$AC$52,27,FALSE))*AD$57</f>
        <v>-97477.698307953877</v>
      </c>
      <c r="AE46" s="72">
        <f>('RECEITAS - BLOCOS PAN'!AD46-'OPEX - BLOCOS PAN'!AD46-VLOOKUP('FLUXO DE CAIXA DESC.-SEM MULT.'!$D46,'CAPEX - BLOCOS PAN S- MULT.'!$C$3:$AD$52,28,FALSE))*AE$57</f>
        <v>-88980.098866229004</v>
      </c>
      <c r="AF46" s="72">
        <f>('RECEITAS - BLOCOS PAN'!AE46-'OPEX - BLOCOS PAN'!AE46-VLOOKUP('FLUXO DE CAIXA DESC.-SEM MULT.'!$D46,'CAPEX - BLOCOS PAN S- MULT.'!$C$3:$AE$52,29,FALSE))*AF$57</f>
        <v>-81223.276007511653</v>
      </c>
      <c r="AG46" s="72">
        <f>('RECEITAS - BLOCOS PAN'!AF46-'OPEX - BLOCOS PAN'!AF46-VLOOKUP('FLUXO DE CAIXA DESC.-SEM MULT.'!$D46,'CAPEX - BLOCOS PAN S- MULT.'!$C$3:$AF$52,30,FALSE))*AG$57</f>
        <v>-74142.652676870523</v>
      </c>
      <c r="AH46" s="72">
        <f>('RECEITAS - BLOCOS PAN'!AG46-'OPEX - BLOCOS PAN'!AG46-VLOOKUP('FLUXO DE CAIXA DESC.-SEM MULT.'!$D46,'CAPEX - BLOCOS PAN S- MULT.'!$C$3:$AG$52,31,FALSE))*AH$57</f>
        <v>-67679.281311611616</v>
      </c>
      <c r="AI46" s="72">
        <f>('RECEITAS - BLOCOS PAN'!AH46-'OPEX - BLOCOS PAN'!AH46-VLOOKUP('FLUXO DE CAIXA DESC.-SEM MULT.'!$D46,'CAPEX - BLOCOS PAN S- MULT.'!$C$3:$AH$52,32,FALSE))*AI$57</f>
        <v>-61779.353091384401</v>
      </c>
      <c r="AJ46" s="72">
        <f>('RECEITAS - BLOCOS PAN'!AI46-'OPEX - BLOCOS PAN'!AI46-VLOOKUP('FLUXO DE CAIXA DESC.-SEM MULT.'!$D46,'CAPEX - BLOCOS PAN S- MULT.'!$C$3:$AI$52,33,FALSE))*AJ$57</f>
        <v>-56393.749969314842</v>
      </c>
      <c r="AK46" s="72">
        <f>('RECEITAS - BLOCOS PAN'!AJ46-'OPEX - BLOCOS PAN'!AJ46-VLOOKUP('FLUXO DE CAIXA DESC.-SEM MULT.'!$D46,'CAPEX - BLOCOS PAN S- MULT.'!$C$3:$AJ$52,34,FALSE))*AK$57</f>
        <v>-51477.635754737421</v>
      </c>
      <c r="AL46" s="72">
        <f>('RECEITAS - BLOCOS PAN'!AK46-'OPEX - BLOCOS PAN'!AK46-VLOOKUP('FLUXO DE CAIXA DESC.-SEM MULT.'!$D46,'CAPEX - BLOCOS PAN S- MULT.'!$C$3:$AK$52,35,FALSE))*AL$57</f>
        <v>-46990.082843210788</v>
      </c>
      <c r="AM46" s="77">
        <f t="shared" ref="AM46" si="4">SUM(I46:AL46)</f>
        <v>-23376957.86894691</v>
      </c>
      <c r="AN46" s="49">
        <v>0</v>
      </c>
      <c r="AO46" s="49" t="s">
        <v>310</v>
      </c>
      <c r="AP46" s="49">
        <v>-8.8333333333333339</v>
      </c>
      <c r="AQ46" s="49">
        <v>-36.466666666666669</v>
      </c>
      <c r="AR46" s="78">
        <v>0</v>
      </c>
      <c r="AS46" s="72">
        <f t="shared" ref="AS46" si="5">SUM(I46:W46)</f>
        <v>-21936193.275291599</v>
      </c>
      <c r="AT46" t="s">
        <v>387</v>
      </c>
    </row>
    <row r="47" spans="1:46" x14ac:dyDescent="0.35">
      <c r="A47" t="s">
        <v>125</v>
      </c>
      <c r="B47" s="5" t="s">
        <v>272</v>
      </c>
      <c r="C47">
        <v>110008</v>
      </c>
      <c r="D47" t="s">
        <v>295</v>
      </c>
      <c r="E47" t="s">
        <v>178</v>
      </c>
      <c r="F47" t="s">
        <v>30</v>
      </c>
      <c r="G47" t="s">
        <v>259</v>
      </c>
      <c r="H47" t="s">
        <v>33</v>
      </c>
      <c r="I47" s="1">
        <f>('RECEITAS - BLOCOS PAN'!H47-'OPEX - BLOCOS PAN'!H47-VLOOKUP('FLUXO DE CAIXA DESC.-SEM MULT.'!$D47,'CAPEX - BLOCOS PAN S- MULT.'!$C$3:$H$52,6,FALSE))*I$57</f>
        <v>-6529858.1143622426</v>
      </c>
      <c r="J47" s="1">
        <f>('RECEITAS - BLOCOS PAN'!I47-'OPEX - BLOCOS PAN'!I47-VLOOKUP('FLUXO DE CAIXA DESC.-SEM MULT.'!$D47,'CAPEX - BLOCOS PAN S- MULT.'!$C$3:$I$52,7,FALSE))*J$57</f>
        <v>-5960618.9998742519</v>
      </c>
      <c r="K47" s="1">
        <f>('RECEITAS - BLOCOS PAN'!J47-'OPEX - BLOCOS PAN'!J47-VLOOKUP('FLUXO DE CAIXA DESC.-SEM MULT.'!$D47,'CAPEX - BLOCOS PAN S- MULT.'!$C$3:$J$52,8,FALSE))*K$57</f>
        <v>-5441003.1947733928</v>
      </c>
      <c r="L47" s="1">
        <f>('RECEITAS - BLOCOS PAN'!K47-'OPEX - BLOCOS PAN'!K47-VLOOKUP('FLUXO DE CAIXA DESC.-SEM MULT.'!$D47,'CAPEX - BLOCOS PAN S- MULT.'!$C$3:$K$52,9,FALSE))*L$57</f>
        <v>-378709.31131516962</v>
      </c>
      <c r="M47" s="1">
        <f>('RECEITAS - BLOCOS PAN'!L47-'OPEX - BLOCOS PAN'!L47-VLOOKUP('FLUXO DE CAIXA DESC.-SEM MULT.'!$D47,'CAPEX - BLOCOS PAN S- MULT.'!$C$3:$L$52,10,FALSE))*M$57</f>
        <v>-345695.40056154237</v>
      </c>
      <c r="N47" s="1">
        <f>('RECEITAS - BLOCOS PAN'!M47-'OPEX - BLOCOS PAN'!M47-VLOOKUP('FLUXO DE CAIXA DESC.-SEM MULT.'!$D47,'CAPEX - BLOCOS PAN S- MULT.'!$C$3:$M$52,11,FALSE))*N$57</f>
        <v>-315559.47107397747</v>
      </c>
      <c r="O47" s="1">
        <f>('RECEITAS - BLOCOS PAN'!N47-'OPEX - BLOCOS PAN'!N47-VLOOKUP('FLUXO DE CAIXA DESC.-SEM MULT.'!$D47,'CAPEX - BLOCOS PAN S- MULT.'!$C$3:$N$52,12,FALSE))*O$57</f>
        <v>-288050.63539386354</v>
      </c>
      <c r="P47" s="1">
        <f>('RECEITAS - BLOCOS PAN'!O47-'OPEX - BLOCOS PAN'!O47-VLOOKUP('FLUXO DE CAIXA DESC.-SEM MULT.'!$D47,'CAPEX - BLOCOS PAN S- MULT.'!$C$3:$O$52,13,FALSE))*P$57</f>
        <v>-262939.87712812738</v>
      </c>
      <c r="Q47" s="1">
        <f>('RECEITAS - BLOCOS PAN'!P47-'OPEX - BLOCOS PAN'!P47-VLOOKUP('FLUXO DE CAIXA DESC.-SEM MULT.'!$D47,'CAPEX - BLOCOS PAN S- MULT.'!$C$3:$P$52,14,FALSE))*Q$57</f>
        <v>-240018.14434333856</v>
      </c>
      <c r="R47" s="1">
        <f>('RECEITAS - BLOCOS PAN'!Q47-'OPEX - BLOCOS PAN'!Q47-VLOOKUP('FLUXO DE CAIXA DESC.-SEM MULT.'!$D47,'CAPEX - BLOCOS PAN S- MULT.'!$C$3:$Q$52,15,FALSE))*R$57</f>
        <v>-219094.60916781248</v>
      </c>
      <c r="S47" s="1">
        <f>('RECEITAS - BLOCOS PAN'!R47-'OPEX - BLOCOS PAN'!R47-VLOOKUP('FLUXO DE CAIXA DESC.-SEM MULT.'!$D47,'CAPEX - BLOCOS PAN S- MULT.'!$C$3:$R$52,16,FALSE))*S$57</f>
        <v>-199995.07911256276</v>
      </c>
      <c r="T47" s="1">
        <f>('RECEITAS - BLOCOS PAN'!S47-'OPEX - BLOCOS PAN'!S47-VLOOKUP('FLUXO DE CAIXA DESC.-SEM MULT.'!$D47,'CAPEX - BLOCOS PAN S- MULT.'!$C$3:$S$52,17,FALSE))*T$57</f>
        <v>-182560.54688504132</v>
      </c>
      <c r="U47" s="1">
        <f>('RECEITAS - BLOCOS PAN'!T47-'OPEX - BLOCOS PAN'!T47-VLOOKUP('FLUXO DE CAIXA DESC.-SEM MULT.'!$D47,'CAPEX - BLOCOS PAN S- MULT.'!$C$3:$T$52,18,FALSE))*U$57</f>
        <v>-166645.86662258452</v>
      </c>
      <c r="V47" s="1">
        <f>('RECEITAS - BLOCOS PAN'!U47-'OPEX - BLOCOS PAN'!U47-VLOOKUP('FLUXO DE CAIXA DESC.-SEM MULT.'!$D47,'CAPEX - BLOCOS PAN S- MULT.'!$C$3:$U$52,19,FALSE))*V$57</f>
        <v>-152118.54552495162</v>
      </c>
      <c r="W47" s="1">
        <f>('RECEITAS - BLOCOS PAN'!V47-'OPEX - BLOCOS PAN'!V47-VLOOKUP('FLUXO DE CAIXA DESC.-SEM MULT.'!$D47,'CAPEX - BLOCOS PAN S- MULT.'!$C$3:$V$52,20,FALSE))*W$57</f>
        <v>-138857.64082606265</v>
      </c>
      <c r="X47" s="1">
        <f>('RECEITAS - BLOCOS PAN'!W47-'OPEX - BLOCOS PAN'!W47-VLOOKUP('FLUXO DE CAIXA DESC.-SEM MULT.'!$D47,'CAPEX - BLOCOS PAN S- MULT.'!$C$3:$W$52,21,FALSE))*X$57</f>
        <v>-126752.75292201064</v>
      </c>
      <c r="Y47" s="1">
        <f>('RECEITAS - BLOCOS PAN'!X47-'OPEX - BLOCOS PAN'!X47-VLOOKUP('FLUXO DE CAIXA DESC.-SEM MULT.'!$D47,'CAPEX - BLOCOS PAN S- MULT.'!$C$3:$X$52,22,FALSE))*Y$57</f>
        <v>-115703.10627294447</v>
      </c>
      <c r="Z47" s="1">
        <f>('RECEITAS - BLOCOS PAN'!Y47-'OPEX - BLOCOS PAN'!Y47-VLOOKUP('FLUXO DE CAIXA DESC.-SEM MULT.'!$D47,'CAPEX - BLOCOS PAN S- MULT.'!$C$3:$Y$52,23,FALSE))*Z$57</f>
        <v>-105616.71042715148</v>
      </c>
      <c r="AA47" s="1">
        <f>('RECEITAS - BLOCOS PAN'!Z47-'OPEX - BLOCOS PAN'!Z47-VLOOKUP('FLUXO DE CAIXA DESC.-SEM MULT.'!$D47,'CAPEX - BLOCOS PAN S- MULT.'!$C$3:$Z$52,24,FALSE))*AA$57</f>
        <v>-96409.594182703338</v>
      </c>
      <c r="AB47" s="1">
        <f>('RECEITAS - BLOCOS PAN'!AA47-'OPEX - BLOCOS PAN'!AA47-VLOOKUP('FLUXO DE CAIXA DESC.-SEM MULT.'!$D47,'CAPEX - BLOCOS PAN S- MULT.'!$C$3:$AA$52,25,FALSE))*AB$57</f>
        <v>-88005.106510911311</v>
      </c>
      <c r="AC47" s="1">
        <f>('RECEITAS - BLOCOS PAN'!AB47-'OPEX - BLOCOS PAN'!AB47-VLOOKUP('FLUXO DE CAIXA DESC.-SEM MULT.'!$D47,'CAPEX - BLOCOS PAN S- MULT.'!$C$3:$AB$52,26,FALSE))*AC$57</f>
        <v>-80333.278421644296</v>
      </c>
      <c r="AD47" s="1">
        <f>('RECEITAS - BLOCOS PAN'!AC47-'OPEX - BLOCOS PAN'!AC47-VLOOKUP('FLUXO DE CAIXA DESC.-SEM MULT.'!$D47,'CAPEX - BLOCOS PAN S- MULT.'!$C$3:$AC$52,27,FALSE))*AD$57</f>
        <v>-73330.240457913547</v>
      </c>
      <c r="AE47" s="1">
        <f>('RECEITAS - BLOCOS PAN'!AD47-'OPEX - BLOCOS PAN'!AD47-VLOOKUP('FLUXO DE CAIXA DESC.-SEM MULT.'!$D47,'CAPEX - BLOCOS PAN S- MULT.'!$C$3:$AD$52,28,FALSE))*AE$57</f>
        <v>-66937.690970254262</v>
      </c>
      <c r="AF47" s="1">
        <f>('RECEITAS - BLOCOS PAN'!AE47-'OPEX - BLOCOS PAN'!AE47-VLOOKUP('FLUXO DE CAIXA DESC.-SEM MULT.'!$D47,'CAPEX - BLOCOS PAN S- MULT.'!$C$3:$AE$52,29,FALSE))*AF$57</f>
        <v>-61102.410744184643</v>
      </c>
      <c r="AG47" s="1">
        <f>('RECEITAS - BLOCOS PAN'!AF47-'OPEX - BLOCOS PAN'!AF47-VLOOKUP('FLUXO DE CAIXA DESC.-SEM MULT.'!$D47,'CAPEX - BLOCOS PAN S- MULT.'!$C$3:$AF$52,30,FALSE))*AG$57</f>
        <v>-55775.819939922083</v>
      </c>
      <c r="AH47" s="1">
        <f>('RECEITAS - BLOCOS PAN'!AG47-'OPEX - BLOCOS PAN'!AG47-VLOOKUP('FLUXO DE CAIXA DESC.-SEM MULT.'!$D47,'CAPEX - BLOCOS PAN S- MULT.'!$C$3:$AG$52,31,FALSE))*AH$57</f>
        <v>-50913.573655793778</v>
      </c>
      <c r="AI47" s="1">
        <f>('RECEITAS - BLOCOS PAN'!AH47-'OPEX - BLOCOS PAN'!AH47-VLOOKUP('FLUXO DE CAIXA DESC.-SEM MULT.'!$D47,'CAPEX - BLOCOS PAN S- MULT.'!$C$3:$AH$52,32,FALSE))*AI$57</f>
        <v>-46475.192748328416</v>
      </c>
      <c r="AJ47" s="1">
        <f>('RECEITAS - BLOCOS PAN'!AI47-'OPEX - BLOCOS PAN'!AI47-VLOOKUP('FLUXO DE CAIXA DESC.-SEM MULT.'!$D47,'CAPEX - BLOCOS PAN S- MULT.'!$C$3:$AI$52,33,FALSE))*AJ$57</f>
        <v>-42423.726835534842</v>
      </c>
      <c r="AK47" s="1">
        <f>('RECEITAS - BLOCOS PAN'!AJ47-'OPEX - BLOCOS PAN'!AJ47-VLOOKUP('FLUXO DE CAIXA DESC.-SEM MULT.'!$D47,'CAPEX - BLOCOS PAN S- MULT.'!$C$3:$AJ$52,34,FALSE))*AK$57</f>
        <v>-38725.44667780451</v>
      </c>
      <c r="AL47" s="1">
        <f>('RECEITAS - BLOCOS PAN'!AK47-'OPEX - BLOCOS PAN'!AK47-VLOOKUP('FLUXO DE CAIXA DESC.-SEM MULT.'!$D47,'CAPEX - BLOCOS PAN S- MULT.'!$C$3:$AK$52,35,FALSE))*AL$57</f>
        <v>-35349.563375449121</v>
      </c>
      <c r="AM47" s="44">
        <f t="shared" si="0"/>
        <v>-21905579.651107475</v>
      </c>
      <c r="AN47">
        <v>1</v>
      </c>
      <c r="AO47" t="s">
        <v>283</v>
      </c>
      <c r="AP47">
        <v>-12.416666666666666</v>
      </c>
      <c r="AQ47">
        <v>-64.25</v>
      </c>
      <c r="AR47" s="48">
        <v>0</v>
      </c>
      <c r="AS47" s="1">
        <f t="shared" si="1"/>
        <v>-20821725.436964925</v>
      </c>
      <c r="AT47" t="s">
        <v>386</v>
      </c>
    </row>
    <row r="48" spans="1:46" x14ac:dyDescent="0.35">
      <c r="A48" t="s">
        <v>134</v>
      </c>
      <c r="B48" s="5" t="s">
        <v>273</v>
      </c>
      <c r="C48">
        <v>130370</v>
      </c>
      <c r="D48" t="s">
        <v>296</v>
      </c>
      <c r="E48" t="s">
        <v>237</v>
      </c>
      <c r="F48" t="s">
        <v>35</v>
      </c>
      <c r="G48" t="s">
        <v>259</v>
      </c>
      <c r="H48" t="s">
        <v>33</v>
      </c>
      <c r="I48" s="1">
        <f>('RECEITAS - BLOCOS PAN'!H48-'OPEX - BLOCOS PAN'!H48-VLOOKUP('FLUXO DE CAIXA DESC.-SEM MULT.'!$D48,'CAPEX - BLOCOS PAN S- MULT.'!$C$3:$H$52,6,FALSE))*I$57</f>
        <v>-8515042.8356638141</v>
      </c>
      <c r="J48" s="1">
        <f>('RECEITAS - BLOCOS PAN'!I48-'OPEX - BLOCOS PAN'!I48-VLOOKUP('FLUXO DE CAIXA DESC.-SEM MULT.'!$D48,'CAPEX - BLOCOS PAN S- MULT.'!$C$3:$I$52,7,FALSE))*J$57</f>
        <v>-7772745.6281732675</v>
      </c>
      <c r="K48" s="1">
        <f>('RECEITAS - BLOCOS PAN'!J48-'OPEX - BLOCOS PAN'!J48-VLOOKUP('FLUXO DE CAIXA DESC.-SEM MULT.'!$D48,'CAPEX - BLOCOS PAN S- MULT.'!$C$3:$J$52,8,FALSE))*K$57</f>
        <v>-7095158.0357583454</v>
      </c>
      <c r="L48" s="1">
        <f>('RECEITAS - BLOCOS PAN'!K48-'OPEX - BLOCOS PAN'!K48-VLOOKUP('FLUXO DE CAIXA DESC.-SEM MULT.'!$D48,'CAPEX - BLOCOS PAN S- MULT.'!$C$3:$K$52,9,FALSE))*L$57</f>
        <v>-458678.40857740701</v>
      </c>
      <c r="M48" s="1">
        <f>('RECEITAS - BLOCOS PAN'!L48-'OPEX - BLOCOS PAN'!L48-VLOOKUP('FLUXO DE CAIXA DESC.-SEM MULT.'!$D48,'CAPEX - BLOCOS PAN S- MULT.'!$C$3:$L$52,10,FALSE))*M$57</f>
        <v>-418693.20728197816</v>
      </c>
      <c r="N48" s="1">
        <f>('RECEITAS - BLOCOS PAN'!M48-'OPEX - BLOCOS PAN'!M48-VLOOKUP('FLUXO DE CAIXA DESC.-SEM MULT.'!$D48,'CAPEX - BLOCOS PAN S- MULT.'!$C$3:$M$52,11,FALSE))*N$57</f>
        <v>-382193.70815333468</v>
      </c>
      <c r="O48" s="1">
        <f>('RECEITAS - BLOCOS PAN'!N48-'OPEX - BLOCOS PAN'!N48-VLOOKUP('FLUXO DE CAIXA DESC.-SEM MULT.'!$D48,'CAPEX - BLOCOS PAN S- MULT.'!$C$3:$N$52,12,FALSE))*O$57</f>
        <v>-348876.04578122747</v>
      </c>
      <c r="P48" s="1">
        <f>('RECEITAS - BLOCOS PAN'!O48-'OPEX - BLOCOS PAN'!O48-VLOOKUP('FLUXO DE CAIXA DESC.-SEM MULT.'!$D48,'CAPEX - BLOCOS PAN S- MULT.'!$C$3:$O$52,13,FALSE))*P$57</f>
        <v>-318462.84416360338</v>
      </c>
      <c r="Q48" s="1">
        <f>('RECEITAS - BLOCOS PAN'!P48-'OPEX - BLOCOS PAN'!P48-VLOOKUP('FLUXO DE CAIXA DESC.-SEM MULT.'!$D48,'CAPEX - BLOCOS PAN S- MULT.'!$C$3:$P$52,14,FALSE))*Q$57</f>
        <v>-290700.90749758412</v>
      </c>
      <c r="R48" s="1">
        <f>('RECEITAS - BLOCOS PAN'!Q48-'OPEX - BLOCOS PAN'!Q48-VLOOKUP('FLUXO DE CAIXA DESC.-SEM MULT.'!$D48,'CAPEX - BLOCOS PAN S- MULT.'!$C$3:$Q$52,15,FALSE))*R$57</f>
        <v>-265359.11227529356</v>
      </c>
      <c r="S48" s="1">
        <f>('RECEITAS - BLOCOS PAN'!R48-'OPEX - BLOCOS PAN'!R48-VLOOKUP('FLUXO DE CAIXA DESC.-SEM MULT.'!$D48,'CAPEX - BLOCOS PAN S- MULT.'!$C$3:$R$52,16,FALSE))*S$57</f>
        <v>-242226.48313582258</v>
      </c>
      <c r="T48" s="1">
        <f>('RECEITAS - BLOCOS PAN'!S48-'OPEX - BLOCOS PAN'!S48-VLOOKUP('FLUXO DE CAIXA DESC.-SEM MULT.'!$D48,'CAPEX - BLOCOS PAN S- MULT.'!$C$3:$S$52,17,FALSE))*T$57</f>
        <v>-221110.43645442498</v>
      </c>
      <c r="U48" s="1">
        <f>('RECEITAS - BLOCOS PAN'!T48-'OPEX - BLOCOS PAN'!T48-VLOOKUP('FLUXO DE CAIXA DESC.-SEM MULT.'!$D48,'CAPEX - BLOCOS PAN S- MULT.'!$C$3:$T$52,18,FALSE))*U$57</f>
        <v>-201835.17704648562</v>
      </c>
      <c r="V48" s="1">
        <f>('RECEITAS - BLOCOS PAN'!U48-'OPEX - BLOCOS PAN'!U48-VLOOKUP('FLUXO DE CAIXA DESC.-SEM MULT.'!$D48,'CAPEX - BLOCOS PAN S- MULT.'!$C$3:$U$52,19,FALSE))*V$57</f>
        <v>-184240.23463850809</v>
      </c>
      <c r="W48" s="1">
        <f>('RECEITAS - BLOCOS PAN'!V48-'OPEX - BLOCOS PAN'!V48-VLOOKUP('FLUXO DE CAIXA DESC.-SEM MULT.'!$D48,'CAPEX - BLOCOS PAN S- MULT.'!$C$3:$V$52,20,FALSE))*W$57</f>
        <v>-168179.12792196084</v>
      </c>
      <c r="X48" s="1">
        <f>('RECEITAS - BLOCOS PAN'!W48-'OPEX - BLOCOS PAN'!W48-VLOOKUP('FLUXO DE CAIXA DESC.-SEM MULT.'!$D48,'CAPEX - BLOCOS PAN S- MULT.'!$C$3:$W$52,21,FALSE))*X$57</f>
        <v>-153518.14506796974</v>
      </c>
      <c r="Y48" s="1">
        <f>('RECEITAS - BLOCOS PAN'!X48-'OPEX - BLOCOS PAN'!X48-VLOOKUP('FLUXO DE CAIXA DESC.-SEM MULT.'!$D48,'CAPEX - BLOCOS PAN S- MULT.'!$C$3:$X$52,22,FALSE))*Y$57</f>
        <v>-140135.23055040598</v>
      </c>
      <c r="Z48" s="1">
        <f>('RECEITAS - BLOCOS PAN'!Y48-'OPEX - BLOCOS PAN'!Y48-VLOOKUP('FLUXO DE CAIXA DESC.-SEM MULT.'!$D48,'CAPEX - BLOCOS PAN S- MULT.'!$C$3:$Y$52,23,FALSE))*Z$57</f>
        <v>-127918.96900995525</v>
      </c>
      <c r="AA48" s="1">
        <f>('RECEITAS - BLOCOS PAN'!Z48-'OPEX - BLOCOS PAN'!Z48-VLOOKUP('FLUXO DE CAIXA DESC.-SEM MULT.'!$D48,'CAPEX - BLOCOS PAN S- MULT.'!$C$3:$Z$52,24,FALSE))*AA$57</f>
        <v>-116767.65769963969</v>
      </c>
      <c r="AB48" s="1">
        <f>('RECEITAS - BLOCOS PAN'!AA48-'OPEX - BLOCOS PAN'!AA48-VLOOKUP('FLUXO DE CAIXA DESC.-SEM MULT.'!$D48,'CAPEX - BLOCOS PAN S- MULT.'!$C$3:$AA$52,25,FALSE))*AB$57</f>
        <v>-106588.4597897213</v>
      </c>
      <c r="AC48" s="1">
        <f>('RECEITAS - BLOCOS PAN'!AB48-'OPEX - BLOCOS PAN'!AB48-VLOOKUP('FLUXO DE CAIXA DESC.-SEM MULT.'!$D48,'CAPEX - BLOCOS PAN S- MULT.'!$C$3:$AB$52,26,FALSE))*AC$57</f>
        <v>-97296.631483086545</v>
      </c>
      <c r="AD48" s="1">
        <f>('RECEITAS - BLOCOS PAN'!AC48-'OPEX - BLOCOS PAN'!AC48-VLOOKUP('FLUXO DE CAIXA DESC.-SEM MULT.'!$D48,'CAPEX - BLOCOS PAN S- MULT.'!$C$3:$AC$52,27,FALSE))*AD$57</f>
        <v>-88814.816506696981</v>
      </c>
      <c r="AE48" s="1">
        <f>('RECEITAS - BLOCOS PAN'!AD48-'OPEX - BLOCOS PAN'!AD48-VLOOKUP('FLUXO DE CAIXA DESC.-SEM MULT.'!$D48,'CAPEX - BLOCOS PAN S- MULT.'!$C$3:$AD$52,28,FALSE))*AE$57</f>
        <v>-81072.402105611123</v>
      </c>
      <c r="AF48" s="1">
        <f>('RECEITAS - BLOCOS PAN'!AE48-'OPEX - BLOCOS PAN'!AE48-VLOOKUP('FLUXO DE CAIXA DESC.-SEM MULT.'!$D48,'CAPEX - BLOCOS PAN S- MULT.'!$C$3:$AE$52,29,FALSE))*AF$57</f>
        <v>-74004.931178102357</v>
      </c>
      <c r="AG48" s="1">
        <f>('RECEITAS - BLOCOS PAN'!AF48-'OPEX - BLOCOS PAN'!AF48-VLOOKUP('FLUXO DE CAIXA DESC.-SEM MULT.'!$D48,'CAPEX - BLOCOS PAN S- MULT.'!$C$3:$AF$52,30,FALSE))*AG$57</f>
        <v>-67553.565657783998</v>
      </c>
      <c r="AH48" s="1">
        <f>('RECEITAS - BLOCOS PAN'!AG48-'OPEX - BLOCOS PAN'!AG48-VLOOKUP('FLUXO DE CAIXA DESC.-SEM MULT.'!$D48,'CAPEX - BLOCOS PAN S- MULT.'!$C$3:$AG$52,31,FALSE))*AH$57</f>
        <v>-61664.596675293462</v>
      </c>
      <c r="AI48" s="1">
        <f>('RECEITAS - BLOCOS PAN'!AH48-'OPEX - BLOCOS PAN'!AH48-VLOOKUP('FLUXO DE CAIXA DESC.-SEM MULT.'!$D48,'CAPEX - BLOCOS PAN S- MULT.'!$C$3:$AH$52,32,FALSE))*AI$57</f>
        <v>-56288.997421536711</v>
      </c>
      <c r="AJ48" s="1">
        <f>('RECEITAS - BLOCOS PAN'!AI48-'OPEX - BLOCOS PAN'!AI48-VLOOKUP('FLUXO DE CAIXA DESC.-SEM MULT.'!$D48,'CAPEX - BLOCOS PAN S- MULT.'!$C$3:$AI$52,33,FALSE))*AJ$57</f>
        <v>-51382.014989992444</v>
      </c>
      <c r="AK48" s="1">
        <f>('RECEITAS - BLOCOS PAN'!AJ48-'OPEX - BLOCOS PAN'!AJ48-VLOOKUP('FLUXO DE CAIXA DESC.-SEM MULT.'!$D48,'CAPEX - BLOCOS PAN S- MULT.'!$C$3:$AJ$52,34,FALSE))*AK$57</f>
        <v>-46902.79780008438</v>
      </c>
      <c r="AL48" s="1">
        <f>('RECEITAS - BLOCOS PAN'!AK48-'OPEX - BLOCOS PAN'!AK48-VLOOKUP('FLUXO DE CAIXA DESC.-SEM MULT.'!$D48,'CAPEX - BLOCOS PAN S- MULT.'!$C$3:$AK$52,35,FALSE))*AL$57</f>
        <v>-42814.055499848815</v>
      </c>
      <c r="AM48" s="44">
        <f t="shared" si="0"/>
        <v>-28196225.463958789</v>
      </c>
      <c r="AN48">
        <v>1</v>
      </c>
      <c r="AO48" t="s">
        <v>308</v>
      </c>
      <c r="AP48">
        <v>-2.9333333333333336</v>
      </c>
      <c r="AQ48">
        <v>-69.683333333333337</v>
      </c>
      <c r="AR48" s="48">
        <v>0</v>
      </c>
      <c r="AS48" s="1">
        <f t="shared" si="1"/>
        <v>-26883502.192523062</v>
      </c>
      <c r="AT48" t="s">
        <v>381</v>
      </c>
    </row>
    <row r="49" spans="1:46" x14ac:dyDescent="0.35">
      <c r="A49" t="s">
        <v>151</v>
      </c>
      <c r="B49" s="5" t="s">
        <v>274</v>
      </c>
      <c r="C49">
        <v>130160</v>
      </c>
      <c r="D49" t="s">
        <v>297</v>
      </c>
      <c r="E49" t="s">
        <v>238</v>
      </c>
      <c r="F49" t="s">
        <v>35</v>
      </c>
      <c r="G49" t="s">
        <v>259</v>
      </c>
      <c r="H49" t="s">
        <v>33</v>
      </c>
      <c r="I49" s="1">
        <f>('RECEITAS - BLOCOS PAN'!H49-'OPEX - BLOCOS PAN'!H49-VLOOKUP('FLUXO DE CAIXA DESC.-SEM MULT.'!$D49,'CAPEX - BLOCOS PAN S- MULT.'!$C$3:$H$52,6,FALSE))*I$57</f>
        <v>-7106577.0561380526</v>
      </c>
      <c r="J49" s="1">
        <f>('RECEITAS - BLOCOS PAN'!I49-'OPEX - BLOCOS PAN'!I49-VLOOKUP('FLUXO DE CAIXA DESC.-SEM MULT.'!$D49,'CAPEX - BLOCOS PAN S- MULT.'!$C$3:$I$52,7,FALSE))*J$57</f>
        <v>-6487062.5797700165</v>
      </c>
      <c r="K49" s="1">
        <f>('RECEITAS - BLOCOS PAN'!J49-'OPEX - BLOCOS PAN'!J49-VLOOKUP('FLUXO DE CAIXA DESC.-SEM MULT.'!$D49,'CAPEX - BLOCOS PAN S- MULT.'!$C$3:$J$52,8,FALSE))*K$57</f>
        <v>-5921554.1577088237</v>
      </c>
      <c r="L49" s="1">
        <f>('RECEITAS - BLOCOS PAN'!K49-'OPEX - BLOCOS PAN'!K49-VLOOKUP('FLUXO DE CAIXA DESC.-SEM MULT.'!$D49,'CAPEX - BLOCOS PAN S- MULT.'!$C$3:$K$52,9,FALSE))*L$57</f>
        <v>-454594.84303953411</v>
      </c>
      <c r="M49" s="1">
        <f>('RECEITAS - BLOCOS PAN'!L49-'OPEX - BLOCOS PAN'!L49-VLOOKUP('FLUXO DE CAIXA DESC.-SEM MULT.'!$D49,'CAPEX - BLOCOS PAN S- MULT.'!$C$3:$L$52,10,FALSE))*M$57</f>
        <v>-414965.62577775825</v>
      </c>
      <c r="N49" s="1">
        <f>('RECEITAS - BLOCOS PAN'!M49-'OPEX - BLOCOS PAN'!M49-VLOOKUP('FLUXO DE CAIXA DESC.-SEM MULT.'!$D49,'CAPEX - BLOCOS PAN S- MULT.'!$C$3:$M$52,11,FALSE))*N$57</f>
        <v>-378791.07784368622</v>
      </c>
      <c r="O49" s="1">
        <f>('RECEITAS - BLOCOS PAN'!N49-'OPEX - BLOCOS PAN'!N49-VLOOKUP('FLUXO DE CAIXA DESC.-SEM MULT.'!$D49,'CAPEX - BLOCOS PAN S- MULT.'!$C$3:$N$52,12,FALSE))*O$57</f>
        <v>-345770.03910879616</v>
      </c>
      <c r="P49" s="1">
        <f>('RECEITAS - BLOCOS PAN'!O49-'OPEX - BLOCOS PAN'!O49-VLOOKUP('FLUXO DE CAIXA DESC.-SEM MULT.'!$D49,'CAPEX - BLOCOS PAN S- MULT.'!$C$3:$O$52,13,FALSE))*P$57</f>
        <v>-315627.60302035254</v>
      </c>
      <c r="Q49" s="1">
        <f>('RECEITAS - BLOCOS PAN'!P49-'OPEX - BLOCOS PAN'!P49-VLOOKUP('FLUXO DE CAIXA DESC.-SEM MULT.'!$D49,'CAPEX - BLOCOS PAN S- MULT.'!$C$3:$P$52,14,FALSE))*Q$57</f>
        <v>-288112.82795102929</v>
      </c>
      <c r="R49" s="1">
        <f>('RECEITAS - BLOCOS PAN'!Q49-'OPEX - BLOCOS PAN'!Q49-VLOOKUP('FLUXO DE CAIXA DESC.-SEM MULT.'!$D49,'CAPEX - BLOCOS PAN S- MULT.'!$C$3:$Q$52,15,FALSE))*R$57</f>
        <v>-262996.64806118602</v>
      </c>
      <c r="S49" s="1">
        <f>('RECEITAS - BLOCOS PAN'!R49-'OPEX - BLOCOS PAN'!R49-VLOOKUP('FLUXO DE CAIXA DESC.-SEM MULT.'!$D49,'CAPEX - BLOCOS PAN S- MULT.'!$C$3:$R$52,16,FALSE))*S$57</f>
        <v>-240069.96628132</v>
      </c>
      <c r="T49" s="1">
        <f>('RECEITAS - BLOCOS PAN'!S49-'OPEX - BLOCOS PAN'!S49-VLOOKUP('FLUXO DE CAIXA DESC.-SEM MULT.'!$D49,'CAPEX - BLOCOS PAN S- MULT.'!$C$3:$S$52,17,FALSE))*T$57</f>
        <v>-219141.91353840256</v>
      </c>
      <c r="U49" s="1">
        <f>('RECEITAS - BLOCOS PAN'!T49-'OPEX - BLOCOS PAN'!T49-VLOOKUP('FLUXO DE CAIXA DESC.-SEM MULT.'!$D49,'CAPEX - BLOCOS PAN S- MULT.'!$C$3:$T$52,18,FALSE))*U$57</f>
        <v>-200038.25973382252</v>
      </c>
      <c r="V49" s="1">
        <f>('RECEITAS - BLOCOS PAN'!U49-'OPEX - BLOCOS PAN'!U49-VLOOKUP('FLUXO DE CAIXA DESC.-SEM MULT.'!$D49,'CAPEX - BLOCOS PAN S- MULT.'!$C$3:$U$52,19,FALSE))*V$57</f>
        <v>-182599.96324401873</v>
      </c>
      <c r="W49" s="1">
        <f>('RECEITAS - BLOCOS PAN'!V49-'OPEX - BLOCOS PAN'!V49-VLOOKUP('FLUXO DE CAIXA DESC.-SEM MULT.'!$D49,'CAPEX - BLOCOS PAN S- MULT.'!$C$3:$V$52,20,FALSE))*W$57</f>
        <v>-166681.84686811385</v>
      </c>
      <c r="X49" s="1">
        <f>('RECEITAS - BLOCOS PAN'!W49-'OPEX - BLOCOS PAN'!W49-VLOOKUP('FLUXO DE CAIXA DESC.-SEM MULT.'!$D49,'CAPEX - BLOCOS PAN S- MULT.'!$C$3:$W$52,21,FALSE))*X$57</f>
        <v>-152151.38919955623</v>
      </c>
      <c r="Y49" s="1">
        <f>('RECEITAS - BLOCOS PAN'!X49-'OPEX - BLOCOS PAN'!X49-VLOOKUP('FLUXO DE CAIXA DESC.-SEM MULT.'!$D49,'CAPEX - BLOCOS PAN S- MULT.'!$C$3:$X$52,22,FALSE))*Y$57</f>
        <v>-138887.62135970447</v>
      </c>
      <c r="Z49" s="1">
        <f>('RECEITAS - BLOCOS PAN'!Y49-'OPEX - BLOCOS PAN'!Y49-VLOOKUP('FLUXO DE CAIXA DESC.-SEM MULT.'!$D49,'CAPEX - BLOCOS PAN S- MULT.'!$C$3:$Y$52,23,FALSE))*Z$57</f>
        <v>-126780.11990844771</v>
      </c>
      <c r="AA49" s="1">
        <f>('RECEITAS - BLOCOS PAN'!Z49-'OPEX - BLOCOS PAN'!Z49-VLOOKUP('FLUXO DE CAIXA DESC.-SEM MULT.'!$D49,'CAPEX - BLOCOS PAN S- MULT.'!$C$3:$Z$52,24,FALSE))*AA$57</f>
        <v>-115728.08754764742</v>
      </c>
      <c r="AB49" s="1">
        <f>('RECEITAS - BLOCOS PAN'!AA49-'OPEX - BLOCOS PAN'!AA49-VLOOKUP('FLUXO DE CAIXA DESC.-SEM MULT.'!$D49,'CAPEX - BLOCOS PAN S- MULT.'!$C$3:$AA$52,25,FALSE))*AB$57</f>
        <v>-105639.51396407797</v>
      </c>
      <c r="AC49" s="1">
        <f>('RECEITAS - BLOCOS PAN'!AB49-'OPEX - BLOCOS PAN'!AB49-VLOOKUP('FLUXO DE CAIXA DESC.-SEM MULT.'!$D49,'CAPEX - BLOCOS PAN S- MULT.'!$C$3:$AB$52,26,FALSE))*AC$57</f>
        <v>-96430.409825721566</v>
      </c>
      <c r="AD49" s="1">
        <f>('RECEITAS - BLOCOS PAN'!AC49-'OPEX - BLOCOS PAN'!AC49-VLOOKUP('FLUXO DE CAIXA DESC.-SEM MULT.'!$D49,'CAPEX - BLOCOS PAN S- MULT.'!$C$3:$AC$52,27,FALSE))*AD$57</f>
        <v>-88024.10755428714</v>
      </c>
      <c r="AE49" s="1">
        <f>('RECEITAS - BLOCOS PAN'!AD49-'OPEX - BLOCOS PAN'!AD49-VLOOKUP('FLUXO DE CAIXA DESC.-SEM MULT.'!$D49,'CAPEX - BLOCOS PAN S- MULT.'!$C$3:$AD$52,28,FALSE))*AE$57</f>
        <v>-80350.623052749565</v>
      </c>
      <c r="AF49" s="1">
        <f>('RECEITAS - BLOCOS PAN'!AE49-'OPEX - BLOCOS PAN'!AE49-VLOOKUP('FLUXO DE CAIXA DESC.-SEM MULT.'!$D49,'CAPEX - BLOCOS PAN S- MULT.'!$C$3:$AE$52,29,FALSE))*AF$57</f>
        <v>-73346.073074166663</v>
      </c>
      <c r="AG49" s="1">
        <f>('RECEITAS - BLOCOS PAN'!AF49-'OPEX - BLOCOS PAN'!AF49-VLOOKUP('FLUXO DE CAIXA DESC.-SEM MULT.'!$D49,'CAPEX - BLOCOS PAN S- MULT.'!$C$3:$AF$52,30,FALSE))*AG$57</f>
        <v>-66952.143381256654</v>
      </c>
      <c r="AH49" s="1">
        <f>('RECEITAS - BLOCOS PAN'!AG49-'OPEX - BLOCOS PAN'!AG49-VLOOKUP('FLUXO DE CAIXA DESC.-SEM MULT.'!$D49,'CAPEX - BLOCOS PAN S- MULT.'!$C$3:$AG$52,31,FALSE))*AH$57</f>
        <v>-61115.603269061299</v>
      </c>
      <c r="AI49" s="1">
        <f>('RECEITAS - BLOCOS PAN'!AH49-'OPEX - BLOCOS PAN'!AH49-VLOOKUP('FLUXO DE CAIXA DESC.-SEM MULT.'!$D49,'CAPEX - BLOCOS PAN S- MULT.'!$C$3:$AH$52,32,FALSE))*AI$57</f>
        <v>-55787.862409001638</v>
      </c>
      <c r="AJ49" s="1">
        <f>('RECEITAS - BLOCOS PAN'!AI49-'OPEX - BLOCOS PAN'!AI49-VLOOKUP('FLUXO DE CAIXA DESC.-SEM MULT.'!$D49,'CAPEX - BLOCOS PAN S- MULT.'!$C$3:$AI$52,33,FALSE))*AJ$57</f>
        <v>-50924.566324967273</v>
      </c>
      <c r="AK49" s="1">
        <f>('RECEITAS - BLOCOS PAN'!AJ49-'OPEX - BLOCOS PAN'!AJ49-VLOOKUP('FLUXO DE CAIXA DESC.-SEM MULT.'!$D49,'CAPEX - BLOCOS PAN S- MULT.'!$C$3:$AJ$52,34,FALSE))*AK$57</f>
        <v>-46485.227133699016</v>
      </c>
      <c r="AL49" s="1">
        <f>('RECEITAS - BLOCOS PAN'!AK49-'OPEX - BLOCOS PAN'!AK49-VLOOKUP('FLUXO DE CAIXA DESC.-SEM MULT.'!$D49,'CAPEX - BLOCOS PAN S- MULT.'!$C$3:$AK$52,35,FALSE))*AL$57</f>
        <v>-42432.886475307176</v>
      </c>
      <c r="AM49" s="44">
        <f t="shared" si="0"/>
        <v>-24285620.642564565</v>
      </c>
      <c r="AN49">
        <v>1</v>
      </c>
      <c r="AO49" t="s">
        <v>311</v>
      </c>
      <c r="AP49">
        <v>-2.5333333333333332</v>
      </c>
      <c r="AQ49">
        <v>-66.066666666666663</v>
      </c>
      <c r="AR49" s="48">
        <v>0</v>
      </c>
      <c r="AS49" s="1">
        <f t="shared" si="1"/>
        <v>-22984584.40808491</v>
      </c>
      <c r="AT49" t="s">
        <v>382</v>
      </c>
    </row>
    <row r="50" spans="1:46" x14ac:dyDescent="0.35">
      <c r="A50" t="s">
        <v>155</v>
      </c>
      <c r="B50" s="5" t="s">
        <v>265</v>
      </c>
      <c r="C50">
        <v>510704</v>
      </c>
      <c r="D50" t="s">
        <v>298</v>
      </c>
      <c r="E50" t="s">
        <v>239</v>
      </c>
      <c r="F50" t="s">
        <v>37</v>
      </c>
      <c r="G50" t="s">
        <v>257</v>
      </c>
      <c r="H50" t="s">
        <v>33</v>
      </c>
      <c r="I50" s="1">
        <f>('RECEITAS - BLOCOS PAN'!H50-'OPEX - BLOCOS PAN'!H50-VLOOKUP('FLUXO DE CAIXA DESC.-SEM MULT.'!$D50,'CAPEX - BLOCOS PAN S- MULT.'!$C$3:$H$52,6,FALSE))*I$57</f>
        <v>-5915717.8633708172</v>
      </c>
      <c r="J50" s="1">
        <f>('RECEITAS - BLOCOS PAN'!I50-'OPEX - BLOCOS PAN'!I50-VLOOKUP('FLUXO DE CAIXA DESC.-SEM MULT.'!$D50,'CAPEX - BLOCOS PAN S- MULT.'!$C$3:$I$52,7,FALSE))*J$57</f>
        <v>-5400016.3061349317</v>
      </c>
      <c r="K50" s="1">
        <f>('RECEITAS - BLOCOS PAN'!J50-'OPEX - BLOCOS PAN'!J50-VLOOKUP('FLUXO DE CAIXA DESC.-SEM MULT.'!$D50,'CAPEX - BLOCOS PAN S- MULT.'!$C$3:$J$52,8,FALSE))*K$57</f>
        <v>-4929270.9321176922</v>
      </c>
      <c r="L50" s="1">
        <f>('RECEITAS - BLOCOS PAN'!K50-'OPEX - BLOCOS PAN'!K50-VLOOKUP('FLUXO DE CAIXA DESC.-SEM MULT.'!$D50,'CAPEX - BLOCOS PAN S- MULT.'!$C$3:$K$52,9,FALSE))*L$57</f>
        <v>-112540.06143436371</v>
      </c>
      <c r="M50" s="1">
        <f>('RECEITAS - BLOCOS PAN'!L50-'OPEX - BLOCOS PAN'!L50-VLOOKUP('FLUXO DE CAIXA DESC.-SEM MULT.'!$D50,'CAPEX - BLOCOS PAN S- MULT.'!$C$3:$L$52,10,FALSE))*M$57</f>
        <v>-102729.40340882129</v>
      </c>
      <c r="N50" s="1">
        <f>('RECEITAS - BLOCOS PAN'!M50-'OPEX - BLOCOS PAN'!M50-VLOOKUP('FLUXO DE CAIXA DESC.-SEM MULT.'!$D50,'CAPEX - BLOCOS PAN S- MULT.'!$C$3:$M$52,11,FALSE))*N$57</f>
        <v>-93773.987593629645</v>
      </c>
      <c r="O50" s="1">
        <f>('RECEITAS - BLOCOS PAN'!N50-'OPEX - BLOCOS PAN'!N50-VLOOKUP('FLUXO DE CAIXA DESC.-SEM MULT.'!$D50,'CAPEX - BLOCOS PAN S- MULT.'!$C$3:$N$52,12,FALSE))*O$57</f>
        <v>-85599.258414997399</v>
      </c>
      <c r="P50" s="1">
        <f>('RECEITAS - BLOCOS PAN'!O50-'OPEX - BLOCOS PAN'!O50-VLOOKUP('FLUXO DE CAIXA DESC.-SEM MULT.'!$D50,'CAPEX - BLOCOS PAN S- MULT.'!$C$3:$O$52,13,FALSE))*P$57</f>
        <v>-78137.159666816442</v>
      </c>
      <c r="Q50" s="1">
        <f>('RECEITAS - BLOCOS PAN'!P50-'OPEX - BLOCOS PAN'!P50-VLOOKUP('FLUXO DE CAIXA DESC.-SEM MULT.'!$D50,'CAPEX - BLOCOS PAN S- MULT.'!$C$3:$P$52,14,FALSE))*Q$57</f>
        <v>-71325.567929544908</v>
      </c>
      <c r="R50" s="1">
        <f>('RECEITAS - BLOCOS PAN'!Q50-'OPEX - BLOCOS PAN'!Q50-VLOOKUP('FLUXO DE CAIXA DESC.-SEM MULT.'!$D50,'CAPEX - BLOCOS PAN S- MULT.'!$C$3:$Q$52,15,FALSE))*R$57</f>
        <v>-65107.775380689098</v>
      </c>
      <c r="S50" s="1">
        <f>('RECEITAS - BLOCOS PAN'!R50-'OPEX - BLOCOS PAN'!R50-VLOOKUP('FLUXO DE CAIXA DESC.-SEM MULT.'!$D50,'CAPEX - BLOCOS PAN S- MULT.'!$C$3:$R$52,16,FALSE))*S$57</f>
        <v>-59432.017691181296</v>
      </c>
      <c r="T50" s="1">
        <f>('RECEITAS - BLOCOS PAN'!S50-'OPEX - BLOCOS PAN'!S50-VLOOKUP('FLUXO DE CAIXA DESC.-SEM MULT.'!$D50,'CAPEX - BLOCOS PAN S- MULT.'!$C$3:$S$52,17,FALSE))*T$57</f>
        <v>-54251.043077299219</v>
      </c>
      <c r="U50" s="1">
        <f>('RECEITAS - BLOCOS PAN'!T50-'OPEX - BLOCOS PAN'!T50-VLOOKUP('FLUXO DE CAIXA DESC.-SEM MULT.'!$D50,'CAPEX - BLOCOS PAN S- MULT.'!$C$3:$T$52,18,FALSE))*U$57</f>
        <v>-49521.718920400934</v>
      </c>
      <c r="V50" s="1">
        <f>('RECEITAS - BLOCOS PAN'!U50-'OPEX - BLOCOS PAN'!U50-VLOOKUP('FLUXO DE CAIXA DESC.-SEM MULT.'!$D50,'CAPEX - BLOCOS PAN S- MULT.'!$C$3:$U$52,19,FALSE))*V$57</f>
        <v>-45204.672679507923</v>
      </c>
      <c r="W50" s="1">
        <f>('RECEITAS - BLOCOS PAN'!V50-'OPEX - BLOCOS PAN'!V50-VLOOKUP('FLUXO DE CAIXA DESC.-SEM MULT.'!$D50,'CAPEX - BLOCOS PAN S- MULT.'!$C$3:$V$52,20,FALSE))*W$57</f>
        <v>-41263.964107264197</v>
      </c>
      <c r="X50" s="1">
        <f>('RECEITAS - BLOCOS PAN'!W50-'OPEX - BLOCOS PAN'!W50-VLOOKUP('FLUXO DE CAIXA DESC.-SEM MULT.'!$D50,'CAPEX - BLOCOS PAN S- MULT.'!$C$3:$W$52,21,FALSE))*X$57</f>
        <v>-37666.786040405474</v>
      </c>
      <c r="Y50" s="1">
        <f>('RECEITAS - BLOCOS PAN'!X50-'OPEX - BLOCOS PAN'!X50-VLOOKUP('FLUXO DE CAIXA DESC.-SEM MULT.'!$D50,'CAPEX - BLOCOS PAN S- MULT.'!$C$3:$X$52,22,FALSE))*Y$57</f>
        <v>-34383.19127376128</v>
      </c>
      <c r="Z50" s="1">
        <f>('RECEITAS - BLOCOS PAN'!Y50-'OPEX - BLOCOS PAN'!Y50-VLOOKUP('FLUXO DE CAIXA DESC.-SEM MULT.'!$D50,'CAPEX - BLOCOS PAN S- MULT.'!$C$3:$Y$52,23,FALSE))*Z$57</f>
        <v>-31385.843243962827</v>
      </c>
      <c r="AA50" s="1">
        <f>('RECEITAS - BLOCOS PAN'!Z50-'OPEX - BLOCOS PAN'!Z50-VLOOKUP('FLUXO DE CAIXA DESC.-SEM MULT.'!$D50,'CAPEX - BLOCOS PAN S- MULT.'!$C$3:$Z$52,24,FALSE))*AA$57</f>
        <v>-28649.788447250419</v>
      </c>
      <c r="AB50" s="1">
        <f>('RECEITAS - BLOCOS PAN'!AA50-'OPEX - BLOCOS PAN'!AA50-VLOOKUP('FLUXO DE CAIXA DESC.-SEM MULT.'!$D50,'CAPEX - BLOCOS PAN S- MULT.'!$C$3:$AA$52,25,FALSE))*AB$57</f>
        <v>-26152.24869671421</v>
      </c>
      <c r="AC50" s="1">
        <f>('RECEITAS - BLOCOS PAN'!AB50-'OPEX - BLOCOS PAN'!AB50-VLOOKUP('FLUXO DE CAIXA DESC.-SEM MULT.'!$D50,'CAPEX - BLOCOS PAN S- MULT.'!$C$3:$AB$52,26,FALSE))*AC$57</f>
        <v>-23872.431489469844</v>
      </c>
      <c r="AD50" s="1">
        <f>('RECEITAS - BLOCOS PAN'!AC50-'OPEX - BLOCOS PAN'!AC50-VLOOKUP('FLUXO DE CAIXA DESC.-SEM MULT.'!$D50,'CAPEX - BLOCOS PAN S- MULT.'!$C$3:$AC$52,27,FALSE))*AD$57</f>
        <v>-21791.35690503865</v>
      </c>
      <c r="AE50" s="1">
        <f>('RECEITAS - BLOCOS PAN'!AD50-'OPEX - BLOCOS PAN'!AD50-VLOOKUP('FLUXO DE CAIXA DESC.-SEM MULT.'!$D50,'CAPEX - BLOCOS PAN S- MULT.'!$C$3:$AD$52,28,FALSE))*AE$57</f>
        <v>-19891.699593828071</v>
      </c>
      <c r="AF50" s="1">
        <f>('RECEITAS - BLOCOS PAN'!AE50-'OPEX - BLOCOS PAN'!AE50-VLOOKUP('FLUXO DE CAIXA DESC.-SEM MULT.'!$D50,'CAPEX - BLOCOS PAN S- MULT.'!$C$3:$AE$52,29,FALSE))*AF$57</f>
        <v>-18157.644540235575</v>
      </c>
      <c r="AG50" s="1">
        <f>('RECEITAS - BLOCOS PAN'!AF50-'OPEX - BLOCOS PAN'!AF50-VLOOKUP('FLUXO DE CAIXA DESC.-SEM MULT.'!$D50,'CAPEX - BLOCOS PAN S- MULT.'!$C$3:$AF$52,30,FALSE))*AG$57</f>
        <v>-16574.755399576065</v>
      </c>
      <c r="AH50" s="1">
        <f>('RECEITAS - BLOCOS PAN'!AG50-'OPEX - BLOCOS PAN'!AG50-VLOOKUP('FLUXO DE CAIXA DESC.-SEM MULT.'!$D50,'CAPEX - BLOCOS PAN S- MULT.'!$C$3:$AG$52,31,FALSE))*AH$57</f>
        <v>-15129.854312712061</v>
      </c>
      <c r="AI50" s="1">
        <f>('RECEITAS - BLOCOS PAN'!AH50-'OPEX - BLOCOS PAN'!AH50-VLOOKUP('FLUXO DE CAIXA DESC.-SEM MULT.'!$D50,'CAPEX - BLOCOS PAN S- MULT.'!$C$3:$AH$52,32,FALSE))*AI$57</f>
        <v>-13810.912197820229</v>
      </c>
      <c r="AJ50" s="1">
        <f>('RECEITAS - BLOCOS PAN'!AI50-'OPEX - BLOCOS PAN'!AI50-VLOOKUP('FLUXO DE CAIXA DESC.-SEM MULT.'!$D50,'CAPEX - BLOCOS PAN S- MULT.'!$C$3:$AI$52,33,FALSE))*AJ$57</f>
        <v>-12606.948605951831</v>
      </c>
      <c r="AK50" s="1">
        <f>('RECEITAS - BLOCOS PAN'!AJ50-'OPEX - BLOCOS PAN'!AJ50-VLOOKUP('FLUXO DE CAIXA DESC.-SEM MULT.'!$D50,'CAPEX - BLOCOS PAN S- MULT.'!$C$3:$AJ$52,34,FALSE))*AK$57</f>
        <v>-11507.940306665296</v>
      </c>
      <c r="AL50" s="1">
        <f>('RECEITAS - BLOCOS PAN'!AK50-'OPEX - BLOCOS PAN'!AK50-VLOOKUP('FLUXO DE CAIXA DESC.-SEM MULT.'!$D50,'CAPEX - BLOCOS PAN S- MULT.'!$C$3:$AK$52,35,FALSE))*AL$57</f>
        <v>-10504.737842688539</v>
      </c>
      <c r="AM50" s="44">
        <f t="shared" si="0"/>
        <v>-17425977.870824035</v>
      </c>
      <c r="AN50">
        <v>1</v>
      </c>
      <c r="AO50" t="s">
        <v>315</v>
      </c>
      <c r="AP50">
        <v>-15.55</v>
      </c>
      <c r="AQ50">
        <v>-54.31666666666667</v>
      </c>
      <c r="AR50" s="48">
        <v>0</v>
      </c>
      <c r="AS50" s="1">
        <f t="shared" si="1"/>
        <v>-17103891.731927954</v>
      </c>
      <c r="AT50" t="s">
        <v>390</v>
      </c>
    </row>
    <row r="51" spans="1:46" x14ac:dyDescent="0.35">
      <c r="A51" t="s">
        <v>156</v>
      </c>
      <c r="B51" s="5" t="s">
        <v>275</v>
      </c>
      <c r="C51">
        <v>130360</v>
      </c>
      <c r="D51" t="s">
        <v>299</v>
      </c>
      <c r="E51" t="s">
        <v>240</v>
      </c>
      <c r="F51" t="s">
        <v>35</v>
      </c>
      <c r="G51" t="s">
        <v>259</v>
      </c>
      <c r="H51" t="s">
        <v>33</v>
      </c>
      <c r="I51" s="1">
        <f>('RECEITAS - BLOCOS PAN'!H51-'OPEX - BLOCOS PAN'!H51-VLOOKUP('FLUXO DE CAIXA DESC.-SEM MULT.'!$D51,'CAPEX - BLOCOS PAN S- MULT.'!$C$3:$H$52,6,FALSE))*I$57</f>
        <v>-7281918.0645440063</v>
      </c>
      <c r="J51" s="1">
        <f>('RECEITAS - BLOCOS PAN'!I51-'OPEX - BLOCOS PAN'!I51-VLOOKUP('FLUXO DE CAIXA DESC.-SEM MULT.'!$D51,'CAPEX - BLOCOS PAN S- MULT.'!$C$3:$I$52,7,FALSE))*J$57</f>
        <v>-6647118.2697800156</v>
      </c>
      <c r="K51" s="1">
        <f>('RECEITAS - BLOCOS PAN'!J51-'OPEX - BLOCOS PAN'!J51-VLOOKUP('FLUXO DE CAIXA DESC.-SEM MULT.'!$D51,'CAPEX - BLOCOS PAN S- MULT.'!$C$3:$J$52,8,FALSE))*K$57</f>
        <v>-6067657.02398906</v>
      </c>
      <c r="L51" s="1">
        <f>('RECEITAS - BLOCOS PAN'!K51-'OPEX - BLOCOS PAN'!K51-VLOOKUP('FLUXO DE CAIXA DESC.-SEM MULT.'!$D51,'CAPEX - BLOCOS PAN S- MULT.'!$C$3:$K$52,9,FALSE))*L$57</f>
        <v>-447145.70155487955</v>
      </c>
      <c r="M51" s="1">
        <f>('RECEITAS - BLOCOS PAN'!L51-'OPEX - BLOCOS PAN'!L51-VLOOKUP('FLUXO DE CAIXA DESC.-SEM MULT.'!$D51,'CAPEX - BLOCOS PAN S- MULT.'!$C$3:$L$52,10,FALSE))*M$57</f>
        <v>-408165.86175707862</v>
      </c>
      <c r="N51" s="1">
        <f>('RECEITAS - BLOCOS PAN'!M51-'OPEX - BLOCOS PAN'!M51-VLOOKUP('FLUXO DE CAIXA DESC.-SEM MULT.'!$D51,'CAPEX - BLOCOS PAN S- MULT.'!$C$3:$M$52,11,FALSE))*N$57</f>
        <v>-372584.08193252265</v>
      </c>
      <c r="O51" s="1">
        <f>('RECEITAS - BLOCOS PAN'!N51-'OPEX - BLOCOS PAN'!N51-VLOOKUP('FLUXO DE CAIXA DESC.-SEM MULT.'!$D51,'CAPEX - BLOCOS PAN S- MULT.'!$C$3:$N$52,12,FALSE))*O$57</f>
        <v>-340104.1368621841</v>
      </c>
      <c r="P51" s="1">
        <f>('RECEITAS - BLOCOS PAN'!O51-'OPEX - BLOCOS PAN'!O51-VLOOKUP('FLUXO DE CAIXA DESC.-SEM MULT.'!$D51,'CAPEX - BLOCOS PAN S- MULT.'!$C$3:$O$52,13,FALSE))*P$57</f>
        <v>-310455.62470304349</v>
      </c>
      <c r="Q51" s="1">
        <f>('RECEITAS - BLOCOS PAN'!P51-'OPEX - BLOCOS PAN'!P51-VLOOKUP('FLUXO DE CAIXA DESC.-SEM MULT.'!$D51,'CAPEX - BLOCOS PAN S- MULT.'!$C$3:$P$52,14,FALSE))*Q$57</f>
        <v>-283391.71584029531</v>
      </c>
      <c r="R51" s="1">
        <f>('RECEITAS - BLOCOS PAN'!Q51-'OPEX - BLOCOS PAN'!Q51-VLOOKUP('FLUXO DE CAIXA DESC.-SEM MULT.'!$D51,'CAPEX - BLOCOS PAN S- MULT.'!$C$3:$Q$52,15,FALSE))*R$57</f>
        <v>-258687.09798292589</v>
      </c>
      <c r="S51" s="1">
        <f>('RECEITAS - BLOCOS PAN'!R51-'OPEX - BLOCOS PAN'!R51-VLOOKUP('FLUXO DE CAIXA DESC.-SEM MULT.'!$D51,'CAPEX - BLOCOS PAN S- MULT.'!$C$3:$R$52,16,FALSE))*S$57</f>
        <v>-236136.1003951857</v>
      </c>
      <c r="T51" s="1">
        <f>('RECEITAS - BLOCOS PAN'!S51-'OPEX - BLOCOS PAN'!S51-VLOOKUP('FLUXO DE CAIXA DESC.-SEM MULT.'!$D51,'CAPEX - BLOCOS PAN S- MULT.'!$C$3:$S$52,17,FALSE))*T$57</f>
        <v>-215550.98164781899</v>
      </c>
      <c r="U51" s="1">
        <f>('RECEITAS - BLOCOS PAN'!T51-'OPEX - BLOCOS PAN'!T51-VLOOKUP('FLUXO DE CAIXA DESC.-SEM MULT.'!$D51,'CAPEX - BLOCOS PAN S- MULT.'!$C$3:$T$52,18,FALSE))*U$57</f>
        <v>-196760.36663424829</v>
      </c>
      <c r="V51" s="1">
        <f>('RECEITAS - BLOCOS PAN'!U51-'OPEX - BLOCOS PAN'!U51-VLOOKUP('FLUXO DE CAIXA DESC.-SEM MULT.'!$D51,'CAPEX - BLOCOS PAN S- MULT.'!$C$3:$U$52,19,FALSE))*V$57</f>
        <v>-179607.81983956939</v>
      </c>
      <c r="W51" s="1">
        <f>('RECEITAS - BLOCOS PAN'!V51-'OPEX - BLOCOS PAN'!V51-VLOOKUP('FLUXO DE CAIXA DESC.-SEM MULT.'!$D51,'CAPEX - BLOCOS PAN S- MULT.'!$C$3:$V$52,20,FALSE))*W$57</f>
        <v>-163950.54298454532</v>
      </c>
      <c r="X51" s="1">
        <f>('RECEITAS - BLOCOS PAN'!W51-'OPEX - BLOCOS PAN'!W51-VLOOKUP('FLUXO DE CAIXA DESC.-SEM MULT.'!$D51,'CAPEX - BLOCOS PAN S- MULT.'!$C$3:$W$52,21,FALSE))*X$57</f>
        <v>-149658.18620223217</v>
      </c>
      <c r="Y51" s="1">
        <f>('RECEITAS - BLOCOS PAN'!X51-'OPEX - BLOCOS PAN'!X51-VLOOKUP('FLUXO DE CAIXA DESC.-SEM MULT.'!$D51,'CAPEX - BLOCOS PAN S- MULT.'!$C$3:$X$52,22,FALSE))*Y$57</f>
        <v>-136611.76285005221</v>
      </c>
      <c r="Z51" s="1">
        <f>('RECEITAS - BLOCOS PAN'!Y51-'OPEX - BLOCOS PAN'!Y51-VLOOKUP('FLUXO DE CAIXA DESC.-SEM MULT.'!$D51,'CAPEX - BLOCOS PAN S- MULT.'!$C$3:$Y$52,23,FALSE))*Z$57</f>
        <v>-124702.65892291391</v>
      </c>
      <c r="AA51" s="1">
        <f>('RECEITAS - BLOCOS PAN'!Z51-'OPEX - BLOCOS PAN'!Z51-VLOOKUP('FLUXO DE CAIXA DESC.-SEM MULT.'!$D51,'CAPEX - BLOCOS PAN S- MULT.'!$C$3:$Z$52,24,FALSE))*AA$57</f>
        <v>-113831.72882055129</v>
      </c>
      <c r="AB51" s="1">
        <f>('RECEITAS - BLOCOS PAN'!AA51-'OPEX - BLOCOS PAN'!AA51-VLOOKUP('FLUXO DE CAIXA DESC.-SEM MULT.'!$D51,'CAPEX - BLOCOS PAN S- MULT.'!$C$3:$AA$52,25,FALSE))*AB$57</f>
        <v>-103908.46994116959</v>
      </c>
      <c r="AC51" s="1">
        <f>('RECEITAS - BLOCOS PAN'!AB51-'OPEX - BLOCOS PAN'!AB51-VLOOKUP('FLUXO DE CAIXA DESC.-SEM MULT.'!$D51,'CAPEX - BLOCOS PAN S- MULT.'!$C$3:$AB$52,26,FALSE))*AC$57</f>
        <v>-94850.269229730358</v>
      </c>
      <c r="AD51" s="1">
        <f>('RECEITAS - BLOCOS PAN'!AC51-'OPEX - BLOCOS PAN'!AC51-VLOOKUP('FLUXO DE CAIXA DESC.-SEM MULT.'!$D51,'CAPEX - BLOCOS PAN S- MULT.'!$C$3:$AC$52,27,FALSE))*AD$57</f>
        <v>-86581.715408243137</v>
      </c>
      <c r="AE51" s="1">
        <f>('RECEITAS - BLOCOS PAN'!AD51-'OPEX - BLOCOS PAN'!AD51-VLOOKUP('FLUXO DE CAIXA DESC.-SEM MULT.'!$D51,'CAPEX - BLOCOS PAN S- MULT.'!$C$3:$AD$52,28,FALSE))*AE$57</f>
        <v>-79033.971162248417</v>
      </c>
      <c r="AF51" s="1">
        <f>('RECEITAS - BLOCOS PAN'!AE51-'OPEX - BLOCOS PAN'!AE51-VLOOKUP('FLUXO DE CAIXA DESC.-SEM MULT.'!$D51,'CAPEX - BLOCOS PAN S- MULT.'!$C$3:$AE$52,29,FALSE))*AF$57</f>
        <v>-72144.200056821923</v>
      </c>
      <c r="AG51" s="1">
        <f>('RECEITAS - BLOCOS PAN'!AF51-'OPEX - BLOCOS PAN'!AF51-VLOOKUP('FLUXO DE CAIXA DESC.-SEM MULT.'!$D51,'CAPEX - BLOCOS PAN S- MULT.'!$C$3:$AF$52,30,FALSE))*AG$57</f>
        <v>-65855.043411065213</v>
      </c>
      <c r="AH51" s="1">
        <f>('RECEITAS - BLOCOS PAN'!AG51-'OPEX - BLOCOS PAN'!AG51-VLOOKUP('FLUXO DE CAIXA DESC.-SEM MULT.'!$D51,'CAPEX - BLOCOS PAN S- MULT.'!$C$3:$AG$52,31,FALSE))*AH$57</f>
        <v>-60114.142775960936</v>
      </c>
      <c r="AI51" s="1">
        <f>('RECEITAS - BLOCOS PAN'!AH51-'OPEX - BLOCOS PAN'!AH51-VLOOKUP('FLUXO DE CAIXA DESC.-SEM MULT.'!$D51,'CAPEX - BLOCOS PAN S- MULT.'!$C$3:$AH$52,32,FALSE))*AI$57</f>
        <v>-54873.70404012865</v>
      </c>
      <c r="AJ51" s="1">
        <f>('RECEITAS - BLOCOS PAN'!AI51-'OPEX - BLOCOS PAN'!AI51-VLOOKUP('FLUXO DE CAIXA DESC.-SEM MULT.'!$D51,'CAPEX - BLOCOS PAN S- MULT.'!$C$3:$AI$52,33,FALSE))*AJ$57</f>
        <v>-50090.099534576591</v>
      </c>
      <c r="AK51" s="1">
        <f>('RECEITAS - BLOCOS PAN'!AJ51-'OPEX - BLOCOS PAN'!AJ51-VLOOKUP('FLUXO DE CAIXA DESC.-SEM MULT.'!$D51,'CAPEX - BLOCOS PAN S- MULT.'!$C$3:$AJ$52,34,FALSE))*AK$57</f>
        <v>-45723.504823894655</v>
      </c>
      <c r="AL51" s="1">
        <f>('RECEITAS - BLOCOS PAN'!AK51-'OPEX - BLOCOS PAN'!AK51-VLOOKUP('FLUXO DE CAIXA DESC.-SEM MULT.'!$D51,'CAPEX - BLOCOS PAN S- MULT.'!$C$3:$AK$52,35,FALSE))*AL$57</f>
        <v>-41737.567160104656</v>
      </c>
      <c r="AM51" s="44">
        <f t="shared" si="0"/>
        <v>-24688950.414787062</v>
      </c>
      <c r="AN51">
        <v>1</v>
      </c>
      <c r="AO51" t="s">
        <v>311</v>
      </c>
      <c r="AP51">
        <v>-0.41666666666666669</v>
      </c>
      <c r="AQ51">
        <v>-65.033333333333331</v>
      </c>
      <c r="AR51" s="48">
        <v>0</v>
      </c>
      <c r="AS51" s="1">
        <f t="shared" si="1"/>
        <v>-23409233.390447374</v>
      </c>
      <c r="AT51" t="s">
        <v>382</v>
      </c>
    </row>
    <row r="52" spans="1:46" x14ac:dyDescent="0.35">
      <c r="A52" t="s">
        <v>160</v>
      </c>
      <c r="B52" s="5" t="s">
        <v>276</v>
      </c>
      <c r="C52">
        <v>130014</v>
      </c>
      <c r="D52" t="s">
        <v>300</v>
      </c>
      <c r="E52" t="s">
        <v>241</v>
      </c>
      <c r="F52" t="s">
        <v>35</v>
      </c>
      <c r="G52" t="s">
        <v>259</v>
      </c>
      <c r="H52" t="s">
        <v>33</v>
      </c>
      <c r="I52" s="1">
        <f>('RECEITAS - BLOCOS PAN'!H52-'OPEX - BLOCOS PAN'!H52-VLOOKUP('FLUXO DE CAIXA DESC.-SEM MULT.'!$D52,'CAPEX - BLOCOS PAN S- MULT.'!$C$3:$H$52,6,FALSE))*I$57</f>
        <v>-6554713.3032191088</v>
      </c>
      <c r="J52" s="1">
        <f>('RECEITAS - BLOCOS PAN'!I52-'OPEX - BLOCOS PAN'!I52-VLOOKUP('FLUXO DE CAIXA DESC.-SEM MULT.'!$D52,'CAPEX - BLOCOS PAN S- MULT.'!$C$3:$I$52,7,FALSE))*J$57</f>
        <v>-5983307.4424638152</v>
      </c>
      <c r="K52" s="1">
        <f>('RECEITAS - BLOCOS PAN'!J52-'OPEX - BLOCOS PAN'!J52-VLOOKUP('FLUXO DE CAIXA DESC.-SEM MULT.'!$D52,'CAPEX - BLOCOS PAN S- MULT.'!$C$3:$J$52,8,FALSE))*K$57</f>
        <v>-5461713.7767812097</v>
      </c>
      <c r="L52" s="1">
        <f>('RECEITAS - BLOCOS PAN'!K52-'OPEX - BLOCOS PAN'!K52-VLOOKUP('FLUXO DE CAIXA DESC.-SEM MULT.'!$D52,'CAPEX - BLOCOS PAN S- MULT.'!$C$3:$K$52,9,FALSE))*L$57</f>
        <v>-449883.03671404003</v>
      </c>
      <c r="M52" s="1">
        <f>('RECEITAS - BLOCOS PAN'!L52-'OPEX - BLOCOS PAN'!L52-VLOOKUP('FLUXO DE CAIXA DESC.-SEM MULT.'!$D52,'CAPEX - BLOCOS PAN S- MULT.'!$C$3:$L$52,10,FALSE))*M$57</f>
        <v>-410664.57025471481</v>
      </c>
      <c r="N52" s="1">
        <f>('RECEITAS - BLOCOS PAN'!M52-'OPEX - BLOCOS PAN'!M52-VLOOKUP('FLUXO DE CAIXA DESC.-SEM MULT.'!$D52,'CAPEX - BLOCOS PAN S- MULT.'!$C$3:$M$52,11,FALSE))*N$57</f>
        <v>-374864.96600156534</v>
      </c>
      <c r="O52" s="1">
        <f>('RECEITAS - BLOCOS PAN'!N52-'OPEX - BLOCOS PAN'!N52-VLOOKUP('FLUXO DE CAIXA DESC.-SEM MULT.'!$D52,'CAPEX - BLOCOS PAN S- MULT.'!$C$3:$N$52,12,FALSE))*O$57</f>
        <v>-342186.18530494324</v>
      </c>
      <c r="P52" s="1">
        <f>('RECEITAS - BLOCOS PAN'!O52-'OPEX - BLOCOS PAN'!O52-VLOOKUP('FLUXO DE CAIXA DESC.-SEM MULT.'!$D52,'CAPEX - BLOCOS PAN S- MULT.'!$C$3:$O$52,13,FALSE))*P$57</f>
        <v>-312356.17097667122</v>
      </c>
      <c r="Q52" s="1">
        <f>('RECEITAS - BLOCOS PAN'!P52-'OPEX - BLOCOS PAN'!P52-VLOOKUP('FLUXO DE CAIXA DESC.-SEM MULT.'!$D52,'CAPEX - BLOCOS PAN S- MULT.'!$C$3:$P$52,14,FALSE))*Q$57</f>
        <v>-285126.58236117865</v>
      </c>
      <c r="R52" s="1">
        <f>('RECEITAS - BLOCOS PAN'!Q52-'OPEX - BLOCOS PAN'!Q52-VLOOKUP('FLUXO DE CAIXA DESC.-SEM MULT.'!$D52,'CAPEX - BLOCOS PAN S- MULT.'!$C$3:$Q$52,15,FALSE))*R$57</f>
        <v>-260270.72785137256</v>
      </c>
      <c r="S52" s="1">
        <f>('RECEITAS - BLOCOS PAN'!R52-'OPEX - BLOCOS PAN'!R52-VLOOKUP('FLUXO DE CAIXA DESC.-SEM MULT.'!$D52,'CAPEX - BLOCOS PAN S- MULT.'!$C$3:$R$52,16,FALSE))*S$57</f>
        <v>-237581.6776370357</v>
      </c>
      <c r="T52" s="1">
        <f>('RECEITAS - BLOCOS PAN'!S52-'OPEX - BLOCOS PAN'!S52-VLOOKUP('FLUXO DE CAIXA DESC.-SEM MULT.'!$D52,'CAPEX - BLOCOS PAN S- MULT.'!$C$3:$S$52,17,FALSE))*T$57</f>
        <v>-216870.54097401709</v>
      </c>
      <c r="U52" s="1">
        <f>('RECEITAS - BLOCOS PAN'!T52-'OPEX - BLOCOS PAN'!T52-VLOOKUP('FLUXO DE CAIXA DESC.-SEM MULT.'!$D52,'CAPEX - BLOCOS PAN S- MULT.'!$C$3:$T$52,18,FALSE))*U$57</f>
        <v>-197964.89363214705</v>
      </c>
      <c r="V52" s="1">
        <f>('RECEITAS - BLOCOS PAN'!U52-'OPEX - BLOCOS PAN'!U52-VLOOKUP('FLUXO DE CAIXA DESC.-SEM MULT.'!$D52,'CAPEX - BLOCOS PAN S- MULT.'!$C$3:$U$52,19,FALSE))*V$57</f>
        <v>-180707.34243007487</v>
      </c>
      <c r="W52" s="1">
        <f>('RECEITAS - BLOCOS PAN'!V52-'OPEX - BLOCOS PAN'!V52-VLOOKUP('FLUXO DE CAIXA DESC.-SEM MULT.'!$D52,'CAPEX - BLOCOS PAN S- MULT.'!$C$3:$V$52,20,FALSE))*W$57</f>
        <v>-164954.21490650377</v>
      </c>
      <c r="X52" s="1">
        <f>('RECEITAS - BLOCOS PAN'!W52-'OPEX - BLOCOS PAN'!W52-VLOOKUP('FLUXO DE CAIXA DESC.-SEM MULT.'!$D52,'CAPEX - BLOCOS PAN S- MULT.'!$C$3:$W$52,21,FALSE))*X$57</f>
        <v>-150574.36321908151</v>
      </c>
      <c r="Y52" s="1">
        <f>('RECEITAS - BLOCOS PAN'!X52-'OPEX - BLOCOS PAN'!X52-VLOOKUP('FLUXO DE CAIXA DESC.-SEM MULT.'!$D52,'CAPEX - BLOCOS PAN S- MULT.'!$C$3:$X$52,22,FALSE))*Y$57</f>
        <v>-137448.07231317347</v>
      </c>
      <c r="Z52" s="1">
        <f>('RECEITAS - BLOCOS PAN'!Y52-'OPEX - BLOCOS PAN'!Y52-VLOOKUP('FLUXO DE CAIXA DESC.-SEM MULT.'!$D52,'CAPEX - BLOCOS PAN S- MULT.'!$C$3:$Y$52,23,FALSE))*Z$57</f>
        <v>-125466.06327081101</v>
      </c>
      <c r="AA52" s="1">
        <f>('RECEITAS - BLOCOS PAN'!Z52-'OPEX - BLOCOS PAN'!Z52-VLOOKUP('FLUXO DE CAIXA DESC.-SEM MULT.'!$D52,'CAPEX - BLOCOS PAN S- MULT.'!$C$3:$Z$52,24,FALSE))*AA$57</f>
        <v>-114528.58354250208</v>
      </c>
      <c r="AB52" s="1">
        <f>('RECEITAS - BLOCOS PAN'!AA52-'OPEX - BLOCOS PAN'!AA52-VLOOKUP('FLUXO DE CAIXA DESC.-SEM MULT.'!$D52,'CAPEX - BLOCOS PAN S- MULT.'!$C$3:$AA$52,25,FALSE))*AB$57</f>
        <v>-104544.57648790696</v>
      </c>
      <c r="AC52" s="1">
        <f>('RECEITAS - BLOCOS PAN'!AB52-'OPEX - BLOCOS PAN'!AB52-VLOOKUP('FLUXO DE CAIXA DESC.-SEM MULT.'!$D52,'CAPEX - BLOCOS PAN S- MULT.'!$C$3:$AB$52,26,FALSE))*AC$57</f>
        <v>-95430.923311644889</v>
      </c>
      <c r="AD52" s="1">
        <f>('RECEITAS - BLOCOS PAN'!AC52-'OPEX - BLOCOS PAN'!AC52-VLOOKUP('FLUXO DE CAIXA DESC.-SEM MULT.'!$D52,'CAPEX - BLOCOS PAN S- MULT.'!$C$3:$AC$52,27,FALSE))*AD$57</f>
        <v>-87111.751083199342</v>
      </c>
      <c r="AE52" s="1">
        <f>('RECEITAS - BLOCOS PAN'!AD52-'OPEX - BLOCOS PAN'!AD52-VLOOKUP('FLUXO DE CAIXA DESC.-SEM MULT.'!$D52,'CAPEX - BLOCOS PAN S- MULT.'!$C$3:$AD$52,28,FALSE))*AE$57</f>
        <v>-79517.801080054182</v>
      </c>
      <c r="AF52" s="1">
        <f>('RECEITAS - BLOCOS PAN'!AE52-'OPEX - BLOCOS PAN'!AE52-VLOOKUP('FLUXO DE CAIXA DESC.-SEM MULT.'!$D52,'CAPEX - BLOCOS PAN S- MULT.'!$C$3:$AE$52,29,FALSE))*AF$57</f>
        <v>-72585.852195394051</v>
      </c>
      <c r="AG52" s="1">
        <f>('RECEITAS - BLOCOS PAN'!AF52-'OPEX - BLOCOS PAN'!AF52-VLOOKUP('FLUXO DE CAIXA DESC.-SEM MULT.'!$D52,'CAPEX - BLOCOS PAN S- MULT.'!$C$3:$AF$52,30,FALSE))*AG$57</f>
        <v>-66258.194610126942</v>
      </c>
      <c r="AH52" s="1">
        <f>('RECEITAS - BLOCOS PAN'!AG52-'OPEX - BLOCOS PAN'!AG52-VLOOKUP('FLUXO DE CAIXA DESC.-SEM MULT.'!$D52,'CAPEX - BLOCOS PAN S- MULT.'!$C$3:$AG$52,31,FALSE))*AH$57</f>
        <v>-60482.149347445855</v>
      </c>
      <c r="AI52" s="1">
        <f>('RECEITAS - BLOCOS PAN'!AH52-'OPEX - BLOCOS PAN'!AH52-VLOOKUP('FLUXO DE CAIXA DESC.-SEM MULT.'!$D52,'CAPEX - BLOCOS PAN S- MULT.'!$C$3:$AH$52,32,FALSE))*AI$57</f>
        <v>-55209.629710128575</v>
      </c>
      <c r="AJ52" s="1">
        <f>('RECEITAS - BLOCOS PAN'!AI52-'OPEX - BLOCOS PAN'!AI52-VLOOKUP('FLUXO DE CAIXA DESC.-SEM MULT.'!$D52,'CAPEX - BLOCOS PAN S- MULT.'!$C$3:$AI$52,33,FALSE))*AJ$57</f>
        <v>-50396.740949455576</v>
      </c>
      <c r="AK52" s="1">
        <f>('RECEITAS - BLOCOS PAN'!AJ52-'OPEX - BLOCOS PAN'!AJ52-VLOOKUP('FLUXO DE CAIXA DESC.-SEM MULT.'!$D52,'CAPEX - BLOCOS PAN S- MULT.'!$C$3:$AJ$52,34,FALSE))*AK$57</f>
        <v>-46003.414832912436</v>
      </c>
      <c r="AL52" s="1">
        <f>('RECEITAS - BLOCOS PAN'!AK52-'OPEX - BLOCOS PAN'!AK52-VLOOKUP('FLUXO DE CAIXA DESC.-SEM MULT.'!$D52,'CAPEX - BLOCOS PAN S- MULT.'!$C$3:$AK$52,35,FALSE))*AL$57</f>
        <v>-41993.076068381961</v>
      </c>
      <c r="AM52" s="44">
        <f t="shared" si="0"/>
        <v>-22720716.623530623</v>
      </c>
      <c r="AN52">
        <v>1</v>
      </c>
      <c r="AO52" t="s">
        <v>312</v>
      </c>
      <c r="AP52">
        <v>-7.166666666666667</v>
      </c>
      <c r="AQ52">
        <v>-59.833333333333336</v>
      </c>
      <c r="AR52" s="48">
        <v>0</v>
      </c>
      <c r="AS52" s="1">
        <f t="shared" si="1"/>
        <v>-21433165.4315084</v>
      </c>
      <c r="AT52" t="s">
        <v>383</v>
      </c>
    </row>
    <row r="53" spans="1:46" x14ac:dyDescent="0.35">
      <c r="B53" s="6"/>
      <c r="C53" s="6"/>
      <c r="D53" s="6"/>
      <c r="H53" s="47" t="s">
        <v>250</v>
      </c>
      <c r="I53" s="8">
        <f>SUBTOTAL(109,I3:I52)</f>
        <v>-789538308.18096542</v>
      </c>
      <c r="J53" s="8">
        <f>SUBTOTAL(109,J3:J52)</f>
        <v>-719615878.97687411</v>
      </c>
      <c r="K53" s="8">
        <f>SUBTOTAL(109,K3:K52)</f>
        <v>-657868326.19728374</v>
      </c>
      <c r="L53" s="8">
        <f>SUBTOTAL(109,L3:L52)</f>
        <v>-77210393.568359196</v>
      </c>
      <c r="M53" s="8">
        <f>SUBTOTAL(109,M3:M52)</f>
        <v>-71357968.537735656</v>
      </c>
      <c r="N53" s="8">
        <f>SUBTOTAL(109,N3:N52)</f>
        <v>-64673947.686129838</v>
      </c>
      <c r="O53" s="8">
        <f>SUBTOTAL(109,O3:O52)</f>
        <v>-58986145.876239337</v>
      </c>
      <c r="P53" s="8">
        <f>SUBTOTAL(109,P3:P52)</f>
        <v>-53576707.469412632</v>
      </c>
      <c r="Q53" s="8">
        <f>SUBTOTAL(109,Q3:Q52)</f>
        <v>-48594472.919068143</v>
      </c>
      <c r="R53" s="8">
        <f>SUBTOTAL(109,R3:R52)</f>
        <v>-44325817.333736837</v>
      </c>
      <c r="S53" s="8">
        <f>SUBTOTAL(109,S3:S52)</f>
        <v>-40239044.096122034</v>
      </c>
      <c r="T53" s="8">
        <f>SUBTOTAL(109,T3:T52)</f>
        <v>-36637775.641416013</v>
      </c>
      <c r="U53" s="8">
        <f>SUBTOTAL(109,U3:U52)</f>
        <v>-33259340.655554492</v>
      </c>
      <c r="V53" s="8">
        <f>SUBTOTAL(109,V3:V52)</f>
        <v>-30181894.329780847</v>
      </c>
      <c r="W53" s="8">
        <f>SUBTOTAL(109,W3:W52)</f>
        <v>-27393693.380724095</v>
      </c>
      <c r="X53" s="8">
        <f>SUBTOTAL(109,X3:X52)</f>
        <v>-25052278.450825933</v>
      </c>
      <c r="Y53" s="8">
        <f>SUBTOTAL(109,Y3:Y52)</f>
        <v>-22977782.854211416</v>
      </c>
      <c r="Z53" s="8">
        <f>SUBTOTAL(109,Z3:Z52)</f>
        <v>-20849411.620272014</v>
      </c>
      <c r="AA53" s="8">
        <f>SUBTOTAL(109,AA3:AA52)</f>
        <v>-18913036.968752425</v>
      </c>
      <c r="AB53" s="8">
        <f>SUBTOTAL(109,AB3:AB52)</f>
        <v>-17345100.484020814</v>
      </c>
      <c r="AC53" s="8">
        <f>SUBTOTAL(109,AC3:AC52)</f>
        <v>-15733293.846952451</v>
      </c>
      <c r="AD53" s="8">
        <f>SUBTOTAL(109,AD3:AD52)</f>
        <v>-14271903.16943709</v>
      </c>
      <c r="AE53" s="8">
        <f>SUBTOTAL(109,AE3:AE52)</f>
        <v>-13105355.371097161</v>
      </c>
      <c r="AF53" s="8">
        <f>SUBTOTAL(109,AF3:AF52)</f>
        <v>-11891255.817792196</v>
      </c>
      <c r="AG53" s="8">
        <f>SUBTOTAL(109,AG3:AG52)</f>
        <v>-10786671.351071883</v>
      </c>
      <c r="AH53" s="8">
        <f>SUBTOTAL(109,AH3:AH52)</f>
        <v>-9840484.4970682133</v>
      </c>
      <c r="AI53" s="8">
        <f>SUBTOTAL(109,AI3:AI52)</f>
        <v>-9225073.1545784492</v>
      </c>
      <c r="AJ53" s="8">
        <f>SUBTOTAL(109,AJ3:AJ52)</f>
        <v>-8370547.7470428823</v>
      </c>
      <c r="AK53" s="8">
        <f>SUBTOTAL(109,AK3:AK52)</f>
        <v>-7605181.9572448209</v>
      </c>
      <c r="AL53" s="8">
        <f>SUBTOTAL(109,AL3:AL52)</f>
        <v>-6972488.723891194</v>
      </c>
      <c r="AM53" s="44">
        <f>SUBTOTAL(109,AM3:AM52)</f>
        <v>-2966399580.8636608</v>
      </c>
      <c r="AR53" s="66">
        <f>SUBTOTAL(109,AR3:AR52)</f>
        <v>716225</v>
      </c>
      <c r="AS53" s="69">
        <f t="shared" si="1"/>
        <v>-2753459714.8494034</v>
      </c>
    </row>
    <row r="54" spans="1:46" x14ac:dyDescent="0.35">
      <c r="B54" s="6"/>
      <c r="C54" s="6"/>
      <c r="D54" s="6"/>
      <c r="E54" s="47"/>
      <c r="H54" s="47" t="s">
        <v>285</v>
      </c>
      <c r="I54" s="8">
        <f>I53</f>
        <v>-789538308.18096542</v>
      </c>
      <c r="J54" s="8">
        <f t="shared" ref="J54:AL54" si="6">J53+I54</f>
        <v>-1509154187.1578395</v>
      </c>
      <c r="K54" s="8">
        <f t="shared" si="6"/>
        <v>-2167022513.3551235</v>
      </c>
      <c r="L54" s="8">
        <f t="shared" si="6"/>
        <v>-2244232906.9234829</v>
      </c>
      <c r="M54" s="8">
        <f t="shared" si="6"/>
        <v>-2315590875.4612184</v>
      </c>
      <c r="N54" s="8">
        <f t="shared" si="6"/>
        <v>-2380264823.1473484</v>
      </c>
      <c r="O54" s="8">
        <f t="shared" si="6"/>
        <v>-2439250969.0235877</v>
      </c>
      <c r="P54" s="8">
        <f t="shared" si="6"/>
        <v>-2492827676.4930005</v>
      </c>
      <c r="Q54" s="8">
        <f t="shared" si="6"/>
        <v>-2541422149.4120688</v>
      </c>
      <c r="R54" s="8">
        <f t="shared" si="6"/>
        <v>-2585747966.7458057</v>
      </c>
      <c r="S54" s="8">
        <f t="shared" si="6"/>
        <v>-2625987010.841928</v>
      </c>
      <c r="T54" s="8">
        <f t="shared" si="6"/>
        <v>-2662624786.4833441</v>
      </c>
      <c r="U54" s="8">
        <f t="shared" si="6"/>
        <v>-2695884127.1388984</v>
      </c>
      <c r="V54" s="8">
        <f t="shared" si="6"/>
        <v>-2726066021.4686794</v>
      </c>
      <c r="W54" s="8">
        <f t="shared" si="6"/>
        <v>-2753459714.8494034</v>
      </c>
      <c r="X54" s="8">
        <f t="shared" si="6"/>
        <v>-2778511993.3002295</v>
      </c>
      <c r="Y54" s="8">
        <f t="shared" si="6"/>
        <v>-2801489776.1544409</v>
      </c>
      <c r="Z54" s="8">
        <f t="shared" si="6"/>
        <v>-2822339187.774713</v>
      </c>
      <c r="AA54" s="8">
        <f t="shared" si="6"/>
        <v>-2841252224.7434654</v>
      </c>
      <c r="AB54" s="8">
        <f t="shared" si="6"/>
        <v>-2858597325.2274861</v>
      </c>
      <c r="AC54" s="8">
        <f t="shared" si="6"/>
        <v>-2874330619.0744386</v>
      </c>
      <c r="AD54" s="8">
        <f t="shared" si="6"/>
        <v>-2888602522.2438755</v>
      </c>
      <c r="AE54" s="8">
        <f t="shared" si="6"/>
        <v>-2901707877.6149726</v>
      </c>
      <c r="AF54" s="8">
        <f t="shared" si="6"/>
        <v>-2913599133.432765</v>
      </c>
      <c r="AG54" s="8">
        <f t="shared" si="6"/>
        <v>-2924385804.7838368</v>
      </c>
      <c r="AH54" s="8">
        <f t="shared" si="6"/>
        <v>-2934226289.2809052</v>
      </c>
      <c r="AI54" s="8">
        <f t="shared" si="6"/>
        <v>-2943451362.4354839</v>
      </c>
      <c r="AJ54" s="8">
        <f t="shared" si="6"/>
        <v>-2951821910.1825266</v>
      </c>
      <c r="AK54" s="8">
        <f t="shared" si="6"/>
        <v>-2959427092.1397715</v>
      </c>
      <c r="AL54" s="8">
        <f t="shared" si="6"/>
        <v>-2966399580.8636627</v>
      </c>
      <c r="AM54" s="44"/>
      <c r="AS54" s="1"/>
    </row>
    <row r="55" spans="1:46" x14ac:dyDescent="0.35"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 spans="1:46" x14ac:dyDescent="0.35">
      <c r="H56" s="47" t="s">
        <v>284</v>
      </c>
      <c r="I56" s="2">
        <v>0</v>
      </c>
      <c r="J56" s="2">
        <v>1</v>
      </c>
      <c r="K56" s="2">
        <v>2</v>
      </c>
      <c r="L56" s="2">
        <v>3</v>
      </c>
      <c r="M56" s="2">
        <v>4</v>
      </c>
      <c r="N56" s="2">
        <v>5</v>
      </c>
      <c r="O56" s="2">
        <v>6</v>
      </c>
      <c r="P56" s="2">
        <v>7</v>
      </c>
      <c r="Q56" s="2">
        <v>8</v>
      </c>
      <c r="R56" s="2">
        <v>9</v>
      </c>
      <c r="S56" s="2">
        <v>10</v>
      </c>
      <c r="T56" s="2">
        <v>11</v>
      </c>
      <c r="U56" s="2">
        <v>12</v>
      </c>
      <c r="V56" s="2">
        <v>13</v>
      </c>
      <c r="W56" s="2">
        <v>14</v>
      </c>
      <c r="X56" s="2">
        <v>15</v>
      </c>
      <c r="Y56" s="2">
        <v>16</v>
      </c>
      <c r="Z56" s="2">
        <v>17</v>
      </c>
      <c r="AA56" s="2">
        <v>18</v>
      </c>
      <c r="AB56" s="2">
        <v>19</v>
      </c>
      <c r="AC56" s="2">
        <v>20</v>
      </c>
      <c r="AD56" s="2">
        <v>21</v>
      </c>
      <c r="AE56" s="2">
        <v>22</v>
      </c>
      <c r="AF56" s="2">
        <v>23</v>
      </c>
      <c r="AG56" s="2">
        <v>24</v>
      </c>
      <c r="AH56" s="2">
        <v>25</v>
      </c>
      <c r="AI56" s="2">
        <v>26</v>
      </c>
      <c r="AJ56" s="2">
        <v>27</v>
      </c>
      <c r="AK56" s="2">
        <v>28</v>
      </c>
      <c r="AL56" s="2">
        <v>29</v>
      </c>
    </row>
    <row r="57" spans="1:46" x14ac:dyDescent="0.35">
      <c r="A57" s="2" t="s">
        <v>254</v>
      </c>
      <c r="B57" s="46">
        <v>9.5500000000000002E-2</v>
      </c>
      <c r="C57" s="2" t="s">
        <v>255</v>
      </c>
      <c r="I57" s="2">
        <f>1/(1+$B$57)^I56</f>
        <v>1</v>
      </c>
      <c r="J57" s="2">
        <f t="shared" ref="J57:AL57" si="7">1/(1+$B$57)^J56</f>
        <v>0.91282519397535378</v>
      </c>
      <c r="K57" s="2">
        <f t="shared" si="7"/>
        <v>0.83324983475614223</v>
      </c>
      <c r="L57" s="2">
        <f t="shared" si="7"/>
        <v>0.76061144204120701</v>
      </c>
      <c r="M57" s="2">
        <f t="shared" si="7"/>
        <v>0.69430528712113837</v>
      </c>
      <c r="N57" s="2">
        <f t="shared" si="7"/>
        <v>0.63377935839446675</v>
      </c>
      <c r="O57" s="2">
        <f t="shared" si="7"/>
        <v>0.57852976576400439</v>
      </c>
      <c r="P57" s="2">
        <f t="shared" si="7"/>
        <v>0.52809654565404329</v>
      </c>
      <c r="Q57" s="2">
        <f t="shared" si="7"/>
        <v>0.48205983172436634</v>
      </c>
      <c r="R57" s="2">
        <f t="shared" si="7"/>
        <v>0.44003635940152108</v>
      </c>
      <c r="S57" s="2">
        <f t="shared" si="7"/>
        <v>0.40167627512690202</v>
      </c>
      <c r="T57" s="2">
        <f t="shared" si="7"/>
        <v>0.36666022375801188</v>
      </c>
      <c r="U57" s="2">
        <f t="shared" si="7"/>
        <v>0.33469668987495382</v>
      </c>
      <c r="V57" s="2">
        <f t="shared" si="7"/>
        <v>0.30551957085801351</v>
      </c>
      <c r="W57" s="2">
        <f t="shared" si="7"/>
        <v>0.27888596153173301</v>
      </c>
      <c r="X57" s="2">
        <f t="shared" si="7"/>
        <v>0.25457413193220724</v>
      </c>
      <c r="Y57" s="2">
        <f t="shared" si="7"/>
        <v>0.23238168136212439</v>
      </c>
      <c r="Z57" s="2">
        <f t="shared" si="7"/>
        <v>0.21212385336570003</v>
      </c>
      <c r="AA57" s="2">
        <f t="shared" si="7"/>
        <v>0.19363199759534466</v>
      </c>
      <c r="AB57" s="2">
        <f t="shared" si="7"/>
        <v>0.17675216576480571</v>
      </c>
      <c r="AC57" s="2">
        <f t="shared" si="7"/>
        <v>0.16134382999982266</v>
      </c>
      <c r="AD57" s="2">
        <f t="shared" si="7"/>
        <v>0.14727871291631461</v>
      </c>
      <c r="AE57" s="2">
        <f t="shared" si="7"/>
        <v>0.13443971968627533</v>
      </c>
      <c r="AF57" s="2">
        <f t="shared" si="7"/>
        <v>0.12271996320061647</v>
      </c>
      <c r="AG57" s="2">
        <f t="shared" si="7"/>
        <v>0.11202187421325101</v>
      </c>
      <c r="AH57" s="2">
        <f t="shared" si="7"/>
        <v>0.10225638905819352</v>
      </c>
      <c r="AI57" s="2">
        <f t="shared" si="7"/>
        <v>9.3342208177264741E-2</v>
      </c>
      <c r="AJ57" s="2">
        <f t="shared" si="7"/>
        <v>8.520511928549955E-2</v>
      </c>
      <c r="AK57" s="2">
        <f t="shared" si="7"/>
        <v>7.7777379539479274E-2</v>
      </c>
      <c r="AL57" s="2">
        <f t="shared" si="7"/>
        <v>7.0997151565019873E-2</v>
      </c>
    </row>
    <row r="59" spans="1:46" x14ac:dyDescent="0.35">
      <c r="A59" s="63" t="s">
        <v>354</v>
      </c>
      <c r="E59" s="63"/>
    </row>
    <row r="60" spans="1:46" x14ac:dyDescent="0.35">
      <c r="E60" s="63"/>
    </row>
  </sheetData>
  <autoFilter ref="A2:AT54" xr:uid="{93480331-7698-4CEE-AA35-2C1F21871304}"/>
  <conditionalFormatting sqref="D36:D37">
    <cfRule type="duplicateValues" dxfId="24" priority="1"/>
  </conditionalFormatting>
  <conditionalFormatting sqref="D47:D52 D38">
    <cfRule type="duplicateValues" dxfId="23" priority="2"/>
  </conditionalFormatting>
  <hyperlinks>
    <hyperlink ref="A59" location="Introdução!A1" display="Introdução!A1" xr:uid="{F380FD91-8B68-4D32-805D-E02B5906120C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DE03-B81E-45D9-A69D-479AC3B51F78}">
  <sheetPr>
    <tabColor rgb="FF7030A0"/>
  </sheetPr>
  <dimension ref="A1:AM59"/>
  <sheetViews>
    <sheetView topLeftCell="A13" workbookViewId="0">
      <selection activeCell="H47" sqref="H47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10.453125" customWidth="1"/>
    <col min="8" max="37" width="19.54296875" bestFit="1" customWidth="1"/>
    <col min="38" max="38" width="20.7265625" bestFit="1" customWidth="1"/>
    <col min="39" max="39" width="28.7265625" bestFit="1" customWidth="1"/>
  </cols>
  <sheetData>
    <row r="1" spans="1:39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5" t="s">
        <v>164</v>
      </c>
      <c r="H1" s="43" t="s">
        <v>253</v>
      </c>
      <c r="I1" s="43" t="s">
        <v>253</v>
      </c>
      <c r="J1" s="43" t="s">
        <v>253</v>
      </c>
      <c r="K1" s="43" t="s">
        <v>253</v>
      </c>
      <c r="L1" s="43" t="s">
        <v>253</v>
      </c>
      <c r="M1" s="43" t="s">
        <v>253</v>
      </c>
      <c r="N1" s="43" t="s">
        <v>253</v>
      </c>
      <c r="O1" s="43" t="s">
        <v>253</v>
      </c>
      <c r="P1" s="43" t="s">
        <v>253</v>
      </c>
      <c r="Q1" s="43" t="s">
        <v>253</v>
      </c>
      <c r="R1" s="43" t="s">
        <v>253</v>
      </c>
      <c r="S1" s="43" t="s">
        <v>253</v>
      </c>
      <c r="T1" s="43" t="s">
        <v>253</v>
      </c>
      <c r="U1" s="43" t="s">
        <v>253</v>
      </c>
      <c r="V1" s="43" t="s">
        <v>253</v>
      </c>
      <c r="W1" s="43" t="s">
        <v>253</v>
      </c>
      <c r="X1" s="43" t="s">
        <v>253</v>
      </c>
      <c r="Y1" s="43" t="s">
        <v>253</v>
      </c>
      <c r="Z1" s="43" t="s">
        <v>253</v>
      </c>
      <c r="AA1" s="43" t="s">
        <v>253</v>
      </c>
      <c r="AB1" s="43" t="s">
        <v>253</v>
      </c>
      <c r="AC1" s="43" t="s">
        <v>253</v>
      </c>
      <c r="AD1" s="43" t="s">
        <v>253</v>
      </c>
      <c r="AE1" s="43" t="s">
        <v>253</v>
      </c>
      <c r="AF1" s="43" t="s">
        <v>253</v>
      </c>
      <c r="AG1" s="43" t="s">
        <v>253</v>
      </c>
      <c r="AH1" s="43" t="s">
        <v>253</v>
      </c>
      <c r="AI1" s="43" t="s">
        <v>253</v>
      </c>
      <c r="AJ1" s="43" t="s">
        <v>253</v>
      </c>
      <c r="AK1" s="43" t="s">
        <v>253</v>
      </c>
      <c r="AL1" s="43" t="s">
        <v>253</v>
      </c>
      <c r="AM1" s="2" t="s">
        <v>355</v>
      </c>
    </row>
    <row r="2" spans="1:39" s="3" customFormat="1" x14ac:dyDescent="0.35">
      <c r="A2" s="43"/>
      <c r="B2" s="43"/>
      <c r="C2" s="43"/>
      <c r="D2" s="43"/>
      <c r="E2" s="43"/>
      <c r="F2" s="43"/>
      <c r="G2" s="43"/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43" t="s">
        <v>250</v>
      </c>
      <c r="AM2" s="43" t="s">
        <v>303</v>
      </c>
    </row>
    <row r="3" spans="1:39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33</v>
      </c>
      <c r="H3" s="1">
        <f>'RECEITAS - BLOCOS PAN'!H3-'OPEX - BLOCOS PAN'!H3-VLOOKUP('FLUXO DE CAIXA NOM.- BLOCOS PAN'!$D3,'CAPEX - BLOCOS PAN'!$C$3:$H$52,6,FALSE)</f>
        <v>-47608527.052166663</v>
      </c>
      <c r="I3" s="1">
        <f>'RECEITAS - BLOCOS PAN'!I3-'OPEX - BLOCOS PAN'!I3-VLOOKUP('FLUXO DE CAIXA NOM.- BLOCOS PAN'!$D3,'CAPEX - BLOCOS PAN'!$C$3:$I$52,7,FALSE)</f>
        <v>-47546774.981666662</v>
      </c>
      <c r="J3" s="1">
        <f>'RECEITAS - BLOCOS PAN'!J3-'OPEX - BLOCOS PAN'!J3-VLOOKUP('FLUXO DE CAIXA NOM.- BLOCOS PAN'!$D3,'CAPEX - BLOCOS PAN'!$C$3:$J$52,8,FALSE)</f>
        <v>-47659037.293366663</v>
      </c>
      <c r="K3" s="1">
        <f>'RECEITAS - BLOCOS PAN'!K3-'OPEX - BLOCOS PAN'!K3-VLOOKUP('FLUXO DE CAIXA NOM.- BLOCOS PAN'!$D3,'CAPEX - BLOCOS PAN'!$C$3:$K$52,9,FALSE)</f>
        <v>-2522880.0414</v>
      </c>
      <c r="L3" s="1">
        <f>'RECEITAS - BLOCOS PAN'!L3-'OPEX - BLOCOS PAN'!L3-VLOOKUP('FLUXO DE CAIXA NOM.- BLOCOS PAN'!$D3,'CAPEX - BLOCOS PAN'!$C$3:$L$52,10,FALSE)</f>
        <v>-2499764.2474000002</v>
      </c>
      <c r="M3" s="1">
        <f>'RECEITAS - BLOCOS PAN'!M3-'OPEX - BLOCOS PAN'!M3-VLOOKUP('FLUXO DE CAIXA NOM.- BLOCOS PAN'!$D3,'CAPEX - BLOCOS PAN'!$C$3:$M$52,11,FALSE)</f>
        <v>-2479728.5695999996</v>
      </c>
      <c r="N3" s="1">
        <f>'RECEITAS - BLOCOS PAN'!N3-'OPEX - BLOCOS PAN'!N3-VLOOKUP('FLUXO DE CAIXA NOM.- BLOCOS PAN'!$D3,'CAPEX - BLOCOS PAN'!$C$3:$N$52,12,FALSE)</f>
        <v>-2461532.4061000003</v>
      </c>
      <c r="O3" s="1">
        <f>'RECEITAS - BLOCOS PAN'!O3-'OPEX - BLOCOS PAN'!O3-VLOOKUP('FLUXO DE CAIXA NOM.- BLOCOS PAN'!$D3,'CAPEX - BLOCOS PAN'!$C$3:$O$52,13,FALSE)</f>
        <v>-2444619.6240999997</v>
      </c>
      <c r="P3" s="1">
        <f>'RECEITAS - BLOCOS PAN'!P3-'OPEX - BLOCOS PAN'!P3-VLOOKUP('FLUXO DE CAIXA NOM.- BLOCOS PAN'!$D3,'CAPEX - BLOCOS PAN'!$C$3:$P$52,14,FALSE)</f>
        <v>-2429290.3412000001</v>
      </c>
      <c r="Q3" s="1">
        <f>'RECEITAS - BLOCOS PAN'!Q3-'OPEX - BLOCOS PAN'!Q3-VLOOKUP('FLUXO DE CAIXA NOM.- BLOCOS PAN'!$D3,'CAPEX - BLOCOS PAN'!$C$3:$Q$52,15,FALSE)</f>
        <v>-2415506.6436999994</v>
      </c>
      <c r="R3" s="1">
        <f>'RECEITAS - BLOCOS PAN'!R3-'OPEX - BLOCOS PAN'!R3-VLOOKUP('FLUXO DE CAIXA NOM.- BLOCOS PAN'!$D3,'CAPEX - BLOCOS PAN'!$C$3:$R$52,16,FALSE)</f>
        <v>-2402965.7867999999</v>
      </c>
      <c r="S3" s="1">
        <f>'RECEITAS - BLOCOS PAN'!S3-'OPEX - BLOCOS PAN'!S3-VLOOKUP('FLUXO DE CAIXA NOM.- BLOCOS PAN'!$D3,'CAPEX - BLOCOS PAN'!$C$3:$S$52,17,FALSE)</f>
        <v>-2390702.3606999996</v>
      </c>
      <c r="T3" s="1">
        <f>'RECEITAS - BLOCOS PAN'!T3-'OPEX - BLOCOS PAN'!T3-VLOOKUP('FLUXO DE CAIXA NOM.- BLOCOS PAN'!$D3,'CAPEX - BLOCOS PAN'!$C$3:$T$52,18,FALSE)</f>
        <v>-2378680.6895000003</v>
      </c>
      <c r="U3" s="1">
        <f>'RECEITAS - BLOCOS PAN'!U3-'OPEX - BLOCOS PAN'!U3-VLOOKUP('FLUXO DE CAIXA NOM.- BLOCOS PAN'!$D3,'CAPEX - BLOCOS PAN'!$C$3:$U$52,19,FALSE)</f>
        <v>-2366345.3028000002</v>
      </c>
      <c r="V3" s="1">
        <f>'RECEITAS - BLOCOS PAN'!V3-'OPEX - BLOCOS PAN'!V3-VLOOKUP('FLUXO DE CAIXA NOM.- BLOCOS PAN'!$D3,'CAPEX - BLOCOS PAN'!$C$3:$V$52,20,FALSE)</f>
        <v>-2354509.6704000002</v>
      </c>
      <c r="W3" s="1">
        <f>'RECEITAS - BLOCOS PAN'!W3-'OPEX - BLOCOS PAN'!W3-VLOOKUP('FLUXO DE CAIXA NOM.- BLOCOS PAN'!$D3,'CAPEX - BLOCOS PAN'!$C$3:$W$52,21,FALSE)</f>
        <v>-2342545.0384</v>
      </c>
      <c r="X3" s="1">
        <f>'RECEITAS - BLOCOS PAN'!X3-'OPEX - BLOCOS PAN'!X3-VLOOKUP('FLUXO DE CAIXA NOM.- BLOCOS PAN'!$D3,'CAPEX - BLOCOS PAN'!$C$3:$X$52,22,FALSE)</f>
        <v>-2330737.9255000004</v>
      </c>
      <c r="Y3" s="1">
        <f>'RECEITAS - BLOCOS PAN'!Y3-'OPEX - BLOCOS PAN'!Y3-VLOOKUP('FLUXO DE CAIXA NOM.- BLOCOS PAN'!$D3,'CAPEX - BLOCOS PAN'!$C$3:$Y$52,23,FALSE)</f>
        <v>-2318573.6557999998</v>
      </c>
      <c r="Z3" s="1">
        <f>'RECEITAS - BLOCOS PAN'!Z3-'OPEX - BLOCOS PAN'!Z3-VLOOKUP('FLUXO DE CAIXA NOM.- BLOCOS PAN'!$D3,'CAPEX - BLOCOS PAN'!$C$3:$Z$52,24,FALSE)</f>
        <v>-2306366.6082999995</v>
      </c>
      <c r="AA3" s="1">
        <f>'RECEITAS - BLOCOS PAN'!AA3-'OPEX - BLOCOS PAN'!AA3-VLOOKUP('FLUXO DE CAIXA NOM.- BLOCOS PAN'!$D3,'CAPEX - BLOCOS PAN'!$C$3:$AA$52,25,FALSE)</f>
        <v>-2294060.4024</v>
      </c>
      <c r="AB3" s="1">
        <f>'RECEITAS - BLOCOS PAN'!AB3-'OPEX - BLOCOS PAN'!AB3-VLOOKUP('FLUXO DE CAIXA NOM.- BLOCOS PAN'!$D3,'CAPEX - BLOCOS PAN'!$C$3:$AB$52,26,FALSE)</f>
        <v>-2282323.9265000001</v>
      </c>
      <c r="AC3" s="1">
        <f>'RECEITAS - BLOCOS PAN'!AC3-'OPEX - BLOCOS PAN'!AC3-VLOOKUP('FLUXO DE CAIXA NOM.- BLOCOS PAN'!$D3,'CAPEX - BLOCOS PAN'!$C$3:$AC$52,27,FALSE)</f>
        <v>-2270531.074</v>
      </c>
      <c r="AD3" s="1">
        <f>'RECEITAS - BLOCOS PAN'!AD3-'OPEX - BLOCOS PAN'!AD3-VLOOKUP('FLUXO DE CAIXA NOM.- BLOCOS PAN'!$D3,'CAPEX - BLOCOS PAN'!$C$3:$AD$52,28,FALSE)</f>
        <v>-3325502.4091999996</v>
      </c>
      <c r="AE3" s="1">
        <f>'RECEITAS - BLOCOS PAN'!AE3-'OPEX - BLOCOS PAN'!AE3-VLOOKUP('FLUXO DE CAIXA NOM.- BLOCOS PAN'!$D3,'CAPEX - BLOCOS PAN'!$C$3:$AE$52,29,FALSE)</f>
        <v>-3313362.2150999997</v>
      </c>
      <c r="AF3" s="1">
        <f>'RECEITAS - BLOCOS PAN'!AF3-'OPEX - BLOCOS PAN'!AF3-VLOOKUP('FLUXO DE CAIXA NOM.- BLOCOS PAN'!$D3,'CAPEX - BLOCOS PAN'!$C$3:$AF$52,30,FALSE)</f>
        <v>-3301800.4620999997</v>
      </c>
      <c r="AG3" s="1">
        <f>'RECEITAS - BLOCOS PAN'!AG3-'OPEX - BLOCOS PAN'!AG3-VLOOKUP('FLUXO DE CAIXA NOM.- BLOCOS PAN'!$D3,'CAPEX - BLOCOS PAN'!$C$3:$AG$52,31,FALSE)</f>
        <v>-3290269.8964</v>
      </c>
      <c r="AH3" s="1">
        <f>'RECEITAS - BLOCOS PAN'!AH3-'OPEX - BLOCOS PAN'!AH3-VLOOKUP('FLUXO DE CAIXA NOM.- BLOCOS PAN'!$D3,'CAPEX - BLOCOS PAN'!$C$3:$AH$52,32,FALSE)</f>
        <v>-3279515.1381999999</v>
      </c>
      <c r="AI3" s="1">
        <f>'RECEITAS - BLOCOS PAN'!AI3-'OPEX - BLOCOS PAN'!AI3-VLOOKUP('FLUXO DE CAIXA NOM.- BLOCOS PAN'!$D3,'CAPEX - BLOCOS PAN'!$C$3:$AI$52,33,FALSE)</f>
        <v>-3268869.0134000005</v>
      </c>
      <c r="AJ3" s="1">
        <f>'RECEITAS - BLOCOS PAN'!AJ3-'OPEX - BLOCOS PAN'!AJ3-VLOOKUP('FLUXO DE CAIXA NOM.- BLOCOS PAN'!$D3,'CAPEX - BLOCOS PAN'!$C$3:$AJ$52,34,FALSE)</f>
        <v>-3257838.8351000007</v>
      </c>
      <c r="AK3" s="1">
        <f>'RECEITAS - BLOCOS PAN'!AK3-'OPEX - BLOCOS PAN'!AK3-VLOOKUP('FLUXO DE CAIXA NOM.- BLOCOS PAN'!$D3,'CAPEX - BLOCOS PAN'!$C$3:$AK$52,35,FALSE)</f>
        <v>-3246680.7291999999</v>
      </c>
      <c r="AL3" s="44">
        <f t="shared" ref="AL3:AL7" si="0">SUM(H3:AK3)</f>
        <v>-214389842.34049997</v>
      </c>
      <c r="AM3" t="str">
        <f>VLOOKUP(D3,'FLUXO DE CAIXA DESC.-BLOCOS PAN'!$D$3:$AO$52,38,FALSE)</f>
        <v>PA - 1 - AL</v>
      </c>
    </row>
    <row r="4" spans="1:39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33</v>
      </c>
      <c r="H4" s="1">
        <f>'RECEITAS - BLOCOS PAN'!H4-'OPEX - BLOCOS PAN'!H4-VLOOKUP('FLUXO DE CAIXA NOM.- BLOCOS PAN'!$D4,'CAPEX - BLOCOS PAN'!$C$3:$H$52,6,FALSE)</f>
        <v>-30531481.678300001</v>
      </c>
      <c r="I4" s="1">
        <f>'RECEITAS - BLOCOS PAN'!I4-'OPEX - BLOCOS PAN'!I4-VLOOKUP('FLUXO DE CAIXA NOM.- BLOCOS PAN'!$D4,'CAPEX - BLOCOS PAN'!$C$3:$I$52,7,FALSE)</f>
        <v>-30482667.319600001</v>
      </c>
      <c r="J4" s="1">
        <f>'RECEITAS - BLOCOS PAN'!J4-'OPEX - BLOCOS PAN'!J4-VLOOKUP('FLUXO DE CAIXA NOM.- BLOCOS PAN'!$D4,'CAPEX - BLOCOS PAN'!$C$3:$J$52,8,FALSE)</f>
        <v>-30619132.934999999</v>
      </c>
      <c r="K4" s="1">
        <f>'RECEITAS - BLOCOS PAN'!K4-'OPEX - BLOCOS PAN'!K4-VLOOKUP('FLUXO DE CAIXA NOM.- BLOCOS PAN'!$D4,'CAPEX - BLOCOS PAN'!$C$3:$K$52,9,FALSE)</f>
        <v>-2498069.2373000002</v>
      </c>
      <c r="L4" s="1">
        <f>'RECEITAS - BLOCOS PAN'!L4-'OPEX - BLOCOS PAN'!L4-VLOOKUP('FLUXO DE CAIXA NOM.- BLOCOS PAN'!$D4,'CAPEX - BLOCOS PAN'!$C$3:$L$52,10,FALSE)</f>
        <v>-2473826.9188999995</v>
      </c>
      <c r="M4" s="1">
        <f>'RECEITAS - BLOCOS PAN'!M4-'OPEX - BLOCOS PAN'!M4-VLOOKUP('FLUXO DE CAIXA NOM.- BLOCOS PAN'!$D4,'CAPEX - BLOCOS PAN'!$C$3:$M$52,11,FALSE)</f>
        <v>-2451638.0114000002</v>
      </c>
      <c r="N4" s="1">
        <f>'RECEITAS - BLOCOS PAN'!N4-'OPEX - BLOCOS PAN'!N4-VLOOKUP('FLUXO DE CAIXA NOM.- BLOCOS PAN'!$D4,'CAPEX - BLOCOS PAN'!$C$3:$N$52,12,FALSE)</f>
        <v>-2430618.4084000001</v>
      </c>
      <c r="O4" s="1">
        <f>'RECEITAS - BLOCOS PAN'!O4-'OPEX - BLOCOS PAN'!O4-VLOOKUP('FLUXO DE CAIXA NOM.- BLOCOS PAN'!$D4,'CAPEX - BLOCOS PAN'!$C$3:$O$52,13,FALSE)</f>
        <v>-2410203.9039999996</v>
      </c>
      <c r="P4" s="1">
        <f>'RECEITAS - BLOCOS PAN'!P4-'OPEX - BLOCOS PAN'!P4-VLOOKUP('FLUXO DE CAIXA NOM.- BLOCOS PAN'!$D4,'CAPEX - BLOCOS PAN'!$C$3:$P$52,14,FALSE)</f>
        <v>-2390918.1624999996</v>
      </c>
      <c r="Q4" s="1">
        <f>'RECEITAS - BLOCOS PAN'!Q4-'OPEX - BLOCOS PAN'!Q4-VLOOKUP('FLUXO DE CAIXA NOM.- BLOCOS PAN'!$D4,'CAPEX - BLOCOS PAN'!$C$3:$Q$52,15,FALSE)</f>
        <v>-2373292.3909999998</v>
      </c>
      <c r="R4" s="1">
        <f>'RECEITAS - BLOCOS PAN'!R4-'OPEX - BLOCOS PAN'!R4-VLOOKUP('FLUXO DE CAIXA NOM.- BLOCOS PAN'!$D4,'CAPEX - BLOCOS PAN'!$C$3:$R$52,16,FALSE)</f>
        <v>-2356764.6237999997</v>
      </c>
      <c r="S4" s="1">
        <f>'RECEITAS - BLOCOS PAN'!S4-'OPEX - BLOCOS PAN'!S4-VLOOKUP('FLUXO DE CAIXA NOM.- BLOCOS PAN'!$D4,'CAPEX - BLOCOS PAN'!$C$3:$S$52,17,FALSE)</f>
        <v>-2340308.1549999998</v>
      </c>
      <c r="T4" s="1">
        <f>'RECEITAS - BLOCOS PAN'!T4-'OPEX - BLOCOS PAN'!T4-VLOOKUP('FLUXO DE CAIXA NOM.- BLOCOS PAN'!$D4,'CAPEX - BLOCOS PAN'!$C$3:$T$52,18,FALSE)</f>
        <v>-2323966.426</v>
      </c>
      <c r="U4" s="1">
        <f>'RECEITAS - BLOCOS PAN'!U4-'OPEX - BLOCOS PAN'!U4-VLOOKUP('FLUXO DE CAIXA NOM.- BLOCOS PAN'!$D4,'CAPEX - BLOCOS PAN'!$C$3:$U$52,19,FALSE)</f>
        <v>-2307181.9827000001</v>
      </c>
      <c r="V4" s="1">
        <f>'RECEITAS - BLOCOS PAN'!V4-'OPEX - BLOCOS PAN'!V4-VLOOKUP('FLUXO DE CAIXA NOM.- BLOCOS PAN'!$D4,'CAPEX - BLOCOS PAN'!$C$3:$V$52,20,FALSE)</f>
        <v>-2290582.9161999999</v>
      </c>
      <c r="W4" s="1">
        <f>'RECEITAS - BLOCOS PAN'!W4-'OPEX - BLOCOS PAN'!W4-VLOOKUP('FLUXO DE CAIXA NOM.- BLOCOS PAN'!$D4,'CAPEX - BLOCOS PAN'!$C$3:$W$52,21,FALSE)</f>
        <v>-2273741.4332000003</v>
      </c>
      <c r="X4" s="1">
        <f>'RECEITAS - BLOCOS PAN'!X4-'OPEX - BLOCOS PAN'!X4-VLOOKUP('FLUXO DE CAIXA NOM.- BLOCOS PAN'!$D4,'CAPEX - BLOCOS PAN'!$C$3:$X$52,22,FALSE)</f>
        <v>-3319649.6916999994</v>
      </c>
      <c r="Y4" s="1">
        <f>'RECEITAS - BLOCOS PAN'!Y4-'OPEX - BLOCOS PAN'!Y4-VLOOKUP('FLUXO DE CAIXA NOM.- BLOCOS PAN'!$D4,'CAPEX - BLOCOS PAN'!$C$3:$Y$52,23,FALSE)</f>
        <v>-3300619.0028999997</v>
      </c>
      <c r="Z4" s="1">
        <f>'RECEITAS - BLOCOS PAN'!Z4-'OPEX - BLOCOS PAN'!Z4-VLOOKUP('FLUXO DE CAIXA NOM.- BLOCOS PAN'!$D4,'CAPEX - BLOCOS PAN'!$C$3:$Z$52,24,FALSE)</f>
        <v>-3281344.3909</v>
      </c>
      <c r="AA4" s="1">
        <f>'RECEITAS - BLOCOS PAN'!AA4-'OPEX - BLOCOS PAN'!AA4-VLOOKUP('FLUXO DE CAIXA NOM.- BLOCOS PAN'!$D4,'CAPEX - BLOCOS PAN'!$C$3:$AA$52,25,FALSE)</f>
        <v>-3261805.8037999999</v>
      </c>
      <c r="AB4" s="1">
        <f>'RECEITAS - BLOCOS PAN'!AB4-'OPEX - BLOCOS PAN'!AB4-VLOOKUP('FLUXO DE CAIXA NOM.- BLOCOS PAN'!$D4,'CAPEX - BLOCOS PAN'!$C$3:$AB$52,26,FALSE)</f>
        <v>-3242472.8887</v>
      </c>
      <c r="AC4" s="1">
        <f>'RECEITAS - BLOCOS PAN'!AC4-'OPEX - BLOCOS PAN'!AC4-VLOOKUP('FLUXO DE CAIXA NOM.- BLOCOS PAN'!$D4,'CAPEX - BLOCOS PAN'!$C$3:$AC$52,27,FALSE)</f>
        <v>-3222965.4908999996</v>
      </c>
      <c r="AD4" s="1">
        <f>'RECEITAS - BLOCOS PAN'!AD4-'OPEX - BLOCOS PAN'!AD4-VLOOKUP('FLUXO DE CAIXA NOM.- BLOCOS PAN'!$D4,'CAPEX - BLOCOS PAN'!$C$3:$AD$52,28,FALSE)</f>
        <v>-3203551.057</v>
      </c>
      <c r="AE4" s="1">
        <f>'RECEITAS - BLOCOS PAN'!AE4-'OPEX - BLOCOS PAN'!AE4-VLOOKUP('FLUXO DE CAIXA NOM.- BLOCOS PAN'!$D4,'CAPEX - BLOCOS PAN'!$C$3:$AE$52,29,FALSE)</f>
        <v>-3183748.7940000007</v>
      </c>
      <c r="AF4" s="1">
        <f>'RECEITAS - BLOCOS PAN'!AF4-'OPEX - BLOCOS PAN'!AF4-VLOOKUP('FLUXO DE CAIXA NOM.- BLOCOS PAN'!$D4,'CAPEX - BLOCOS PAN'!$C$3:$AF$52,30,FALSE)</f>
        <v>-3163724.8814999997</v>
      </c>
      <c r="AG4" s="1">
        <f>'RECEITAS - BLOCOS PAN'!AG4-'OPEX - BLOCOS PAN'!AG4-VLOOKUP('FLUXO DE CAIXA NOM.- BLOCOS PAN'!$D4,'CAPEX - BLOCOS PAN'!$C$3:$AG$52,31,FALSE)</f>
        <v>-3143534.6401000004</v>
      </c>
      <c r="AH4" s="1">
        <f>'RECEITAS - BLOCOS PAN'!AH4-'OPEX - BLOCOS PAN'!AH4-VLOOKUP('FLUXO DE CAIXA NOM.- BLOCOS PAN'!$D4,'CAPEX - BLOCOS PAN'!$C$3:$AH$52,32,FALSE)</f>
        <v>-3123825.3429</v>
      </c>
      <c r="AI4" s="1">
        <f>'RECEITAS - BLOCOS PAN'!AI4-'OPEX - BLOCOS PAN'!AI4-VLOOKUP('FLUXO DE CAIXA NOM.- BLOCOS PAN'!$D4,'CAPEX - BLOCOS PAN'!$C$3:$AI$52,33,FALSE)</f>
        <v>-3103924.9571000002</v>
      </c>
      <c r="AJ4" s="1">
        <f>'RECEITAS - BLOCOS PAN'!AJ4-'OPEX - BLOCOS PAN'!AJ4-VLOOKUP('FLUXO DE CAIXA NOM.- BLOCOS PAN'!$D4,'CAPEX - BLOCOS PAN'!$C$3:$AJ$52,34,FALSE)</f>
        <v>-3083688.0088</v>
      </c>
      <c r="AK4" s="1">
        <f>'RECEITAS - BLOCOS PAN'!AK4-'OPEX - BLOCOS PAN'!AK4-VLOOKUP('FLUXO DE CAIXA NOM.- BLOCOS PAN'!$D4,'CAPEX - BLOCOS PAN'!$C$3:$AK$52,35,FALSE)</f>
        <v>-3062985.6370000001</v>
      </c>
      <c r="AL4" s="44">
        <f t="shared" si="0"/>
        <v>-167252235.09060001</v>
      </c>
      <c r="AM4" t="str">
        <f>VLOOKUP(D4,'FLUXO DE CAIXA DESC.-BLOCOS PAN'!$D$3:$AO$52,38,FALSE)</f>
        <v>Bloco Nordeste</v>
      </c>
    </row>
    <row r="5" spans="1:39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33</v>
      </c>
      <c r="H5" s="1">
        <f>'RECEITAS - BLOCOS PAN'!H5-'OPEX - BLOCOS PAN'!H5-VLOOKUP('FLUXO DE CAIXA NOM.- BLOCOS PAN'!$D5,'CAPEX - BLOCOS PAN'!$C$3:$H$52,6,FALSE)</f>
        <v>-22890549.1217</v>
      </c>
      <c r="I5" s="1">
        <f>'RECEITAS - BLOCOS PAN'!I5-'OPEX - BLOCOS PAN'!I5-VLOOKUP('FLUXO DE CAIXA NOM.- BLOCOS PAN'!$D5,'CAPEX - BLOCOS PAN'!$C$3:$I$52,7,FALSE)</f>
        <v>-22887374.6787</v>
      </c>
      <c r="J5" s="1">
        <f>'RECEITAS - BLOCOS PAN'!J5-'OPEX - BLOCOS PAN'!J5-VLOOKUP('FLUXO DE CAIXA NOM.- BLOCOS PAN'!$D5,'CAPEX - BLOCOS PAN'!$C$3:$J$52,8,FALSE)</f>
        <v>-22884980.6888</v>
      </c>
      <c r="K5" s="1">
        <f>'RECEITAS - BLOCOS PAN'!K5-'OPEX - BLOCOS PAN'!K5-VLOOKUP('FLUXO DE CAIXA NOM.- BLOCOS PAN'!$D5,'CAPEX - BLOCOS PAN'!$C$3:$K$52,9,FALSE)</f>
        <v>-2680437.5538999997</v>
      </c>
      <c r="L5" s="1">
        <f>'RECEITAS - BLOCOS PAN'!L5-'OPEX - BLOCOS PAN'!L5-VLOOKUP('FLUXO DE CAIXA NOM.- BLOCOS PAN'!$D5,'CAPEX - BLOCOS PAN'!$C$3:$L$52,10,FALSE)</f>
        <v>-2678936.0753000001</v>
      </c>
      <c r="M5" s="1">
        <f>'RECEITAS - BLOCOS PAN'!M5-'OPEX - BLOCOS PAN'!M5-VLOOKUP('FLUXO DE CAIXA NOM.- BLOCOS PAN'!$D5,'CAPEX - BLOCOS PAN'!$C$3:$M$52,11,FALSE)</f>
        <v>-2677548.9948</v>
      </c>
      <c r="N5" s="1">
        <f>'RECEITAS - BLOCOS PAN'!N5-'OPEX - BLOCOS PAN'!N5-VLOOKUP('FLUXO DE CAIXA NOM.- BLOCOS PAN'!$D5,'CAPEX - BLOCOS PAN'!$C$3:$N$52,12,FALSE)</f>
        <v>-2676262.0129999998</v>
      </c>
      <c r="O5" s="1">
        <f>'RECEITAS - BLOCOS PAN'!O5-'OPEX - BLOCOS PAN'!O5-VLOOKUP('FLUXO DE CAIXA NOM.- BLOCOS PAN'!$D5,'CAPEX - BLOCOS PAN'!$C$3:$O$52,13,FALSE)</f>
        <v>-2675032.2303999998</v>
      </c>
      <c r="P5" s="1">
        <f>'RECEITAS - BLOCOS PAN'!P5-'OPEX - BLOCOS PAN'!P5-VLOOKUP('FLUXO DE CAIXA NOM.- BLOCOS PAN'!$D5,'CAPEX - BLOCOS PAN'!$C$3:$P$52,14,FALSE)</f>
        <v>-2673916.8470000001</v>
      </c>
      <c r="Q5" s="1">
        <f>'RECEITAS - BLOCOS PAN'!Q5-'OPEX - BLOCOS PAN'!Q5-VLOOKUP('FLUXO DE CAIXA NOM.- BLOCOS PAN'!$D5,'CAPEX - BLOCOS PAN'!$C$3:$Q$52,15,FALSE)</f>
        <v>-2672887.2608000003</v>
      </c>
      <c r="R5" s="1">
        <f>'RECEITAS - BLOCOS PAN'!R5-'OPEX - BLOCOS PAN'!R5-VLOOKUP('FLUXO DE CAIXA NOM.- BLOCOS PAN'!$D5,'CAPEX - BLOCOS PAN'!$C$3:$R$52,16,FALSE)</f>
        <v>-2671929.1751999995</v>
      </c>
      <c r="S5" s="1">
        <f>'RECEITAS - BLOCOS PAN'!S5-'OPEX - BLOCOS PAN'!S5-VLOOKUP('FLUXO DE CAIXA NOM.- BLOCOS PAN'!$D5,'CAPEX - BLOCOS PAN'!$C$3:$S$52,17,FALSE)</f>
        <v>-2670951.6461</v>
      </c>
      <c r="T5" s="1">
        <f>'RECEITAS - BLOCOS PAN'!T5-'OPEX - BLOCOS PAN'!T5-VLOOKUP('FLUXO DE CAIXA NOM.- BLOCOS PAN'!$D5,'CAPEX - BLOCOS PAN'!$C$3:$T$52,18,FALSE)</f>
        <v>-2669978.7186000003</v>
      </c>
      <c r="U5" s="1">
        <f>'RECEITAS - BLOCOS PAN'!U5-'OPEX - BLOCOS PAN'!U5-VLOOKUP('FLUXO DE CAIXA NOM.- BLOCOS PAN'!$D5,'CAPEX - BLOCOS PAN'!$C$3:$U$52,19,FALSE)</f>
        <v>-2669034.9323999998</v>
      </c>
      <c r="V5" s="1">
        <f>'RECEITAS - BLOCOS PAN'!V5-'OPEX - BLOCOS PAN'!V5-VLOOKUP('FLUXO DE CAIXA NOM.- BLOCOS PAN'!$D5,'CAPEX - BLOCOS PAN'!$C$3:$V$52,20,FALSE)</f>
        <v>-2668091.1454999996</v>
      </c>
      <c r="W5" s="1">
        <f>'RECEITAS - BLOCOS PAN'!W5-'OPEX - BLOCOS PAN'!W5-VLOOKUP('FLUXO DE CAIXA NOM.- BLOCOS PAN'!$D5,'CAPEX - BLOCOS PAN'!$C$3:$W$52,21,FALSE)</f>
        <v>-2667147.3594000004</v>
      </c>
      <c r="X5" s="1">
        <f>'RECEITAS - BLOCOS PAN'!X5-'OPEX - BLOCOS PAN'!X5-VLOOKUP('FLUXO DE CAIXA NOM.- BLOCOS PAN'!$D5,'CAPEX - BLOCOS PAN'!$C$3:$X$52,22,FALSE)</f>
        <v>-2666232.1724999999</v>
      </c>
      <c r="Y5" s="1">
        <f>'RECEITAS - BLOCOS PAN'!Y5-'OPEX - BLOCOS PAN'!Y5-VLOOKUP('FLUXO DE CAIXA NOM.- BLOCOS PAN'!$D5,'CAPEX - BLOCOS PAN'!$C$3:$Y$52,23,FALSE)</f>
        <v>-2665274.0860000001</v>
      </c>
      <c r="Z5" s="1">
        <f>'RECEITAS - BLOCOS PAN'!Z5-'OPEX - BLOCOS PAN'!Z5-VLOOKUP('FLUXO DE CAIXA NOM.- BLOCOS PAN'!$D5,'CAPEX - BLOCOS PAN'!$C$3:$Z$52,24,FALSE)</f>
        <v>-2664315.9994000001</v>
      </c>
      <c r="AA5" s="1">
        <f>'RECEITAS - BLOCOS PAN'!AA5-'OPEX - BLOCOS PAN'!AA5-VLOOKUP('FLUXO DE CAIXA NOM.- BLOCOS PAN'!$D5,'CAPEX - BLOCOS PAN'!$C$3:$AA$52,25,FALSE)</f>
        <v>-2663329.3138000001</v>
      </c>
      <c r="AB5" s="1">
        <f>'RECEITAS - BLOCOS PAN'!AB5-'OPEX - BLOCOS PAN'!AB5-VLOOKUP('FLUXO DE CAIXA NOM.- BLOCOS PAN'!$D5,'CAPEX - BLOCOS PAN'!$C$3:$AB$52,26,FALSE)</f>
        <v>-2662414.1268000002</v>
      </c>
      <c r="AC5" s="1">
        <f>'RECEITAS - BLOCOS PAN'!AC5-'OPEX - BLOCOS PAN'!AC5-VLOOKUP('FLUXO DE CAIXA NOM.- BLOCOS PAN'!$D5,'CAPEX - BLOCOS PAN'!$C$3:$AC$52,27,FALSE)</f>
        <v>-2661484.6403999999</v>
      </c>
      <c r="AD5" s="1">
        <f>'RECEITAS - BLOCOS PAN'!AD5-'OPEX - BLOCOS PAN'!AD5-VLOOKUP('FLUXO DE CAIXA NOM.- BLOCOS PAN'!$D5,'CAPEX - BLOCOS PAN'!$C$3:$AD$52,28,FALSE)</f>
        <v>-2660569.4532999997</v>
      </c>
      <c r="AE5" s="1">
        <f>'RECEITAS - BLOCOS PAN'!AE5-'OPEX - BLOCOS PAN'!AE5-VLOOKUP('FLUXO DE CAIXA NOM.- BLOCOS PAN'!$D5,'CAPEX - BLOCOS PAN'!$C$3:$AE$52,29,FALSE)</f>
        <v>-2659697.165</v>
      </c>
      <c r="AF5" s="1">
        <f>'RECEITAS - BLOCOS PAN'!AF5-'OPEX - BLOCOS PAN'!AF5-VLOOKUP('FLUXO DE CAIXA NOM.- BLOCOS PAN'!$D5,'CAPEX - BLOCOS PAN'!$C$3:$AF$52,30,FALSE)</f>
        <v>-2658867.7771999994</v>
      </c>
      <c r="AG5" s="1">
        <f>'RECEITAS - BLOCOS PAN'!AG5-'OPEX - BLOCOS PAN'!AG5-VLOOKUP('FLUXO DE CAIXA NOM.- BLOCOS PAN'!$D5,'CAPEX - BLOCOS PAN'!$C$3:$AG$52,31,FALSE)</f>
        <v>-2658038.3894000002</v>
      </c>
      <c r="AH5" s="1">
        <f>'RECEITAS - BLOCOS PAN'!AH5-'OPEX - BLOCOS PAN'!AH5-VLOOKUP('FLUXO DE CAIXA NOM.- BLOCOS PAN'!$D5,'CAPEX - BLOCOS PAN'!$C$3:$AH$52,32,FALSE)</f>
        <v>-2657251.9002</v>
      </c>
      <c r="AI5" s="1">
        <f>'RECEITAS - BLOCOS PAN'!AI5-'OPEX - BLOCOS PAN'!AI5-VLOOKUP('FLUXO DE CAIXA NOM.- BLOCOS PAN'!$D5,'CAPEX - BLOCOS PAN'!$C$3:$AI$52,33,FALSE)</f>
        <v>-2656479.7114999997</v>
      </c>
      <c r="AJ5" s="1">
        <f>'RECEITAS - BLOCOS PAN'!AJ5-'OPEX - BLOCOS PAN'!AJ5-VLOOKUP('FLUXO DE CAIXA NOM.- BLOCOS PAN'!$D5,'CAPEX - BLOCOS PAN'!$C$3:$AJ$52,34,FALSE)</f>
        <v>-2655707.5217999998</v>
      </c>
      <c r="AK5" s="1">
        <f>'RECEITAS - BLOCOS PAN'!AK5-'OPEX - BLOCOS PAN'!AK5-VLOOKUP('FLUXO DE CAIXA NOM.- BLOCOS PAN'!$D5,'CAPEX - BLOCOS PAN'!$C$3:$AK$52,35,FALSE)</f>
        <v>-2654921.0337999999</v>
      </c>
      <c r="AL5" s="44">
        <f t="shared" si="0"/>
        <v>-140659641.73270005</v>
      </c>
      <c r="AM5" t="str">
        <f>VLOOKUP(D5,'FLUXO DE CAIXA DESC.-BLOCOS PAN'!$D$3:$AO$52,38,FALSE)</f>
        <v>AM - 2 - AL</v>
      </c>
    </row>
    <row r="6" spans="1:39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33</v>
      </c>
      <c r="H6" s="1">
        <f>'RECEITAS - BLOCOS PAN'!H6-'OPEX - BLOCOS PAN'!H6-VLOOKUP('FLUXO DE CAIXA NOM.- BLOCOS PAN'!$D6,'CAPEX - BLOCOS PAN'!$C$3:$H$52,6,FALSE)</f>
        <v>-26178388.263599999</v>
      </c>
      <c r="I6" s="1">
        <f>'RECEITAS - BLOCOS PAN'!I6-'OPEX - BLOCOS PAN'!I6-VLOOKUP('FLUXO DE CAIXA NOM.- BLOCOS PAN'!$D6,'CAPEX - BLOCOS PAN'!$C$3:$I$52,7,FALSE)</f>
        <v>-26150180.453000002</v>
      </c>
      <c r="J6" s="1">
        <f>'RECEITAS - BLOCOS PAN'!J6-'OPEX - BLOCOS PAN'!J6-VLOOKUP('FLUXO DE CAIXA NOM.- BLOCOS PAN'!$D6,'CAPEX - BLOCOS PAN'!$C$3:$J$52,8,FALSE)</f>
        <v>-26126899.842799999</v>
      </c>
      <c r="K6" s="1">
        <f>'RECEITAS - BLOCOS PAN'!K6-'OPEX - BLOCOS PAN'!K6-VLOOKUP('FLUXO DE CAIXA NOM.- BLOCOS PAN'!$D6,'CAPEX - BLOCOS PAN'!$C$3:$K$52,9,FALSE)</f>
        <v>-2427647.6195999999</v>
      </c>
      <c r="L6" s="1">
        <f>'RECEITAS - BLOCOS PAN'!L6-'OPEX - BLOCOS PAN'!L6-VLOOKUP('FLUXO DE CAIXA NOM.- BLOCOS PAN'!$D6,'CAPEX - BLOCOS PAN'!$C$3:$L$52,10,FALSE)</f>
        <v>-2411474.5502000004</v>
      </c>
      <c r="M6" s="1">
        <f>'RECEITAS - BLOCOS PAN'!M6-'OPEX - BLOCOS PAN'!M6-VLOOKUP('FLUXO DE CAIXA NOM.- BLOCOS PAN'!$D6,'CAPEX - BLOCOS PAN'!$C$3:$M$52,11,FALSE)</f>
        <v>-2396259.0255999998</v>
      </c>
      <c r="N6" s="1">
        <f>'RECEITAS - BLOCOS PAN'!N6-'OPEX - BLOCOS PAN'!N6-VLOOKUP('FLUXO DE CAIXA NOM.- BLOCOS PAN'!$D6,'CAPEX - BLOCOS PAN'!$C$3:$N$52,12,FALSE)</f>
        <v>-2381568.5716999997</v>
      </c>
      <c r="O6" s="1">
        <f>'RECEITAS - BLOCOS PAN'!O6-'OPEX - BLOCOS PAN'!O6-VLOOKUP('FLUXO DE CAIXA NOM.- BLOCOS PAN'!$D6,'CAPEX - BLOCOS PAN'!$C$3:$O$52,13,FALSE)</f>
        <v>-2367139.5367999999</v>
      </c>
      <c r="P6" s="1">
        <f>'RECEITAS - BLOCOS PAN'!P6-'OPEX - BLOCOS PAN'!P6-VLOOKUP('FLUXO DE CAIXA NOM.- BLOCOS PAN'!$D6,'CAPEX - BLOCOS PAN'!$C$3:$P$52,14,FALSE)</f>
        <v>-2353692.5854999996</v>
      </c>
      <c r="Q6" s="1">
        <f>'RECEITAS - BLOCOS PAN'!Q6-'OPEX - BLOCOS PAN'!Q6-VLOOKUP('FLUXO DE CAIXA NOM.- BLOCOS PAN'!$D6,'CAPEX - BLOCOS PAN'!$C$3:$Q$52,15,FALSE)</f>
        <v>-2340908.0258000004</v>
      </c>
      <c r="R6" s="1">
        <f>'RECEITAS - BLOCOS PAN'!R6-'OPEX - BLOCOS PAN'!R6-VLOOKUP('FLUXO DE CAIXA NOM.- BLOCOS PAN'!$D6,'CAPEX - BLOCOS PAN'!$C$3:$R$52,16,FALSE)</f>
        <v>-2328639.4763000002</v>
      </c>
      <c r="S6" s="1">
        <f>'RECEITAS - BLOCOS PAN'!S6-'OPEX - BLOCOS PAN'!S6-VLOOKUP('FLUXO DE CAIXA NOM.- BLOCOS PAN'!$D6,'CAPEX - BLOCOS PAN'!$C$3:$S$52,17,FALSE)</f>
        <v>-2316384.0099999998</v>
      </c>
      <c r="T6" s="1">
        <f>'RECEITAS - BLOCOS PAN'!T6-'OPEX - BLOCOS PAN'!T6-VLOOKUP('FLUXO DE CAIXA NOM.- BLOCOS PAN'!$D6,'CAPEX - BLOCOS PAN'!$C$3:$T$52,18,FALSE)</f>
        <v>-2304357.8806000003</v>
      </c>
      <c r="U6" s="1">
        <f>'RECEITAS - BLOCOS PAN'!U6-'OPEX - BLOCOS PAN'!U6-VLOOKUP('FLUXO DE CAIXA NOM.- BLOCOS PAN'!$D6,'CAPEX - BLOCOS PAN'!$C$3:$U$52,19,FALSE)</f>
        <v>-2291787.8187999995</v>
      </c>
      <c r="V6" s="1">
        <f>'RECEITAS - BLOCOS PAN'!V6-'OPEX - BLOCOS PAN'!V6-VLOOKUP('FLUXO DE CAIXA NOM.- BLOCOS PAN'!$D6,'CAPEX - BLOCOS PAN'!$C$3:$V$52,20,FALSE)</f>
        <v>-2279432.7953000003</v>
      </c>
      <c r="W6" s="1">
        <f>'RECEITAS - BLOCOS PAN'!W6-'OPEX - BLOCOS PAN'!W6-VLOOKUP('FLUXO DE CAIXA NOM.- BLOCOS PAN'!$D6,'CAPEX - BLOCOS PAN'!$C$3:$W$52,21,FALSE)</f>
        <v>-2418035.3763000001</v>
      </c>
      <c r="X6" s="1">
        <f>'RECEITAS - BLOCOS PAN'!X6-'OPEX - BLOCOS PAN'!X6-VLOOKUP('FLUXO DE CAIXA NOM.- BLOCOS PAN'!$D6,'CAPEX - BLOCOS PAN'!$C$3:$X$52,22,FALSE)</f>
        <v>-2405429.0531000001</v>
      </c>
      <c r="Y6" s="1">
        <f>'RECEITAS - BLOCOS PAN'!Y6-'OPEX - BLOCOS PAN'!Y6-VLOOKUP('FLUXO DE CAIXA NOM.- BLOCOS PAN'!$D6,'CAPEX - BLOCOS PAN'!$C$3:$Y$52,23,FALSE)</f>
        <v>-2392337.8975</v>
      </c>
      <c r="Z6" s="1">
        <f>'RECEITAS - BLOCOS PAN'!Z6-'OPEX - BLOCOS PAN'!Z6-VLOOKUP('FLUXO DE CAIXA NOM.- BLOCOS PAN'!$D6,'CAPEX - BLOCOS PAN'!$C$3:$Z$52,24,FALSE)</f>
        <v>-2378976.4661000003</v>
      </c>
      <c r="AA6" s="1">
        <f>'RECEITAS - BLOCOS PAN'!AA6-'OPEX - BLOCOS PAN'!AA6-VLOOKUP('FLUXO DE CAIXA NOM.- BLOCOS PAN'!$D6,'CAPEX - BLOCOS PAN'!$C$3:$AA$52,25,FALSE)</f>
        <v>-2365585.8544000001</v>
      </c>
      <c r="AB6" s="1">
        <f>'RECEITAS - BLOCOS PAN'!AB6-'OPEX - BLOCOS PAN'!AB6-VLOOKUP('FLUXO DE CAIXA NOM.- BLOCOS PAN'!$D6,'CAPEX - BLOCOS PAN'!$C$3:$AB$52,26,FALSE)</f>
        <v>-2352209.5024999999</v>
      </c>
      <c r="AC6" s="1">
        <f>'RECEITAS - BLOCOS PAN'!AC6-'OPEX - BLOCOS PAN'!AC6-VLOOKUP('FLUXO DE CAIXA NOM.- BLOCOS PAN'!$D6,'CAPEX - BLOCOS PAN'!$C$3:$AC$52,27,FALSE)</f>
        <v>-2338619.9155999999</v>
      </c>
      <c r="AD6" s="1">
        <f>'RECEITAS - BLOCOS PAN'!AD6-'OPEX - BLOCOS PAN'!AD6-VLOOKUP('FLUXO DE CAIXA NOM.- BLOCOS PAN'!$D6,'CAPEX - BLOCOS PAN'!$C$3:$AD$52,28,FALSE)</f>
        <v>-2325129.4849</v>
      </c>
      <c r="AE6" s="1">
        <f>'RECEITAS - BLOCOS PAN'!AE6-'OPEX - BLOCOS PAN'!AE6-VLOOKUP('FLUXO DE CAIXA NOM.- BLOCOS PAN'!$D6,'CAPEX - BLOCOS PAN'!$C$3:$AE$52,29,FALSE)</f>
        <v>-2312380.5645999997</v>
      </c>
      <c r="AF6" s="1">
        <f>'RECEITAS - BLOCOS PAN'!AF6-'OPEX - BLOCOS PAN'!AF6-VLOOKUP('FLUXO DE CAIXA NOM.- BLOCOS PAN'!$D6,'CAPEX - BLOCOS PAN'!$C$3:$AF$52,30,FALSE)</f>
        <v>-2300216.9563999996</v>
      </c>
      <c r="AG6" s="1">
        <f>'RECEITAS - BLOCOS PAN'!AG6-'OPEX - BLOCOS PAN'!AG6-VLOOKUP('FLUXO DE CAIXA NOM.- BLOCOS PAN'!$D6,'CAPEX - BLOCOS PAN'!$C$3:$AG$52,31,FALSE)</f>
        <v>-2288052.6875</v>
      </c>
      <c r="AH6" s="1">
        <f>'RECEITAS - BLOCOS PAN'!AH6-'OPEX - BLOCOS PAN'!AH6-VLOOKUP('FLUXO DE CAIXA NOM.- BLOCOS PAN'!$D6,'CAPEX - BLOCOS PAN'!$C$3:$AH$52,32,FALSE)</f>
        <v>-2276174.6300999997</v>
      </c>
      <c r="AI6" s="1">
        <f>'RECEITAS - BLOCOS PAN'!AI6-'OPEX - BLOCOS PAN'!AI6-VLOOKUP('FLUXO DE CAIXA NOM.- BLOCOS PAN'!$D6,'CAPEX - BLOCOS PAN'!$C$3:$AI$52,33,FALSE)</f>
        <v>-2264195.7386000003</v>
      </c>
      <c r="AJ6" s="1">
        <f>'RECEITAS - BLOCOS PAN'!AJ6-'OPEX - BLOCOS PAN'!AJ6-VLOOKUP('FLUXO DE CAIXA NOM.- BLOCOS PAN'!$D6,'CAPEX - BLOCOS PAN'!$C$3:$AJ$52,34,FALSE)</f>
        <v>-2251974.4307000004</v>
      </c>
      <c r="AK6" s="1">
        <f>'RECEITAS - BLOCOS PAN'!AK6-'OPEX - BLOCOS PAN'!AK6-VLOOKUP('FLUXO DE CAIXA NOM.- BLOCOS PAN'!$D6,'CAPEX - BLOCOS PAN'!$C$3:$AK$52,35,FALSE)</f>
        <v>-2239554.1467000004</v>
      </c>
      <c r="AL6" s="44">
        <f t="shared" si="0"/>
        <v>-141563633.16060004</v>
      </c>
      <c r="AM6" t="str">
        <f>VLOOKUP(D6,'FLUXO DE CAIXA DESC.-BLOCOS PAN'!$D$3:$AO$52,38,FALSE)</f>
        <v>RO - 1 - AL</v>
      </c>
    </row>
    <row r="7" spans="1:39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33</v>
      </c>
      <c r="H7" s="1">
        <f>'RECEITAS - BLOCOS PAN'!H7-'OPEX - BLOCOS PAN'!H7-VLOOKUP('FLUXO DE CAIXA NOM.- BLOCOS PAN'!$D7,'CAPEX - BLOCOS PAN'!$C$3:$H$52,6,FALSE)</f>
        <v>-46082684.2249</v>
      </c>
      <c r="I7" s="1">
        <f>'RECEITAS - BLOCOS PAN'!I7-'OPEX - BLOCOS PAN'!I7-VLOOKUP('FLUXO DE CAIXA NOM.- BLOCOS PAN'!$D7,'CAPEX - BLOCOS PAN'!$C$3:$I$52,7,FALSE)</f>
        <v>-45940436.001699999</v>
      </c>
      <c r="J7" s="1">
        <f>'RECEITAS - BLOCOS PAN'!J7-'OPEX - BLOCOS PAN'!J7-VLOOKUP('FLUXO DE CAIXA NOM.- BLOCOS PAN'!$D7,'CAPEX - BLOCOS PAN'!$C$3:$J$52,8,FALSE)</f>
        <v>-45807630.149499997</v>
      </c>
      <c r="K7" s="1">
        <f>'RECEITAS - BLOCOS PAN'!K7-'OPEX - BLOCOS PAN'!K7-VLOOKUP('FLUXO DE CAIXA NOM.- BLOCOS PAN'!$D7,'CAPEX - BLOCOS PAN'!$C$3:$K$52,9,FALSE)</f>
        <v>-2739810.0662000002</v>
      </c>
      <c r="L7" s="1">
        <f>'RECEITAS - BLOCOS PAN'!L7-'OPEX - BLOCOS PAN'!L7-VLOOKUP('FLUXO DE CAIXA NOM.- BLOCOS PAN'!$D7,'CAPEX - BLOCOS PAN'!$C$3:$L$52,10,FALSE)</f>
        <v>-2645962.0973999999</v>
      </c>
      <c r="M7" s="1">
        <f>'RECEITAS - BLOCOS PAN'!M7-'OPEX - BLOCOS PAN'!M7-VLOOKUP('FLUXO DE CAIXA NOM.- BLOCOS PAN'!$D7,'CAPEX - BLOCOS PAN'!$C$3:$M$52,11,FALSE)</f>
        <v>-2570062.2468999997</v>
      </c>
      <c r="N7" s="1">
        <f>'RECEITAS - BLOCOS PAN'!N7-'OPEX - BLOCOS PAN'!N7-VLOOKUP('FLUXO DE CAIXA NOM.- BLOCOS PAN'!$D7,'CAPEX - BLOCOS PAN'!$C$3:$N$52,12,FALSE)</f>
        <v>-2506735.0970000001</v>
      </c>
      <c r="O7" s="1">
        <f>'RECEITAS - BLOCOS PAN'!O7-'OPEX - BLOCOS PAN'!O7-VLOOKUP('FLUXO DE CAIXA NOM.- BLOCOS PAN'!$D7,'CAPEX - BLOCOS PAN'!$C$3:$O$52,13,FALSE)</f>
        <v>-2440189.3595000003</v>
      </c>
      <c r="P7" s="1">
        <f>'RECEITAS - BLOCOS PAN'!P7-'OPEX - BLOCOS PAN'!P7-VLOOKUP('FLUXO DE CAIXA NOM.- BLOCOS PAN'!$D7,'CAPEX - BLOCOS PAN'!$C$3:$P$52,14,FALSE)</f>
        <v>-2382531.7006000001</v>
      </c>
      <c r="Q7" s="1">
        <f>'RECEITAS - BLOCOS PAN'!Q7-'OPEX - BLOCOS PAN'!Q7-VLOOKUP('FLUXO DE CAIXA NOM.- BLOCOS PAN'!$D7,'CAPEX - BLOCOS PAN'!$C$3:$Q$52,15,FALSE)</f>
        <v>-2322818.3049999997</v>
      </c>
      <c r="R7" s="1">
        <f>'RECEITAS - BLOCOS PAN'!R7-'OPEX - BLOCOS PAN'!R7-VLOOKUP('FLUXO DE CAIXA NOM.- BLOCOS PAN'!$D7,'CAPEX - BLOCOS PAN'!$C$3:$R$52,16,FALSE)</f>
        <v>-2272501.1955000004</v>
      </c>
      <c r="S7" s="1">
        <f>'RECEITAS - BLOCOS PAN'!S7-'OPEX - BLOCOS PAN'!S7-VLOOKUP('FLUXO DE CAIXA NOM.- BLOCOS PAN'!$D7,'CAPEX - BLOCOS PAN'!$C$3:$S$52,17,FALSE)</f>
        <v>-2216135.8594</v>
      </c>
      <c r="T7" s="1">
        <f>'RECEITAS - BLOCOS PAN'!T7-'OPEX - BLOCOS PAN'!T7-VLOOKUP('FLUXO DE CAIXA NOM.- BLOCOS PAN'!$D7,'CAPEX - BLOCOS PAN'!$C$3:$T$52,18,FALSE)</f>
        <v>-2166455.1890000002</v>
      </c>
      <c r="U7" s="1">
        <f>'RECEITAS - BLOCOS PAN'!U7-'OPEX - BLOCOS PAN'!U7-VLOOKUP('FLUXO DE CAIXA NOM.- BLOCOS PAN'!$D7,'CAPEX - BLOCOS PAN'!$C$3:$U$52,19,FALSE)</f>
        <v>-2107667.9318999997</v>
      </c>
      <c r="V7" s="1">
        <f>'RECEITAS - BLOCOS PAN'!V7-'OPEX - BLOCOS PAN'!V7-VLOOKUP('FLUXO DE CAIXA NOM.- BLOCOS PAN'!$D7,'CAPEX - BLOCOS PAN'!$C$3:$V$52,20,FALSE)</f>
        <v>-2057199.8652000003</v>
      </c>
      <c r="W7" s="1">
        <f>'RECEITAS - BLOCOS PAN'!W7-'OPEX - BLOCOS PAN'!W7-VLOOKUP('FLUXO DE CAIXA NOM.- BLOCOS PAN'!$D7,'CAPEX - BLOCOS PAN'!$C$3:$W$52,21,FALSE)</f>
        <v>-1998763.0742000001</v>
      </c>
      <c r="X7" s="1">
        <f>'RECEITAS - BLOCOS PAN'!X7-'OPEX - BLOCOS PAN'!X7-VLOOKUP('FLUXO DE CAIXA NOM.- BLOCOS PAN'!$D7,'CAPEX - BLOCOS PAN'!$C$3:$X$52,22,FALSE)</f>
        <v>-1948266.4659999991</v>
      </c>
      <c r="Y7" s="1">
        <f>'RECEITAS - BLOCOS PAN'!Y7-'OPEX - BLOCOS PAN'!Y7-VLOOKUP('FLUXO DE CAIXA NOM.- BLOCOS PAN'!$D7,'CAPEX - BLOCOS PAN'!$C$3:$Y$52,23,FALSE)</f>
        <v>-1887830.8828999996</v>
      </c>
      <c r="Z7" s="1">
        <f>'RECEITAS - BLOCOS PAN'!Z7-'OPEX - BLOCOS PAN'!Z7-VLOOKUP('FLUXO DE CAIXA NOM.- BLOCOS PAN'!$D7,'CAPEX - BLOCOS PAN'!$C$3:$Z$52,24,FALSE)</f>
        <v>-1837537.4515999993</v>
      </c>
      <c r="AA7" s="1">
        <f>'RECEITAS - BLOCOS PAN'!AA7-'OPEX - BLOCOS PAN'!AA7-VLOOKUP('FLUXO DE CAIXA NOM.- BLOCOS PAN'!$D7,'CAPEX - BLOCOS PAN'!$C$3:$AA$52,25,FALSE)</f>
        <v>-1776861.4549000002</v>
      </c>
      <c r="AB7" s="1">
        <f>'RECEITAS - BLOCOS PAN'!AB7-'OPEX - BLOCOS PAN'!AB7-VLOOKUP('FLUXO DE CAIXA NOM.- BLOCOS PAN'!$D7,'CAPEX - BLOCOS PAN'!$C$3:$AB$52,26,FALSE)</f>
        <v>-1724727.8317</v>
      </c>
      <c r="AC7" s="1">
        <f>'RECEITAS - BLOCOS PAN'!AC7-'OPEX - BLOCOS PAN'!AC7-VLOOKUP('FLUXO DE CAIXA NOM.- BLOCOS PAN'!$D7,'CAPEX - BLOCOS PAN'!$C$3:$AC$52,27,FALSE)</f>
        <v>-1663500.9280000003</v>
      </c>
      <c r="AD7" s="1">
        <f>'RECEITAS - BLOCOS PAN'!AD7-'OPEX - BLOCOS PAN'!AD7-VLOOKUP('FLUXO DE CAIXA NOM.- BLOCOS PAN'!$D7,'CAPEX - BLOCOS PAN'!$C$3:$AD$52,28,FALSE)</f>
        <v>-1609669.2834000005</v>
      </c>
      <c r="AE7" s="1">
        <f>'RECEITAS - BLOCOS PAN'!AE7-'OPEX - BLOCOS PAN'!AE7-VLOOKUP('FLUXO DE CAIXA NOM.- BLOCOS PAN'!$D7,'CAPEX - BLOCOS PAN'!$C$3:$AE$52,29,FALSE)</f>
        <v>-1554308.4564</v>
      </c>
      <c r="AF7" s="1">
        <f>'RECEITAS - BLOCOS PAN'!AF7-'OPEX - BLOCOS PAN'!AF7-VLOOKUP('FLUXO DE CAIXA NOM.- BLOCOS PAN'!$D7,'CAPEX - BLOCOS PAN'!$C$3:$AF$52,30,FALSE)</f>
        <v>-1506820.0633999999</v>
      </c>
      <c r="AG7" s="1">
        <f>'RECEITAS - BLOCOS PAN'!AG7-'OPEX - BLOCOS PAN'!AG7-VLOOKUP('FLUXO DE CAIXA NOM.- BLOCOS PAN'!$D7,'CAPEX - BLOCOS PAN'!$C$3:$AG$52,31,FALSE)</f>
        <v>-1449197.6775000007</v>
      </c>
      <c r="AH7" s="1">
        <f>'RECEITAS - BLOCOS PAN'!AH7-'OPEX - BLOCOS PAN'!AH7-VLOOKUP('FLUXO DE CAIXA NOM.- BLOCOS PAN'!$D7,'CAPEX - BLOCOS PAN'!$C$3:$AH$52,32,FALSE)</f>
        <v>-1402744.9813000001</v>
      </c>
      <c r="AI7" s="1">
        <f>'RECEITAS - BLOCOS PAN'!AI7-'OPEX - BLOCOS PAN'!AI7-VLOOKUP('FLUXO DE CAIXA NOM.- BLOCOS PAN'!$D7,'CAPEX - BLOCOS PAN'!$C$3:$AI$52,33,FALSE)</f>
        <v>-1346425.1178000001</v>
      </c>
      <c r="AJ7" s="1">
        <f>'RECEITAS - BLOCOS PAN'!AJ7-'OPEX - BLOCOS PAN'!AJ7-VLOOKUP('FLUXO DE CAIXA NOM.- BLOCOS PAN'!$D7,'CAPEX - BLOCOS PAN'!$C$3:$AJ$52,34,FALSE)</f>
        <v>-1288938.1688999999</v>
      </c>
      <c r="AK7" s="1">
        <f>'RECEITAS - BLOCOS PAN'!AK7-'OPEX - BLOCOS PAN'!AK7-VLOOKUP('FLUXO DE CAIXA NOM.- BLOCOS PAN'!$D7,'CAPEX - BLOCOS PAN'!$C$3:$AK$52,35,FALSE)</f>
        <v>-1230260.6318999995</v>
      </c>
      <c r="AL7" s="44">
        <f t="shared" si="0"/>
        <v>-190484671.75960001</v>
      </c>
      <c r="AM7" t="str">
        <f>VLOOKUP(D7,'FLUXO DE CAIXA DESC.-BLOCOS PAN'!$D$3:$AO$52,38,FALSE)</f>
        <v>AM - 3 - AL</v>
      </c>
    </row>
    <row r="8" spans="1:39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33</v>
      </c>
      <c r="H8" s="1">
        <f>'RECEITAS - BLOCOS PAN'!H8-'OPEX - BLOCOS PAN'!H8-VLOOKUP('FLUXO DE CAIXA NOM.- BLOCOS PAN'!$D8,'CAPEX - BLOCOS PAN'!$C$3:$H$52,6,FALSE)</f>
        <v>-49365149.537933335</v>
      </c>
      <c r="I8" s="1">
        <f>'RECEITAS - BLOCOS PAN'!I8-'OPEX - BLOCOS PAN'!I8-VLOOKUP('FLUXO DE CAIXA NOM.- BLOCOS PAN'!$D8,'CAPEX - BLOCOS PAN'!$C$3:$I$52,7,FALSE)</f>
        <v>-49328441.419833332</v>
      </c>
      <c r="J8" s="1">
        <f>'RECEITAS - BLOCOS PAN'!J8-'OPEX - BLOCOS PAN'!J8-VLOOKUP('FLUXO DE CAIXA NOM.- BLOCOS PAN'!$D8,'CAPEX - BLOCOS PAN'!$C$3:$J$52,8,FALSE)</f>
        <v>-49297462.957333334</v>
      </c>
      <c r="K8" s="1">
        <f>'RECEITAS - BLOCOS PAN'!K8-'OPEX - BLOCOS PAN'!K8-VLOOKUP('FLUXO DE CAIXA NOM.- BLOCOS PAN'!$D8,'CAPEX - BLOCOS PAN'!$C$3:$K$52,9,FALSE)</f>
        <v>-2459914.0737000001</v>
      </c>
      <c r="L8" s="1">
        <f>'RECEITAS - BLOCOS PAN'!L8-'OPEX - BLOCOS PAN'!L8-VLOOKUP('FLUXO DE CAIXA NOM.- BLOCOS PAN'!$D8,'CAPEX - BLOCOS PAN'!$C$3:$L$52,10,FALSE)</f>
        <v>-2437205.4564</v>
      </c>
      <c r="M8" s="1">
        <f>'RECEITAS - BLOCOS PAN'!M8-'OPEX - BLOCOS PAN'!M8-VLOOKUP('FLUXO DE CAIXA NOM.- BLOCOS PAN'!$D8,'CAPEX - BLOCOS PAN'!$C$3:$M$52,11,FALSE)</f>
        <v>-2415397.7263000002</v>
      </c>
      <c r="N8" s="1">
        <f>'RECEITAS - BLOCOS PAN'!N8-'OPEX - BLOCOS PAN'!N8-VLOOKUP('FLUXO DE CAIXA NOM.- BLOCOS PAN'!$D8,'CAPEX - BLOCOS PAN'!$C$3:$N$52,12,FALSE)</f>
        <v>-2549589.3047000002</v>
      </c>
      <c r="O8" s="1">
        <f>'RECEITAS - BLOCOS PAN'!O8-'OPEX - BLOCOS PAN'!O8-VLOOKUP('FLUXO DE CAIXA NOM.- BLOCOS PAN'!$D8,'CAPEX - BLOCOS PAN'!$C$3:$O$52,13,FALSE)</f>
        <v>-2528241.7259</v>
      </c>
      <c r="P8" s="1">
        <f>'RECEITAS - BLOCOS PAN'!P8-'OPEX - BLOCOS PAN'!P8-VLOOKUP('FLUXO DE CAIXA NOM.- BLOCOS PAN'!$D8,'CAPEX - BLOCOS PAN'!$C$3:$P$52,14,FALSE)</f>
        <v>-2507222.1221000003</v>
      </c>
      <c r="Q8" s="1">
        <f>'RECEITAS - BLOCOS PAN'!Q8-'OPEX - BLOCOS PAN'!Q8-VLOOKUP('FLUXO DE CAIXA NOM.- BLOCOS PAN'!$D8,'CAPEX - BLOCOS PAN'!$C$3:$Q$52,15,FALSE)</f>
        <v>-2487072.3662</v>
      </c>
      <c r="R8" s="1">
        <f>'RECEITAS - BLOCOS PAN'!R8-'OPEX - BLOCOS PAN'!R8-VLOOKUP('FLUXO DE CAIXA NOM.- BLOCOS PAN'!$D8,'CAPEX - BLOCOS PAN'!$C$3:$R$52,16,FALSE)</f>
        <v>-2467450.2228999995</v>
      </c>
      <c r="S8" s="1">
        <f>'RECEITAS - BLOCOS PAN'!S8-'OPEX - BLOCOS PAN'!S8-VLOOKUP('FLUXO DE CAIXA NOM.- BLOCOS PAN'!$D8,'CAPEX - BLOCOS PAN'!$C$3:$S$52,17,FALSE)</f>
        <v>-2447257.6870999997</v>
      </c>
      <c r="T8" s="1">
        <f>'RECEITAS - BLOCOS PAN'!T8-'OPEX - BLOCOS PAN'!T8-VLOOKUP('FLUXO DE CAIXA NOM.- BLOCOS PAN'!$D8,'CAPEX - BLOCOS PAN'!$C$3:$T$52,18,FALSE)</f>
        <v>-2426566.0593000003</v>
      </c>
      <c r="U8" s="1">
        <f>'RECEITAS - BLOCOS PAN'!U8-'OPEX - BLOCOS PAN'!U8-VLOOKUP('FLUXO DE CAIXA NOM.- BLOCOS PAN'!$D8,'CAPEX - BLOCOS PAN'!$C$3:$U$52,19,FALSE)</f>
        <v>-2404919.3791999999</v>
      </c>
      <c r="V8" s="1">
        <f>'RECEITAS - BLOCOS PAN'!V8-'OPEX - BLOCOS PAN'!V8-VLOOKUP('FLUXO DE CAIXA NOM.- BLOCOS PAN'!$D8,'CAPEX - BLOCOS PAN'!$C$3:$V$52,20,FALSE)</f>
        <v>-2383201.0447999998</v>
      </c>
      <c r="W8" s="1">
        <f>'RECEITAS - BLOCOS PAN'!W8-'OPEX - BLOCOS PAN'!W8-VLOOKUP('FLUXO DE CAIXA NOM.- BLOCOS PAN'!$D8,'CAPEX - BLOCOS PAN'!$C$3:$W$52,21,FALSE)</f>
        <v>-2360384.7072999999</v>
      </c>
      <c r="X8" s="1">
        <f>'RECEITAS - BLOCOS PAN'!X8-'OPEX - BLOCOS PAN'!X8-VLOOKUP('FLUXO DE CAIXA NOM.- BLOCOS PAN'!$D8,'CAPEX - BLOCOS PAN'!$C$3:$X$52,22,FALSE)</f>
        <v>-2337297.4329000004</v>
      </c>
      <c r="Y8" s="1">
        <f>'RECEITAS - BLOCOS PAN'!Y8-'OPEX - BLOCOS PAN'!Y8-VLOOKUP('FLUXO DE CAIXA NOM.- BLOCOS PAN'!$D8,'CAPEX - BLOCOS PAN'!$C$3:$Y$52,23,FALSE)</f>
        <v>-2312784.1785000004</v>
      </c>
      <c r="Z8" s="1">
        <f>'RECEITAS - BLOCOS PAN'!Z8-'OPEX - BLOCOS PAN'!Z8-VLOOKUP('FLUXO DE CAIXA NOM.- BLOCOS PAN'!$D8,'CAPEX - BLOCOS PAN'!$C$3:$Z$52,24,FALSE)</f>
        <v>-2287614.9733000002</v>
      </c>
      <c r="AA8" s="1">
        <f>'RECEITAS - BLOCOS PAN'!AA8-'OPEX - BLOCOS PAN'!AA8-VLOOKUP('FLUXO DE CAIXA NOM.- BLOCOS PAN'!$D8,'CAPEX - BLOCOS PAN'!$C$3:$AA$52,25,FALSE)</f>
        <v>-3328233.7761999997</v>
      </c>
      <c r="AB8" s="1">
        <f>'RECEITAS - BLOCOS PAN'!AB8-'OPEX - BLOCOS PAN'!AB8-VLOOKUP('FLUXO DE CAIXA NOM.- BLOCOS PAN'!$D8,'CAPEX - BLOCOS PAN'!$C$3:$AB$52,26,FALSE)</f>
        <v>-3299301.8816</v>
      </c>
      <c r="AC8" s="1">
        <f>'RECEITAS - BLOCOS PAN'!AC8-'OPEX - BLOCOS PAN'!AC8-VLOOKUP('FLUXO DE CAIXA NOM.- BLOCOS PAN'!$D8,'CAPEX - BLOCOS PAN'!$C$3:$AC$52,27,FALSE)</f>
        <v>-3269582.8940000003</v>
      </c>
      <c r="AD8" s="1">
        <f>'RECEITAS - BLOCOS PAN'!AD8-'OPEX - BLOCOS PAN'!AD8-VLOOKUP('FLUXO DE CAIXA NOM.- BLOCOS PAN'!$D8,'CAPEX - BLOCOS PAN'!$C$3:$AD$52,28,FALSE)</f>
        <v>-3238905.6446999996</v>
      </c>
      <c r="AE8" s="1">
        <f>'RECEITAS - BLOCOS PAN'!AE8-'OPEX - BLOCOS PAN'!AE8-VLOOKUP('FLUXO DE CAIXA NOM.- BLOCOS PAN'!$D8,'CAPEX - BLOCOS PAN'!$C$3:$AE$52,29,FALSE)</f>
        <v>-3206439.7697999994</v>
      </c>
      <c r="AF8" s="1">
        <f>'RECEITAS - BLOCOS PAN'!AF8-'OPEX - BLOCOS PAN'!AF8-VLOOKUP('FLUXO DE CAIXA NOM.- BLOCOS PAN'!$D8,'CAPEX - BLOCOS PAN'!$C$3:$AF$52,30,FALSE)</f>
        <v>-3172541.7522000005</v>
      </c>
      <c r="AG8" s="1">
        <f>'RECEITAS - BLOCOS PAN'!AG8-'OPEX - BLOCOS PAN'!AG8-VLOOKUP('FLUXO DE CAIXA NOM.- BLOCOS PAN'!$D8,'CAPEX - BLOCOS PAN'!$C$3:$AG$52,31,FALSE)</f>
        <v>-3137716.9711000002</v>
      </c>
      <c r="AH8" s="1">
        <f>'RECEITAS - BLOCOS PAN'!AH8-'OPEX - BLOCOS PAN'!AH8-VLOOKUP('FLUXO DE CAIXA NOM.- BLOCOS PAN'!$D8,'CAPEX - BLOCOS PAN'!$C$3:$AH$52,32,FALSE)</f>
        <v>-3102530.2412</v>
      </c>
      <c r="AI8" s="1">
        <f>'RECEITAS - BLOCOS PAN'!AI8-'OPEX - BLOCOS PAN'!AI8-VLOOKUP('FLUXO DE CAIXA NOM.- BLOCOS PAN'!$D8,'CAPEX - BLOCOS PAN'!$C$3:$AI$52,33,FALSE)</f>
        <v>-3066056.1968999999</v>
      </c>
      <c r="AJ8" s="1">
        <f>'RECEITAS - BLOCOS PAN'!AJ8-'OPEX - BLOCOS PAN'!AJ8-VLOOKUP('FLUXO DE CAIXA NOM.- BLOCOS PAN'!$D8,'CAPEX - BLOCOS PAN'!$C$3:$AJ$52,34,FALSE)</f>
        <v>-3028282.7801000001</v>
      </c>
      <c r="AK8" s="1">
        <f>'RECEITAS - BLOCOS PAN'!AK8-'OPEX - BLOCOS PAN'!AK8-VLOOKUP('FLUXO DE CAIXA NOM.- BLOCOS PAN'!$D8,'CAPEX - BLOCOS PAN'!$C$3:$AK$52,35,FALSE)</f>
        <v>-2988914.8161000004</v>
      </c>
      <c r="AL8" s="44">
        <f t="shared" ref="AL8:AL19" si="1">SUM(H8:AK8)</f>
        <v>-221641679.09960005</v>
      </c>
      <c r="AM8" t="str">
        <f>VLOOKUP(D8,'FLUXO DE CAIXA DESC.-BLOCOS PAN'!$D$3:$AO$52,38,FALSE)</f>
        <v>PA 3 - AL</v>
      </c>
    </row>
    <row r="9" spans="1:39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33</v>
      </c>
      <c r="H9" s="1">
        <f>'RECEITAS - BLOCOS PAN'!H9-'OPEX - BLOCOS PAN'!H9-VLOOKUP('FLUXO DE CAIXA NOM.- BLOCOS PAN'!$D9,'CAPEX - BLOCOS PAN'!$C$3:$H$52,6,FALSE)</f>
        <v>-14179164.816299999</v>
      </c>
      <c r="I9" s="1">
        <f>'RECEITAS - BLOCOS PAN'!I9-'OPEX - BLOCOS PAN'!I9-VLOOKUP('FLUXO DE CAIXA NOM.- BLOCOS PAN'!$D9,'CAPEX - BLOCOS PAN'!$C$3:$I$52,7,FALSE)</f>
        <v>-14158072.076099999</v>
      </c>
      <c r="J9" s="1">
        <f>'RECEITAS - BLOCOS PAN'!J9-'OPEX - BLOCOS PAN'!J9-VLOOKUP('FLUXO DE CAIXA NOM.- BLOCOS PAN'!$D9,'CAPEX - BLOCOS PAN'!$C$3:$J$52,8,FALSE)</f>
        <v>-14140220.246199999</v>
      </c>
      <c r="K9" s="1">
        <f>'RECEITAS - BLOCOS PAN'!K9-'OPEX - BLOCOS PAN'!K9-VLOOKUP('FLUXO DE CAIXA NOM.- BLOCOS PAN'!$D9,'CAPEX - BLOCOS PAN'!$C$3:$K$52,9,FALSE)</f>
        <v>-2498092.0478999997</v>
      </c>
      <c r="L9" s="1">
        <f>'RECEITAS - BLOCOS PAN'!L9-'OPEX - BLOCOS PAN'!L9-VLOOKUP('FLUXO DE CAIXA NOM.- BLOCOS PAN'!$D9,'CAPEX - BLOCOS PAN'!$C$3:$L$52,10,FALSE)</f>
        <v>-2485356.6156000001</v>
      </c>
      <c r="M9" s="1">
        <f>'RECEITAS - BLOCOS PAN'!M9-'OPEX - BLOCOS PAN'!M9-VLOOKUP('FLUXO DE CAIXA NOM.- BLOCOS PAN'!$D9,'CAPEX - BLOCOS PAN'!$C$3:$M$52,11,FALSE)</f>
        <v>-2472858.5937999999</v>
      </c>
      <c r="N9" s="1">
        <f>'RECEITAS - BLOCOS PAN'!N9-'OPEX - BLOCOS PAN'!N9-VLOOKUP('FLUXO DE CAIXA NOM.- BLOCOS PAN'!$D9,'CAPEX - BLOCOS PAN'!$C$3:$N$52,12,FALSE)</f>
        <v>-2461489.7144999998</v>
      </c>
      <c r="O9" s="1">
        <f>'RECEITAS - BLOCOS PAN'!O9-'OPEX - BLOCOS PAN'!O9-VLOOKUP('FLUXO DE CAIXA NOM.- BLOCOS PAN'!$D9,'CAPEX - BLOCOS PAN'!$C$3:$O$52,13,FALSE)</f>
        <v>-2449420.6865999997</v>
      </c>
      <c r="P9" s="1">
        <f>'RECEITAS - BLOCOS PAN'!P9-'OPEX - BLOCOS PAN'!P9-VLOOKUP('FLUXO DE CAIXA NOM.- BLOCOS PAN'!$D9,'CAPEX - BLOCOS PAN'!$C$3:$P$52,14,FALSE)</f>
        <v>-2437603.9120999998</v>
      </c>
      <c r="Q9" s="1">
        <f>'RECEITAS - BLOCOS PAN'!Q9-'OPEX - BLOCOS PAN'!Q9-VLOOKUP('FLUXO DE CAIXA NOM.- BLOCOS PAN'!$D9,'CAPEX - BLOCOS PAN'!$C$3:$Q$52,15,FALSE)</f>
        <v>-2427050.1220999998</v>
      </c>
      <c r="R9" s="1">
        <f>'RECEITAS - BLOCOS PAN'!R9-'OPEX - BLOCOS PAN'!R9-VLOOKUP('FLUXO DE CAIXA NOM.- BLOCOS PAN'!$D9,'CAPEX - BLOCOS PAN'!$C$3:$R$52,16,FALSE)</f>
        <v>-2416768.5685000001</v>
      </c>
      <c r="S9" s="1">
        <f>'RECEITAS - BLOCOS PAN'!S9-'OPEX - BLOCOS PAN'!S9-VLOOKUP('FLUXO DE CAIXA NOM.- BLOCOS PAN'!$D9,'CAPEX - BLOCOS PAN'!$C$3:$S$52,17,FALSE)</f>
        <v>-2405699.9843000006</v>
      </c>
      <c r="T9" s="1">
        <f>'RECEITAS - BLOCOS PAN'!T9-'OPEX - BLOCOS PAN'!T9-VLOOKUP('FLUXO DE CAIXA NOM.- BLOCOS PAN'!$D9,'CAPEX - BLOCOS PAN'!$C$3:$T$52,18,FALSE)</f>
        <v>-2395275.4334</v>
      </c>
      <c r="U9" s="1">
        <f>'RECEITAS - BLOCOS PAN'!U9-'OPEX - BLOCOS PAN'!U9-VLOOKUP('FLUXO DE CAIXA NOM.- BLOCOS PAN'!$D9,'CAPEX - BLOCOS PAN'!$C$3:$U$52,19,FALSE)</f>
        <v>-2383830.4918</v>
      </c>
      <c r="V9" s="1">
        <f>'RECEITAS - BLOCOS PAN'!V9-'OPEX - BLOCOS PAN'!V9-VLOOKUP('FLUXO DE CAIXA NOM.- BLOCOS PAN'!$D9,'CAPEX - BLOCOS PAN'!$C$3:$V$52,20,FALSE)</f>
        <v>-2372033.1601</v>
      </c>
      <c r="W9" s="1">
        <f>'RECEITAS - BLOCOS PAN'!W9-'OPEX - BLOCOS PAN'!W9-VLOOKUP('FLUXO DE CAIXA NOM.- BLOCOS PAN'!$D9,'CAPEX - BLOCOS PAN'!$C$3:$W$52,21,FALSE)</f>
        <v>-2360688.2791999998</v>
      </c>
      <c r="X9" s="1">
        <f>'RECEITAS - BLOCOS PAN'!X9-'OPEX - BLOCOS PAN'!X9-VLOOKUP('FLUXO DE CAIXA NOM.- BLOCOS PAN'!$D9,'CAPEX - BLOCOS PAN'!$C$3:$X$52,22,FALSE)</f>
        <v>-2348527.3577999999</v>
      </c>
      <c r="Y9" s="1">
        <f>'RECEITAS - BLOCOS PAN'!Y9-'OPEX - BLOCOS PAN'!Y9-VLOOKUP('FLUXO DE CAIXA NOM.- BLOCOS PAN'!$D9,'CAPEX - BLOCOS PAN'!$C$3:$Y$52,23,FALSE)</f>
        <v>-2336235.7613999997</v>
      </c>
      <c r="Z9" s="1">
        <f>'RECEITAS - BLOCOS PAN'!Z9-'OPEX - BLOCOS PAN'!Z9-VLOOKUP('FLUXO DE CAIXA NOM.- BLOCOS PAN'!$D9,'CAPEX - BLOCOS PAN'!$C$3:$Z$52,24,FALSE)</f>
        <v>-2323765.7982000001</v>
      </c>
      <c r="AA9" s="1">
        <f>'RECEITAS - BLOCOS PAN'!AA9-'OPEX - BLOCOS PAN'!AA9-VLOOKUP('FLUXO DE CAIXA NOM.- BLOCOS PAN'!$D9,'CAPEX - BLOCOS PAN'!$C$3:$AA$52,25,FALSE)</f>
        <v>-2310552.7858000002</v>
      </c>
      <c r="AB9" s="1">
        <f>'RECEITAS - BLOCOS PAN'!AB9-'OPEX - BLOCOS PAN'!AB9-VLOOKUP('FLUXO DE CAIXA NOM.- BLOCOS PAN'!$D9,'CAPEX - BLOCOS PAN'!$C$3:$AB$52,26,FALSE)</f>
        <v>-2297482.2312999996</v>
      </c>
      <c r="AC9" s="1">
        <f>'RECEITAS - BLOCOS PAN'!AC9-'OPEX - BLOCOS PAN'!AC9-VLOOKUP('FLUXO DE CAIXA NOM.- BLOCOS PAN'!$D9,'CAPEX - BLOCOS PAN'!$C$3:$AC$52,27,FALSE)</f>
        <v>-2283591.9869999997</v>
      </c>
      <c r="AD9" s="1">
        <f>'RECEITAS - BLOCOS PAN'!AD9-'OPEX - BLOCOS PAN'!AD9-VLOOKUP('FLUXO DE CAIXA NOM.- BLOCOS PAN'!$D9,'CAPEX - BLOCOS PAN'!$C$3:$AD$52,28,FALSE)</f>
        <v>-2414364.5292000002</v>
      </c>
      <c r="AE9" s="1">
        <f>'RECEITAS - BLOCOS PAN'!AE9-'OPEX - BLOCOS PAN'!AE9-VLOOKUP('FLUXO DE CAIXA NOM.- BLOCOS PAN'!$D9,'CAPEX - BLOCOS PAN'!$C$3:$AE$52,29,FALSE)</f>
        <v>-2400561.0446000001</v>
      </c>
      <c r="AF9" s="1">
        <f>'RECEITAS - BLOCOS PAN'!AF9-'OPEX - BLOCOS PAN'!AF9-VLOOKUP('FLUXO DE CAIXA NOM.- BLOCOS PAN'!$D9,'CAPEX - BLOCOS PAN'!$C$3:$AF$52,30,FALSE)</f>
        <v>-2385402.2171999998</v>
      </c>
      <c r="AG9" s="1">
        <f>'RECEITAS - BLOCOS PAN'!AG9-'OPEX - BLOCOS PAN'!AG9-VLOOKUP('FLUXO DE CAIXA NOM.- BLOCOS PAN'!$D9,'CAPEX - BLOCOS PAN'!$C$3:$AG$52,31,FALSE)</f>
        <v>-2370913.6015000003</v>
      </c>
      <c r="AH9" s="1">
        <f>'RECEITAS - BLOCOS PAN'!AH9-'OPEX - BLOCOS PAN'!AH9-VLOOKUP('FLUXO DE CAIXA NOM.- BLOCOS PAN'!$D9,'CAPEX - BLOCOS PAN'!$C$3:$AH$52,32,FALSE)</f>
        <v>-2356125.5293000001</v>
      </c>
      <c r="AI9" s="1">
        <f>'RECEITAS - BLOCOS PAN'!AI9-'OPEX - BLOCOS PAN'!AI9-VLOOKUP('FLUXO DE CAIXA NOM.- BLOCOS PAN'!$D9,'CAPEX - BLOCOS PAN'!$C$3:$AI$52,33,FALSE)</f>
        <v>-2340724.9476999994</v>
      </c>
      <c r="AJ9" s="1">
        <f>'RECEITAS - BLOCOS PAN'!AJ9-'OPEX - BLOCOS PAN'!AJ9-VLOOKUP('FLUXO DE CAIXA NOM.- BLOCOS PAN'!$D9,'CAPEX - BLOCOS PAN'!$C$3:$AJ$52,34,FALSE)</f>
        <v>-2324810.3518999997</v>
      </c>
      <c r="AK9" s="1">
        <f>'RECEITAS - BLOCOS PAN'!AK9-'OPEX - BLOCOS PAN'!AK9-VLOOKUP('FLUXO DE CAIXA NOM.- BLOCOS PAN'!$D9,'CAPEX - BLOCOS PAN'!$C$3:$AK$52,35,FALSE)</f>
        <v>-2308396.6625999999</v>
      </c>
      <c r="AL9" s="44">
        <f t="shared" si="1"/>
        <v>-106845079.55399998</v>
      </c>
      <c r="AM9" t="str">
        <f>VLOOKUP(D9,'FLUXO DE CAIXA DESC.-BLOCOS PAN'!$D$3:$AO$52,38,FALSE)</f>
        <v>AM - 2 - AL</v>
      </c>
    </row>
    <row r="10" spans="1:39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33</v>
      </c>
      <c r="H10" s="1">
        <f>'RECEITAS - BLOCOS PAN'!H10-'OPEX - BLOCOS PAN'!H10-VLOOKUP('FLUXO DE CAIXA NOM.- BLOCOS PAN'!$D10,'CAPEX - BLOCOS PAN'!$C$3:$H$52,6,FALSE)</f>
        <v>-45067065.994233333</v>
      </c>
      <c r="I10" s="1">
        <f>'RECEITAS - BLOCOS PAN'!I10-'OPEX - BLOCOS PAN'!I10-VLOOKUP('FLUXO DE CAIXA NOM.- BLOCOS PAN'!$D10,'CAPEX - BLOCOS PAN'!$C$3:$I$52,7,FALSE)</f>
        <v>-45033103.437933333</v>
      </c>
      <c r="J10" s="1">
        <f>'RECEITAS - BLOCOS PAN'!J10-'OPEX - BLOCOS PAN'!J10-VLOOKUP('FLUXO DE CAIXA NOM.- BLOCOS PAN'!$D10,'CAPEX - BLOCOS PAN'!$C$3:$J$52,8,FALSE)</f>
        <v>-45005456.247633338</v>
      </c>
      <c r="K10" s="1">
        <f>'RECEITAS - BLOCOS PAN'!K10-'OPEX - BLOCOS PAN'!K10-VLOOKUP('FLUXO DE CAIXA NOM.- BLOCOS PAN'!$D10,'CAPEX - BLOCOS PAN'!$C$3:$K$52,9,FALSE)</f>
        <v>-2523458.1811999995</v>
      </c>
      <c r="L10" s="1">
        <f>'RECEITAS - BLOCOS PAN'!L10-'OPEX - BLOCOS PAN'!L10-VLOOKUP('FLUXO DE CAIXA NOM.- BLOCOS PAN'!$D10,'CAPEX - BLOCOS PAN'!$C$3:$L$52,10,FALSE)</f>
        <v>-2504191.2523000003</v>
      </c>
      <c r="M10" s="1">
        <f>'RECEITAS - BLOCOS PAN'!M10-'OPEX - BLOCOS PAN'!M10-VLOOKUP('FLUXO DE CAIXA NOM.- BLOCOS PAN'!$D10,'CAPEX - BLOCOS PAN'!$C$3:$M$52,11,FALSE)</f>
        <v>-2486173.5093</v>
      </c>
      <c r="N10" s="1">
        <f>'RECEITAS - BLOCOS PAN'!N10-'OPEX - BLOCOS PAN'!N10-VLOOKUP('FLUXO DE CAIXA NOM.- BLOCOS PAN'!$D10,'CAPEX - BLOCOS PAN'!$C$3:$N$52,12,FALSE)</f>
        <v>-2468544.9226000002</v>
      </c>
      <c r="O10" s="1">
        <f>'RECEITAS - BLOCOS PAN'!O10-'OPEX - BLOCOS PAN'!O10-VLOOKUP('FLUXO DE CAIXA NOM.- BLOCOS PAN'!$D10,'CAPEX - BLOCOS PAN'!$C$3:$O$52,13,FALSE)</f>
        <v>-2451262.1565999999</v>
      </c>
      <c r="P10" s="1">
        <f>'RECEITAS - BLOCOS PAN'!P10-'OPEX - BLOCOS PAN'!P10-VLOOKUP('FLUXO DE CAIXA NOM.- BLOCOS PAN'!$D10,'CAPEX - BLOCOS PAN'!$C$3:$P$52,14,FALSE)</f>
        <v>-2434774.4912</v>
      </c>
      <c r="Q10" s="1">
        <f>'RECEITAS - BLOCOS PAN'!Q10-'OPEX - BLOCOS PAN'!Q10-VLOOKUP('FLUXO DE CAIXA NOM.- BLOCOS PAN'!$D10,'CAPEX - BLOCOS PAN'!$C$3:$Q$52,15,FALSE)</f>
        <v>-2418886.8766000001</v>
      </c>
      <c r="R10" s="1">
        <f>'RECEITAS - BLOCOS PAN'!R10-'OPEX - BLOCOS PAN'!R10-VLOOKUP('FLUXO DE CAIXA NOM.- BLOCOS PAN'!$D10,'CAPEX - BLOCOS PAN'!$C$3:$R$52,16,FALSE)</f>
        <v>-2403552.3524000002</v>
      </c>
      <c r="S10" s="1">
        <f>'RECEITAS - BLOCOS PAN'!S10-'OPEX - BLOCOS PAN'!S10-VLOOKUP('FLUXO DE CAIXA NOM.- BLOCOS PAN'!$D10,'CAPEX - BLOCOS PAN'!$C$3:$S$52,17,FALSE)</f>
        <v>-2543757.0475999997</v>
      </c>
      <c r="T10" s="1">
        <f>'RECEITAS - BLOCOS PAN'!T10-'OPEX - BLOCOS PAN'!T10-VLOOKUP('FLUXO DE CAIXA NOM.- BLOCOS PAN'!$D10,'CAPEX - BLOCOS PAN'!$C$3:$T$52,18,FALSE)</f>
        <v>-2528141.9071</v>
      </c>
      <c r="U10" s="1">
        <f>'RECEITAS - BLOCOS PAN'!U10-'OPEX - BLOCOS PAN'!U10-VLOOKUP('FLUXO DE CAIXA NOM.- BLOCOS PAN'!$D10,'CAPEX - BLOCOS PAN'!$C$3:$U$52,19,FALSE)</f>
        <v>-2511942.7764000003</v>
      </c>
      <c r="V10" s="1">
        <f>'RECEITAS - BLOCOS PAN'!V10-'OPEX - BLOCOS PAN'!V10-VLOOKUP('FLUXO DE CAIXA NOM.- BLOCOS PAN'!$D10,'CAPEX - BLOCOS PAN'!$C$3:$V$52,20,FALSE)</f>
        <v>-2495586.1264</v>
      </c>
      <c r="W10" s="1">
        <f>'RECEITAS - BLOCOS PAN'!W10-'OPEX - BLOCOS PAN'!W10-VLOOKUP('FLUXO DE CAIXA NOM.- BLOCOS PAN'!$D10,'CAPEX - BLOCOS PAN'!$C$3:$W$52,21,FALSE)</f>
        <v>-2478744.6436000001</v>
      </c>
      <c r="X10" s="1">
        <f>'RECEITAS - BLOCOS PAN'!X10-'OPEX - BLOCOS PAN'!X10-VLOOKUP('FLUXO DE CAIXA NOM.- BLOCOS PAN'!$D10,'CAPEX - BLOCOS PAN'!$C$3:$X$52,22,FALSE)</f>
        <v>-2461689.264</v>
      </c>
      <c r="Y10" s="1">
        <f>'RECEITAS - BLOCOS PAN'!Y10-'OPEX - BLOCOS PAN'!Y10-VLOOKUP('FLUXO DE CAIXA NOM.- BLOCOS PAN'!$D10,'CAPEX - BLOCOS PAN'!$C$3:$Y$52,23,FALSE)</f>
        <v>-2443892.3747999999</v>
      </c>
      <c r="Z10" s="1">
        <f>'RECEITAS - BLOCOS PAN'!Z10-'OPEX - BLOCOS PAN'!Z10-VLOOKUP('FLUXO DE CAIXA NOM.- BLOCOS PAN'!$D10,'CAPEX - BLOCOS PAN'!$C$3:$Z$52,24,FALSE)</f>
        <v>-2425610.6528000003</v>
      </c>
      <c r="AA10" s="1">
        <f>'RECEITAS - BLOCOS PAN'!AA10-'OPEX - BLOCOS PAN'!AA10-VLOOKUP('FLUXO DE CAIXA NOM.- BLOCOS PAN'!$D10,'CAPEX - BLOCOS PAN'!$C$3:$AA$52,25,FALSE)</f>
        <v>-2406687.5945000001</v>
      </c>
      <c r="AB10" s="1">
        <f>'RECEITAS - BLOCOS PAN'!AB10-'OPEX - BLOCOS PAN'!AB10-VLOOKUP('FLUXO DE CAIXA NOM.- BLOCOS PAN'!$D10,'CAPEX - BLOCOS PAN'!$C$3:$AB$52,26,FALSE)</f>
        <v>-2387849.7393999994</v>
      </c>
      <c r="AC10" s="1">
        <f>'RECEITAS - BLOCOS PAN'!AC10-'OPEX - BLOCOS PAN'!AC10-VLOOKUP('FLUXO DE CAIXA NOM.- BLOCOS PAN'!$D10,'CAPEX - BLOCOS PAN'!$C$3:$AC$52,27,FALSE)</f>
        <v>-2368527.7128999997</v>
      </c>
      <c r="AD10" s="1">
        <f>'RECEITAS - BLOCOS PAN'!AD10-'OPEX - BLOCOS PAN'!AD10-VLOOKUP('FLUXO DE CAIXA NOM.- BLOCOS PAN'!$D10,'CAPEX - BLOCOS PAN'!$C$3:$AD$52,28,FALSE)</f>
        <v>-2348948.3492999999</v>
      </c>
      <c r="AE10" s="1">
        <f>'RECEITAS - BLOCOS PAN'!AE10-'OPEX - BLOCOS PAN'!AE10-VLOOKUP('FLUXO DE CAIXA NOM.- BLOCOS PAN'!$D10,'CAPEX - BLOCOS PAN'!$C$3:$AE$52,29,FALSE)</f>
        <v>-2329069.5290999999</v>
      </c>
      <c r="AF10" s="1">
        <f>'RECEITAS - BLOCOS PAN'!AF10-'OPEX - BLOCOS PAN'!AF10-VLOOKUP('FLUXO DE CAIXA NOM.- BLOCOS PAN'!$D10,'CAPEX - BLOCOS PAN'!$C$3:$AF$52,30,FALSE)</f>
        <v>-2308762.9154000003</v>
      </c>
      <c r="AG10" s="1">
        <f>'RECEITAS - BLOCOS PAN'!AG10-'OPEX - BLOCOS PAN'!AG10-VLOOKUP('FLUXO DE CAIXA NOM.- BLOCOS PAN'!$D10,'CAPEX - BLOCOS PAN'!$C$3:$AG$52,31,FALSE)</f>
        <v>-2287985.7279000003</v>
      </c>
      <c r="AH10" s="1">
        <f>'RECEITAS - BLOCOS PAN'!AH10-'OPEX - BLOCOS PAN'!AH10-VLOOKUP('FLUXO DE CAIXA NOM.- BLOCOS PAN'!$D10,'CAPEX - BLOCOS PAN'!$C$3:$AH$52,32,FALSE)</f>
        <v>-3334286.2388000004</v>
      </c>
      <c r="AI10" s="1">
        <f>'RECEITAS - BLOCOS PAN'!AI10-'OPEX - BLOCOS PAN'!AI10-VLOOKUP('FLUXO DE CAIXA NOM.- BLOCOS PAN'!$D10,'CAPEX - BLOCOS PAN'!$C$3:$AI$52,33,FALSE)</f>
        <v>-3311065.3829999994</v>
      </c>
      <c r="AJ10" s="1">
        <f>'RECEITAS - BLOCOS PAN'!AJ10-'OPEX - BLOCOS PAN'!AJ10-VLOOKUP('FLUXO DE CAIXA NOM.- BLOCOS PAN'!$D10,'CAPEX - BLOCOS PAN'!$C$3:$AJ$52,34,FALSE)</f>
        <v>-3287166.0707</v>
      </c>
      <c r="AK10" s="1">
        <f>'RECEITAS - BLOCOS PAN'!AK10-'OPEX - BLOCOS PAN'!AK10-VLOOKUP('FLUXO DE CAIXA NOM.- BLOCOS PAN'!$D10,'CAPEX - BLOCOS PAN'!$C$3:$AK$52,35,FALSE)</f>
        <v>-3262490.6513999999</v>
      </c>
      <c r="AL10" s="44">
        <f t="shared" si="1"/>
        <v>-204318674.12709993</v>
      </c>
      <c r="AM10" t="str">
        <f>VLOOKUP(D10,'FLUXO DE CAIXA DESC.-BLOCOS PAN'!$D$3:$AO$52,38,FALSE)</f>
        <v>PA - 1 - AL</v>
      </c>
    </row>
    <row r="11" spans="1:39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33</v>
      </c>
      <c r="H11" s="1">
        <f>'RECEITAS - BLOCOS PAN'!H11-'OPEX - BLOCOS PAN'!H11-VLOOKUP('FLUXO DE CAIXA NOM.- BLOCOS PAN'!$D11,'CAPEX - BLOCOS PAN'!$C$3:$H$52,6,FALSE)</f>
        <v>-23977397.402533334</v>
      </c>
      <c r="I11" s="1">
        <f>'RECEITAS - BLOCOS PAN'!I11-'OPEX - BLOCOS PAN'!I11-VLOOKUP('FLUXO DE CAIXA NOM.- BLOCOS PAN'!$D11,'CAPEX - BLOCOS PAN'!$C$3:$I$52,7,FALSE)</f>
        <v>-23967150.675933331</v>
      </c>
      <c r="J11" s="1">
        <f>'RECEITAS - BLOCOS PAN'!J11-'OPEX - BLOCOS PAN'!J11-VLOOKUP('FLUXO DE CAIXA NOM.- BLOCOS PAN'!$D11,'CAPEX - BLOCOS PAN'!$C$3:$J$52,8,FALSE)</f>
        <v>-23958785.295333333</v>
      </c>
      <c r="K11" s="1">
        <f>'RECEITAS - BLOCOS PAN'!K11-'OPEX - BLOCOS PAN'!K11-VLOOKUP('FLUXO DE CAIXA NOM.- BLOCOS PAN'!$D11,'CAPEX - BLOCOS PAN'!$C$3:$K$52,9,FALSE)</f>
        <v>-2546459.3135000002</v>
      </c>
      <c r="L11" s="1">
        <f>'RECEITAS - BLOCOS PAN'!L11-'OPEX - BLOCOS PAN'!L11-VLOOKUP('FLUXO DE CAIXA NOM.- BLOCOS PAN'!$D11,'CAPEX - BLOCOS PAN'!$C$3:$L$52,10,FALSE)</f>
        <v>-2540839.4937999998</v>
      </c>
      <c r="M11" s="1">
        <f>'RECEITAS - BLOCOS PAN'!M11-'OPEX - BLOCOS PAN'!M11-VLOOKUP('FLUXO DE CAIXA NOM.- BLOCOS PAN'!$D11,'CAPEX - BLOCOS PAN'!$C$3:$M$52,11,FALSE)</f>
        <v>-2535329.5087000001</v>
      </c>
      <c r="N11" s="1">
        <f>'RECEITAS - BLOCOS PAN'!N11-'OPEX - BLOCOS PAN'!N11-VLOOKUP('FLUXO DE CAIXA NOM.- BLOCOS PAN'!$D11,'CAPEX - BLOCOS PAN'!$C$3:$N$52,12,FALSE)</f>
        <v>-2530181.5825</v>
      </c>
      <c r="O11" s="1">
        <f>'RECEITAS - BLOCOS PAN'!O11-'OPEX - BLOCOS PAN'!O11-VLOOKUP('FLUXO DE CAIXA NOM.- BLOCOS PAN'!$D11,'CAPEX - BLOCOS PAN'!$C$3:$O$52,13,FALSE)</f>
        <v>-2525199.5699</v>
      </c>
      <c r="P11" s="1">
        <f>'RECEITAS - BLOCOS PAN'!P11-'OPEX - BLOCOS PAN'!P11-VLOOKUP('FLUXO DE CAIXA NOM.- BLOCOS PAN'!$D11,'CAPEX - BLOCOS PAN'!$C$3:$P$52,14,FALSE)</f>
        <v>-2520274.8865999999</v>
      </c>
      <c r="Q11" s="1">
        <f>'RECEITAS - BLOCOS PAN'!Q11-'OPEX - BLOCOS PAN'!Q11-VLOOKUP('FLUXO DE CAIXA NOM.- BLOCOS PAN'!$D11,'CAPEX - BLOCOS PAN'!$C$3:$Q$52,15,FALSE)</f>
        <v>-2515684.6522999997</v>
      </c>
      <c r="R11" s="1">
        <f>'RECEITAS - BLOCOS PAN'!R11-'OPEX - BLOCOS PAN'!R11-VLOOKUP('FLUXO DE CAIXA NOM.- BLOCOS PAN'!$D11,'CAPEX - BLOCOS PAN'!$C$3:$R$52,16,FALSE)</f>
        <v>-2511580.6101000002</v>
      </c>
      <c r="S11" s="1">
        <f>'RECEITAS - BLOCOS PAN'!S11-'OPEX - BLOCOS PAN'!S11-VLOOKUP('FLUXO DE CAIXA NOM.- BLOCOS PAN'!$D11,'CAPEX - BLOCOS PAN'!$C$3:$S$52,17,FALSE)</f>
        <v>-2507133.3744000001</v>
      </c>
      <c r="T11" s="1">
        <f>'RECEITAS - BLOCOS PAN'!T11-'OPEX - BLOCOS PAN'!T11-VLOOKUP('FLUXO DE CAIXA NOM.- BLOCOS PAN'!$D11,'CAPEX - BLOCOS PAN'!$C$3:$T$52,18,FALSE)</f>
        <v>-2502800.5353999999</v>
      </c>
      <c r="U11" s="1">
        <f>'RECEITAS - BLOCOS PAN'!U11-'OPEX - BLOCOS PAN'!U11-VLOOKUP('FLUXO DE CAIXA NOM.- BLOCOS PAN'!$D11,'CAPEX - BLOCOS PAN'!$C$3:$U$52,19,FALSE)</f>
        <v>-2498424.2568000001</v>
      </c>
      <c r="V11" s="1">
        <f>'RECEITAS - BLOCOS PAN'!V11-'OPEX - BLOCOS PAN'!V11-VLOOKUP('FLUXO DE CAIXA NOM.- BLOCOS PAN'!$D11,'CAPEX - BLOCOS PAN'!$C$3:$V$52,20,FALSE)</f>
        <v>-2494077.1190999998</v>
      </c>
      <c r="W11" s="1">
        <f>'RECEITAS - BLOCOS PAN'!W11-'OPEX - BLOCOS PAN'!W11-VLOOKUP('FLUXO DE CAIXA NOM.- BLOCOS PAN'!$D11,'CAPEX - BLOCOS PAN'!$C$3:$W$52,21,FALSE)</f>
        <v>-2489486.8837000006</v>
      </c>
      <c r="X11" s="1">
        <f>'RECEITAS - BLOCOS PAN'!X11-'OPEX - BLOCOS PAN'!X11-VLOOKUP('FLUXO DE CAIXA NOM.- BLOCOS PAN'!$D11,'CAPEX - BLOCOS PAN'!$C$3:$X$52,22,FALSE)</f>
        <v>-2484810.8510999996</v>
      </c>
      <c r="Y11" s="1">
        <f>'RECEITAS - BLOCOS PAN'!Y11-'OPEX - BLOCOS PAN'!Y11-VLOOKUP('FLUXO DE CAIXA NOM.- BLOCOS PAN'!$D11,'CAPEX - BLOCOS PAN'!$C$3:$Y$52,23,FALSE)</f>
        <v>-2480163.4170999997</v>
      </c>
      <c r="Z11" s="1">
        <f>'RECEITAS - BLOCOS PAN'!Z11-'OPEX - BLOCOS PAN'!Z11-VLOOKUP('FLUXO DE CAIXA NOM.- BLOCOS PAN'!$D11,'CAPEX - BLOCOS PAN'!$C$3:$Z$52,24,FALSE)</f>
        <v>-2475444.4838999999</v>
      </c>
      <c r="AA11" s="1">
        <f>'RECEITAS - BLOCOS PAN'!AA11-'OPEX - BLOCOS PAN'!AA11-VLOOKUP('FLUXO DE CAIXA NOM.- BLOCOS PAN'!$D11,'CAPEX - BLOCOS PAN'!$C$3:$AA$52,25,FALSE)</f>
        <v>-2470439.0143000004</v>
      </c>
      <c r="AB11" s="1">
        <f>'RECEITAS - BLOCOS PAN'!AB11-'OPEX - BLOCOS PAN'!AB11-VLOOKUP('FLUXO DE CAIXA NOM.- BLOCOS PAN'!$D11,'CAPEX - BLOCOS PAN'!$C$3:$AB$52,26,FALSE)</f>
        <v>-2465591.3832999999</v>
      </c>
      <c r="AC11" s="1">
        <f>'RECEITAS - BLOCOS PAN'!AC11-'OPEX - BLOCOS PAN'!AC11-VLOOKUP('FLUXO DE CAIXA NOM.- BLOCOS PAN'!$D11,'CAPEX - BLOCOS PAN'!$C$3:$AC$52,27,FALSE)</f>
        <v>-2460886.7509999997</v>
      </c>
      <c r="AD11" s="1">
        <f>'RECEITAS - BLOCOS PAN'!AD11-'OPEX - BLOCOS PAN'!AD11-VLOOKUP('FLUXO DE CAIXA NOM.- BLOCOS PAN'!$D11,'CAPEX - BLOCOS PAN'!$C$3:$AD$52,28,FALSE)</f>
        <v>-2455967.6205999996</v>
      </c>
      <c r="AE11" s="1">
        <f>'RECEITAS - BLOCOS PAN'!AE11-'OPEX - BLOCOS PAN'!AE11-VLOOKUP('FLUXO DE CAIXA NOM.- BLOCOS PAN'!$D11,'CAPEX - BLOCOS PAN'!$C$3:$AE$52,29,FALSE)</f>
        <v>-2451534.6836999999</v>
      </c>
      <c r="AF11" s="1">
        <f>'RECEITAS - BLOCOS PAN'!AF11-'OPEX - BLOCOS PAN'!AF11-VLOOKUP('FLUXO DE CAIXA NOM.- BLOCOS PAN'!$D11,'CAPEX - BLOCOS PAN'!$C$3:$AF$52,30,FALSE)</f>
        <v>-2446881.5660999999</v>
      </c>
      <c r="AG11" s="1">
        <f>'RECEITAS - BLOCOS PAN'!AG11-'OPEX - BLOCOS PAN'!AG11-VLOOKUP('FLUXO DE CAIXA NOM.- BLOCOS PAN'!$D11,'CAPEX - BLOCOS PAN'!$C$3:$AG$52,31,FALSE)</f>
        <v>-2442548.7280999999</v>
      </c>
      <c r="AH11" s="1">
        <f>'RECEITAS - BLOCOS PAN'!AH11-'OPEX - BLOCOS PAN'!AH11-VLOOKUP('FLUXO DE CAIXA NOM.- BLOCOS PAN'!$D11,'CAPEX - BLOCOS PAN'!$C$3:$AH$52,32,FALSE)</f>
        <v>-2438344.5880000005</v>
      </c>
      <c r="AI11" s="1">
        <f>'RECEITAS - BLOCOS PAN'!AI11-'OPEX - BLOCOS PAN'!AI11-VLOOKUP('FLUXO DE CAIXA NOM.- BLOCOS PAN'!$D11,'CAPEX - BLOCOS PAN'!$C$3:$AI$52,33,FALSE)</f>
        <v>-2434097.5482999999</v>
      </c>
      <c r="AJ11" s="1">
        <f>'RECEITAS - BLOCOS PAN'!AJ11-'OPEX - BLOCOS PAN'!AJ11-VLOOKUP('FLUXO DE CAIXA NOM.- BLOCOS PAN'!$D11,'CAPEX - BLOCOS PAN'!$C$3:$AJ$52,34,FALSE)</f>
        <v>-2429764.7105999999</v>
      </c>
      <c r="AK11" s="1">
        <f>'RECEITAS - BLOCOS PAN'!AK11-'OPEX - BLOCOS PAN'!AK11-VLOOKUP('FLUXO DE CAIXA NOM.- BLOCOS PAN'!$D11,'CAPEX - BLOCOS PAN'!$C$3:$AK$52,35,FALSE)</f>
        <v>-2425360.3733000001</v>
      </c>
      <c r="AL11" s="44">
        <f t="shared" si="1"/>
        <v>-138982640.88</v>
      </c>
      <c r="AM11" t="str">
        <f>VLOOKUP(D11,'FLUXO DE CAIXA DESC.-BLOCOS PAN'!$D$3:$AO$52,38,FALSE)</f>
        <v>AC + AM - 1 - AL</v>
      </c>
    </row>
    <row r="12" spans="1:39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33</v>
      </c>
      <c r="H12" s="1">
        <f>'RECEITAS - BLOCOS PAN'!H12-'OPEX - BLOCOS PAN'!H12-VLOOKUP('FLUXO DE CAIXA NOM.- BLOCOS PAN'!$D12,'CAPEX - BLOCOS PAN'!$C$3:$H$52,6,FALSE)</f>
        <v>-57297531.987266667</v>
      </c>
      <c r="I12" s="1">
        <f>'RECEITAS - BLOCOS PAN'!I12-'OPEX - BLOCOS PAN'!I12-VLOOKUP('FLUXO DE CAIXA NOM.- BLOCOS PAN'!$D12,'CAPEX - BLOCOS PAN'!$C$3:$I$52,7,FALSE)</f>
        <v>-57256671.919466667</v>
      </c>
      <c r="J12" s="1">
        <f>'RECEITAS - BLOCOS PAN'!J12-'OPEX - BLOCOS PAN'!J12-VLOOKUP('FLUXO DE CAIXA NOM.- BLOCOS PAN'!$D12,'CAPEX - BLOCOS PAN'!$C$3:$J$52,8,FALSE)</f>
        <v>-57224882.931066662</v>
      </c>
      <c r="K12" s="1">
        <f>'RECEITAS - BLOCOS PAN'!K12-'OPEX - BLOCOS PAN'!K12-VLOOKUP('FLUXO DE CAIXA NOM.- BLOCOS PAN'!$D12,'CAPEX - BLOCOS PAN'!$C$3:$K$52,9,FALSE)</f>
        <v>-2554324.2192000002</v>
      </c>
      <c r="L12" s="1">
        <f>'RECEITAS - BLOCOS PAN'!L12-'OPEX - BLOCOS PAN'!L12-VLOOKUP('FLUXO DE CAIXA NOM.- BLOCOS PAN'!$D12,'CAPEX - BLOCOS PAN'!$C$3:$L$52,10,FALSE)</f>
        <v>-2535814.34</v>
      </c>
      <c r="M12" s="1">
        <f>'RECEITAS - BLOCOS PAN'!M12-'OPEX - BLOCOS PAN'!M12-VLOOKUP('FLUXO DE CAIXA NOM.- BLOCOS PAN'!$D12,'CAPEX - BLOCOS PAN'!$C$3:$M$52,11,FALSE)</f>
        <v>-2520698.2927000001</v>
      </c>
      <c r="N12" s="1">
        <f>'RECEITAS - BLOCOS PAN'!N12-'OPEX - BLOCOS PAN'!N12-VLOOKUP('FLUXO DE CAIXA NOM.- BLOCOS PAN'!$D12,'CAPEX - BLOCOS PAN'!$C$3:$N$52,12,FALSE)</f>
        <v>-2504997.5937000001</v>
      </c>
      <c r="O12" s="1">
        <f>'RECEITAS - BLOCOS PAN'!O12-'OPEX - BLOCOS PAN'!O12-VLOOKUP('FLUXO DE CAIXA NOM.- BLOCOS PAN'!$D12,'CAPEX - BLOCOS PAN'!$C$3:$O$52,13,FALSE)</f>
        <v>-2491308.1875999998</v>
      </c>
      <c r="P12" s="1">
        <f>'RECEITAS - BLOCOS PAN'!P12-'OPEX - BLOCOS PAN'!P12-VLOOKUP('FLUXO DE CAIXA NOM.- BLOCOS PAN'!$D12,'CAPEX - BLOCOS PAN'!$C$3:$P$52,14,FALSE)</f>
        <v>-2476705.4925999995</v>
      </c>
      <c r="Q12" s="1">
        <f>'RECEITAS - BLOCOS PAN'!Q12-'OPEX - BLOCOS PAN'!Q12-VLOOKUP('FLUXO DE CAIXA NOM.- BLOCOS PAN'!$D12,'CAPEX - BLOCOS PAN'!$C$3:$Q$52,15,FALSE)</f>
        <v>-2465339.7724000001</v>
      </c>
      <c r="R12" s="1">
        <f>'RECEITAS - BLOCOS PAN'!R12-'OPEX - BLOCOS PAN'!R12-VLOOKUP('FLUXO DE CAIXA NOM.- BLOCOS PAN'!$D12,'CAPEX - BLOCOS PAN'!$C$3:$R$52,16,FALSE)</f>
        <v>-2453090.6055000001</v>
      </c>
      <c r="S12" s="1">
        <f>'RECEITAS - BLOCOS PAN'!S12-'OPEX - BLOCOS PAN'!S12-VLOOKUP('FLUXO DE CAIXA NOM.- BLOCOS PAN'!$D12,'CAPEX - BLOCOS PAN'!$C$3:$S$52,17,FALSE)</f>
        <v>-2442437.8754000003</v>
      </c>
      <c r="T12" s="1">
        <f>'RECEITAS - BLOCOS PAN'!T12-'OPEX - BLOCOS PAN'!T12-VLOOKUP('FLUXO DE CAIXA NOM.- BLOCOS PAN'!$D12,'CAPEX - BLOCOS PAN'!$C$3:$T$52,18,FALSE)</f>
        <v>-2430274.2681</v>
      </c>
      <c r="U12" s="1">
        <f>'RECEITAS - BLOCOS PAN'!U12-'OPEX - BLOCOS PAN'!U12-VLOOKUP('FLUXO DE CAIXA NOM.- BLOCOS PAN'!$D12,'CAPEX - BLOCOS PAN'!$C$3:$U$52,19,FALSE)</f>
        <v>-2419421.9002999994</v>
      </c>
      <c r="V12" s="1">
        <f>'RECEITAS - BLOCOS PAN'!V12-'OPEX - BLOCOS PAN'!V12-VLOOKUP('FLUXO DE CAIXA NOM.- BLOCOS PAN'!$D12,'CAPEX - BLOCOS PAN'!$C$3:$V$52,20,FALSE)</f>
        <v>-2406730.3731999998</v>
      </c>
      <c r="W12" s="1">
        <f>'RECEITAS - BLOCOS PAN'!W12-'OPEX - BLOCOS PAN'!W12-VLOOKUP('FLUXO DE CAIXA NOM.- BLOCOS PAN'!$D12,'CAPEX - BLOCOS PAN'!$C$3:$W$52,21,FALSE)</f>
        <v>-2396021.2654000004</v>
      </c>
      <c r="X12" s="1">
        <f>'RECEITAS - BLOCOS PAN'!X12-'OPEX - BLOCOS PAN'!X12-VLOOKUP('FLUXO DE CAIXA NOM.- BLOCOS PAN'!$D12,'CAPEX - BLOCOS PAN'!$C$3:$X$52,22,FALSE)</f>
        <v>-2383115.4862000002</v>
      </c>
      <c r="Y12" s="1">
        <f>'RECEITAS - BLOCOS PAN'!Y12-'OPEX - BLOCOS PAN'!Y12-VLOOKUP('FLUXO DE CAIXA NOM.- BLOCOS PAN'!$D12,'CAPEX - BLOCOS PAN'!$C$3:$Y$52,23,FALSE)</f>
        <v>-2372320.8188</v>
      </c>
      <c r="Z12" s="1">
        <f>'RECEITAS - BLOCOS PAN'!Z12-'OPEX - BLOCOS PAN'!Z12-VLOOKUP('FLUXO DE CAIXA NOM.- BLOCOS PAN'!$D12,'CAPEX - BLOCOS PAN'!$C$3:$Z$52,24,FALSE)</f>
        <v>-2359072.8054000004</v>
      </c>
      <c r="AA12" s="1">
        <f>'RECEITAS - BLOCOS PAN'!AA12-'OPEX - BLOCOS PAN'!AA12-VLOOKUP('FLUXO DE CAIXA NOM.- BLOCOS PAN'!$D12,'CAPEX - BLOCOS PAN'!$C$3:$AA$52,25,FALSE)</f>
        <v>-2347692.8249999997</v>
      </c>
      <c r="AB12" s="1">
        <f>'RECEITAS - BLOCOS PAN'!AB12-'OPEX - BLOCOS PAN'!AB12-VLOOKUP('FLUXO DE CAIXA NOM.- BLOCOS PAN'!$D12,'CAPEX - BLOCOS PAN'!$C$3:$AB$52,26,FALSE)</f>
        <v>-2334687.8894000002</v>
      </c>
      <c r="AC12" s="1">
        <f>'RECEITAS - BLOCOS PAN'!AC12-'OPEX - BLOCOS PAN'!AC12-VLOOKUP('FLUXO DE CAIXA NOM.- BLOCOS PAN'!$D12,'CAPEX - BLOCOS PAN'!$C$3:$AC$52,27,FALSE)</f>
        <v>-2323436.2472999999</v>
      </c>
      <c r="AD12" s="1">
        <f>'RECEITAS - BLOCOS PAN'!AD12-'OPEX - BLOCOS PAN'!AD12-VLOOKUP('FLUXO DE CAIXA NOM.- BLOCOS PAN'!$D12,'CAPEX - BLOCOS PAN'!$C$3:$AD$52,28,FALSE)</f>
        <v>-2310003.5178999999</v>
      </c>
      <c r="AE12" s="1">
        <f>'RECEITAS - BLOCOS PAN'!AE12-'OPEX - BLOCOS PAN'!AE12-VLOOKUP('FLUXO DE CAIXA NOM.- BLOCOS PAN'!$D12,'CAPEX - BLOCOS PAN'!$C$3:$AE$52,29,FALSE)</f>
        <v>-2297867.7677999996</v>
      </c>
      <c r="AF12" s="1">
        <f>'RECEITAS - BLOCOS PAN'!AF12-'OPEX - BLOCOS PAN'!AF12-VLOOKUP('FLUXO DE CAIXA NOM.- BLOCOS PAN'!$D12,'CAPEX - BLOCOS PAN'!$C$3:$AF$52,30,FALSE)</f>
        <v>-2283507.4901000001</v>
      </c>
      <c r="AG12" s="1">
        <f>'RECEITAS - BLOCOS PAN'!AG12-'OPEX - BLOCOS PAN'!AG12-VLOOKUP('FLUXO DE CAIXA NOM.- BLOCOS PAN'!$D12,'CAPEX - BLOCOS PAN'!$C$3:$AG$52,31,FALSE)</f>
        <v>-2271015.9068999998</v>
      </c>
      <c r="AH12" s="1">
        <f>'RECEITAS - BLOCOS PAN'!AH12-'OPEX - BLOCOS PAN'!AH12-VLOOKUP('FLUXO DE CAIXA NOM.- BLOCOS PAN'!$D12,'CAPEX - BLOCOS PAN'!$C$3:$AH$52,32,FALSE)</f>
        <v>-3322957.2723000003</v>
      </c>
      <c r="AI12" s="1">
        <f>'RECEITAS - BLOCOS PAN'!AI12-'OPEX - BLOCOS PAN'!AI12-VLOOKUP('FLUXO DE CAIXA NOM.- BLOCOS PAN'!$D12,'CAPEX - BLOCOS PAN'!$C$3:$AI$52,33,FALSE)</f>
        <v>-3310196.3113000002</v>
      </c>
      <c r="AJ12" s="1">
        <f>'RECEITAS - BLOCOS PAN'!AJ12-'OPEX - BLOCOS PAN'!AJ12-VLOOKUP('FLUXO DE CAIXA NOM.- BLOCOS PAN'!$D12,'CAPEX - BLOCOS PAN'!$C$3:$AJ$52,34,FALSE)</f>
        <v>-3297346.4714000002</v>
      </c>
      <c r="AK12" s="1">
        <f>'RECEITAS - BLOCOS PAN'!AK12-'OPEX - BLOCOS PAN'!AK12-VLOOKUP('FLUXO DE CAIXA NOM.- BLOCOS PAN'!$D12,'CAPEX - BLOCOS PAN'!$C$3:$AK$52,35,FALSE)</f>
        <v>-3284217.4358000001</v>
      </c>
      <c r="AL12" s="44">
        <f t="shared" si="1"/>
        <v>-240373689.26949993</v>
      </c>
      <c r="AM12" t="str">
        <f>VLOOKUP(D12,'FLUXO DE CAIXA DESC.-BLOCOS PAN'!$D$3:$AO$52,38,FALSE)</f>
        <v>PA - 2 - AL</v>
      </c>
    </row>
    <row r="13" spans="1:39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33</v>
      </c>
      <c r="H13" s="1">
        <f>'RECEITAS - BLOCOS PAN'!H13-'OPEX - BLOCOS PAN'!H13-VLOOKUP('FLUXO DE CAIXA NOM.- BLOCOS PAN'!$D13,'CAPEX - BLOCOS PAN'!$C$3:$H$52,6,FALSE)</f>
        <v>-49873462.890699998</v>
      </c>
      <c r="I13" s="1">
        <f>'RECEITAS - BLOCOS PAN'!I13-'OPEX - BLOCOS PAN'!I13-VLOOKUP('FLUXO DE CAIXA NOM.- BLOCOS PAN'!$D13,'CAPEX - BLOCOS PAN'!$C$3:$I$52,7,FALSE)</f>
        <v>-49943911.343999997</v>
      </c>
      <c r="J13" s="1">
        <f>'RECEITAS - BLOCOS PAN'!J13-'OPEX - BLOCOS PAN'!J13-VLOOKUP('FLUXO DE CAIXA NOM.- BLOCOS PAN'!$D13,'CAPEX - BLOCOS PAN'!$C$3:$J$52,8,FALSE)</f>
        <v>-49895183.630199999</v>
      </c>
      <c r="K13" s="1">
        <f>'RECEITAS - BLOCOS PAN'!K13-'OPEX - BLOCOS PAN'!K13-VLOOKUP('FLUXO DE CAIXA NOM.- BLOCOS PAN'!$D13,'CAPEX - BLOCOS PAN'!$C$3:$K$52,9,FALSE)</f>
        <v>-2341651.8339</v>
      </c>
      <c r="L13" s="1">
        <f>'RECEITAS - BLOCOS PAN'!L13-'OPEX - BLOCOS PAN'!L13-VLOOKUP('FLUXO DE CAIXA NOM.- BLOCOS PAN'!$D13,'CAPEX - BLOCOS PAN'!$C$3:$L$52,10,FALSE)</f>
        <v>-2321031.5047000004</v>
      </c>
      <c r="M13" s="1">
        <f>'RECEITAS - BLOCOS PAN'!M13-'OPEX - BLOCOS PAN'!M13-VLOOKUP('FLUXO DE CAIXA NOM.- BLOCOS PAN'!$D13,'CAPEX - BLOCOS PAN'!$C$3:$M$52,11,FALSE)</f>
        <v>-2303149.0566999996</v>
      </c>
      <c r="N13" s="1">
        <f>'RECEITAS - BLOCOS PAN'!N13-'OPEX - BLOCOS PAN'!N13-VLOOKUP('FLUXO DE CAIXA NOM.- BLOCOS PAN'!$D13,'CAPEX - BLOCOS PAN'!$C$3:$N$52,12,FALSE)</f>
        <v>-2288232.6472999994</v>
      </c>
      <c r="O13" s="1">
        <f>'RECEITAS - BLOCOS PAN'!O13-'OPEX - BLOCOS PAN'!O13-VLOOKUP('FLUXO DE CAIXA NOM.- BLOCOS PAN'!$D13,'CAPEX - BLOCOS PAN'!$C$3:$O$52,13,FALSE)</f>
        <v>-2274899.4292000001</v>
      </c>
      <c r="P13" s="1">
        <f>'RECEITAS - BLOCOS PAN'!P13-'OPEX - BLOCOS PAN'!P13-VLOOKUP('FLUXO DE CAIXA NOM.- BLOCOS PAN'!$D13,'CAPEX - BLOCOS PAN'!$C$3:$P$52,14,FALSE)</f>
        <v>-2264418.4779000003</v>
      </c>
      <c r="Q13" s="1">
        <f>'RECEITAS - BLOCOS PAN'!Q13-'OPEX - BLOCOS PAN'!Q13-VLOOKUP('FLUXO DE CAIXA NOM.- BLOCOS PAN'!$D13,'CAPEX - BLOCOS PAN'!$C$3:$Q$52,15,FALSE)</f>
        <v>-2254992.0894999998</v>
      </c>
      <c r="R13" s="1">
        <f>'RECEITAS - BLOCOS PAN'!R13-'OPEX - BLOCOS PAN'!R13-VLOOKUP('FLUXO DE CAIXA NOM.- BLOCOS PAN'!$D13,'CAPEX - BLOCOS PAN'!$C$3:$R$52,16,FALSE)</f>
        <v>-2247106.4213999999</v>
      </c>
      <c r="S13" s="1">
        <f>'RECEITAS - BLOCOS PAN'!S13-'OPEX - BLOCOS PAN'!S13-VLOOKUP('FLUXO DE CAIXA NOM.- BLOCOS PAN'!$D13,'CAPEX - BLOCOS PAN'!$C$3:$S$52,17,FALSE)</f>
        <v>-2240903.4088999997</v>
      </c>
      <c r="T13" s="1">
        <f>'RECEITAS - BLOCOS PAN'!T13-'OPEX - BLOCOS PAN'!T13-VLOOKUP('FLUXO DE CAIXA NOM.- BLOCOS PAN'!$D13,'CAPEX - BLOCOS PAN'!$C$3:$T$52,18,FALSE)</f>
        <v>-2233772.8493999997</v>
      </c>
      <c r="U13" s="1">
        <f>'RECEITAS - BLOCOS PAN'!U13-'OPEX - BLOCOS PAN'!U13-VLOOKUP('FLUXO DE CAIXA NOM.- BLOCOS PAN'!$D13,'CAPEX - BLOCOS PAN'!$C$3:$U$52,19,FALSE)</f>
        <v>-2226400.5336000002</v>
      </c>
      <c r="V13" s="1">
        <f>'RECEITAS - BLOCOS PAN'!V13-'OPEX - BLOCOS PAN'!V13-VLOOKUP('FLUXO DE CAIXA NOM.- BLOCOS PAN'!$D13,'CAPEX - BLOCOS PAN'!$C$3:$V$52,20,FALSE)</f>
        <v>-2220382.8989000004</v>
      </c>
      <c r="W13" s="1">
        <f>'RECEITAS - BLOCOS PAN'!W13-'OPEX - BLOCOS PAN'!W13-VLOOKUP('FLUXO DE CAIXA NOM.- BLOCOS PAN'!$D13,'CAPEX - BLOCOS PAN'!$C$3:$W$52,21,FALSE)</f>
        <v>-2213451.9756</v>
      </c>
      <c r="X13" s="1">
        <f>'RECEITAS - BLOCOS PAN'!X13-'OPEX - BLOCOS PAN'!X13-VLOOKUP('FLUXO DE CAIXA NOM.- BLOCOS PAN'!$D13,'CAPEX - BLOCOS PAN'!$C$3:$X$52,22,FALSE)</f>
        <v>-2206207.9981</v>
      </c>
      <c r="Y13" s="1">
        <f>'RECEITAS - BLOCOS PAN'!Y13-'OPEX - BLOCOS PAN'!Y13-VLOOKUP('FLUXO DE CAIXA NOM.- BLOCOS PAN'!$D13,'CAPEX - BLOCOS PAN'!$C$3:$Y$52,23,FALSE)</f>
        <v>-2200076.2845999999</v>
      </c>
      <c r="Z13" s="1">
        <f>'RECEITAS - BLOCOS PAN'!Z13-'OPEX - BLOCOS PAN'!Z13-VLOOKUP('FLUXO DE CAIXA NOM.- BLOCOS PAN'!$D13,'CAPEX - BLOCOS PAN'!$C$3:$Z$52,24,FALSE)</f>
        <v>-2193302.2198000001</v>
      </c>
      <c r="AA13" s="1">
        <f>'RECEITAS - BLOCOS PAN'!AA13-'OPEX - BLOCOS PAN'!AA13-VLOOKUP('FLUXO DE CAIXA NOM.- BLOCOS PAN'!$D13,'CAPEX - BLOCOS PAN'!$C$3:$AA$52,25,FALSE)</f>
        <v>-2186086.7615999999</v>
      </c>
      <c r="AB13" s="1">
        <f>'RECEITAS - BLOCOS PAN'!AB13-'OPEX - BLOCOS PAN'!AB13-VLOOKUP('FLUXO DE CAIXA NOM.- BLOCOS PAN'!$D13,'CAPEX - BLOCOS PAN'!$C$3:$AB$52,26,FALSE)</f>
        <v>-2180881.9354000003</v>
      </c>
      <c r="AC13" s="1">
        <f>'RECEITAS - BLOCOS PAN'!AC13-'OPEX - BLOCOS PAN'!AC13-VLOOKUP('FLUXO DE CAIXA NOM.- BLOCOS PAN'!$D13,'CAPEX - BLOCOS PAN'!$C$3:$AC$52,27,FALSE)</f>
        <v>-2174407.3260000004</v>
      </c>
      <c r="AD13" s="1">
        <f>'RECEITAS - BLOCOS PAN'!AD13-'OPEX - BLOCOS PAN'!AD13-VLOOKUP('FLUXO DE CAIXA NOM.- BLOCOS PAN'!$D13,'CAPEX - BLOCOS PAN'!$C$3:$AD$52,28,FALSE)</f>
        <v>-2169216.7593999999</v>
      </c>
      <c r="AE13" s="1">
        <f>'RECEITAS - BLOCOS PAN'!AE13-'OPEX - BLOCOS PAN'!AE13-VLOOKUP('FLUXO DE CAIXA NOM.- BLOCOS PAN'!$D13,'CAPEX - BLOCOS PAN'!$C$3:$AE$52,29,FALSE)</f>
        <v>-2163569.8788000001</v>
      </c>
      <c r="AF13" s="1">
        <f>'RECEITAS - BLOCOS PAN'!AF13-'OPEX - BLOCOS PAN'!AF13-VLOOKUP('FLUXO DE CAIXA NOM.- BLOCOS PAN'!$D13,'CAPEX - BLOCOS PAN'!$C$3:$AF$52,30,FALSE)</f>
        <v>-2157580.7642999995</v>
      </c>
      <c r="AG13" s="1">
        <f>'RECEITAS - BLOCOS PAN'!AG13-'OPEX - BLOCOS PAN'!AG13-VLOOKUP('FLUXO DE CAIXA NOM.- BLOCOS PAN'!$D13,'CAPEX - BLOCOS PAN'!$C$3:$AG$52,31,FALSE)</f>
        <v>-2152275.4581000004</v>
      </c>
      <c r="AH13" s="1">
        <f>'RECEITAS - BLOCOS PAN'!AH13-'OPEX - BLOCOS PAN'!AH13-VLOOKUP('FLUXO DE CAIXA NOM.- BLOCOS PAN'!$D13,'CAPEX - BLOCOS PAN'!$C$3:$AH$52,32,FALSE)</f>
        <v>-2147355.8277999996</v>
      </c>
      <c r="AI13" s="1">
        <f>'RECEITAS - BLOCOS PAN'!AI13-'OPEX - BLOCOS PAN'!AI13-VLOOKUP('FLUXO DE CAIXA NOM.- BLOCOS PAN'!$D13,'CAPEX - BLOCOS PAN'!$C$3:$AI$52,33,FALSE)</f>
        <v>-2142536.0155999996</v>
      </c>
      <c r="AJ13" s="1">
        <f>'RECEITAS - BLOCOS PAN'!AJ13-'OPEX - BLOCOS PAN'!AJ13-VLOOKUP('FLUXO DE CAIXA NOM.- BLOCOS PAN'!$D13,'CAPEX - BLOCOS PAN'!$C$3:$AJ$52,34,FALSE)</f>
        <v>-2137701.9436999997</v>
      </c>
      <c r="AK13" s="1">
        <f>'RECEITAS - BLOCOS PAN'!AK13-'OPEX - BLOCOS PAN'!AK13-VLOOKUP('FLUXO DE CAIXA NOM.- BLOCOS PAN'!$D13,'CAPEX - BLOCOS PAN'!$C$3:$AK$52,35,FALSE)</f>
        <v>-3176063.1102999998</v>
      </c>
      <c r="AL13" s="44">
        <f t="shared" si="1"/>
        <v>-210530213.27540001</v>
      </c>
      <c r="AM13" t="str">
        <f>VLOOKUP(D13,'FLUXO DE CAIXA DESC.-BLOCOS PAN'!$D$3:$AO$52,38,FALSE)</f>
        <v>AM - 2 - AL</v>
      </c>
    </row>
    <row r="14" spans="1:39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33</v>
      </c>
      <c r="H14" s="1">
        <f>'RECEITAS - BLOCOS PAN'!H14-'OPEX - BLOCOS PAN'!H14-VLOOKUP('FLUXO DE CAIXA NOM.- BLOCOS PAN'!$D14,'CAPEX - BLOCOS PAN'!$C$3:$H$52,6,FALSE)</f>
        <v>-25473327.004000001</v>
      </c>
      <c r="I14" s="1">
        <f>'RECEITAS - BLOCOS PAN'!I14-'OPEX - BLOCOS PAN'!I14-VLOOKUP('FLUXO DE CAIXA NOM.- BLOCOS PAN'!$D14,'CAPEX - BLOCOS PAN'!$C$3:$I$52,7,FALSE)</f>
        <v>-25442719.755800001</v>
      </c>
      <c r="J14" s="1">
        <f>'RECEITAS - BLOCOS PAN'!J14-'OPEX - BLOCOS PAN'!J14-VLOOKUP('FLUXO DE CAIXA NOM.- BLOCOS PAN'!$D14,'CAPEX - BLOCOS PAN'!$C$3:$J$52,8,FALSE)</f>
        <v>-25416579.187100001</v>
      </c>
      <c r="K14" s="1">
        <f>'RECEITAS - BLOCOS PAN'!K14-'OPEX - BLOCOS PAN'!K14-VLOOKUP('FLUXO DE CAIXA NOM.- BLOCOS PAN'!$D14,'CAPEX - BLOCOS PAN'!$C$3:$K$52,9,FALSE)</f>
        <v>-2865253.0871000001</v>
      </c>
      <c r="L14" s="1">
        <f>'RECEITAS - BLOCOS PAN'!L14-'OPEX - BLOCOS PAN'!L14-VLOOKUP('FLUXO DE CAIXA NOM.- BLOCOS PAN'!$D14,'CAPEX - BLOCOS PAN'!$C$3:$L$52,10,FALSE)</f>
        <v>-2846042.7765000002</v>
      </c>
      <c r="M14" s="1">
        <f>'RECEITAS - BLOCOS PAN'!M14-'OPEX - BLOCOS PAN'!M14-VLOOKUP('FLUXO DE CAIXA NOM.- BLOCOS PAN'!$D14,'CAPEX - BLOCOS PAN'!$C$3:$M$52,11,FALSE)</f>
        <v>-2827468.0160000003</v>
      </c>
      <c r="N14" s="1">
        <f>'RECEITAS - BLOCOS PAN'!N14-'OPEX - BLOCOS PAN'!N14-VLOOKUP('FLUXO DE CAIXA NOM.- BLOCOS PAN'!$D14,'CAPEX - BLOCOS PAN'!$C$3:$N$52,12,FALSE)</f>
        <v>-2809506.9307000004</v>
      </c>
      <c r="O14" s="1">
        <f>'RECEITAS - BLOCOS PAN'!O14-'OPEX - BLOCOS PAN'!O14-VLOOKUP('FLUXO DE CAIXA NOM.- BLOCOS PAN'!$D14,'CAPEX - BLOCOS PAN'!$C$3:$O$52,13,FALSE)</f>
        <v>-2791617.3453000002</v>
      </c>
      <c r="P14" s="1">
        <f>'RECEITAS - BLOCOS PAN'!P14-'OPEX - BLOCOS PAN'!P14-VLOOKUP('FLUXO DE CAIXA NOM.- BLOCOS PAN'!$D14,'CAPEX - BLOCOS PAN'!$C$3:$P$52,14,FALSE)</f>
        <v>-2774414.6897</v>
      </c>
      <c r="Q14" s="1">
        <f>'RECEITAS - BLOCOS PAN'!Q14-'OPEX - BLOCOS PAN'!Q14-VLOOKUP('FLUXO DE CAIXA NOM.- BLOCOS PAN'!$D14,'CAPEX - BLOCOS PAN'!$C$3:$Q$52,15,FALSE)</f>
        <v>-2970930.6558999997</v>
      </c>
      <c r="R14" s="1">
        <f>'RECEITAS - BLOCOS PAN'!R14-'OPEX - BLOCOS PAN'!R14-VLOOKUP('FLUXO DE CAIXA NOM.- BLOCOS PAN'!$D14,'CAPEX - BLOCOS PAN'!$C$3:$R$52,16,FALSE)</f>
        <v>-2955130.8003000002</v>
      </c>
      <c r="S14" s="1">
        <f>'RECEITAS - BLOCOS PAN'!S14-'OPEX - BLOCOS PAN'!S14-VLOOKUP('FLUXO DE CAIXA NOM.- BLOCOS PAN'!$D14,'CAPEX - BLOCOS PAN'!$C$3:$S$52,17,FALSE)</f>
        <v>-2939159.1643999997</v>
      </c>
      <c r="T14" s="1">
        <f>'RECEITAS - BLOCOS PAN'!T14-'OPEX - BLOCOS PAN'!T14-VLOOKUP('FLUXO DE CAIXA NOM.- BLOCOS PAN'!$D14,'CAPEX - BLOCOS PAN'!$C$3:$T$52,18,FALSE)</f>
        <v>-2922987.8925000001</v>
      </c>
      <c r="U14" s="1">
        <f>'RECEITAS - BLOCOS PAN'!U14-'OPEX - BLOCOS PAN'!U14-VLOOKUP('FLUXO DE CAIXA NOM.- BLOCOS PAN'!$D14,'CAPEX - BLOCOS PAN'!$C$3:$U$52,19,FALSE)</f>
        <v>-2906217.7082000002</v>
      </c>
      <c r="V14" s="1">
        <f>'RECEITAS - BLOCOS PAN'!V14-'OPEX - BLOCOS PAN'!V14-VLOOKUP('FLUXO DE CAIXA NOM.- BLOCOS PAN'!$D14,'CAPEX - BLOCOS PAN'!$C$3:$V$52,20,FALSE)</f>
        <v>-2889533.0839</v>
      </c>
      <c r="W14" s="1">
        <f>'RECEITAS - BLOCOS PAN'!W14-'OPEX - BLOCOS PAN'!W14-VLOOKUP('FLUXO DE CAIXA NOM.- BLOCOS PAN'!$D14,'CAPEX - BLOCOS PAN'!$C$3:$W$52,21,FALSE)</f>
        <v>-2872221.0271000001</v>
      </c>
      <c r="X14" s="1">
        <f>'RECEITAS - BLOCOS PAN'!X14-'OPEX - BLOCOS PAN'!X14-VLOOKUP('FLUXO DE CAIXA NOM.- BLOCOS PAN'!$D14,'CAPEX - BLOCOS PAN'!$C$3:$X$52,22,FALSE)</f>
        <v>-2854781.2943000002</v>
      </c>
      <c r="Y14" s="1">
        <f>'RECEITAS - BLOCOS PAN'!Y14-'OPEX - BLOCOS PAN'!Y14-VLOOKUP('FLUXO DE CAIXA NOM.- BLOCOS PAN'!$D14,'CAPEX - BLOCOS PAN'!$C$3:$Y$52,23,FALSE)</f>
        <v>-2836648.3577000001</v>
      </c>
      <c r="Z14" s="1">
        <f>'RECEITAS - BLOCOS PAN'!Z14-'OPEX - BLOCOS PAN'!Z14-VLOOKUP('FLUXO DE CAIXA NOM.- BLOCOS PAN'!$D14,'CAPEX - BLOCOS PAN'!$C$3:$Z$52,24,FALSE)</f>
        <v>-2818018.5671000001</v>
      </c>
      <c r="AA14" s="1">
        <f>'RECEITAS - BLOCOS PAN'!AA14-'OPEX - BLOCOS PAN'!AA14-VLOOKUP('FLUXO DE CAIXA NOM.- BLOCOS PAN'!$D14,'CAPEX - BLOCOS PAN'!$C$3:$AA$52,25,FALSE)</f>
        <v>-2798966.8158</v>
      </c>
      <c r="AB14" s="1">
        <f>'RECEITAS - BLOCOS PAN'!AB14-'OPEX - BLOCOS PAN'!AB14-VLOOKUP('FLUXO DE CAIXA NOM.- BLOCOS PAN'!$D14,'CAPEX - BLOCOS PAN'!$C$3:$AB$52,26,FALSE)</f>
        <v>-2780086.1818000004</v>
      </c>
      <c r="AC14" s="1">
        <f>'RECEITAS - BLOCOS PAN'!AC14-'OPEX - BLOCOS PAN'!AC14-VLOOKUP('FLUXO DE CAIXA NOM.- BLOCOS PAN'!$D14,'CAPEX - BLOCOS PAN'!$C$3:$AC$52,27,FALSE)</f>
        <v>-2760635.1557999998</v>
      </c>
      <c r="AD14" s="1">
        <f>'RECEITAS - BLOCOS PAN'!AD14-'OPEX - BLOCOS PAN'!AD14-VLOOKUP('FLUXO DE CAIXA NOM.- BLOCOS PAN'!$D14,'CAPEX - BLOCOS PAN'!$C$3:$AD$52,28,FALSE)</f>
        <v>-2741184.1296999999</v>
      </c>
      <c r="AE14" s="1">
        <f>'RECEITAS - BLOCOS PAN'!AE14-'OPEX - BLOCOS PAN'!AE14-VLOOKUP('FLUXO DE CAIXA NOM.- BLOCOS PAN'!$D14,'CAPEX - BLOCOS PAN'!$C$3:$AE$52,29,FALSE)</f>
        <v>-2721390.8692999999</v>
      </c>
      <c r="AF14" s="1">
        <f>'RECEITAS - BLOCOS PAN'!AF14-'OPEX - BLOCOS PAN'!AF14-VLOOKUP('FLUXO DE CAIXA NOM.- BLOCOS PAN'!$D14,'CAPEX - BLOCOS PAN'!$C$3:$AF$52,30,FALSE)</f>
        <v>-2701654.6472999994</v>
      </c>
      <c r="AG14" s="1">
        <f>'RECEITAS - BLOCOS PAN'!AG14-'OPEX - BLOCOS PAN'!AG14-VLOOKUP('FLUXO DE CAIXA NOM.- BLOCOS PAN'!$D14,'CAPEX - BLOCOS PAN'!$C$3:$AG$52,31,FALSE)</f>
        <v>-3314730.1267999997</v>
      </c>
      <c r="AH14" s="1">
        <f>'RECEITAS - BLOCOS PAN'!AH14-'OPEX - BLOCOS PAN'!AH14-VLOOKUP('FLUXO DE CAIXA NOM.- BLOCOS PAN'!$D14,'CAPEX - BLOCOS PAN'!$C$3:$AH$52,32,FALSE)</f>
        <v>-3293107.7424000003</v>
      </c>
      <c r="AI14" s="1">
        <f>'RECEITAS - BLOCOS PAN'!AI14-'OPEX - BLOCOS PAN'!AI14-VLOOKUP('FLUXO DE CAIXA NOM.- BLOCOS PAN'!$D14,'CAPEX - BLOCOS PAN'!$C$3:$AI$52,33,FALSE)</f>
        <v>-3271194.8789999993</v>
      </c>
      <c r="AJ14" s="1">
        <f>'RECEITAS - BLOCOS PAN'!AJ14-'OPEX - BLOCOS PAN'!AJ14-VLOOKUP('FLUXO DE CAIXA NOM.- BLOCOS PAN'!$D14,'CAPEX - BLOCOS PAN'!$C$3:$AJ$52,34,FALSE)</f>
        <v>-3248649.5033</v>
      </c>
      <c r="AK14" s="1">
        <f>'RECEITAS - BLOCOS PAN'!AK14-'OPEX - BLOCOS PAN'!AK14-VLOOKUP('FLUXO DE CAIXA NOM.- BLOCOS PAN'!$D14,'CAPEX - BLOCOS PAN'!$C$3:$AK$52,35,FALSE)</f>
        <v>-3225541.6668000002</v>
      </c>
      <c r="AL14" s="44">
        <f t="shared" si="1"/>
        <v>-155069699.06160006</v>
      </c>
      <c r="AM14" t="str">
        <f>VLOOKUP(D14,'FLUXO DE CAIXA DESC.-BLOCOS PAN'!$D$3:$AO$52,38,FALSE)</f>
        <v>Bloco Nordeste</v>
      </c>
    </row>
    <row r="15" spans="1:39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33</v>
      </c>
      <c r="H15" s="1">
        <f>'RECEITAS - BLOCOS PAN'!H15-'OPEX - BLOCOS PAN'!H15-VLOOKUP('FLUXO DE CAIXA NOM.- BLOCOS PAN'!$D15,'CAPEX - BLOCOS PAN'!$C$3:$H$52,6,FALSE)</f>
        <v>-56720561.982733339</v>
      </c>
      <c r="I15" s="1">
        <f>'RECEITAS - BLOCOS PAN'!I15-'OPEX - BLOCOS PAN'!I15-VLOOKUP('FLUXO DE CAIXA NOM.- BLOCOS PAN'!$D15,'CAPEX - BLOCOS PAN'!$C$3:$I$52,7,FALSE)</f>
        <v>-56654208.852033332</v>
      </c>
      <c r="J15" s="1">
        <f>'RECEITAS - BLOCOS PAN'!J15-'OPEX - BLOCOS PAN'!J15-VLOOKUP('FLUXO DE CAIXA NOM.- BLOCOS PAN'!$D15,'CAPEX - BLOCOS PAN'!$C$3:$J$52,8,FALSE)</f>
        <v>-56599963.25743334</v>
      </c>
      <c r="K15" s="1">
        <f>'RECEITAS - BLOCOS PAN'!K15-'OPEX - BLOCOS PAN'!K15-VLOOKUP('FLUXO DE CAIXA NOM.- BLOCOS PAN'!$D15,'CAPEX - BLOCOS PAN'!$C$3:$K$52,9,FALSE)</f>
        <v>-2154862.5605000001</v>
      </c>
      <c r="L15" s="1">
        <f>'RECEITAS - BLOCOS PAN'!L15-'OPEX - BLOCOS PAN'!L15-VLOOKUP('FLUXO DE CAIXA NOM.- BLOCOS PAN'!$D15,'CAPEX - BLOCOS PAN'!$C$3:$L$52,10,FALSE)</f>
        <v>-3128309.9234000007</v>
      </c>
      <c r="M15" s="1">
        <f>'RECEITAS - BLOCOS PAN'!M15-'OPEX - BLOCOS PAN'!M15-VLOOKUP('FLUXO DE CAIXA NOM.- BLOCOS PAN'!$D15,'CAPEX - BLOCOS PAN'!$C$3:$M$52,11,FALSE)</f>
        <v>-3090144.2938999999</v>
      </c>
      <c r="N15" s="1">
        <f>'RECEITAS - BLOCOS PAN'!N15-'OPEX - BLOCOS PAN'!N15-VLOOKUP('FLUXO DE CAIXA NOM.- BLOCOS PAN'!$D15,'CAPEX - BLOCOS PAN'!$C$3:$N$52,12,FALSE)</f>
        <v>-3053600.8111999999</v>
      </c>
      <c r="O15" s="1">
        <f>'RECEITAS - BLOCOS PAN'!O15-'OPEX - BLOCOS PAN'!O15-VLOOKUP('FLUXO DE CAIXA NOM.- BLOCOS PAN'!$D15,'CAPEX - BLOCOS PAN'!$C$3:$O$52,13,FALSE)</f>
        <v>-3018434.6093000001</v>
      </c>
      <c r="P15" s="1">
        <f>'RECEITAS - BLOCOS PAN'!P15-'OPEX - BLOCOS PAN'!P15-VLOOKUP('FLUXO DE CAIXA NOM.- BLOCOS PAN'!$D15,'CAPEX - BLOCOS PAN'!$C$3:$P$52,14,FALSE)</f>
        <v>-2985265.9907</v>
      </c>
      <c r="Q15" s="1">
        <f>'RECEITAS - BLOCOS PAN'!Q15-'OPEX - BLOCOS PAN'!Q15-VLOOKUP('FLUXO DE CAIXA NOM.- BLOCOS PAN'!$D15,'CAPEX - BLOCOS PAN'!$C$3:$Q$52,15,FALSE)</f>
        <v>-2954398.5878999997</v>
      </c>
      <c r="R15" s="1">
        <f>'RECEITAS - BLOCOS PAN'!R15-'OPEX - BLOCOS PAN'!R15-VLOOKUP('FLUXO DE CAIXA NOM.- BLOCOS PAN'!$D15,'CAPEX - BLOCOS PAN'!$C$3:$R$52,16,FALSE)</f>
        <v>-2925124.6460000006</v>
      </c>
      <c r="S15" s="1">
        <f>'RECEITAS - BLOCOS PAN'!S15-'OPEX - BLOCOS PAN'!S15-VLOOKUP('FLUXO DE CAIXA NOM.- BLOCOS PAN'!$D15,'CAPEX - BLOCOS PAN'!$C$3:$S$52,17,FALSE)</f>
        <v>-2895964.1980999997</v>
      </c>
      <c r="T15" s="1">
        <f>'RECEITAS - BLOCOS PAN'!T15-'OPEX - BLOCOS PAN'!T15-VLOOKUP('FLUXO DE CAIXA NOM.- BLOCOS PAN'!$D15,'CAPEX - BLOCOS PAN'!$C$3:$T$52,18,FALSE)</f>
        <v>-2866799.6649000002</v>
      </c>
      <c r="U15" s="1">
        <f>'RECEITAS - BLOCOS PAN'!U15-'OPEX - BLOCOS PAN'!U15-VLOOKUP('FLUXO DE CAIXA NOM.- BLOCOS PAN'!$D15,'CAPEX - BLOCOS PAN'!$C$3:$U$52,19,FALSE)</f>
        <v>-2836801.3334000004</v>
      </c>
      <c r="V15" s="1">
        <f>'RECEITAS - BLOCOS PAN'!V15-'OPEX - BLOCOS PAN'!V15-VLOOKUP('FLUXO DE CAIXA NOM.- BLOCOS PAN'!$D15,'CAPEX - BLOCOS PAN'!$C$3:$V$52,20,FALSE)</f>
        <v>-2807055.2313999999</v>
      </c>
      <c r="W15" s="1">
        <f>'RECEITAS - BLOCOS PAN'!W15-'OPEX - BLOCOS PAN'!W15-VLOOKUP('FLUXO DE CAIXA NOM.- BLOCOS PAN'!$D15,'CAPEX - BLOCOS PAN'!$C$3:$W$52,21,FALSE)</f>
        <v>-2776792.9248000002</v>
      </c>
      <c r="X15" s="1">
        <f>'RECEITAS - BLOCOS PAN'!X15-'OPEX - BLOCOS PAN'!X15-VLOOKUP('FLUXO DE CAIXA NOM.- BLOCOS PAN'!$D15,'CAPEX - BLOCOS PAN'!$C$3:$X$52,22,FALSE)</f>
        <v>-2746386.8609999996</v>
      </c>
      <c r="Y15" s="1">
        <f>'RECEITAS - BLOCOS PAN'!Y15-'OPEX - BLOCOS PAN'!Y15-VLOOKUP('FLUXO DE CAIXA NOM.- BLOCOS PAN'!$D15,'CAPEX - BLOCOS PAN'!$C$3:$Y$52,23,FALSE)</f>
        <v>-2714947.5972000007</v>
      </c>
      <c r="Z15" s="1">
        <f>'RECEITAS - BLOCOS PAN'!Z15-'OPEX - BLOCOS PAN'!Z15-VLOOKUP('FLUXO DE CAIXA NOM.- BLOCOS PAN'!$D15,'CAPEX - BLOCOS PAN'!$C$3:$Z$52,24,FALSE)</f>
        <v>-2683148.8960000002</v>
      </c>
      <c r="AA15" s="1">
        <f>'RECEITAS - BLOCOS PAN'!AA15-'OPEX - BLOCOS PAN'!AA15-VLOOKUP('FLUXO DE CAIXA NOM.- BLOCOS PAN'!$D15,'CAPEX - BLOCOS PAN'!$C$3:$AA$52,25,FALSE)</f>
        <v>-2650496.9477999997</v>
      </c>
      <c r="AB15" s="1">
        <f>'RECEITAS - BLOCOS PAN'!AB15-'OPEX - BLOCOS PAN'!AB15-VLOOKUP('FLUXO DE CAIXA NOM.- BLOCOS PAN'!$D15,'CAPEX - BLOCOS PAN'!$C$3:$AB$52,26,FALSE)</f>
        <v>-2618492.4128999999</v>
      </c>
      <c r="AC15" s="1">
        <f>'RECEITAS - BLOCOS PAN'!AC15-'OPEX - BLOCOS PAN'!AC15-VLOOKUP('FLUXO DE CAIXA NOM.- BLOCOS PAN'!$D15,'CAPEX - BLOCOS PAN'!$C$3:$AC$52,27,FALSE)</f>
        <v>-2586104.1351999994</v>
      </c>
      <c r="AD15" s="1">
        <f>'RECEITAS - BLOCOS PAN'!AD15-'OPEX - BLOCOS PAN'!AD15-VLOOKUP('FLUXO DE CAIXA NOM.- BLOCOS PAN'!$D15,'CAPEX - BLOCOS PAN'!$C$3:$AD$52,28,FALSE)</f>
        <v>-2553704.2611999996</v>
      </c>
      <c r="AE15" s="1">
        <f>'RECEITAS - BLOCOS PAN'!AE15-'OPEX - BLOCOS PAN'!AE15-VLOOKUP('FLUXO DE CAIXA NOM.- BLOCOS PAN'!$D15,'CAPEX - BLOCOS PAN'!$C$3:$AE$52,29,FALSE)</f>
        <v>-2522614.4318999997</v>
      </c>
      <c r="AF15" s="1">
        <f>'RECEITAS - BLOCOS PAN'!AF15-'OPEX - BLOCOS PAN'!AF15-VLOOKUP('FLUXO DE CAIXA NOM.- BLOCOS PAN'!$D15,'CAPEX - BLOCOS PAN'!$C$3:$AF$52,30,FALSE)</f>
        <v>-2492534.2714</v>
      </c>
      <c r="AG15" s="1">
        <f>'RECEITAS - BLOCOS PAN'!AG15-'OPEX - BLOCOS PAN'!AG15-VLOOKUP('FLUXO DE CAIXA NOM.- BLOCOS PAN'!$D15,'CAPEX - BLOCOS PAN'!$C$3:$AG$52,31,FALSE)</f>
        <v>-2462535.9389999998</v>
      </c>
      <c r="AH15" s="1">
        <f>'RECEITAS - BLOCOS PAN'!AH15-'OPEX - BLOCOS PAN'!AH15-VLOOKUP('FLUXO DE CAIXA NOM.- BLOCOS PAN'!$D15,'CAPEX - BLOCOS PAN'!$C$3:$AH$52,32,FALSE)</f>
        <v>-2433608.2776000006</v>
      </c>
      <c r="AI15" s="1">
        <f>'RECEITAS - BLOCOS PAN'!AI15-'OPEX - BLOCOS PAN'!AI15-VLOOKUP('FLUXO DE CAIXA NOM.- BLOCOS PAN'!$D15,'CAPEX - BLOCOS PAN'!$C$3:$AI$52,33,FALSE)</f>
        <v>-2404463.4978999998</v>
      </c>
      <c r="AJ15" s="1">
        <f>'RECEITAS - BLOCOS PAN'!AJ15-'OPEX - BLOCOS PAN'!AJ15-VLOOKUP('FLUXO DE CAIXA NOM.- BLOCOS PAN'!$D15,'CAPEX - BLOCOS PAN'!$C$3:$AJ$52,34,FALSE)</f>
        <v>-2374678.2002999997</v>
      </c>
      <c r="AK15" s="1">
        <f>'RECEITAS - BLOCOS PAN'!AK15-'OPEX - BLOCOS PAN'!AK15-VLOOKUP('FLUXO DE CAIXA NOM.- BLOCOS PAN'!$D15,'CAPEX - BLOCOS PAN'!$C$3:$AK$52,35,FALSE)</f>
        <v>-2344493.4898999995</v>
      </c>
      <c r="AL15" s="44">
        <f t="shared" si="1"/>
        <v>-243056498.0870001</v>
      </c>
      <c r="AM15" t="str">
        <f>VLOOKUP(D15,'FLUXO DE CAIXA DESC.-BLOCOS PAN'!$D$3:$AO$52,38,FALSE)</f>
        <v>RO - 1 - AL</v>
      </c>
    </row>
    <row r="16" spans="1:39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33</v>
      </c>
      <c r="H16" s="1">
        <f>'RECEITAS - BLOCOS PAN'!H16-'OPEX - BLOCOS PAN'!H16-VLOOKUP('FLUXO DE CAIXA NOM.- BLOCOS PAN'!$D16,'CAPEX - BLOCOS PAN'!$C$3:$H$52,6,FALSE)</f>
        <v>-17427614.374499999</v>
      </c>
      <c r="I16" s="1">
        <f>'RECEITAS - BLOCOS PAN'!I16-'OPEX - BLOCOS PAN'!I16-VLOOKUP('FLUXO DE CAIXA NOM.- BLOCOS PAN'!$D16,'CAPEX - BLOCOS PAN'!$C$3:$I$52,7,FALSE)</f>
        <v>-17410039.383200001</v>
      </c>
      <c r="J16" s="1">
        <f>'RECEITAS - BLOCOS PAN'!J16-'OPEX - BLOCOS PAN'!J16-VLOOKUP('FLUXO DE CAIXA NOM.- BLOCOS PAN'!$D16,'CAPEX - BLOCOS PAN'!$C$3:$J$52,8,FALSE)</f>
        <v>-17396053.6415</v>
      </c>
      <c r="K16" s="1">
        <f>'RECEITAS - BLOCOS PAN'!K16-'OPEX - BLOCOS PAN'!K16-VLOOKUP('FLUXO DE CAIXA NOM.- BLOCOS PAN'!$D16,'CAPEX - BLOCOS PAN'!$C$3:$K$52,9,FALSE)</f>
        <v>-2646614.7905000001</v>
      </c>
      <c r="L16" s="1">
        <f>'RECEITAS - BLOCOS PAN'!L16-'OPEX - BLOCOS PAN'!L16-VLOOKUP('FLUXO DE CAIXA NOM.- BLOCOS PAN'!$D16,'CAPEX - BLOCOS PAN'!$C$3:$L$52,10,FALSE)</f>
        <v>-2637600.7756999996</v>
      </c>
      <c r="M16" s="1">
        <f>'RECEITAS - BLOCOS PAN'!M16-'OPEX - BLOCOS PAN'!M16-VLOOKUP('FLUXO DE CAIXA NOM.- BLOCOS PAN'!$D16,'CAPEX - BLOCOS PAN'!$C$3:$M$52,11,FALSE)</f>
        <v>-2629620.9485999993</v>
      </c>
      <c r="N16" s="1">
        <f>'RECEITAS - BLOCOS PAN'!N16-'OPEX - BLOCOS PAN'!N16-VLOOKUP('FLUXO DE CAIXA NOM.- BLOCOS PAN'!$D16,'CAPEX - BLOCOS PAN'!$C$3:$N$52,12,FALSE)</f>
        <v>-2621441.4651000001</v>
      </c>
      <c r="O16" s="1">
        <f>'RECEITAS - BLOCOS PAN'!O16-'OPEX - BLOCOS PAN'!O16-VLOOKUP('FLUXO DE CAIXA NOM.- BLOCOS PAN'!$D16,'CAPEX - BLOCOS PAN'!$C$3:$O$52,13,FALSE)</f>
        <v>-2612947.3857999993</v>
      </c>
      <c r="P16" s="1">
        <f>'RECEITAS - BLOCOS PAN'!P16-'OPEX - BLOCOS PAN'!P16-VLOOKUP('FLUXO DE CAIXA NOM.- BLOCOS PAN'!$D16,'CAPEX - BLOCOS PAN'!$C$3:$P$52,14,FALSE)</f>
        <v>-2604744.9896</v>
      </c>
      <c r="Q16" s="1">
        <f>'RECEITAS - BLOCOS PAN'!Q16-'OPEX - BLOCOS PAN'!Q16-VLOOKUP('FLUXO DE CAIXA NOM.- BLOCOS PAN'!$D16,'CAPEX - BLOCOS PAN'!$C$3:$Q$52,15,FALSE)</f>
        <v>-2596780.0033999998</v>
      </c>
      <c r="R16" s="1">
        <f>'RECEITAS - BLOCOS PAN'!R16-'OPEX - BLOCOS PAN'!R16-VLOOKUP('FLUXO DE CAIXA NOM.- BLOCOS PAN'!$D16,'CAPEX - BLOCOS PAN'!$C$3:$R$52,16,FALSE)</f>
        <v>-2589329.8093999997</v>
      </c>
      <c r="S16" s="1">
        <f>'RECEITAS - BLOCOS PAN'!S16-'OPEX - BLOCOS PAN'!S16-VLOOKUP('FLUXO DE CAIXA NOM.- BLOCOS PAN'!$D16,'CAPEX - BLOCOS PAN'!$C$3:$S$52,17,FALSE)</f>
        <v>-2581464.3803999997</v>
      </c>
      <c r="T16" s="1">
        <f>'RECEITAS - BLOCOS PAN'!T16-'OPEX - BLOCOS PAN'!T16-VLOOKUP('FLUXO DE CAIXA NOM.- BLOCOS PAN'!$D16,'CAPEX - BLOCOS PAN'!$C$3:$T$52,18,FALSE)</f>
        <v>-2573728.1905</v>
      </c>
      <c r="U16" s="1">
        <f>'RECEITAS - BLOCOS PAN'!U16-'OPEX - BLOCOS PAN'!U16-VLOOKUP('FLUXO DE CAIXA NOM.- BLOCOS PAN'!$D16,'CAPEX - BLOCOS PAN'!$C$3:$U$52,19,FALSE)</f>
        <v>-2565706.0047999998</v>
      </c>
      <c r="V16" s="1">
        <f>'RECEITAS - BLOCOS PAN'!V16-'OPEX - BLOCOS PAN'!V16-VLOOKUP('FLUXO DE CAIXA NOM.- BLOCOS PAN'!$D16,'CAPEX - BLOCOS PAN'!$C$3:$V$52,20,FALSE)</f>
        <v>-2557620.9362000003</v>
      </c>
      <c r="W16" s="1">
        <f>'RECEITAS - BLOCOS PAN'!W16-'OPEX - BLOCOS PAN'!W16-VLOOKUP('FLUXO DE CAIXA NOM.- BLOCOS PAN'!$D16,'CAPEX - BLOCOS PAN'!$C$3:$W$52,21,FALSE)</f>
        <v>-2549470.0522000003</v>
      </c>
      <c r="X16" s="1">
        <f>'RECEITAS - BLOCOS PAN'!X16-'OPEX - BLOCOS PAN'!X16-VLOOKUP('FLUXO DE CAIXA NOM.- BLOCOS PAN'!$D16,'CAPEX - BLOCOS PAN'!$C$3:$X$52,22,FALSE)</f>
        <v>-2540975.9728999999</v>
      </c>
      <c r="Y16" s="1">
        <f>'RECEITAS - BLOCOS PAN'!Y16-'OPEX - BLOCOS PAN'!Y16-VLOOKUP('FLUXO DE CAIXA NOM.- BLOCOS PAN'!$D16,'CAPEX - BLOCOS PAN'!$C$3:$Y$52,23,FALSE)</f>
        <v>-2532396.0953000002</v>
      </c>
      <c r="Z16" s="1">
        <f>'RECEITAS - BLOCOS PAN'!Z16-'OPEX - BLOCOS PAN'!Z16-VLOOKUP('FLUXO DE CAIXA NOM.- BLOCOS PAN'!$D16,'CAPEX - BLOCOS PAN'!$C$3:$Z$52,24,FALSE)</f>
        <v>-2523257.9846999999</v>
      </c>
      <c r="AA16" s="1">
        <f>'RECEITAS - BLOCOS PAN'!AA16-'OPEX - BLOCOS PAN'!AA16-VLOOKUP('FLUXO DE CAIXA NOM.- BLOCOS PAN'!$D16,'CAPEX - BLOCOS PAN'!$C$3:$AA$52,25,FALSE)</f>
        <v>-2514177.6137999995</v>
      </c>
      <c r="AB16" s="1">
        <f>'RECEITAS - BLOCOS PAN'!AB16-'OPEX - BLOCOS PAN'!AB16-VLOOKUP('FLUXO DE CAIXA NOM.- BLOCOS PAN'!$D16,'CAPEX - BLOCOS PAN'!$C$3:$AB$52,26,FALSE)</f>
        <v>-2504706.0446000001</v>
      </c>
      <c r="AC16" s="1">
        <f>'RECEITAS - BLOCOS PAN'!AC16-'OPEX - BLOCOS PAN'!AC16-VLOOKUP('FLUXO DE CAIXA NOM.- BLOCOS PAN'!$D16,'CAPEX - BLOCOS PAN'!$C$3:$AC$52,27,FALSE)</f>
        <v>-2495325.3788000001</v>
      </c>
      <c r="AD16" s="1">
        <f>'RECEITAS - BLOCOS PAN'!AD16-'OPEX - BLOCOS PAN'!AD16-VLOOKUP('FLUXO DE CAIXA NOM.- BLOCOS PAN'!$D16,'CAPEX - BLOCOS PAN'!$C$3:$AD$52,28,FALSE)</f>
        <v>-2485615.8163999999</v>
      </c>
      <c r="AE16" s="1">
        <f>'RECEITAS - BLOCOS PAN'!AE16-'OPEX - BLOCOS PAN'!AE16-VLOOKUP('FLUXO DE CAIXA NOM.- BLOCOS PAN'!$D16,'CAPEX - BLOCOS PAN'!$C$3:$AE$52,29,FALSE)</f>
        <v>-2475814.7725</v>
      </c>
      <c r="AF16" s="1">
        <f>'RECEITAS - BLOCOS PAN'!AF16-'OPEX - BLOCOS PAN'!AF16-VLOOKUP('FLUXO DE CAIXA NOM.- BLOCOS PAN'!$D16,'CAPEX - BLOCOS PAN'!$C$3:$AF$52,30,FALSE)</f>
        <v>-2465913.7601000001</v>
      </c>
      <c r="AG16" s="1">
        <f>'RECEITAS - BLOCOS PAN'!AG16-'OPEX - BLOCOS PAN'!AG16-VLOOKUP('FLUXO DE CAIXA NOM.- BLOCOS PAN'!$D16,'CAPEX - BLOCOS PAN'!$C$3:$AG$52,31,FALSE)</f>
        <v>-2455738.5334999999</v>
      </c>
      <c r="AH16" s="1">
        <f>'RECEITAS - BLOCOS PAN'!AH16-'OPEX - BLOCOS PAN'!AH16-VLOOKUP('FLUXO DE CAIXA NOM.- BLOCOS PAN'!$D16,'CAPEX - BLOCOS PAN'!$C$3:$AH$52,32,FALSE)</f>
        <v>-2445670.9358000001</v>
      </c>
      <c r="AI16" s="1">
        <f>'RECEITAS - BLOCOS PAN'!AI16-'OPEX - BLOCOS PAN'!AI16-VLOOKUP('FLUXO DE CAIXA NOM.- BLOCOS PAN'!$D16,'CAPEX - BLOCOS PAN'!$C$3:$AI$52,33,FALSE)</f>
        <v>-2435889.8749000002</v>
      </c>
      <c r="AJ16" s="1">
        <f>'RECEITAS - BLOCOS PAN'!AJ16-'OPEX - BLOCOS PAN'!AJ16-VLOOKUP('FLUXO DE CAIXA NOM.- BLOCOS PAN'!$D16,'CAPEX - BLOCOS PAN'!$C$3:$AJ$52,34,FALSE)</f>
        <v>-2425807.9775</v>
      </c>
      <c r="AK16" s="1">
        <f>'RECEITAS - BLOCOS PAN'!AK16-'OPEX - BLOCOS PAN'!AK16-VLOOKUP('FLUXO DE CAIXA NOM.- BLOCOS PAN'!$D16,'CAPEX - BLOCOS PAN'!$C$3:$AK$52,35,FALSE)</f>
        <v>-2415497.8245000001</v>
      </c>
      <c r="AL16" s="44">
        <f t="shared" si="1"/>
        <v>-120717565.71670002</v>
      </c>
      <c r="AM16" t="str">
        <f>VLOOKUP(D16,'FLUXO DE CAIXA DESC.-BLOCOS PAN'!$D$3:$AO$52,38,FALSE)</f>
        <v>PA - 2 - AL</v>
      </c>
    </row>
    <row r="17" spans="1:39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33</v>
      </c>
      <c r="H17" s="1">
        <f>'RECEITAS - BLOCOS PAN'!H17-'OPEX - BLOCOS PAN'!H17-VLOOKUP('FLUXO DE CAIXA NOM.- BLOCOS PAN'!$D17,'CAPEX - BLOCOS PAN'!$C$3:$H$52,6,FALSE)</f>
        <v>-62628857.632833332</v>
      </c>
      <c r="I17" s="1">
        <f>'RECEITAS - BLOCOS PAN'!I17-'OPEX - BLOCOS PAN'!I17-VLOOKUP('FLUXO DE CAIXA NOM.- BLOCOS PAN'!$D17,'CAPEX - BLOCOS PAN'!$C$3:$I$52,7,FALSE)</f>
        <v>-62596974.774533331</v>
      </c>
      <c r="J17" s="1">
        <f>'RECEITAS - BLOCOS PAN'!J17-'OPEX - BLOCOS PAN'!J17-VLOOKUP('FLUXO DE CAIXA NOM.- BLOCOS PAN'!$D17,'CAPEX - BLOCOS PAN'!$C$3:$J$52,8,FALSE)</f>
        <v>-62569061.03063333</v>
      </c>
      <c r="K17" s="1">
        <f>'RECEITAS - BLOCOS PAN'!K17-'OPEX - BLOCOS PAN'!K17-VLOOKUP('FLUXO DE CAIXA NOM.- BLOCOS PAN'!$D17,'CAPEX - BLOCOS PAN'!$C$3:$K$52,9,FALSE)</f>
        <v>-2551629.3214000002</v>
      </c>
      <c r="L17" s="1">
        <f>'RECEITAS - BLOCOS PAN'!L17-'OPEX - BLOCOS PAN'!L17-VLOOKUP('FLUXO DE CAIXA NOM.- BLOCOS PAN'!$D17,'CAPEX - BLOCOS PAN'!$C$3:$L$52,10,FALSE)</f>
        <v>-2530751.0773999998</v>
      </c>
      <c r="M17" s="1">
        <f>'RECEITAS - BLOCOS PAN'!M17-'OPEX - BLOCOS PAN'!M17-VLOOKUP('FLUXO DE CAIXA NOM.- BLOCOS PAN'!$D17,'CAPEX - BLOCOS PAN'!$C$3:$M$52,11,FALSE)</f>
        <v>-2511942.2831000001</v>
      </c>
      <c r="N17" s="1">
        <f>'RECEITAS - BLOCOS PAN'!N17-'OPEX - BLOCOS PAN'!N17-VLOOKUP('FLUXO DE CAIXA NOM.- BLOCOS PAN'!$D17,'CAPEX - BLOCOS PAN'!$C$3:$N$52,12,FALSE)</f>
        <v>-2491807.6287000007</v>
      </c>
      <c r="O17" s="1">
        <f>'RECEITAS - BLOCOS PAN'!O17-'OPEX - BLOCOS PAN'!O17-VLOOKUP('FLUXO DE CAIXA NOM.- BLOCOS PAN'!$D17,'CAPEX - BLOCOS PAN'!$C$3:$O$52,13,FALSE)</f>
        <v>-2472954.8136999998</v>
      </c>
      <c r="P17" s="1">
        <f>'RECEITAS - BLOCOS PAN'!P17-'OPEX - BLOCOS PAN'!P17-VLOOKUP('FLUXO DE CAIXA NOM.- BLOCOS PAN'!$D17,'CAPEX - BLOCOS PAN'!$C$3:$P$52,14,FALSE)</f>
        <v>-2452606.3366999999</v>
      </c>
      <c r="Q17" s="1">
        <f>'RECEITAS - BLOCOS PAN'!Q17-'OPEX - BLOCOS PAN'!Q17-VLOOKUP('FLUXO DE CAIXA NOM.- BLOCOS PAN'!$D17,'CAPEX - BLOCOS PAN'!$C$3:$Q$52,15,FALSE)</f>
        <v>-2434602.8935000002</v>
      </c>
      <c r="R17" s="1">
        <f>'RECEITAS - BLOCOS PAN'!R17-'OPEX - BLOCOS PAN'!R17-VLOOKUP('FLUXO DE CAIXA NOM.- BLOCOS PAN'!$D17,'CAPEX - BLOCOS PAN'!$C$3:$R$52,16,FALSE)</f>
        <v>-2415397.7263000002</v>
      </c>
      <c r="S17" s="1">
        <f>'RECEITAS - BLOCOS PAN'!S17-'OPEX - BLOCOS PAN'!S17-VLOOKUP('FLUXO DE CAIXA NOM.- BLOCOS PAN'!$D17,'CAPEX - BLOCOS PAN'!$C$3:$S$52,17,FALSE)</f>
        <v>-2553368.8126999997</v>
      </c>
      <c r="T17" s="1">
        <f>'RECEITAS - BLOCOS PAN'!T17-'OPEX - BLOCOS PAN'!T17-VLOOKUP('FLUXO DE CAIXA NOM.- BLOCOS PAN'!$D17,'CAPEX - BLOCOS PAN'!$C$3:$T$52,18,FALSE)</f>
        <v>-2533604.0707999999</v>
      </c>
      <c r="U17" s="1">
        <f>'RECEITAS - BLOCOS PAN'!U17-'OPEX - BLOCOS PAN'!U17-VLOOKUP('FLUXO DE CAIXA NOM.- BLOCOS PAN'!$D17,'CAPEX - BLOCOS PAN'!$C$3:$U$52,19,FALSE)</f>
        <v>-2515350.8683000002</v>
      </c>
      <c r="V17" s="1">
        <f>'RECEITAS - BLOCOS PAN'!V17-'OPEX - BLOCOS PAN'!V17-VLOOKUP('FLUXO DE CAIXA NOM.- BLOCOS PAN'!$D17,'CAPEX - BLOCOS PAN'!$C$3:$V$52,20,FALSE)</f>
        <v>-2494944.4358000001</v>
      </c>
      <c r="W17" s="1">
        <f>'RECEITAS - BLOCOS PAN'!W17-'OPEX - BLOCOS PAN'!W17-VLOOKUP('FLUXO DE CAIXA NOM.- BLOCOS PAN'!$D17,'CAPEX - BLOCOS PAN'!$C$3:$W$52,21,FALSE)</f>
        <v>-2476063.8018999994</v>
      </c>
      <c r="X17" s="1">
        <f>'RECEITAS - BLOCOS PAN'!X17-'OPEX - BLOCOS PAN'!X17-VLOOKUP('FLUXO DE CAIXA NOM.- BLOCOS PAN'!$D17,'CAPEX - BLOCOS PAN'!$C$3:$X$52,22,FALSE)</f>
        <v>-2455072.7176999999</v>
      </c>
      <c r="Y17" s="1">
        <f>'RECEITAS - BLOCOS PAN'!Y17-'OPEX - BLOCOS PAN'!Y17-VLOOKUP('FLUXO DE CAIXA NOM.- BLOCOS PAN'!$D17,'CAPEX - BLOCOS PAN'!$C$3:$Y$52,23,FALSE)</f>
        <v>-2435992.4471</v>
      </c>
      <c r="Z17" s="1">
        <f>'RECEITAS - BLOCOS PAN'!Z17-'OPEX - BLOCOS PAN'!Z17-VLOOKUP('FLUXO DE CAIXA NOM.- BLOCOS PAN'!$D17,'CAPEX - BLOCOS PAN'!$C$3:$Z$52,24,FALSE)</f>
        <v>-2414109.1833000001</v>
      </c>
      <c r="AA17" s="1">
        <f>'RECEITAS - BLOCOS PAN'!AA17-'OPEX - BLOCOS PAN'!AA17-VLOOKUP('FLUXO DE CAIXA NOM.- BLOCOS PAN'!$D17,'CAPEX - BLOCOS PAN'!$C$3:$AA$52,25,FALSE)</f>
        <v>-2394438.4276000005</v>
      </c>
      <c r="AB17" s="1">
        <f>'RECEITAS - BLOCOS PAN'!AB17-'OPEX - BLOCOS PAN'!AB17-VLOOKUP('FLUXO DE CAIXA NOM.- BLOCOS PAN'!$D17,'CAPEX - BLOCOS PAN'!$C$3:$AB$52,26,FALSE)</f>
        <v>-2372235.2603000002</v>
      </c>
      <c r="AC17" s="1">
        <f>'RECEITAS - BLOCOS PAN'!AC17-'OPEX - BLOCOS PAN'!AC17-VLOOKUP('FLUXO DE CAIXA NOM.- BLOCOS PAN'!$D17,'CAPEX - BLOCOS PAN'!$C$3:$AC$52,27,FALSE)</f>
        <v>-2352228.1028</v>
      </c>
      <c r="AD17" s="1">
        <f>'RECEITAS - BLOCOS PAN'!AD17-'OPEX - BLOCOS PAN'!AD17-VLOOKUP('FLUXO DE CAIXA NOM.- BLOCOS PAN'!$D17,'CAPEX - BLOCOS PAN'!$C$3:$AD$52,28,FALSE)</f>
        <v>-2329240.6463000001</v>
      </c>
      <c r="AE17" s="1">
        <f>'RECEITAS - BLOCOS PAN'!AE17-'OPEX - BLOCOS PAN'!AE17-VLOOKUP('FLUXO DE CAIXA NOM.- BLOCOS PAN'!$D17,'CAPEX - BLOCOS PAN'!$C$3:$AE$52,29,FALSE)</f>
        <v>-2313069.3746999996</v>
      </c>
      <c r="AF17" s="1">
        <f>'RECEITAS - BLOCOS PAN'!AF17-'OPEX - BLOCOS PAN'!AF17-VLOOKUP('FLUXO DE CAIXA NOM.- BLOCOS PAN'!$D17,'CAPEX - BLOCOS PAN'!$C$3:$AF$52,30,FALSE)</f>
        <v>-2294088.9219999998</v>
      </c>
      <c r="AG17" s="1">
        <f>'RECEITAS - BLOCOS PAN'!AG17-'OPEX - BLOCOS PAN'!AG17-VLOOKUP('FLUXO DE CAIXA NOM.- BLOCOS PAN'!$D17,'CAPEX - BLOCOS PAN'!$C$3:$AG$52,31,FALSE)</f>
        <v>-2277304.4783999999</v>
      </c>
      <c r="AH17" s="1">
        <f>'RECEITAS - BLOCOS PAN'!AH17-'OPEX - BLOCOS PAN'!AH17-VLOOKUP('FLUXO DE CAIXA NOM.- BLOCOS PAN'!$D17,'CAPEX - BLOCOS PAN'!$C$3:$AH$52,32,FALSE)</f>
        <v>-3324198.8028000002</v>
      </c>
      <c r="AI17" s="1">
        <f>'RECEITAS - BLOCOS PAN'!AI17-'OPEX - BLOCOS PAN'!AI17-VLOOKUP('FLUXO DE CAIXA NOM.- BLOCOS PAN'!$D17,'CAPEX - BLOCOS PAN'!$C$3:$AI$52,33,FALSE)</f>
        <v>-3305881.9929999998</v>
      </c>
      <c r="AJ17" s="1">
        <f>'RECEITAS - BLOCOS PAN'!AJ17-'OPEX - BLOCOS PAN'!AJ17-VLOOKUP('FLUXO DE CAIXA NOM.- BLOCOS PAN'!$D17,'CAPEX - BLOCOS PAN'!$C$3:$AJ$52,34,FALSE)</f>
        <v>-3287212.6281999997</v>
      </c>
      <c r="AK17" s="1">
        <f>'RECEITAS - BLOCOS PAN'!AK17-'OPEX - BLOCOS PAN'!AK17-VLOOKUP('FLUXO DE CAIXA NOM.- BLOCOS PAN'!$D17,'CAPEX - BLOCOS PAN'!$C$3:$AK$52,35,FALSE)</f>
        <v>-3268155.1347000003</v>
      </c>
      <c r="AL17" s="44">
        <f t="shared" si="1"/>
        <v>-257053145.62719995</v>
      </c>
      <c r="AM17" t="str">
        <f>VLOOKUP(D17,'FLUXO DE CAIXA DESC.-BLOCOS PAN'!$D$3:$AO$52,38,FALSE)</f>
        <v>PA - 2 - AL</v>
      </c>
    </row>
    <row r="18" spans="1:39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33</v>
      </c>
      <c r="H18" s="1">
        <f>'RECEITAS - BLOCOS PAN'!H18-'OPEX - BLOCOS PAN'!H18-VLOOKUP('FLUXO DE CAIXA NOM.- BLOCOS PAN'!$D18,'CAPEX - BLOCOS PAN'!$C$3:$H$52,6,FALSE)</f>
        <v>-18380901.850200001</v>
      </c>
      <c r="I18" s="1">
        <f>'RECEITAS - BLOCOS PAN'!I18-'OPEX - BLOCOS PAN'!I18-VLOOKUP('FLUXO DE CAIXA NOM.- BLOCOS PAN'!$D18,'CAPEX - BLOCOS PAN'!$C$3:$I$52,7,FALSE)</f>
        <v>-18368485.063700002</v>
      </c>
      <c r="J18" s="1">
        <f>'RECEITAS - BLOCOS PAN'!J18-'OPEX - BLOCOS PAN'!J18-VLOOKUP('FLUXO DE CAIXA NOM.- BLOCOS PAN'!$D18,'CAPEX - BLOCOS PAN'!$C$3:$J$52,8,FALSE)</f>
        <v>-18358598.221499998</v>
      </c>
      <c r="K18" s="1">
        <f>'RECEITAS - BLOCOS PAN'!K18-'OPEX - BLOCOS PAN'!K18-VLOOKUP('FLUXO DE CAIXA NOM.- BLOCOS PAN'!$D18,'CAPEX - BLOCOS PAN'!$C$3:$K$52,9,FALSE)</f>
        <v>-2702771.1719</v>
      </c>
      <c r="L18" s="1">
        <f>'RECEITAS - BLOCOS PAN'!L18-'OPEX - BLOCOS PAN'!L18-VLOOKUP('FLUXO DE CAIXA NOM.- BLOCOS PAN'!$D18,'CAPEX - BLOCOS PAN'!$C$3:$L$52,10,FALSE)</f>
        <v>-2696622.2603000002</v>
      </c>
      <c r="M18" s="1">
        <f>'RECEITAS - BLOCOS PAN'!M18-'OPEX - BLOCOS PAN'!M18-VLOOKUP('FLUXO DE CAIXA NOM.- BLOCOS PAN'!$D18,'CAPEX - BLOCOS PAN'!$C$3:$M$52,11,FALSE)</f>
        <v>-2691031.0396000003</v>
      </c>
      <c r="N18" s="1">
        <f>'RECEITAS - BLOCOS PAN'!N18-'OPEX - BLOCOS PAN'!N18-VLOOKUP('FLUXO DE CAIXA NOM.- BLOCOS PAN'!$D18,'CAPEX - BLOCOS PAN'!$C$3:$N$52,12,FALSE)</f>
        <v>-2685482.1776000001</v>
      </c>
      <c r="O18" s="1">
        <f>'RECEITAS - BLOCOS PAN'!O18-'OPEX - BLOCOS PAN'!O18-VLOOKUP('FLUXO DE CAIXA NOM.- BLOCOS PAN'!$D18,'CAPEX - BLOCOS PAN'!$C$3:$O$52,13,FALSE)</f>
        <v>-2679805.1585000004</v>
      </c>
      <c r="P18" s="1">
        <f>'RECEITAS - BLOCOS PAN'!P18-'OPEX - BLOCOS PAN'!P18-VLOOKUP('FLUXO DE CAIXA NOM.- BLOCOS PAN'!$D18,'CAPEX - BLOCOS PAN'!$C$3:$P$52,14,FALSE)</f>
        <v>-2674256.8374000005</v>
      </c>
      <c r="Q18" s="1">
        <f>'RECEITAS - BLOCOS PAN'!Q18-'OPEX - BLOCOS PAN'!Q18-VLOOKUP('FLUXO DE CAIXA NOM.- BLOCOS PAN'!$D18,'CAPEX - BLOCOS PAN'!$C$3:$Q$52,15,FALSE)</f>
        <v>-2669066.0116999997</v>
      </c>
      <c r="R18" s="1">
        <f>'RECEITAS - BLOCOS PAN'!R18-'OPEX - BLOCOS PAN'!R18-VLOOKUP('FLUXO DE CAIXA NOM.- BLOCOS PAN'!$D18,'CAPEX - BLOCOS PAN'!$C$3:$R$52,16,FALSE)</f>
        <v>-2664061.0827000006</v>
      </c>
      <c r="S18" s="1">
        <f>'RECEITAS - BLOCOS PAN'!S18-'OPEX - BLOCOS PAN'!S18-VLOOKUP('FLUXO DE CAIXA NOM.- BLOCOS PAN'!$D18,'CAPEX - BLOCOS PAN'!$C$3:$S$52,17,FALSE)</f>
        <v>-2658955.5143999998</v>
      </c>
      <c r="T18" s="1">
        <f>'RECEITAS - BLOCOS PAN'!T18-'OPEX - BLOCOS PAN'!T18-VLOOKUP('FLUXO DE CAIXA NOM.- BLOCOS PAN'!$D18,'CAPEX - BLOCOS PAN'!$C$3:$T$52,18,FALSE)</f>
        <v>-2653893.3868</v>
      </c>
      <c r="U18" s="1">
        <f>'RECEITAS - BLOCOS PAN'!U18-'OPEX - BLOCOS PAN'!U18-VLOOKUP('FLUXO DE CAIXA NOM.- BLOCOS PAN'!$D18,'CAPEX - BLOCOS PAN'!$C$3:$U$52,19,FALSE)</f>
        <v>-2648616.7616000003</v>
      </c>
      <c r="V18" s="1">
        <f>'RECEITAS - BLOCOS PAN'!V18-'OPEX - BLOCOS PAN'!V18-VLOOKUP('FLUXO DE CAIXA NOM.- BLOCOS PAN'!$D18,'CAPEX - BLOCOS PAN'!$C$3:$V$52,20,FALSE)</f>
        <v>-2643383.0362999998</v>
      </c>
      <c r="W18" s="1">
        <f>'RECEITAS - BLOCOS PAN'!W18-'OPEX - BLOCOS PAN'!W18-VLOOKUP('FLUXO DE CAIXA NOM.- BLOCOS PAN'!$D18,'CAPEX - BLOCOS PAN'!$C$3:$W$52,21,FALSE)</f>
        <v>-2637943.9711999996</v>
      </c>
      <c r="X18" s="1">
        <f>'RECEITAS - BLOCOS PAN'!X18-'OPEX - BLOCOS PAN'!X18-VLOOKUP('FLUXO DE CAIXA NOM.- BLOCOS PAN'!$D18,'CAPEX - BLOCOS PAN'!$C$3:$X$52,22,FALSE)</f>
        <v>-2632466.6075999998</v>
      </c>
      <c r="Y18" s="1">
        <f>'RECEITAS - BLOCOS PAN'!Y18-'OPEX - BLOCOS PAN'!Y18-VLOOKUP('FLUXO DE CAIXA NOM.- BLOCOS PAN'!$D18,'CAPEX - BLOCOS PAN'!$C$3:$Y$52,23,FALSE)</f>
        <v>-2626803.8883999996</v>
      </c>
      <c r="Z18" s="1">
        <f>'RECEITAS - BLOCOS PAN'!Z18-'OPEX - BLOCOS PAN'!Z18-VLOOKUP('FLUXO DE CAIXA NOM.- BLOCOS PAN'!$D18,'CAPEX - BLOCOS PAN'!$C$3:$Z$52,24,FALSE)</f>
        <v>-2620983.8714000001</v>
      </c>
      <c r="AA18" s="1">
        <f>'RECEITAS - BLOCOS PAN'!AA18-'OPEX - BLOCOS PAN'!AA18-VLOOKUP('FLUXO DE CAIXA NOM.- BLOCOS PAN'!$D18,'CAPEX - BLOCOS PAN'!$C$3:$AA$52,25,FALSE)</f>
        <v>-2615006.5564999999</v>
      </c>
      <c r="AB18" s="1">
        <f>'RECEITAS - BLOCOS PAN'!AB18-'OPEX - BLOCOS PAN'!AB18-VLOOKUP('FLUXO DE CAIXA NOM.- BLOCOS PAN'!$D18,'CAPEX - BLOCOS PAN'!$C$3:$AB$52,26,FALSE)</f>
        <v>-2609049.2288000002</v>
      </c>
      <c r="AC18" s="1">
        <f>'RECEITAS - BLOCOS PAN'!AC18-'OPEX - BLOCOS PAN'!AC18-VLOOKUP('FLUXO DE CAIXA NOM.- BLOCOS PAN'!$D18,'CAPEX - BLOCOS PAN'!$C$3:$AC$52,27,FALSE)</f>
        <v>-2602900.3162000002</v>
      </c>
      <c r="AD18" s="1">
        <f>'RECEITAS - BLOCOS PAN'!AD18-'OPEX - BLOCOS PAN'!AD18-VLOOKUP('FLUXO DE CAIXA NOM.- BLOCOS PAN'!$D18,'CAPEX - BLOCOS PAN'!$C$3:$AD$52,28,FALSE)</f>
        <v>-2596751.4035999998</v>
      </c>
      <c r="AE18" s="1">
        <f>'RECEITAS - BLOCOS PAN'!AE18-'OPEX - BLOCOS PAN'!AE18-VLOOKUP('FLUXO DE CAIXA NOM.- BLOCOS PAN'!$D18,'CAPEX - BLOCOS PAN'!$C$3:$AE$52,29,FALSE)</f>
        <v>-2590445.1930999993</v>
      </c>
      <c r="AF18" s="1">
        <f>'RECEITAS - BLOCOS PAN'!AF18-'OPEX - BLOCOS PAN'!AF18-VLOOKUP('FLUXO DE CAIXA NOM.- BLOCOS PAN'!$D18,'CAPEX - BLOCOS PAN'!$C$3:$AF$52,30,FALSE)</f>
        <v>-2584081.2429999998</v>
      </c>
      <c r="AG18" s="1">
        <f>'RECEITAS - BLOCOS PAN'!AG18-'OPEX - BLOCOS PAN'!AG18-VLOOKUP('FLUXO DE CAIXA NOM.- BLOCOS PAN'!$D18,'CAPEX - BLOCOS PAN'!$C$3:$AG$52,31,FALSE)</f>
        <v>-2577503.3367000003</v>
      </c>
      <c r="AH18" s="1">
        <f>'RECEITAS - BLOCOS PAN'!AH18-'OPEX - BLOCOS PAN'!AH18-VLOOKUP('FLUXO DE CAIXA NOM.- BLOCOS PAN'!$D18,'CAPEX - BLOCOS PAN'!$C$3:$AH$52,32,FALSE)</f>
        <v>-2571068.4280999997</v>
      </c>
      <c r="AI18" s="1">
        <f>'RECEITAS - BLOCOS PAN'!AI18-'OPEX - BLOCOS PAN'!AI18-VLOOKUP('FLUXO DE CAIXA NOM.- BLOCOS PAN'!$D18,'CAPEX - BLOCOS PAN'!$C$3:$AI$52,33,FALSE)</f>
        <v>-2564790.8173999996</v>
      </c>
      <c r="AJ18" s="1">
        <f>'RECEITAS - BLOCOS PAN'!AJ18-'OPEX - BLOCOS PAN'!AJ18-VLOOKUP('FLUXO DE CAIXA NOM.- BLOCOS PAN'!$D18,'CAPEX - BLOCOS PAN'!$C$3:$AJ$52,34,FALSE)</f>
        <v>-2558307.8669999996</v>
      </c>
      <c r="AK18" s="1">
        <f>'RECEITAS - BLOCOS PAN'!AK18-'OPEX - BLOCOS PAN'!AK18-VLOOKUP('FLUXO DE CAIXA NOM.- BLOCOS PAN'!$D18,'CAPEX - BLOCOS PAN'!$C$3:$AK$52,35,FALSE)</f>
        <v>-2551643.6211999995</v>
      </c>
      <c r="AL18" s="44">
        <f t="shared" si="1"/>
        <v>-126115675.92440003</v>
      </c>
      <c r="AM18" t="str">
        <f>VLOOKUP(D18,'FLUXO DE CAIXA DESC.-BLOCOS PAN'!$D$3:$AO$52,38,FALSE)</f>
        <v>PA - 2 - AL</v>
      </c>
    </row>
    <row r="19" spans="1:39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33</v>
      </c>
      <c r="H19" s="1">
        <f>'RECEITAS - BLOCOS PAN'!H19-'OPEX - BLOCOS PAN'!H19-VLOOKUP('FLUXO DE CAIXA NOM.- BLOCOS PAN'!$D19,'CAPEX - BLOCOS PAN'!$C$3:$H$52,6,FALSE)</f>
        <v>-37401018.336300001</v>
      </c>
      <c r="I19" s="1">
        <f>'RECEITAS - BLOCOS PAN'!I19-'OPEX - BLOCOS PAN'!I19-VLOOKUP('FLUXO DE CAIXA NOM.- BLOCOS PAN'!$D19,'CAPEX - BLOCOS PAN'!$C$3:$I$52,7,FALSE)</f>
        <v>-37333681.9406</v>
      </c>
      <c r="J19" s="1">
        <f>'RECEITAS - BLOCOS PAN'!J19-'OPEX - BLOCOS PAN'!J19-VLOOKUP('FLUXO DE CAIXA NOM.- BLOCOS PAN'!$D19,'CAPEX - BLOCOS PAN'!$C$3:$J$52,8,FALSE)</f>
        <v>-37278751.214100003</v>
      </c>
      <c r="K19" s="1">
        <f>'RECEITAS - BLOCOS PAN'!K19-'OPEX - BLOCOS PAN'!K19-VLOOKUP('FLUXO DE CAIXA NOM.- BLOCOS PAN'!$D19,'CAPEX - BLOCOS PAN'!$C$3:$K$52,9,FALSE)</f>
        <v>-2271745.0620999997</v>
      </c>
      <c r="L19" s="1">
        <f>'RECEITAS - BLOCOS PAN'!L19-'OPEX - BLOCOS PAN'!L19-VLOOKUP('FLUXO DE CAIXA NOM.- BLOCOS PAN'!$D19,'CAPEX - BLOCOS PAN'!$C$3:$L$52,10,FALSE)</f>
        <v>-3296646.1044999999</v>
      </c>
      <c r="M19" s="1">
        <f>'RECEITAS - BLOCOS PAN'!M19-'OPEX - BLOCOS PAN'!M19-VLOOKUP('FLUXO DE CAIXA NOM.- BLOCOS PAN'!$D19,'CAPEX - BLOCOS PAN'!$C$3:$M$52,11,FALSE)</f>
        <v>-3259571.0482000001</v>
      </c>
      <c r="N19" s="1">
        <f>'RECEITAS - BLOCOS PAN'!N19-'OPEX - BLOCOS PAN'!N19-VLOOKUP('FLUXO DE CAIXA NOM.- BLOCOS PAN'!$D19,'CAPEX - BLOCOS PAN'!$C$3:$N$52,12,FALSE)</f>
        <v>-3221320.4620999992</v>
      </c>
      <c r="O19" s="1">
        <f>'RECEITAS - BLOCOS PAN'!O19-'OPEX - BLOCOS PAN'!O19-VLOOKUP('FLUXO DE CAIXA NOM.- BLOCOS PAN'!$D19,'CAPEX - BLOCOS PAN'!$C$3:$O$52,13,FALSE)</f>
        <v>-3185285.1882999996</v>
      </c>
      <c r="P19" s="1">
        <f>'RECEITAS - BLOCOS PAN'!P19-'OPEX - BLOCOS PAN'!P19-VLOOKUP('FLUXO DE CAIXA NOM.- BLOCOS PAN'!$D19,'CAPEX - BLOCOS PAN'!$C$3:$P$52,14,FALSE)</f>
        <v>-3153249.6168999998</v>
      </c>
      <c r="Q19" s="1">
        <f>'RECEITAS - BLOCOS PAN'!Q19-'OPEX - BLOCOS PAN'!Q19-VLOOKUP('FLUXO DE CAIXA NOM.- BLOCOS PAN'!$D19,'CAPEX - BLOCOS PAN'!$C$3:$Q$52,15,FALSE)</f>
        <v>-3121373.3202999998</v>
      </c>
      <c r="R19" s="1">
        <f>'RECEITAS - BLOCOS PAN'!R19-'OPEX - BLOCOS PAN'!R19-VLOOKUP('FLUXO DE CAIXA NOM.- BLOCOS PAN'!$D19,'CAPEX - BLOCOS PAN'!$C$3:$R$52,16,FALSE)</f>
        <v>-3091463.0942999991</v>
      </c>
      <c r="S19" s="1">
        <f>'RECEITAS - BLOCOS PAN'!S19-'OPEX - BLOCOS PAN'!S19-VLOOKUP('FLUXO DE CAIXA NOM.- BLOCOS PAN'!$D19,'CAPEX - BLOCOS PAN'!$C$3:$S$52,17,FALSE)</f>
        <v>-3062613.1784000006</v>
      </c>
      <c r="T19" s="1">
        <f>'RECEITAS - BLOCOS PAN'!T19-'OPEX - BLOCOS PAN'!T19-VLOOKUP('FLUXO DE CAIXA NOM.- BLOCOS PAN'!$D19,'CAPEX - BLOCOS PAN'!$C$3:$T$52,18,FALSE)</f>
        <v>-3033712.3211999997</v>
      </c>
      <c r="U19" s="1">
        <f>'RECEITAS - BLOCOS PAN'!U19-'OPEX - BLOCOS PAN'!U19-VLOOKUP('FLUXO DE CAIXA NOM.- BLOCOS PAN'!$D19,'CAPEX - BLOCOS PAN'!$C$3:$U$52,19,FALSE)</f>
        <v>-3004862.4053000007</v>
      </c>
      <c r="V19" s="1">
        <f>'RECEITAS - BLOCOS PAN'!V19-'OPEX - BLOCOS PAN'!V19-VLOOKUP('FLUXO DE CAIXA NOM.- BLOCOS PAN'!$D19,'CAPEX - BLOCOS PAN'!$C$3:$V$52,20,FALSE)</f>
        <v>-2974852.4771000003</v>
      </c>
      <c r="W19" s="1">
        <f>'RECEITAS - BLOCOS PAN'!W19-'OPEX - BLOCOS PAN'!W19-VLOOKUP('FLUXO DE CAIXA NOM.- BLOCOS PAN'!$D19,'CAPEX - BLOCOS PAN'!$C$3:$W$52,21,FALSE)</f>
        <v>-2943954.0364999999</v>
      </c>
      <c r="X19" s="1">
        <f>'RECEITAS - BLOCOS PAN'!X19-'OPEX - BLOCOS PAN'!X19-VLOOKUP('FLUXO DE CAIXA NOM.- BLOCOS PAN'!$D19,'CAPEX - BLOCOS PAN'!$C$3:$X$52,22,FALSE)</f>
        <v>-2912989.1348999999</v>
      </c>
      <c r="Y19" s="1">
        <f>'RECEITAS - BLOCOS PAN'!Y19-'OPEX - BLOCOS PAN'!Y19-VLOOKUP('FLUXO DE CAIXA NOM.- BLOCOS PAN'!$D19,'CAPEX - BLOCOS PAN'!$C$3:$Y$52,23,FALSE)</f>
        <v>-2880882.5485999994</v>
      </c>
      <c r="Z19" s="1">
        <f>'RECEITAS - BLOCOS PAN'!Z19-'OPEX - BLOCOS PAN'!Z19-VLOOKUP('FLUXO DE CAIXA NOM.- BLOCOS PAN'!$D19,'CAPEX - BLOCOS PAN'!$C$3:$Z$52,24,FALSE)</f>
        <v>-2848959.844</v>
      </c>
      <c r="AA19" s="1">
        <f>'RECEITAS - BLOCOS PAN'!AA19-'OPEX - BLOCOS PAN'!AA19-VLOOKUP('FLUXO DE CAIXA NOM.- BLOCOS PAN'!$D19,'CAPEX - BLOCOS PAN'!$C$3:$AA$52,25,FALSE)</f>
        <v>-2815842.3204000005</v>
      </c>
      <c r="AB19" s="1">
        <f>'RECEITAS - BLOCOS PAN'!AB19-'OPEX - BLOCOS PAN'!AB19-VLOOKUP('FLUXO DE CAIXA NOM.- BLOCOS PAN'!$D19,'CAPEX - BLOCOS PAN'!$C$3:$AB$52,26,FALSE)</f>
        <v>-2783837.6373000005</v>
      </c>
      <c r="AC19" s="1">
        <f>'RECEITAS - BLOCOS PAN'!AC19-'OPEX - BLOCOS PAN'!AC19-VLOOKUP('FLUXO DE CAIXA NOM.- BLOCOS PAN'!$D19,'CAPEX - BLOCOS PAN'!$C$3:$AC$52,27,FALSE)</f>
        <v>-2750739.4028000003</v>
      </c>
      <c r="AD19" s="1">
        <f>'RECEITAS - BLOCOS PAN'!AD19-'OPEX - BLOCOS PAN'!AD19-VLOOKUP('FLUXO DE CAIXA NOM.- BLOCOS PAN'!$D19,'CAPEX - BLOCOS PAN'!$C$3:$AD$52,28,FALSE)</f>
        <v>-2716752.6538000004</v>
      </c>
      <c r="AE19" s="1">
        <f>'RECEITAS - BLOCOS PAN'!AE19-'OPEX - BLOCOS PAN'!AE19-VLOOKUP('FLUXO DE CAIXA NOM.- BLOCOS PAN'!$D19,'CAPEX - BLOCOS PAN'!$C$3:$AE$52,29,FALSE)</f>
        <v>-2682616.9907999993</v>
      </c>
      <c r="AF19" s="1">
        <f>'RECEITAS - BLOCOS PAN'!AF19-'OPEX - BLOCOS PAN'!AF19-VLOOKUP('FLUXO DE CAIXA NOM.- BLOCOS PAN'!$D19,'CAPEX - BLOCOS PAN'!$C$3:$AF$52,30,FALSE)</f>
        <v>-2650740.6932000006</v>
      </c>
      <c r="AG19" s="1">
        <f>'RECEITAS - BLOCOS PAN'!AG19-'OPEX - BLOCOS PAN'!AG19-VLOOKUP('FLUXO DE CAIXA NOM.- BLOCOS PAN'!$D19,'CAPEX - BLOCOS PAN'!$C$3:$AG$52,31,FALSE)</f>
        <v>-2615729.6823999998</v>
      </c>
      <c r="AH19" s="1">
        <f>'RECEITAS - BLOCOS PAN'!AH19-'OPEX - BLOCOS PAN'!AH19-VLOOKUP('FLUXO DE CAIXA NOM.- BLOCOS PAN'!$D19,'CAPEX - BLOCOS PAN'!$C$3:$AH$52,32,FALSE)</f>
        <v>-2583806.9787000003</v>
      </c>
      <c r="AI19" s="1">
        <f>'RECEITAS - BLOCOS PAN'!AI19-'OPEX - BLOCOS PAN'!AI19-VLOOKUP('FLUXO DE CAIXA NOM.- BLOCOS PAN'!$D19,'CAPEX - BLOCOS PAN'!$C$3:$AI$52,33,FALSE)</f>
        <v>-2547643.3175999997</v>
      </c>
      <c r="AJ19" s="1">
        <f>'RECEITAS - BLOCOS PAN'!AJ19-'OPEX - BLOCOS PAN'!AJ19-VLOOKUP('FLUXO DE CAIXA NOM.- BLOCOS PAN'!$D19,'CAPEX - BLOCOS PAN'!$C$3:$AJ$52,34,FALSE)</f>
        <v>-2511456.7757999999</v>
      </c>
      <c r="AK19" s="1">
        <f>'RECEITAS - BLOCOS PAN'!AK19-'OPEX - BLOCOS PAN'!AK19-VLOOKUP('FLUXO DE CAIXA NOM.- BLOCOS PAN'!$D19,'CAPEX - BLOCOS PAN'!$C$3:$AK$52,35,FALSE)</f>
        <v>-2473357.4567</v>
      </c>
      <c r="AL19" s="44">
        <f t="shared" si="1"/>
        <v>-189409455.2432</v>
      </c>
      <c r="AM19" t="str">
        <f>VLOOKUP(D19,'FLUXO DE CAIXA DESC.-BLOCOS PAN'!$D$3:$AO$52,38,FALSE)</f>
        <v>Bloco Nordeste</v>
      </c>
    </row>
    <row r="20" spans="1:39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33</v>
      </c>
      <c r="H20" s="1">
        <f>'RECEITAS - BLOCOS PAN'!H20-'OPEX - BLOCOS PAN'!H20-VLOOKUP('FLUXO DE CAIXA NOM.- BLOCOS PAN'!$D20,'CAPEX - BLOCOS PAN'!$C$3:$H$52,6,FALSE)</f>
        <v>-16963823.427900001</v>
      </c>
      <c r="I20" s="1">
        <f>'RECEITAS - BLOCOS PAN'!I20-'OPEX - BLOCOS PAN'!I20-VLOOKUP('FLUXO DE CAIXA NOM.- BLOCOS PAN'!$D20,'CAPEX - BLOCOS PAN'!$C$3:$I$52,7,FALSE)</f>
        <v>-16956258.294399999</v>
      </c>
      <c r="J20" s="1">
        <f>'RECEITAS - BLOCOS PAN'!J20-'OPEX - BLOCOS PAN'!J20-VLOOKUP('FLUXO DE CAIXA NOM.- BLOCOS PAN'!$D20,'CAPEX - BLOCOS PAN'!$C$3:$J$52,8,FALSE)</f>
        <v>-16950309.578600001</v>
      </c>
      <c r="K20" s="1">
        <f>'RECEITAS - BLOCOS PAN'!K20-'OPEX - BLOCOS PAN'!K20-VLOOKUP('FLUXO DE CAIXA NOM.- BLOCOS PAN'!$D20,'CAPEX - BLOCOS PAN'!$C$3:$K$52,9,FALSE)</f>
        <v>-3140825.6705</v>
      </c>
      <c r="L20" s="1">
        <f>'RECEITAS - BLOCOS PAN'!L20-'OPEX - BLOCOS PAN'!L20-VLOOKUP('FLUXO DE CAIXA NOM.- BLOCOS PAN'!$D20,'CAPEX - BLOCOS PAN'!$C$3:$L$52,10,FALSE)</f>
        <v>-3137021.9254999999</v>
      </c>
      <c r="M20" s="1">
        <f>'RECEITAS - BLOCOS PAN'!M20-'OPEX - BLOCOS PAN'!M20-VLOOKUP('FLUXO DE CAIXA NOM.- BLOCOS PAN'!$D20,'CAPEX - BLOCOS PAN'!$C$3:$M$52,11,FALSE)</f>
        <v>-3133518.4749999996</v>
      </c>
      <c r="N20" s="1">
        <f>'RECEITAS - BLOCOS PAN'!N20-'OPEX - BLOCOS PAN'!N20-VLOOKUP('FLUXO DE CAIXA NOM.- BLOCOS PAN'!$D20,'CAPEX - BLOCOS PAN'!$C$3:$N$52,12,FALSE)</f>
        <v>-3130158.0225</v>
      </c>
      <c r="O20" s="1">
        <f>'RECEITAS - BLOCOS PAN'!O20-'OPEX - BLOCOS PAN'!O20-VLOOKUP('FLUXO DE CAIXA NOM.- BLOCOS PAN'!$D20,'CAPEX - BLOCOS PAN'!$C$3:$O$52,13,FALSE)</f>
        <v>-3126940.5691000004</v>
      </c>
      <c r="P20" s="1">
        <f>'RECEITAS - BLOCOS PAN'!P20-'OPEX - BLOCOS PAN'!P20-VLOOKUP('FLUXO DE CAIXA NOM.- BLOCOS PAN'!$D20,'CAPEX - BLOCOS PAN'!$C$3:$P$52,14,FALSE)</f>
        <v>-3123836.9715999998</v>
      </c>
      <c r="Q20" s="1">
        <f>'RECEITAS - BLOCOS PAN'!Q20-'OPEX - BLOCOS PAN'!Q20-VLOOKUP('FLUXO DE CAIXA NOM.- BLOCOS PAN'!$D20,'CAPEX - BLOCOS PAN'!$C$3:$Q$52,15,FALSE)</f>
        <v>-3120948.4125000001</v>
      </c>
      <c r="R20" s="1">
        <f>'RECEITAS - BLOCOS PAN'!R20-'OPEX - BLOCOS PAN'!R20-VLOOKUP('FLUXO DE CAIXA NOM.- BLOCOS PAN'!$D20,'CAPEX - BLOCOS PAN'!$C$3:$R$52,16,FALSE)</f>
        <v>-3118360.1502999999</v>
      </c>
      <c r="S20" s="1">
        <f>'RECEITAS - BLOCOS PAN'!S20-'OPEX - BLOCOS PAN'!S20-VLOOKUP('FLUXO DE CAIXA NOM.- BLOCOS PAN'!$D20,'CAPEX - BLOCOS PAN'!$C$3:$S$52,17,FALSE)</f>
        <v>-3115771.8868999998</v>
      </c>
      <c r="T20" s="1">
        <f>'RECEITAS - BLOCOS PAN'!T20-'OPEX - BLOCOS PAN'!T20-VLOOKUP('FLUXO DE CAIXA NOM.- BLOCOS PAN'!$D20,'CAPEX - BLOCOS PAN'!$C$3:$T$52,18,FALSE)</f>
        <v>-3113169.3236999996</v>
      </c>
      <c r="U20" s="1">
        <f>'RECEITAS - BLOCOS PAN'!U20-'OPEX - BLOCOS PAN'!U20-VLOOKUP('FLUXO DE CAIXA NOM.- BLOCOS PAN'!$D20,'CAPEX - BLOCOS PAN'!$C$3:$U$52,19,FALSE)</f>
        <v>-3110404.8997999998</v>
      </c>
      <c r="V20" s="1">
        <f>'RECEITAS - BLOCOS PAN'!V20-'OPEX - BLOCOS PAN'!V20-VLOOKUP('FLUXO DE CAIXA NOM.- BLOCOS PAN'!$D20,'CAPEX - BLOCOS PAN'!$C$3:$V$52,20,FALSE)</f>
        <v>-3107816.6375000002</v>
      </c>
      <c r="W20" s="1">
        <f>'RECEITAS - BLOCOS PAN'!W20-'OPEX - BLOCOS PAN'!W20-VLOOKUP('FLUXO DE CAIXA NOM.- BLOCOS PAN'!$D20,'CAPEX - BLOCOS PAN'!$C$3:$W$52,21,FALSE)</f>
        <v>-3105199.7743999995</v>
      </c>
      <c r="X20" s="1">
        <f>'RECEITAS - BLOCOS PAN'!X20-'OPEX - BLOCOS PAN'!X20-VLOOKUP('FLUXO DE CAIXA NOM.- BLOCOS PAN'!$D20,'CAPEX - BLOCOS PAN'!$C$3:$X$52,22,FALSE)</f>
        <v>-3102540.0124999997</v>
      </c>
      <c r="Y20" s="1">
        <f>'RECEITAS - BLOCOS PAN'!Y20-'OPEX - BLOCOS PAN'!Y20-VLOOKUP('FLUXO DE CAIXA NOM.- BLOCOS PAN'!$D20,'CAPEX - BLOCOS PAN'!$C$3:$Y$52,23,FALSE)</f>
        <v>-3099774.4676999999</v>
      </c>
      <c r="Z20" s="1">
        <f>'RECEITAS - BLOCOS PAN'!Z20-'OPEX - BLOCOS PAN'!Z20-VLOOKUP('FLUXO DE CAIXA NOM.- BLOCOS PAN'!$D20,'CAPEX - BLOCOS PAN'!$C$3:$Z$52,24,FALSE)</f>
        <v>-3097171.9046</v>
      </c>
      <c r="AA20" s="1">
        <f>'RECEITAS - BLOCOS PAN'!AA20-'OPEX - BLOCOS PAN'!AA20-VLOOKUP('FLUXO DE CAIXA NOM.- BLOCOS PAN'!$D20,'CAPEX - BLOCOS PAN'!$C$3:$AA$52,25,FALSE)</f>
        <v>-3094349.2923999997</v>
      </c>
      <c r="AB20" s="1">
        <f>'RECEITAS - BLOCOS PAN'!AB20-'OPEX - BLOCOS PAN'!AB20-VLOOKUP('FLUXO DE CAIXA NOM.- BLOCOS PAN'!$D20,'CAPEX - BLOCOS PAN'!$C$3:$AB$52,26,FALSE)</f>
        <v>-3091689.5296999998</v>
      </c>
      <c r="AC20" s="1">
        <f>'RECEITAS - BLOCOS PAN'!AC20-'OPEX - BLOCOS PAN'!AC20-VLOOKUP('FLUXO DE CAIXA NOM.- BLOCOS PAN'!$D20,'CAPEX - BLOCOS PAN'!$C$3:$AC$52,27,FALSE)</f>
        <v>-3089015.4679999999</v>
      </c>
      <c r="AD20" s="1">
        <f>'RECEITAS - BLOCOS PAN'!AD20-'OPEX - BLOCOS PAN'!AD20-VLOOKUP('FLUXO DE CAIXA NOM.- BLOCOS PAN'!$D20,'CAPEX - BLOCOS PAN'!$C$3:$AD$52,28,FALSE)</f>
        <v>-3086341.4062999999</v>
      </c>
      <c r="AE20" s="1">
        <f>'RECEITAS - BLOCOS PAN'!AE20-'OPEX - BLOCOS PAN'!AE20-VLOOKUP('FLUXO DE CAIXA NOM.- BLOCOS PAN'!$D20,'CAPEX - BLOCOS PAN'!$C$3:$AE$52,29,FALSE)</f>
        <v>-3083695.9434000002</v>
      </c>
      <c r="AF20" s="1">
        <f>'RECEITAS - BLOCOS PAN'!AF20-'OPEX - BLOCOS PAN'!AF20-VLOOKUP('FLUXO DE CAIXA NOM.- BLOCOS PAN'!$D20,'CAPEX - BLOCOS PAN'!$C$3:$AF$52,30,FALSE)</f>
        <v>-3081107.6812</v>
      </c>
      <c r="AG20" s="1">
        <f>'RECEITAS - BLOCOS PAN'!AG20-'OPEX - BLOCOS PAN'!AG20-VLOOKUP('FLUXO DE CAIXA NOM.- BLOCOS PAN'!$D20,'CAPEX - BLOCOS PAN'!$C$3:$AG$52,31,FALSE)</f>
        <v>-3078462.2181999995</v>
      </c>
      <c r="AH20" s="1">
        <f>'RECEITAS - BLOCOS PAN'!AH20-'OPEX - BLOCOS PAN'!AH20-VLOOKUP('FLUXO DE CAIXA NOM.- BLOCOS PAN'!$D20,'CAPEX - BLOCOS PAN'!$C$3:$AH$52,32,FALSE)</f>
        <v>-3075931.1543999999</v>
      </c>
      <c r="AI20" s="1">
        <f>'RECEITAS - BLOCOS PAN'!AI20-'OPEX - BLOCOS PAN'!AI20-VLOOKUP('FLUXO DE CAIXA NOM.- BLOCOS PAN'!$D20,'CAPEX - BLOCOS PAN'!$C$3:$AI$52,33,FALSE)</f>
        <v>-3073370.9498999999</v>
      </c>
      <c r="AJ20" s="1">
        <f>'RECEITAS - BLOCOS PAN'!AJ20-'OPEX - BLOCOS PAN'!AJ20-VLOOKUP('FLUXO DE CAIXA NOM.- BLOCOS PAN'!$D20,'CAPEX - BLOCOS PAN'!$C$3:$AJ$52,34,FALSE)</f>
        <v>-3070782.6865999997</v>
      </c>
      <c r="AK20" s="1">
        <f>'RECEITAS - BLOCOS PAN'!AK20-'OPEX - BLOCOS PAN'!AK20-VLOOKUP('FLUXO DE CAIXA NOM.- BLOCOS PAN'!$D20,'CAPEX - BLOCOS PAN'!$C$3:$AK$52,35,FALSE)</f>
        <v>-3068165.8244000003</v>
      </c>
      <c r="AL20" s="44">
        <f t="shared" ref="AL20:AL42" si="2">SUM(H20:AK20)</f>
        <v>-134646762.55949998</v>
      </c>
      <c r="AM20" t="str">
        <f>VLOOKUP(D20,'FLUXO DE CAIXA DESC.-BLOCOS PAN'!$D$3:$AO$52,38,FALSE)</f>
        <v>Bloco Nordeste</v>
      </c>
    </row>
    <row r="21" spans="1:39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33</v>
      </c>
      <c r="H21" s="1">
        <f>'RECEITAS - BLOCOS PAN'!H21-'OPEX - BLOCOS PAN'!H21-VLOOKUP('FLUXO DE CAIXA NOM.- BLOCOS PAN'!$D21,'CAPEX - BLOCOS PAN'!$C$3:$H$52,6,FALSE)</f>
        <v>-19837632.531966668</v>
      </c>
      <c r="I21" s="1">
        <f>'RECEITAS - BLOCOS PAN'!I21-'OPEX - BLOCOS PAN'!I21-VLOOKUP('FLUXO DE CAIXA NOM.- BLOCOS PAN'!$D21,'CAPEX - BLOCOS PAN'!$C$3:$I$52,7,FALSE)</f>
        <v>-19802463.649266668</v>
      </c>
      <c r="J21" s="1">
        <f>'RECEITAS - BLOCOS PAN'!J21-'OPEX - BLOCOS PAN'!J21-VLOOKUP('FLUXO DE CAIXA NOM.- BLOCOS PAN'!$D21,'CAPEX - BLOCOS PAN'!$C$3:$J$52,8,FALSE)</f>
        <v>-19774301.704966668</v>
      </c>
      <c r="K21" s="1">
        <f>'RECEITAS - BLOCOS PAN'!K21-'OPEX - BLOCOS PAN'!K21-VLOOKUP('FLUXO DE CAIXA NOM.- BLOCOS PAN'!$D21,'CAPEX - BLOCOS PAN'!$C$3:$K$52,9,FALSE)</f>
        <v>-2483823.1994000003</v>
      </c>
      <c r="L21" s="1">
        <f>'RECEITAS - BLOCOS PAN'!L21-'OPEX - BLOCOS PAN'!L21-VLOOKUP('FLUXO DE CAIXA NOM.- BLOCOS PAN'!$D21,'CAPEX - BLOCOS PAN'!$C$3:$L$52,10,FALSE)</f>
        <v>-2464984.2740000002</v>
      </c>
      <c r="M21" s="1">
        <f>'RECEITAS - BLOCOS PAN'!M21-'OPEX - BLOCOS PAN'!M21-VLOOKUP('FLUXO DE CAIXA NOM.- BLOCOS PAN'!$D21,'CAPEX - BLOCOS PAN'!$C$3:$M$52,11,FALSE)</f>
        <v>-2448001.8026999999</v>
      </c>
      <c r="N21" s="1">
        <f>'RECEITAS - BLOCOS PAN'!N21-'OPEX - BLOCOS PAN'!N21-VLOOKUP('FLUXO DE CAIXA NOM.- BLOCOS PAN'!$D21,'CAPEX - BLOCOS PAN'!$C$3:$N$52,12,FALSE)</f>
        <v>-2431471.2385999998</v>
      </c>
      <c r="O21" s="1">
        <f>'RECEITAS - BLOCOS PAN'!O21-'OPEX - BLOCOS PAN'!O21-VLOOKUP('FLUXO DE CAIXA NOM.- BLOCOS PAN'!$D21,'CAPEX - BLOCOS PAN'!$C$3:$O$52,13,FALSE)</f>
        <v>-2415726.6209000004</v>
      </c>
      <c r="P21" s="1">
        <f>'RECEITAS - BLOCOS PAN'!P21-'OPEX - BLOCOS PAN'!P21-VLOOKUP('FLUXO DE CAIXA NOM.- BLOCOS PAN'!$D21,'CAPEX - BLOCOS PAN'!$C$3:$P$52,14,FALSE)</f>
        <v>-2400663.2518000002</v>
      </c>
      <c r="Q21" s="1">
        <f>'RECEITAS - BLOCOS PAN'!Q21-'OPEX - BLOCOS PAN'!Q21-VLOOKUP('FLUXO DE CAIXA NOM.- BLOCOS PAN'!$D21,'CAPEX - BLOCOS PAN'!$C$3:$Q$52,15,FALSE)</f>
        <v>-2542787.3809000002</v>
      </c>
      <c r="R21" s="1">
        <f>'RECEITAS - BLOCOS PAN'!R21-'OPEX - BLOCOS PAN'!R21-VLOOKUP('FLUXO DE CAIXA NOM.- BLOCOS PAN'!$D21,'CAPEX - BLOCOS PAN'!$C$3:$R$52,16,FALSE)</f>
        <v>-2529368.2493999996</v>
      </c>
      <c r="S21" s="1">
        <f>'RECEITAS - BLOCOS PAN'!S21-'OPEX - BLOCOS PAN'!S21-VLOOKUP('FLUXO DE CAIXA NOM.- BLOCOS PAN'!$D21,'CAPEX - BLOCOS PAN'!$C$3:$S$52,17,FALSE)</f>
        <v>-2516776.8483000002</v>
      </c>
      <c r="T21" s="1">
        <f>'RECEITAS - BLOCOS PAN'!T21-'OPEX - BLOCOS PAN'!T21-VLOOKUP('FLUXO DE CAIXA NOM.- BLOCOS PAN'!$D21,'CAPEX - BLOCOS PAN'!$C$3:$T$52,18,FALSE)</f>
        <v>-2503585.8739</v>
      </c>
      <c r="U21" s="1">
        <f>'RECEITAS - BLOCOS PAN'!U21-'OPEX - BLOCOS PAN'!U21-VLOOKUP('FLUXO DE CAIXA NOM.- BLOCOS PAN'!$D21,'CAPEX - BLOCOS PAN'!$C$3:$U$52,19,FALSE)</f>
        <v>-2490965.9522999995</v>
      </c>
      <c r="V21" s="1">
        <f>'RECEITAS - BLOCOS PAN'!V21-'OPEX - BLOCOS PAN'!V21-VLOOKUP('FLUXO DE CAIXA NOM.- BLOCOS PAN'!$D21,'CAPEX - BLOCOS PAN'!$C$3:$V$52,20,FALSE)</f>
        <v>-2477746.4585000002</v>
      </c>
      <c r="W21" s="1">
        <f>'RECEITAS - BLOCOS PAN'!W21-'OPEX - BLOCOS PAN'!W21-VLOOKUP('FLUXO DE CAIXA NOM.- BLOCOS PAN'!$D21,'CAPEX - BLOCOS PAN'!$C$3:$W$52,21,FALSE)</f>
        <v>-2464669.5621999996</v>
      </c>
      <c r="X21" s="1">
        <f>'RECEITAS - BLOCOS PAN'!X21-'OPEX - BLOCOS PAN'!X21-VLOOKUP('FLUXO DE CAIXA NOM.- BLOCOS PAN'!$D21,'CAPEX - BLOCOS PAN'!$C$3:$X$52,22,FALSE)</f>
        <v>-2451350.9108999996</v>
      </c>
      <c r="Y21" s="1">
        <f>'RECEITAS - BLOCOS PAN'!Y21-'OPEX - BLOCOS PAN'!Y21-VLOOKUP('FLUXO DE CAIXA NOM.- BLOCOS PAN'!$D21,'CAPEX - BLOCOS PAN'!$C$3:$Y$52,23,FALSE)</f>
        <v>-2438102.8965000003</v>
      </c>
      <c r="Z21" s="1">
        <f>'RECEITAS - BLOCOS PAN'!Z21-'OPEX - BLOCOS PAN'!Z21-VLOOKUP('FLUXO DE CAIXA NOM.- BLOCOS PAN'!$D21,'CAPEX - BLOCOS PAN'!$C$3:$Z$52,24,FALSE)</f>
        <v>-2424255.9712</v>
      </c>
      <c r="AA21" s="1">
        <f>'RECEITAS - BLOCOS PAN'!AA21-'OPEX - BLOCOS PAN'!AA21-VLOOKUP('FLUXO DE CAIXA NOM.- BLOCOS PAN'!$D21,'CAPEX - BLOCOS PAN'!$C$3:$AA$52,25,FALSE)</f>
        <v>-2410595.4399000006</v>
      </c>
      <c r="AB21" s="1">
        <f>'RECEITAS - BLOCOS PAN'!AB21-'OPEX - BLOCOS PAN'!AB21-VLOOKUP('FLUXO DE CAIXA NOM.- BLOCOS PAN'!$D21,'CAPEX - BLOCOS PAN'!$C$3:$AB$52,26,FALSE)</f>
        <v>-2396748.5145999999</v>
      </c>
      <c r="AC21" s="1">
        <f>'RECEITAS - BLOCOS PAN'!AC21-'OPEX - BLOCOS PAN'!AC21-VLOOKUP('FLUXO DE CAIXA NOM.- BLOCOS PAN'!$D21,'CAPEX - BLOCOS PAN'!$C$3:$AC$52,27,FALSE)</f>
        <v>-2383215.3049999997</v>
      </c>
      <c r="AD21" s="1">
        <f>'RECEITAS - BLOCOS PAN'!AD21-'OPEX - BLOCOS PAN'!AD21-VLOOKUP('FLUXO DE CAIXA NOM.- BLOCOS PAN'!$D21,'CAPEX - BLOCOS PAN'!$C$3:$AD$52,28,FALSE)</f>
        <v>-2369426.0802000002</v>
      </c>
      <c r="AE21" s="1">
        <f>'RECEITAS - BLOCOS PAN'!AE21-'OPEX - BLOCOS PAN'!AE21-VLOOKUP('FLUXO DE CAIXA NOM.- BLOCOS PAN'!$D21,'CAPEX - BLOCOS PAN'!$C$3:$AE$52,29,FALSE)</f>
        <v>-2357347.37</v>
      </c>
      <c r="AF21" s="1">
        <f>'RECEITAS - BLOCOS PAN'!AF21-'OPEX - BLOCOS PAN'!AF21-VLOOKUP('FLUXO DE CAIXA NOM.- BLOCOS PAN'!$D21,'CAPEX - BLOCOS PAN'!$C$3:$AF$52,30,FALSE)</f>
        <v>-2344227.6940000001</v>
      </c>
      <c r="AG21" s="1">
        <f>'RECEITAS - BLOCOS PAN'!AG21-'OPEX - BLOCOS PAN'!AG21-VLOOKUP('FLUXO DE CAIXA NOM.- BLOCOS PAN'!$D21,'CAPEX - BLOCOS PAN'!$C$3:$AG$52,31,FALSE)</f>
        <v>-2331864.449</v>
      </c>
      <c r="AH21" s="1">
        <f>'RECEITAS - BLOCOS PAN'!AH21-'OPEX - BLOCOS PAN'!AH21-VLOOKUP('FLUXO DE CAIXA NOM.- BLOCOS PAN'!$D21,'CAPEX - BLOCOS PAN'!$C$3:$AH$52,32,FALSE)</f>
        <v>-2318958.6708000004</v>
      </c>
      <c r="AI21" s="1">
        <f>'RECEITAS - BLOCOS PAN'!AI21-'OPEX - BLOCOS PAN'!AI21-VLOOKUP('FLUXO DE CAIXA NOM.- BLOCOS PAN'!$D21,'CAPEX - BLOCOS PAN'!$C$3:$AI$52,33,FALSE)</f>
        <v>-2306879.9608</v>
      </c>
      <c r="AJ21" s="1">
        <f>'RECEITAS - BLOCOS PAN'!AJ21-'OPEX - BLOCOS PAN'!AJ21-VLOOKUP('FLUXO DE CAIXA NOM.- BLOCOS PAN'!$D21,'CAPEX - BLOCOS PAN'!$C$3:$AJ$52,34,FALSE)</f>
        <v>-2294630.7938999999</v>
      </c>
      <c r="AK21" s="1">
        <f>'RECEITAS - BLOCOS PAN'!AK21-'OPEX - BLOCOS PAN'!AK21-VLOOKUP('FLUXO DE CAIXA NOM.- BLOCOS PAN'!$D21,'CAPEX - BLOCOS PAN'!$C$3:$AK$52,35,FALSE)</f>
        <v>-2282110.0297000003</v>
      </c>
      <c r="AL21" s="44">
        <f t="shared" si="2"/>
        <v>-124694682.68559998</v>
      </c>
      <c r="AM21" t="str">
        <f>VLOOKUP(D21,'FLUXO DE CAIXA DESC.-BLOCOS PAN'!$D$3:$AO$52,38,FALSE)</f>
        <v>PA 3 - AL</v>
      </c>
    </row>
    <row r="22" spans="1:39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33</v>
      </c>
      <c r="H22" s="1">
        <f>'RECEITAS - BLOCOS PAN'!H22-'OPEX - BLOCOS PAN'!H22-VLOOKUP('FLUXO DE CAIXA NOM.- BLOCOS PAN'!$D22,'CAPEX - BLOCOS PAN'!$C$3:$H$52,6,FALSE)</f>
        <v>-42141266.214766666</v>
      </c>
      <c r="I22" s="1">
        <f>'RECEITAS - BLOCOS PAN'!I22-'OPEX - BLOCOS PAN'!I22-VLOOKUP('FLUXO DE CAIXA NOM.- BLOCOS PAN'!$D22,'CAPEX - BLOCOS PAN'!$C$3:$I$52,7,FALSE)</f>
        <v>-42062820.420866668</v>
      </c>
      <c r="J22" s="1">
        <f>'RECEITAS - BLOCOS PAN'!J22-'OPEX - BLOCOS PAN'!J22-VLOOKUP('FLUXO DE CAIXA NOM.- BLOCOS PAN'!$D22,'CAPEX - BLOCOS PAN'!$C$3:$J$52,8,FALSE)</f>
        <v>-43011573.640766665</v>
      </c>
      <c r="K22" s="1">
        <f>'RECEITAS - BLOCOS PAN'!K22-'OPEX - BLOCOS PAN'!K22-VLOOKUP('FLUXO DE CAIXA NOM.- BLOCOS PAN'!$D22,'CAPEX - BLOCOS PAN'!$C$3:$K$52,9,FALSE)</f>
        <v>-3080863.8530999999</v>
      </c>
      <c r="L22" s="1">
        <f>'RECEITAS - BLOCOS PAN'!L22-'OPEX - BLOCOS PAN'!L22-VLOOKUP('FLUXO DE CAIXA NOM.- BLOCOS PAN'!$D22,'CAPEX - BLOCOS PAN'!$C$3:$L$52,10,FALSE)</f>
        <v>-3036141.7886000001</v>
      </c>
      <c r="M22" s="1">
        <f>'RECEITAS - BLOCOS PAN'!M22-'OPEX - BLOCOS PAN'!M22-VLOOKUP('FLUXO DE CAIXA NOM.- BLOCOS PAN'!$D22,'CAPEX - BLOCOS PAN'!$C$3:$M$52,11,FALSE)</f>
        <v>-2994592.9884000001</v>
      </c>
      <c r="N22" s="1">
        <f>'RECEITAS - BLOCOS PAN'!N22-'OPEX - BLOCOS PAN'!N22-VLOOKUP('FLUXO DE CAIXA NOM.- BLOCOS PAN'!$D22,'CAPEX - BLOCOS PAN'!$C$3:$N$52,12,FALSE)</f>
        <v>-2955221.1014</v>
      </c>
      <c r="O22" s="1">
        <f>'RECEITAS - BLOCOS PAN'!O22-'OPEX - BLOCOS PAN'!O22-VLOOKUP('FLUXO DE CAIXA NOM.- BLOCOS PAN'!$D22,'CAPEX - BLOCOS PAN'!$C$3:$O$52,13,FALSE)</f>
        <v>-2917427.1566000003</v>
      </c>
      <c r="P22" s="1">
        <f>'RECEITAS - BLOCOS PAN'!P22-'OPEX - BLOCOS PAN'!P22-VLOOKUP('FLUXO DE CAIXA NOM.- BLOCOS PAN'!$D22,'CAPEX - BLOCOS PAN'!$C$3:$P$52,14,FALSE)</f>
        <v>-2881935.0524999998</v>
      </c>
      <c r="Q22" s="1">
        <f>'RECEITAS - BLOCOS PAN'!Q22-'OPEX - BLOCOS PAN'!Q22-VLOOKUP('FLUXO DE CAIXA NOM.- BLOCOS PAN'!$D22,'CAPEX - BLOCOS PAN'!$C$3:$Q$52,15,FALSE)</f>
        <v>-2848906.2560999999</v>
      </c>
      <c r="R22" s="1">
        <f>'RECEITAS - BLOCOS PAN'!R22-'OPEX - BLOCOS PAN'!R22-VLOOKUP('FLUXO DE CAIXA NOM.- BLOCOS PAN'!$D22,'CAPEX - BLOCOS PAN'!$C$3:$R$52,16,FALSE)</f>
        <v>-2817933.9927000003</v>
      </c>
      <c r="S22" s="1">
        <f>'RECEITAS - BLOCOS PAN'!S22-'OPEX - BLOCOS PAN'!S22-VLOOKUP('FLUXO DE CAIXA NOM.- BLOCOS PAN'!$D22,'CAPEX - BLOCOS PAN'!$C$3:$S$52,17,FALSE)</f>
        <v>-2787113.1467999998</v>
      </c>
      <c r="T22" s="1">
        <f>'RECEITAS - BLOCOS PAN'!T22-'OPEX - BLOCOS PAN'!T22-VLOOKUP('FLUXO DE CAIXA NOM.- BLOCOS PAN'!$D22,'CAPEX - BLOCOS PAN'!$C$3:$T$52,18,FALSE)</f>
        <v>-2756288.068</v>
      </c>
      <c r="U22" s="1">
        <f>'RECEITAS - BLOCOS PAN'!U22-'OPEX - BLOCOS PAN'!U22-VLOOKUP('FLUXO DE CAIXA NOM.- BLOCOS PAN'!$D22,'CAPEX - BLOCOS PAN'!$C$3:$U$52,19,FALSE)</f>
        <v>-2724584.8290000004</v>
      </c>
      <c r="V22" s="1">
        <f>'RECEITAS - BLOCOS PAN'!V22-'OPEX - BLOCOS PAN'!V22-VLOOKUP('FLUXO DE CAIXA NOM.- BLOCOS PAN'!$D22,'CAPEX - BLOCOS PAN'!$C$3:$V$52,20,FALSE)</f>
        <v>-2693469.1189999999</v>
      </c>
      <c r="W22" s="1">
        <f>'RECEITAS - BLOCOS PAN'!W22-'OPEX - BLOCOS PAN'!W22-VLOOKUP('FLUXO DE CAIXA NOM.- BLOCOS PAN'!$D22,'CAPEX - BLOCOS PAN'!$C$3:$W$52,21,FALSE)</f>
        <v>-2661686.0878999997</v>
      </c>
      <c r="X22" s="1">
        <f>'RECEITAS - BLOCOS PAN'!X22-'OPEX - BLOCOS PAN'!X22-VLOOKUP('FLUXO DE CAIXA NOM.- BLOCOS PAN'!$D22,'CAPEX - BLOCOS PAN'!$C$3:$X$52,22,FALSE)</f>
        <v>-2629790.3416999998</v>
      </c>
      <c r="Y22" s="1">
        <f>'RECEITAS - BLOCOS PAN'!Y22-'OPEX - BLOCOS PAN'!Y22-VLOOKUP('FLUXO DE CAIXA NOM.- BLOCOS PAN'!$D22,'CAPEX - BLOCOS PAN'!$C$3:$Y$52,23,FALSE)</f>
        <v>-2597045.1234999998</v>
      </c>
      <c r="Z22" s="1">
        <f>'RECEITAS - BLOCOS PAN'!Z22-'OPEX - BLOCOS PAN'!Z22-VLOOKUP('FLUXO DE CAIXA NOM.- BLOCOS PAN'!$D22,'CAPEX - BLOCOS PAN'!$C$3:$Z$52,24,FALSE)</f>
        <v>-2563667.3941999995</v>
      </c>
      <c r="AA22" s="1">
        <f>'RECEITAS - BLOCOS PAN'!AA22-'OPEX - BLOCOS PAN'!AA22-VLOOKUP('FLUXO DE CAIXA NOM.- BLOCOS PAN'!$D22,'CAPEX - BLOCOS PAN'!$C$3:$AA$52,25,FALSE)</f>
        <v>-2529928.9516000003</v>
      </c>
      <c r="AB22" s="1">
        <f>'RECEITAS - BLOCOS PAN'!AB22-'OPEX - BLOCOS PAN'!AB22-VLOOKUP('FLUXO DE CAIXA NOM.- BLOCOS PAN'!$D22,'CAPEX - BLOCOS PAN'!$C$3:$AB$52,26,FALSE)</f>
        <v>-2496864.1086000004</v>
      </c>
      <c r="AC22" s="1">
        <f>'RECEITAS - BLOCOS PAN'!AC22-'OPEX - BLOCOS PAN'!AC22-VLOOKUP('FLUXO DE CAIXA NOM.- BLOCOS PAN'!$D22,'CAPEX - BLOCOS PAN'!$C$3:$AC$52,27,FALSE)</f>
        <v>-2463420.5299</v>
      </c>
      <c r="AD22" s="1">
        <f>'RECEITAS - BLOCOS PAN'!AD22-'OPEX - BLOCOS PAN'!AD22-VLOOKUP('FLUXO DE CAIXA NOM.- BLOCOS PAN'!$D22,'CAPEX - BLOCOS PAN'!$C$3:$AD$52,28,FALSE)</f>
        <v>-2430225.1069999998</v>
      </c>
      <c r="AE22" s="1">
        <f>'RECEITAS - BLOCOS PAN'!AE22-'OPEX - BLOCOS PAN'!AE22-VLOOKUP('FLUXO DE CAIXA NOM.- BLOCOS PAN'!$D22,'CAPEX - BLOCOS PAN'!$C$3:$AE$52,29,FALSE)</f>
        <v>-2399295.6276000002</v>
      </c>
      <c r="AF22" s="1">
        <f>'RECEITAS - BLOCOS PAN'!AF22-'OPEX - BLOCOS PAN'!AF22-VLOOKUP('FLUXO DE CAIXA NOM.- BLOCOS PAN'!$D22,'CAPEX - BLOCOS PAN'!$C$3:$AF$52,30,FALSE)</f>
        <v>-2369618.9625000004</v>
      </c>
      <c r="AG22" s="1">
        <f>'RECEITAS - BLOCOS PAN'!AG22-'OPEX - BLOCOS PAN'!AG22-VLOOKUP('FLUXO DE CAIXA NOM.- BLOCOS PAN'!$D22,'CAPEX - BLOCOS PAN'!$C$3:$AG$52,31,FALSE)</f>
        <v>-2340272.4345</v>
      </c>
      <c r="AH22" s="1">
        <f>'RECEITAS - BLOCOS PAN'!AH22-'OPEX - BLOCOS PAN'!AH22-VLOOKUP('FLUXO DE CAIXA NOM.- BLOCOS PAN'!$D22,'CAPEX - BLOCOS PAN'!$C$3:$AH$52,32,FALSE)</f>
        <v>-2312062.5766000003</v>
      </c>
      <c r="AI22" s="1">
        <f>'RECEITAS - BLOCOS PAN'!AI22-'OPEX - BLOCOS PAN'!AI22-VLOOKUP('FLUXO DE CAIXA NOM.- BLOCOS PAN'!$D22,'CAPEX - BLOCOS PAN'!$C$3:$AI$52,33,FALSE)</f>
        <v>-2283848.9457</v>
      </c>
      <c r="AJ22" s="1">
        <f>'RECEITAS - BLOCOS PAN'!AJ22-'OPEX - BLOCOS PAN'!AJ22-VLOOKUP('FLUXO DE CAIXA NOM.- BLOCOS PAN'!$D22,'CAPEX - BLOCOS PAN'!$C$3:$AJ$52,34,FALSE)</f>
        <v>-2254979.2766</v>
      </c>
      <c r="AK22" s="1">
        <f>'RECEITAS - BLOCOS PAN'!AK22-'OPEX - BLOCOS PAN'!AK22-VLOOKUP('FLUXO DE CAIXA NOM.- BLOCOS PAN'!$D22,'CAPEX - BLOCOS PAN'!$C$3:$AK$52,35,FALSE)</f>
        <v>-2225772.2708999999</v>
      </c>
      <c r="AL22" s="44">
        <f t="shared" si="2"/>
        <v>-198268615.36739999</v>
      </c>
      <c r="AM22" t="str">
        <f>VLOOKUP(D22,'FLUXO DE CAIXA DESC.-BLOCOS PAN'!$D$3:$AO$52,38,FALSE)</f>
        <v>RO - 1 - AL</v>
      </c>
    </row>
    <row r="23" spans="1:39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33</v>
      </c>
      <c r="H23" s="1">
        <f>'RECEITAS - BLOCOS PAN'!H23-'OPEX - BLOCOS PAN'!H23-VLOOKUP('FLUXO DE CAIXA NOM.- BLOCOS PAN'!$D23,'CAPEX - BLOCOS PAN'!$C$3:$H$52,6,FALSE)</f>
        <v>-24181631.125700001</v>
      </c>
      <c r="I23" s="1">
        <f>'RECEITAS - BLOCOS PAN'!I23-'OPEX - BLOCOS PAN'!I23-VLOOKUP('FLUXO DE CAIXA NOM.- BLOCOS PAN'!$D23,'CAPEX - BLOCOS PAN'!$C$3:$I$52,7,FALSE)</f>
        <v>-24176835.0097</v>
      </c>
      <c r="J23" s="1">
        <f>'RECEITAS - BLOCOS PAN'!J23-'OPEX - BLOCOS PAN'!J23-VLOOKUP('FLUXO DE CAIXA NOM.- BLOCOS PAN'!$D23,'CAPEX - BLOCOS PAN'!$C$3:$J$52,8,FALSE)</f>
        <v>-24173002.664299998</v>
      </c>
      <c r="K23" s="1">
        <f>'RECEITAS - BLOCOS PAN'!K23-'OPEX - BLOCOS PAN'!K23-VLOOKUP('FLUXO DE CAIXA NOM.- BLOCOS PAN'!$D23,'CAPEX - BLOCOS PAN'!$C$3:$K$52,9,FALSE)</f>
        <v>-3547514.0068999999</v>
      </c>
      <c r="L23" s="1">
        <f>'RECEITAS - BLOCOS PAN'!L23-'OPEX - BLOCOS PAN'!L23-VLOOKUP('FLUXO DE CAIXA NOM.- BLOCOS PAN'!$D23,'CAPEX - BLOCOS PAN'!$C$3:$L$52,10,FALSE)</f>
        <v>-3544911.4439000003</v>
      </c>
      <c r="M23" s="1">
        <f>'RECEITAS - BLOCOS PAN'!M23-'OPEX - BLOCOS PAN'!M23-VLOOKUP('FLUXO DE CAIXA NOM.- BLOCOS PAN'!$D23,'CAPEX - BLOCOS PAN'!$C$3:$M$52,11,FALSE)</f>
        <v>-3542466.1795999999</v>
      </c>
      <c r="N23" s="1">
        <f>'RECEITAS - BLOCOS PAN'!N23-'OPEX - BLOCOS PAN'!N23-VLOOKUP('FLUXO DE CAIXA NOM.- BLOCOS PAN'!$D23,'CAPEX - BLOCOS PAN'!$C$3:$N$52,12,FALSE)</f>
        <v>-3540135.3122999999</v>
      </c>
      <c r="O23" s="1">
        <f>'RECEITAS - BLOCOS PAN'!O23-'OPEX - BLOCOS PAN'!O23-VLOOKUP('FLUXO DE CAIXA NOM.- BLOCOS PAN'!$D23,'CAPEX - BLOCOS PAN'!$C$3:$O$52,13,FALSE)</f>
        <v>-3537890.2441000002</v>
      </c>
      <c r="P23" s="1">
        <f>'RECEITAS - BLOCOS PAN'!P23-'OPEX - BLOCOS PAN'!P23-VLOOKUP('FLUXO DE CAIXA NOM.- BLOCOS PAN'!$D23,'CAPEX - BLOCOS PAN'!$C$3:$P$52,14,FALSE)</f>
        <v>-3535773.8744000001</v>
      </c>
      <c r="Q23" s="1">
        <f>'RECEITAS - BLOCOS PAN'!Q23-'OPEX - BLOCOS PAN'!Q23-VLOOKUP('FLUXO DE CAIXA NOM.- BLOCOS PAN'!$D23,'CAPEX - BLOCOS PAN'!$C$3:$Q$52,15,FALSE)</f>
        <v>-3533814.8022000003</v>
      </c>
      <c r="R23" s="1">
        <f>'RECEITAS - BLOCOS PAN'!R23-'OPEX - BLOCOS PAN'!R23-VLOOKUP('FLUXO DE CAIXA NOM.- BLOCOS PAN'!$D23,'CAPEX - BLOCOS PAN'!$C$3:$R$52,16,FALSE)</f>
        <v>-3531998.7280000001</v>
      </c>
      <c r="S23" s="1">
        <f>'RECEITAS - BLOCOS PAN'!S23-'OPEX - BLOCOS PAN'!S23-VLOOKUP('FLUXO DE CAIXA NOM.- BLOCOS PAN'!$D23,'CAPEX - BLOCOS PAN'!$C$3:$S$52,17,FALSE)</f>
        <v>-3530124.9135999996</v>
      </c>
      <c r="T23" s="1">
        <f>'RECEITAS - BLOCOS PAN'!T23-'OPEX - BLOCOS PAN'!T23-VLOOKUP('FLUXO DE CAIXA NOM.- BLOCOS PAN'!$D23,'CAPEX - BLOCOS PAN'!$C$3:$T$52,18,FALSE)</f>
        <v>-3528323.1398999998</v>
      </c>
      <c r="U23" s="1">
        <f>'RECEITAS - BLOCOS PAN'!U23-'OPEX - BLOCOS PAN'!U23-VLOOKUP('FLUXO DE CAIXA NOM.- BLOCOS PAN'!$D23,'CAPEX - BLOCOS PAN'!$C$3:$U$52,19,FALSE)</f>
        <v>-3526449.8667999995</v>
      </c>
      <c r="V23" s="1">
        <f>'RECEITAS - BLOCOS PAN'!V23-'OPEX - BLOCOS PAN'!V23-VLOOKUP('FLUXO DE CAIXA NOM.- BLOCOS PAN'!$D23,'CAPEX - BLOCOS PAN'!$C$3:$V$52,20,FALSE)</f>
        <v>-3524648.0921</v>
      </c>
      <c r="W23" s="1">
        <f>'RECEITAS - BLOCOS PAN'!W23-'OPEX - BLOCOS PAN'!W23-VLOOKUP('FLUXO DE CAIXA NOM.- BLOCOS PAN'!$D23,'CAPEX - BLOCOS PAN'!$C$3:$W$52,21,FALSE)</f>
        <v>-3522774.8189999997</v>
      </c>
      <c r="X23" s="1">
        <f>'RECEITAS - BLOCOS PAN'!X23-'OPEX - BLOCOS PAN'!X23-VLOOKUP('FLUXO DE CAIXA NOM.- BLOCOS PAN'!$D23,'CAPEX - BLOCOS PAN'!$C$3:$X$52,22,FALSE)</f>
        <v>-3520922.0736000002</v>
      </c>
      <c r="Y23" s="1">
        <f>'RECEITAS - BLOCOS PAN'!Y23-'OPEX - BLOCOS PAN'!Y23-VLOOKUP('FLUXO DE CAIXA NOM.- BLOCOS PAN'!$D23,'CAPEX - BLOCOS PAN'!$C$3:$Y$52,23,FALSE)</f>
        <v>-3519020.2002999997</v>
      </c>
      <c r="Z23" s="1">
        <f>'RECEITAS - BLOCOS PAN'!Z23-'OPEX - BLOCOS PAN'!Z23-VLOOKUP('FLUXO DE CAIXA NOM.- BLOCOS PAN'!$D23,'CAPEX - BLOCOS PAN'!$C$3:$Z$52,24,FALSE)</f>
        <v>-3517089.7272000001</v>
      </c>
      <c r="AA23" s="1">
        <f>'RECEITAS - BLOCOS PAN'!AA23-'OPEX - BLOCOS PAN'!AA23-VLOOKUP('FLUXO DE CAIXA NOM.- BLOCOS PAN'!$D23,'CAPEX - BLOCOS PAN'!$C$3:$AA$52,25,FALSE)</f>
        <v>-3515130.656</v>
      </c>
      <c r="AB23" s="1">
        <f>'RECEITAS - BLOCOS PAN'!AB23-'OPEX - BLOCOS PAN'!AB23-VLOOKUP('FLUXO DE CAIXA NOM.- BLOCOS PAN'!$D23,'CAPEX - BLOCOS PAN'!$C$3:$AB$52,26,FALSE)</f>
        <v>-3513228.7829000005</v>
      </c>
      <c r="AC23" s="1">
        <f>'RECEITAS - BLOCOS PAN'!AC23-'OPEX - BLOCOS PAN'!AC23-VLOOKUP('FLUXO DE CAIXA NOM.- BLOCOS PAN'!$D23,'CAPEX - BLOCOS PAN'!$C$3:$AC$52,27,FALSE)</f>
        <v>-3511284.0101999999</v>
      </c>
      <c r="AD23" s="1">
        <f>'RECEITAS - BLOCOS PAN'!AD23-'OPEX - BLOCOS PAN'!AD23-VLOOKUP('FLUXO DE CAIXA NOM.- BLOCOS PAN'!$D23,'CAPEX - BLOCOS PAN'!$C$3:$AD$52,28,FALSE)</f>
        <v>-3509382.1370999999</v>
      </c>
      <c r="AE23" s="1">
        <f>'RECEITAS - BLOCOS PAN'!AE23-'OPEX - BLOCOS PAN'!AE23-VLOOKUP('FLUXO DE CAIXA NOM.- BLOCOS PAN'!$D23,'CAPEX - BLOCOS PAN'!$C$3:$AE$52,29,FALSE)</f>
        <v>-3507480.2649000003</v>
      </c>
      <c r="AF23" s="1">
        <f>'RECEITAS - BLOCOS PAN'!AF23-'OPEX - BLOCOS PAN'!AF23-VLOOKUP('FLUXO DE CAIXA NOM.- BLOCOS PAN'!$D23,'CAPEX - BLOCOS PAN'!$C$3:$AF$52,30,FALSE)</f>
        <v>-3505649.8903000006</v>
      </c>
      <c r="AG23" s="1">
        <f>'RECEITAS - BLOCOS PAN'!AG23-'OPEX - BLOCOS PAN'!AG23-VLOOKUP('FLUXO DE CAIXA NOM.- BLOCOS PAN'!$D23,'CAPEX - BLOCOS PAN'!$C$3:$AG$52,31,FALSE)</f>
        <v>-3503761.7763999999</v>
      </c>
      <c r="AH23" s="1">
        <f>'RECEITAS - BLOCOS PAN'!AH23-'OPEX - BLOCOS PAN'!AH23-VLOOKUP('FLUXO DE CAIXA NOM.- BLOCOS PAN'!$D23,'CAPEX - BLOCOS PAN'!$C$3:$AH$52,32,FALSE)</f>
        <v>-3502002.9013000005</v>
      </c>
      <c r="AI23" s="1">
        <f>'RECEITAS - BLOCOS PAN'!AI23-'OPEX - BLOCOS PAN'!AI23-VLOOKUP('FLUXO DE CAIXA NOM.- BLOCOS PAN'!$D23,'CAPEX - BLOCOS PAN'!$C$3:$AI$52,33,FALSE)</f>
        <v>-3500229.7267</v>
      </c>
      <c r="AJ23" s="1">
        <f>'RECEITAS - BLOCOS PAN'!AJ23-'OPEX - BLOCOS PAN'!AJ23-VLOOKUP('FLUXO DE CAIXA NOM.- BLOCOS PAN'!$D23,'CAPEX - BLOCOS PAN'!$C$3:$AJ$52,34,FALSE)</f>
        <v>-3498427.952</v>
      </c>
      <c r="AK23" s="1">
        <f>'RECEITAS - BLOCOS PAN'!AK23-'OPEX - BLOCOS PAN'!AK23-VLOOKUP('FLUXO DE CAIXA NOM.- BLOCOS PAN'!$D23,'CAPEX - BLOCOS PAN'!$C$3:$AK$52,35,FALSE)</f>
        <v>-3496597.5784</v>
      </c>
      <c r="AL23" s="44">
        <f t="shared" si="2"/>
        <v>-167598501.8998</v>
      </c>
      <c r="AM23" t="str">
        <f>VLOOKUP(D23,'FLUXO DE CAIXA DESC.-BLOCOS PAN'!$D$3:$AO$52,38,FALSE)</f>
        <v>MT - 1 - AL</v>
      </c>
    </row>
    <row r="24" spans="1:39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33</v>
      </c>
      <c r="H24" s="1">
        <f>'RECEITAS - BLOCOS PAN'!H24-'OPEX - BLOCOS PAN'!H24-VLOOKUP('FLUXO DE CAIXA NOM.- BLOCOS PAN'!$D24,'CAPEX - BLOCOS PAN'!$C$3:$H$52,6,FALSE)</f>
        <v>-20667660.143166669</v>
      </c>
      <c r="I24" s="1">
        <f>'RECEITAS - BLOCOS PAN'!I24-'OPEX - BLOCOS PAN'!I24-VLOOKUP('FLUXO DE CAIXA NOM.- BLOCOS PAN'!$D24,'CAPEX - BLOCOS PAN'!$C$3:$I$52,7,FALSE)</f>
        <v>-20655397.14586667</v>
      </c>
      <c r="J24" s="1">
        <f>'RECEITAS - BLOCOS PAN'!J24-'OPEX - BLOCOS PAN'!J24-VLOOKUP('FLUXO DE CAIXA NOM.- BLOCOS PAN'!$D24,'CAPEX - BLOCOS PAN'!$C$3:$J$52,8,FALSE)</f>
        <v>-20643899.568766668</v>
      </c>
      <c r="K24" s="1">
        <f>'RECEITAS - BLOCOS PAN'!K24-'OPEX - BLOCOS PAN'!K24-VLOOKUP('FLUXO DE CAIXA NOM.- BLOCOS PAN'!$D24,'CAPEX - BLOCOS PAN'!$C$3:$K$52,9,FALSE)</f>
        <v>-2606020.8758999999</v>
      </c>
      <c r="L24" s="1">
        <f>'RECEITAS - BLOCOS PAN'!L24-'OPEX - BLOCOS PAN'!L24-VLOOKUP('FLUXO DE CAIXA NOM.- BLOCOS PAN'!$D24,'CAPEX - BLOCOS PAN'!$C$3:$L$52,10,FALSE)</f>
        <v>-2597622.3328000004</v>
      </c>
      <c r="M24" s="1">
        <f>'RECEITAS - BLOCOS PAN'!M24-'OPEX - BLOCOS PAN'!M24-VLOOKUP('FLUXO DE CAIXA NOM.- BLOCOS PAN'!$D24,'CAPEX - BLOCOS PAN'!$C$3:$M$52,11,FALSE)</f>
        <v>-2590609.7481999998</v>
      </c>
      <c r="N24" s="1">
        <f>'RECEITAS - BLOCOS PAN'!N24-'OPEX - BLOCOS PAN'!N24-VLOOKUP('FLUXO DE CAIXA NOM.- BLOCOS PAN'!$D24,'CAPEX - BLOCOS PAN'!$C$3:$N$52,12,FALSE)</f>
        <v>-2584669.7801999999</v>
      </c>
      <c r="O24" s="1">
        <f>'RECEITAS - BLOCOS PAN'!O24-'OPEX - BLOCOS PAN'!O24-VLOOKUP('FLUXO DE CAIXA NOM.- BLOCOS PAN'!$D24,'CAPEX - BLOCOS PAN'!$C$3:$O$52,13,FALSE)</f>
        <v>-2578549.4669999997</v>
      </c>
      <c r="P24" s="1">
        <f>'RECEITAS - BLOCOS PAN'!P24-'OPEX - BLOCOS PAN'!P24-VLOOKUP('FLUXO DE CAIXA NOM.- BLOCOS PAN'!$D24,'CAPEX - BLOCOS PAN'!$C$3:$P$52,14,FALSE)</f>
        <v>-2573058.3452000003</v>
      </c>
      <c r="Q24" s="1">
        <f>'RECEITAS - BLOCOS PAN'!Q24-'OPEX - BLOCOS PAN'!Q24-VLOOKUP('FLUXO DE CAIXA NOM.- BLOCOS PAN'!$D24,'CAPEX - BLOCOS PAN'!$C$3:$Q$52,15,FALSE)</f>
        <v>-2567524.3248999999</v>
      </c>
      <c r="R24" s="1">
        <f>'RECEITAS - BLOCOS PAN'!R24-'OPEX - BLOCOS PAN'!R24-VLOOKUP('FLUXO DE CAIXA NOM.- BLOCOS PAN'!$D24,'CAPEX - BLOCOS PAN'!$C$3:$R$52,16,FALSE)</f>
        <v>-2562618.9533000002</v>
      </c>
      <c r="S24" s="1">
        <f>'RECEITAS - BLOCOS PAN'!S24-'OPEX - BLOCOS PAN'!S24-VLOOKUP('FLUXO DE CAIXA NOM.- BLOCOS PAN'!$D24,'CAPEX - BLOCOS PAN'!$C$3:$S$52,17,FALSE)</f>
        <v>-2557227.9302999997</v>
      </c>
      <c r="T24" s="1">
        <f>'RECEITAS - BLOCOS PAN'!T24-'OPEX - BLOCOS PAN'!T24-VLOOKUP('FLUXO DE CAIXA NOM.- BLOCOS PAN'!$D24,'CAPEX - BLOCOS PAN'!$C$3:$T$52,18,FALSE)</f>
        <v>-2552423.1979</v>
      </c>
      <c r="U24" s="1">
        <f>'RECEITAS - BLOCOS PAN'!U24-'OPEX - BLOCOS PAN'!U24-VLOOKUP('FLUXO DE CAIXA NOM.- BLOCOS PAN'!$D24,'CAPEX - BLOCOS PAN'!$C$3:$U$52,19,FALSE)</f>
        <v>-2546831.9783999999</v>
      </c>
      <c r="V24" s="1">
        <f>'RECEITAS - BLOCOS PAN'!V24-'OPEX - BLOCOS PAN'!V24-VLOOKUP('FLUXO DE CAIXA NOM.- BLOCOS PAN'!$D24,'CAPEX - BLOCOS PAN'!$C$3:$V$52,20,FALSE)</f>
        <v>-2541927.1485000001</v>
      </c>
      <c r="W24" s="1">
        <f>'RECEITAS - BLOCOS PAN'!W24-'OPEX - BLOCOS PAN'!W24-VLOOKUP('FLUXO DE CAIXA NOM.- BLOCOS PAN'!$D24,'CAPEX - BLOCOS PAN'!$C$3:$W$52,21,FALSE)</f>
        <v>-2536306.7864000006</v>
      </c>
      <c r="X24" s="1">
        <f>'RECEITAS - BLOCOS PAN'!X24-'OPEX - BLOCOS PAN'!X24-VLOOKUP('FLUXO DE CAIXA NOM.- BLOCOS PAN'!$D24,'CAPEX - BLOCOS PAN'!$C$3:$X$52,22,FALSE)</f>
        <v>-2531287.5582000003</v>
      </c>
      <c r="Y24" s="1">
        <f>'RECEITAS - BLOCOS PAN'!Y24-'OPEX - BLOCOS PAN'!Y24-VLOOKUP('FLUXO DE CAIXA NOM.- BLOCOS PAN'!$D24,'CAPEX - BLOCOS PAN'!$C$3:$Y$52,23,FALSE)</f>
        <v>-2525424.6415999997</v>
      </c>
      <c r="Z24" s="1">
        <f>'RECEITAS - BLOCOS PAN'!Z24-'OPEX - BLOCOS PAN'!Z24-VLOOKUP('FLUXO DE CAIXA NOM.- BLOCOS PAN'!$D24,'CAPEX - BLOCOS PAN'!$C$3:$Z$52,24,FALSE)</f>
        <v>-2520491.2125000004</v>
      </c>
      <c r="AA24" s="1">
        <f>'RECEITAS - BLOCOS PAN'!AA24-'OPEX - BLOCOS PAN'!AA24-VLOOKUP('FLUXO DE CAIXA NOM.- BLOCOS PAN'!$D24,'CAPEX - BLOCOS PAN'!$C$3:$AA$52,25,FALSE)</f>
        <v>-2514479.6140999999</v>
      </c>
      <c r="AB24" s="1">
        <f>'RECEITAS - BLOCOS PAN'!AB24-'OPEX - BLOCOS PAN'!AB24-VLOOKUP('FLUXO DE CAIXA NOM.- BLOCOS PAN'!$D24,'CAPEX - BLOCOS PAN'!$C$3:$AB$52,26,FALSE)</f>
        <v>-2509431.7857999997</v>
      </c>
      <c r="AC24" s="1">
        <f>'RECEITAS - BLOCOS PAN'!AC24-'OPEX - BLOCOS PAN'!AC24-VLOOKUP('FLUXO DE CAIXA NOM.- BLOCOS PAN'!$D24,'CAPEX - BLOCOS PAN'!$C$3:$AC$52,27,FALSE)</f>
        <v>-2503368.6727</v>
      </c>
      <c r="AD24" s="1">
        <f>'RECEITAS - BLOCOS PAN'!AD24-'OPEX - BLOCOS PAN'!AD24-VLOOKUP('FLUXO DE CAIXA NOM.- BLOCOS PAN'!$D24,'CAPEX - BLOCOS PAN'!$C$3:$AD$52,28,FALSE)</f>
        <v>-2498034.8489000001</v>
      </c>
      <c r="AE24" s="1">
        <f>'RECEITAS - BLOCOS PAN'!AE24-'OPEX - BLOCOS PAN'!AE24-VLOOKUP('FLUXO DE CAIXA NOM.- BLOCOS PAN'!$D24,'CAPEX - BLOCOS PAN'!$C$3:$AE$52,29,FALSE)</f>
        <v>-2492815.4231000002</v>
      </c>
      <c r="AF24" s="1">
        <f>'RECEITAS - BLOCOS PAN'!AF24-'OPEX - BLOCOS PAN'!AF24-VLOOKUP('FLUXO DE CAIXA NOM.- BLOCOS PAN'!$D24,'CAPEX - BLOCOS PAN'!$C$3:$AF$52,30,FALSE)</f>
        <v>-2488316.6735</v>
      </c>
      <c r="AG24" s="1">
        <f>'RECEITAS - BLOCOS PAN'!AG24-'OPEX - BLOCOS PAN'!AG24-VLOOKUP('FLUXO DE CAIXA NOM.- BLOCOS PAN'!$D24,'CAPEX - BLOCOS PAN'!$C$3:$AG$52,31,FALSE)</f>
        <v>-2482882.7507999996</v>
      </c>
      <c r="AH24" s="1">
        <f>'RECEITAS - BLOCOS PAN'!AH24-'OPEX - BLOCOS PAN'!AH24-VLOOKUP('FLUXO DE CAIXA NOM.- BLOCOS PAN'!$D24,'CAPEX - BLOCOS PAN'!$C$3:$AH$52,32,FALSE)</f>
        <v>-2478349.7157000001</v>
      </c>
      <c r="AI24" s="1">
        <f>'RECEITAS - BLOCOS PAN'!AI24-'OPEX - BLOCOS PAN'!AI24-VLOOKUP('FLUXO DE CAIXA NOM.- BLOCOS PAN'!$D24,'CAPEX - BLOCOS PAN'!$C$3:$AI$52,33,FALSE)</f>
        <v>-2473073.0907999999</v>
      </c>
      <c r="AJ24" s="1">
        <f>'RECEITAS - BLOCOS PAN'!AJ24-'OPEX - BLOCOS PAN'!AJ24-VLOOKUP('FLUXO DE CAIXA NOM.- BLOCOS PAN'!$D24,'CAPEX - BLOCOS PAN'!$C$3:$AJ$52,34,FALSE)</f>
        <v>-2467682.0677</v>
      </c>
      <c r="AK24" s="1">
        <f>'RECEITAS - BLOCOS PAN'!AK24-'OPEX - BLOCOS PAN'!AK24-VLOOKUP('FLUXO DE CAIXA NOM.- BLOCOS PAN'!$D24,'CAPEX - BLOCOS PAN'!$C$3:$AK$52,35,FALSE)</f>
        <v>-2462118.9057999998</v>
      </c>
      <c r="AL24" s="44">
        <f t="shared" si="2"/>
        <v>-130310104.68800001</v>
      </c>
      <c r="AM24" t="str">
        <f>VLOOKUP(D24,'FLUXO DE CAIXA DESC.-BLOCOS PAN'!$D$3:$AO$52,38,FALSE)</f>
        <v>AM - 3 - AL</v>
      </c>
    </row>
    <row r="25" spans="1:39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33</v>
      </c>
      <c r="H25" s="1">
        <f>'RECEITAS - BLOCOS PAN'!H25-'OPEX - BLOCOS PAN'!H25-VLOOKUP('FLUXO DE CAIXA NOM.- BLOCOS PAN'!$D25,'CAPEX - BLOCOS PAN'!$C$3:$H$52,6,FALSE)</f>
        <v>-24307656.595133334</v>
      </c>
      <c r="I25" s="1">
        <f>'RECEITAS - BLOCOS PAN'!I25-'OPEX - BLOCOS PAN'!I25-VLOOKUP('FLUXO DE CAIXA NOM.- BLOCOS PAN'!$D25,'CAPEX - BLOCOS PAN'!$C$3:$I$52,7,FALSE)</f>
        <v>-24271296.266033333</v>
      </c>
      <c r="J25" s="1">
        <f>'RECEITAS - BLOCOS PAN'!J25-'OPEX - BLOCOS PAN'!J25-VLOOKUP('FLUXO DE CAIXA NOM.- BLOCOS PAN'!$D25,'CAPEX - BLOCOS PAN'!$C$3:$J$52,8,FALSE)</f>
        <v>-24243468.996033333</v>
      </c>
      <c r="K25" s="1">
        <f>'RECEITAS - BLOCOS PAN'!K25-'OPEX - BLOCOS PAN'!K25-VLOOKUP('FLUXO DE CAIXA NOM.- BLOCOS PAN'!$D25,'CAPEX - BLOCOS PAN'!$C$3:$K$52,9,FALSE)</f>
        <v>-2316372.8028000002</v>
      </c>
      <c r="L25" s="1">
        <f>'RECEITAS - BLOCOS PAN'!L25-'OPEX - BLOCOS PAN'!L25-VLOOKUP('FLUXO DE CAIXA NOM.- BLOCOS PAN'!$D25,'CAPEX - BLOCOS PAN'!$C$3:$L$52,10,FALSE)</f>
        <v>-2300184.8925999999</v>
      </c>
      <c r="M25" s="1">
        <f>'RECEITAS - BLOCOS PAN'!M25-'OPEX - BLOCOS PAN'!M25-VLOOKUP('FLUXO DE CAIXA NOM.- BLOCOS PAN'!$D25,'CAPEX - BLOCOS PAN'!$C$3:$M$52,11,FALSE)</f>
        <v>-2285536.7591999993</v>
      </c>
      <c r="N25" s="1">
        <f>'RECEITAS - BLOCOS PAN'!N25-'OPEX - BLOCOS PAN'!N25-VLOOKUP('FLUXO DE CAIXA NOM.- BLOCOS PAN'!$D25,'CAPEX - BLOCOS PAN'!$C$3:$N$52,12,FALSE)</f>
        <v>-2416147.0040000002</v>
      </c>
      <c r="O25" s="1">
        <f>'RECEITAS - BLOCOS PAN'!O25-'OPEX - BLOCOS PAN'!O25-VLOOKUP('FLUXO DE CAIXA NOM.- BLOCOS PAN'!$D25,'CAPEX - BLOCOS PAN'!$C$3:$O$52,13,FALSE)</f>
        <v>-2403983.3961</v>
      </c>
      <c r="P25" s="1">
        <f>'RECEITAS - BLOCOS PAN'!P25-'OPEX - BLOCOS PAN'!P25-VLOOKUP('FLUXO DE CAIXA NOM.- BLOCOS PAN'!$D25,'CAPEX - BLOCOS PAN'!$C$3:$P$52,14,FALSE)</f>
        <v>-2392917.1308000004</v>
      </c>
      <c r="Q25" s="1">
        <f>'RECEITAS - BLOCOS PAN'!Q25-'OPEX - BLOCOS PAN'!Q25-VLOOKUP('FLUXO DE CAIXA NOM.- BLOCOS PAN'!$D25,'CAPEX - BLOCOS PAN'!$C$3:$Q$52,15,FALSE)</f>
        <v>-2383548.4435999999</v>
      </c>
      <c r="R25" s="1">
        <f>'RECEITAS - BLOCOS PAN'!R25-'OPEX - BLOCOS PAN'!R25-VLOOKUP('FLUXO DE CAIXA NOM.- BLOCOS PAN'!$D25,'CAPEX - BLOCOS PAN'!$C$3:$R$52,16,FALSE)</f>
        <v>-2374892.0848999997</v>
      </c>
      <c r="S25" s="1">
        <f>'RECEITAS - BLOCOS PAN'!S25-'OPEX - BLOCOS PAN'!S25-VLOOKUP('FLUXO DE CAIXA NOM.- BLOCOS PAN'!$D25,'CAPEX - BLOCOS PAN'!$C$3:$S$52,17,FALSE)</f>
        <v>-2366721.2210999997</v>
      </c>
      <c r="T25" s="1">
        <f>'RECEITAS - BLOCOS PAN'!T25-'OPEX - BLOCOS PAN'!T25-VLOOKUP('FLUXO DE CAIXA NOM.- BLOCOS PAN'!$D25,'CAPEX - BLOCOS PAN'!$C$3:$T$52,18,FALSE)</f>
        <v>-2358821.2925</v>
      </c>
      <c r="U25" s="1">
        <f>'RECEITAS - BLOCOS PAN'!U25-'OPEX - BLOCOS PAN'!U25-VLOOKUP('FLUXO DE CAIXA NOM.- BLOCOS PAN'!$D25,'CAPEX - BLOCOS PAN'!$C$3:$U$52,19,FALSE)</f>
        <v>-2350564.2083999999</v>
      </c>
      <c r="V25" s="1">
        <f>'RECEITAS - BLOCOS PAN'!V25-'OPEX - BLOCOS PAN'!V25-VLOOKUP('FLUXO DE CAIXA NOM.- BLOCOS PAN'!$D25,'CAPEX - BLOCOS PAN'!$C$3:$V$52,20,FALSE)</f>
        <v>-2342621.5011000005</v>
      </c>
      <c r="W25" s="1">
        <f>'RECEITAS - BLOCOS PAN'!W25-'OPEX - BLOCOS PAN'!W25-VLOOKUP('FLUXO DE CAIXA NOM.- BLOCOS PAN'!$D25,'CAPEX - BLOCOS PAN'!$C$3:$W$52,21,FALSE)</f>
        <v>-2335048.8862000005</v>
      </c>
      <c r="X25" s="1">
        <f>'RECEITAS - BLOCOS PAN'!X25-'OPEX - BLOCOS PAN'!X25-VLOOKUP('FLUXO DE CAIXA NOM.- BLOCOS PAN'!$D25,'CAPEX - BLOCOS PAN'!$C$3:$X$52,22,FALSE)</f>
        <v>-2327505.4534000005</v>
      </c>
      <c r="Y25" s="1">
        <f>'RECEITAS - BLOCOS PAN'!Y25-'OPEX - BLOCOS PAN'!Y25-VLOOKUP('FLUXO DE CAIXA NOM.- BLOCOS PAN'!$D25,'CAPEX - BLOCOS PAN'!$C$3:$Y$52,23,FALSE)</f>
        <v>-2319705.3439000002</v>
      </c>
      <c r="Z25" s="1">
        <f>'RECEITAS - BLOCOS PAN'!Z25-'OPEX - BLOCOS PAN'!Z25-VLOOKUP('FLUXO DE CAIXA NOM.- BLOCOS PAN'!$D25,'CAPEX - BLOCOS PAN'!$C$3:$Z$52,24,FALSE)</f>
        <v>-2311719.196</v>
      </c>
      <c r="AA25" s="1">
        <f>'RECEITAS - BLOCOS PAN'!AA25-'OPEX - BLOCOS PAN'!AA25-VLOOKUP('FLUXO DE CAIXA NOM.- BLOCOS PAN'!$D25,'CAPEX - BLOCOS PAN'!$C$3:$AA$52,25,FALSE)</f>
        <v>-2304190.0226999996</v>
      </c>
      <c r="AB25" s="1">
        <f>'RECEITAS - BLOCOS PAN'!AB25-'OPEX - BLOCOS PAN'!AB25-VLOOKUP('FLUXO DE CAIXA NOM.- BLOCOS PAN'!$D25,'CAPEX - BLOCOS PAN'!$C$3:$AB$52,26,FALSE)</f>
        <v>-2296903.2654999997</v>
      </c>
      <c r="AC25" s="1">
        <f>'RECEITAS - BLOCOS PAN'!AC25-'OPEX - BLOCOS PAN'!AC25-VLOOKUP('FLUXO DE CAIXA NOM.- BLOCOS PAN'!$D25,'CAPEX - BLOCOS PAN'!$C$3:$AC$52,27,FALSE)</f>
        <v>-2289658.6263000001</v>
      </c>
      <c r="AD25" s="1">
        <f>'RECEITAS - BLOCOS PAN'!AD25-'OPEX - BLOCOS PAN'!AD25-VLOOKUP('FLUXO DE CAIXA NOM.- BLOCOS PAN'!$D25,'CAPEX - BLOCOS PAN'!$C$3:$AD$52,28,FALSE)</f>
        <v>-2282777.3321999996</v>
      </c>
      <c r="AE25" s="1">
        <f>'RECEITAS - BLOCOS PAN'!AE25-'OPEX - BLOCOS PAN'!AE25-VLOOKUP('FLUXO DE CAIXA NOM.- BLOCOS PAN'!$D25,'CAPEX - BLOCOS PAN'!$C$3:$AE$52,29,FALSE)</f>
        <v>-2276211.9921000004</v>
      </c>
      <c r="AF25" s="1">
        <f>'RECEITAS - BLOCOS PAN'!AF25-'OPEX - BLOCOS PAN'!AF25-VLOOKUP('FLUXO DE CAIXA NOM.- BLOCOS PAN'!$D25,'CAPEX - BLOCOS PAN'!$C$3:$AF$52,30,FALSE)</f>
        <v>-2269951.2796</v>
      </c>
      <c r="AG25" s="1">
        <f>'RECEITAS - BLOCOS PAN'!AG25-'OPEX - BLOCOS PAN'!AG25-VLOOKUP('FLUXO DE CAIXA NOM.- BLOCOS PAN'!$D25,'CAPEX - BLOCOS PAN'!$C$3:$AG$52,31,FALSE)</f>
        <v>-2263705.4874</v>
      </c>
      <c r="AH25" s="1">
        <f>'RECEITAS - BLOCOS PAN'!AH25-'OPEX - BLOCOS PAN'!AH25-VLOOKUP('FLUXO DE CAIXA NOM.- BLOCOS PAN'!$D25,'CAPEX - BLOCOS PAN'!$C$3:$AH$52,32,FALSE)</f>
        <v>-2258329.5441000001</v>
      </c>
      <c r="AI25" s="1">
        <f>'RECEITAS - BLOCOS PAN'!AI25-'OPEX - BLOCOS PAN'!AI25-VLOOKUP('FLUXO DE CAIXA NOM.- BLOCOS PAN'!$D25,'CAPEX - BLOCOS PAN'!$C$3:$AI$52,33,FALSE)</f>
        <v>-2253052.7572000008</v>
      </c>
      <c r="AJ25" s="1">
        <f>'RECEITAS - BLOCOS PAN'!AJ25-'OPEX - BLOCOS PAN'!AJ25-VLOOKUP('FLUXO DE CAIXA NOM.- BLOCOS PAN'!$D25,'CAPEX - BLOCOS PAN'!$C$3:$AJ$52,34,FALSE)</f>
        <v>-2247790.8917000005</v>
      </c>
      <c r="AK25" s="1">
        <f>'RECEITAS - BLOCOS PAN'!AK25-'OPEX - BLOCOS PAN'!AK25-VLOOKUP('FLUXO DE CAIXA NOM.- BLOCOS PAN'!$D25,'CAPEX - BLOCOS PAN'!$C$3:$AK$52,35,FALSE)</f>
        <v>-2242471.9868000005</v>
      </c>
      <c r="AL25" s="44">
        <f t="shared" si="2"/>
        <v>-135393754.65939999</v>
      </c>
      <c r="AM25" t="str">
        <f>VLOOKUP(D25,'FLUXO DE CAIXA DESC.-BLOCOS PAN'!$D$3:$AO$52,38,FALSE)</f>
        <v>AC + AM - 1 - AL</v>
      </c>
    </row>
    <row r="26" spans="1:39" x14ac:dyDescent="0.35">
      <c r="A26" t="s">
        <v>126</v>
      </c>
      <c r="B26" t="s">
        <v>175</v>
      </c>
      <c r="C26">
        <v>130140</v>
      </c>
      <c r="D26" t="s">
        <v>128</v>
      </c>
      <c r="E26" t="s">
        <v>127</v>
      </c>
      <c r="F26" t="s">
        <v>35</v>
      </c>
      <c r="G26" t="s">
        <v>33</v>
      </c>
      <c r="H26" s="1">
        <f>'RECEITAS - BLOCOS PAN'!H26-'OPEX - BLOCOS PAN'!H26-VLOOKUP('FLUXO DE CAIXA NOM.- BLOCOS PAN'!$D26,'CAPEX - BLOCOS PAN'!$C$3:$H$52,6,FALSE)</f>
        <v>-14879548.6489</v>
      </c>
      <c r="I26" s="1">
        <f>'RECEITAS - BLOCOS PAN'!I26-'OPEX - BLOCOS PAN'!I26-VLOOKUP('FLUXO DE CAIXA NOM.- BLOCOS PAN'!$D26,'CAPEX - BLOCOS PAN'!$C$3:$I$52,7,FALSE)</f>
        <v>-14850239.7535</v>
      </c>
      <c r="J26" s="1">
        <f>'RECEITAS - BLOCOS PAN'!J26-'OPEX - BLOCOS PAN'!J26-VLOOKUP('FLUXO DE CAIXA NOM.- BLOCOS PAN'!$D26,'CAPEX - BLOCOS PAN'!$C$3:$J$52,8,FALSE)</f>
        <v>-14828603.620099999</v>
      </c>
      <c r="K26" s="1">
        <f>'RECEITAS - BLOCOS PAN'!K26-'OPEX - BLOCOS PAN'!K26-VLOOKUP('FLUXO DE CAIXA NOM.- BLOCOS PAN'!$D26,'CAPEX - BLOCOS PAN'!$C$3:$K$52,9,FALSE)</f>
        <v>-2445931.5361000001</v>
      </c>
      <c r="L26" s="1">
        <f>'RECEITAS - BLOCOS PAN'!L26-'OPEX - BLOCOS PAN'!L26-VLOOKUP('FLUXO DE CAIXA NOM.- BLOCOS PAN'!$D26,'CAPEX - BLOCOS PAN'!$C$3:$L$52,10,FALSE)</f>
        <v>-2433585.1285999999</v>
      </c>
      <c r="M26" s="1">
        <f>'RECEITAS - BLOCOS PAN'!M26-'OPEX - BLOCOS PAN'!M26-VLOOKUP('FLUXO DE CAIXA NOM.- BLOCOS PAN'!$D26,'CAPEX - BLOCOS PAN'!$C$3:$M$52,11,FALSE)</f>
        <v>-2422745.8832999999</v>
      </c>
      <c r="N26" s="1">
        <f>'RECEITAS - BLOCOS PAN'!N26-'OPEX - BLOCOS PAN'!N26-VLOOKUP('FLUXO DE CAIXA NOM.- BLOCOS PAN'!$D26,'CAPEX - BLOCOS PAN'!$C$3:$N$52,12,FALSE)</f>
        <v>-2412864.7236000001</v>
      </c>
      <c r="O26" s="1">
        <f>'RECEITAS - BLOCOS PAN'!O26-'OPEX - BLOCOS PAN'!O26-VLOOKUP('FLUXO DE CAIXA NOM.- BLOCOS PAN'!$D26,'CAPEX - BLOCOS PAN'!$C$3:$O$52,13,FALSE)</f>
        <v>-2403597.9143000003</v>
      </c>
      <c r="P26" s="1">
        <f>'RECEITAS - BLOCOS PAN'!P26-'OPEX - BLOCOS PAN'!P26-VLOOKUP('FLUXO DE CAIXA NOM.- BLOCOS PAN'!$D26,'CAPEX - BLOCOS PAN'!$C$3:$P$52,14,FALSE)</f>
        <v>-2395261.1339000002</v>
      </c>
      <c r="Q26" s="1">
        <f>'RECEITAS - BLOCOS PAN'!Q26-'OPEX - BLOCOS PAN'!Q26-VLOOKUP('FLUXO DE CAIXA NOM.- BLOCOS PAN'!$D26,'CAPEX - BLOCOS PAN'!$C$3:$Q$52,15,FALSE)</f>
        <v>-2387849.2764000003</v>
      </c>
      <c r="R26" s="1">
        <f>'RECEITAS - BLOCOS PAN'!R26-'OPEX - BLOCOS PAN'!R26-VLOOKUP('FLUXO DE CAIXA NOM.- BLOCOS PAN'!$D26,'CAPEX - BLOCOS PAN'!$C$3:$R$52,16,FALSE)</f>
        <v>-2381242.2289000005</v>
      </c>
      <c r="S26" s="1">
        <f>'RECEITAS - BLOCOS PAN'!S26-'OPEX - BLOCOS PAN'!S26-VLOOKUP('FLUXO DE CAIXA NOM.- BLOCOS PAN'!$D26,'CAPEX - BLOCOS PAN'!$C$3:$S$52,17,FALSE)</f>
        <v>-2374821.6206</v>
      </c>
      <c r="T26" s="1">
        <f>'RECEITAS - BLOCOS PAN'!T26-'OPEX - BLOCOS PAN'!T26-VLOOKUP('FLUXO DE CAIXA NOM.- BLOCOS PAN'!$D26,'CAPEX - BLOCOS PAN'!$C$3:$T$52,18,FALSE)</f>
        <v>-2368601.2086999998</v>
      </c>
      <c r="U26" s="1">
        <f>'RECEITAS - BLOCOS PAN'!U26-'OPEX - BLOCOS PAN'!U26-VLOOKUP('FLUXO DE CAIXA NOM.- BLOCOS PAN'!$D26,'CAPEX - BLOCOS PAN'!$C$3:$U$52,19,FALSE)</f>
        <v>-2362318.4556</v>
      </c>
      <c r="V26" s="1">
        <f>'RECEITAS - BLOCOS PAN'!V26-'OPEX - BLOCOS PAN'!V26-VLOOKUP('FLUXO DE CAIXA NOM.- BLOCOS PAN'!$D26,'CAPEX - BLOCOS PAN'!$C$3:$V$52,20,FALSE)</f>
        <v>-2356026.0046999999</v>
      </c>
      <c r="W26" s="1">
        <f>'RECEITAS - BLOCOS PAN'!W26-'OPEX - BLOCOS PAN'!W26-VLOOKUP('FLUXO DE CAIXA NOM.- BLOCOS PAN'!$D26,'CAPEX - BLOCOS PAN'!$C$3:$W$52,21,FALSE)</f>
        <v>-2350048.6898999996</v>
      </c>
      <c r="X26" s="1">
        <f>'RECEITAS - BLOCOS PAN'!X26-'OPEX - BLOCOS PAN'!X26-VLOOKUP('FLUXO DE CAIXA NOM.- BLOCOS PAN'!$D26,'CAPEX - BLOCOS PAN'!$C$3:$X$52,22,FALSE)</f>
        <v>-2343851.3251999998</v>
      </c>
      <c r="Y26" s="1">
        <f>'RECEITAS - BLOCOS PAN'!Y26-'OPEX - BLOCOS PAN'!Y26-VLOOKUP('FLUXO DE CAIXA NOM.- BLOCOS PAN'!$D26,'CAPEX - BLOCOS PAN'!$C$3:$Y$52,23,FALSE)</f>
        <v>-2337694.3404999999</v>
      </c>
      <c r="Z26" s="1">
        <f>'RECEITAS - BLOCOS PAN'!Z26-'OPEX - BLOCOS PAN'!Z26-VLOOKUP('FLUXO DE CAIXA NOM.- BLOCOS PAN'!$D26,'CAPEX - BLOCOS PAN'!$C$3:$Z$52,24,FALSE)</f>
        <v>-2331301.7907999996</v>
      </c>
      <c r="AA26" s="1">
        <f>'RECEITAS - BLOCOS PAN'!AA26-'OPEX - BLOCOS PAN'!AA26-VLOOKUP('FLUXO DE CAIXA NOM.- BLOCOS PAN'!$D26,'CAPEX - BLOCOS PAN'!$C$3:$AA$52,25,FALSE)</f>
        <v>-2325295.8759000003</v>
      </c>
      <c r="AB26" s="1">
        <f>'RECEITAS - BLOCOS PAN'!AB26-'OPEX - BLOCOS PAN'!AB26-VLOOKUP('FLUXO DE CAIXA NOM.- BLOCOS PAN'!$D26,'CAPEX - BLOCOS PAN'!$C$3:$AB$52,26,FALSE)</f>
        <v>-2319447.2598000001</v>
      </c>
      <c r="AC26" s="1">
        <f>'RECEITAS - BLOCOS PAN'!AC26-'OPEX - BLOCOS PAN'!AC26-VLOOKUP('FLUXO DE CAIXA NOM.- BLOCOS PAN'!$D26,'CAPEX - BLOCOS PAN'!$C$3:$AC$52,27,FALSE)</f>
        <v>-2313455.6445000004</v>
      </c>
      <c r="AD26" s="1">
        <f>'RECEITAS - BLOCOS PAN'!AD26-'OPEX - BLOCOS PAN'!AD26-VLOOKUP('FLUXO DE CAIXA NOM.- BLOCOS PAN'!$D26,'CAPEX - BLOCOS PAN'!$C$3:$AD$52,28,FALSE)</f>
        <v>-2307749.4852999998</v>
      </c>
      <c r="AE26" s="1">
        <f>'RECEITAS - BLOCOS PAN'!AE26-'OPEX - BLOCOS PAN'!AE26-VLOOKUP('FLUXO DE CAIXA NOM.- BLOCOS PAN'!$D26,'CAPEX - BLOCOS PAN'!$C$3:$AE$52,29,FALSE)</f>
        <v>-2301714.9714000002</v>
      </c>
      <c r="AF26" s="1">
        <f>'RECEITAS - BLOCOS PAN'!AF26-'OPEX - BLOCOS PAN'!AF26-VLOOKUP('FLUXO DE CAIXA NOM.- BLOCOS PAN'!$D26,'CAPEX - BLOCOS PAN'!$C$3:$AF$52,30,FALSE)</f>
        <v>-2295966.4531</v>
      </c>
      <c r="AG26" s="1">
        <f>'RECEITAS - BLOCOS PAN'!AG26-'OPEX - BLOCOS PAN'!AG26-VLOOKUP('FLUXO DE CAIXA NOM.- BLOCOS PAN'!$D26,'CAPEX - BLOCOS PAN'!$C$3:$AG$52,31,FALSE)</f>
        <v>-2290203.6351999999</v>
      </c>
      <c r="AH26" s="1">
        <f>'RECEITAS - BLOCOS PAN'!AH26-'OPEX - BLOCOS PAN'!AH26-VLOOKUP('FLUXO DE CAIXA NOM.- BLOCOS PAN'!$D26,'CAPEX - BLOCOS PAN'!$C$3:$AH$52,32,FALSE)</f>
        <v>-2284721.6699000001</v>
      </c>
      <c r="AI26" s="1">
        <f>'RECEITAS - BLOCOS PAN'!AI26-'OPEX - BLOCOS PAN'!AI26-VLOOKUP('FLUXO DE CAIXA NOM.- BLOCOS PAN'!$D26,'CAPEX - BLOCOS PAN'!$C$3:$AI$52,33,FALSE)</f>
        <v>-2279544.6033999999</v>
      </c>
      <c r="AJ26" s="1">
        <f>'RECEITAS - BLOCOS PAN'!AJ26-'OPEX - BLOCOS PAN'!AJ26-VLOOKUP('FLUXO DE CAIXA NOM.- BLOCOS PAN'!$D26,'CAPEX - BLOCOS PAN'!$C$3:$AJ$52,34,FALSE)</f>
        <v>-2418258.1148999995</v>
      </c>
      <c r="AK26" s="1">
        <f>'RECEITAS - BLOCOS PAN'!AK26-'OPEX - BLOCOS PAN'!AK26-VLOOKUP('FLUXO DE CAIXA NOM.- BLOCOS PAN'!$D26,'CAPEX - BLOCOS PAN'!$C$3:$AK$52,35,FALSE)</f>
        <v>-2412981.3281</v>
      </c>
      <c r="AL26" s="44">
        <f t="shared" si="2"/>
        <v>-108215472.32509999</v>
      </c>
      <c r="AM26" t="str">
        <f>VLOOKUP(D26,'FLUXO DE CAIXA DESC.-BLOCOS PAN'!$D$3:$AO$52,38,FALSE)</f>
        <v>AC + AM - 1 - AL</v>
      </c>
    </row>
    <row r="27" spans="1:39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33</v>
      </c>
      <c r="H27" s="1">
        <f>'RECEITAS - BLOCOS PAN'!H27-'OPEX - BLOCOS PAN'!H27-VLOOKUP('FLUXO DE CAIXA NOM.- BLOCOS PAN'!$D27,'CAPEX - BLOCOS PAN'!$C$3:$H$52,6,FALSE)</f>
        <v>-32570421.112099998</v>
      </c>
      <c r="I27" s="1">
        <f>'RECEITAS - BLOCOS PAN'!I27-'OPEX - BLOCOS PAN'!I27-VLOOKUP('FLUXO DE CAIXA NOM.- BLOCOS PAN'!$D27,'CAPEX - BLOCOS PAN'!$C$3:$I$52,7,FALSE)</f>
        <v>-32535681.261799999</v>
      </c>
      <c r="J27" s="1">
        <f>'RECEITAS - BLOCOS PAN'!J27-'OPEX - BLOCOS PAN'!J27-VLOOKUP('FLUXO DE CAIXA NOM.- BLOCOS PAN'!$D27,'CAPEX - BLOCOS PAN'!$C$3:$J$52,8,FALSE)</f>
        <v>-32508377.266899999</v>
      </c>
      <c r="K27" s="1">
        <f>'RECEITAS - BLOCOS PAN'!K27-'OPEX - BLOCOS PAN'!K27-VLOOKUP('FLUXO DE CAIXA NOM.- BLOCOS PAN'!$D27,'CAPEX - BLOCOS PAN'!$C$3:$K$52,9,FALSE)</f>
        <v>-3223566.4101</v>
      </c>
      <c r="L27" s="1">
        <f>'RECEITAS - BLOCOS PAN'!L27-'OPEX - BLOCOS PAN'!L27-VLOOKUP('FLUXO DE CAIXA NOM.- BLOCOS PAN'!$D27,'CAPEX - BLOCOS PAN'!$C$3:$L$52,10,FALSE)</f>
        <v>-3206534.8114</v>
      </c>
      <c r="M27" s="1">
        <f>'RECEITAS - BLOCOS PAN'!M27-'OPEX - BLOCOS PAN'!M27-VLOOKUP('FLUXO DE CAIXA NOM.- BLOCOS PAN'!$D27,'CAPEX - BLOCOS PAN'!$C$3:$M$52,11,FALSE)</f>
        <v>-3191033.2918999996</v>
      </c>
      <c r="N27" s="1">
        <f>'RECEITAS - BLOCOS PAN'!N27-'OPEX - BLOCOS PAN'!N27-VLOOKUP('FLUXO DE CAIXA NOM.- BLOCOS PAN'!$D27,'CAPEX - BLOCOS PAN'!$C$3:$N$52,12,FALSE)</f>
        <v>-3176090.0040999996</v>
      </c>
      <c r="O27" s="1">
        <f>'RECEITAS - BLOCOS PAN'!O27-'OPEX - BLOCOS PAN'!O27-VLOOKUP('FLUXO DE CAIXA NOM.- BLOCOS PAN'!$D27,'CAPEX - BLOCOS PAN'!$C$3:$O$52,13,FALSE)</f>
        <v>-3318848.2892000005</v>
      </c>
      <c r="P27" s="1">
        <f>'RECEITAS - BLOCOS PAN'!P27-'OPEX - BLOCOS PAN'!P27-VLOOKUP('FLUXO DE CAIXA NOM.- BLOCOS PAN'!$D27,'CAPEX - BLOCOS PAN'!$C$3:$P$52,14,FALSE)</f>
        <v>-3304430.9728999999</v>
      </c>
      <c r="Q27" s="1">
        <f>'RECEITAS - BLOCOS PAN'!Q27-'OPEX - BLOCOS PAN'!Q27-VLOOKUP('FLUXO DE CAIXA NOM.- BLOCOS PAN'!$D27,'CAPEX - BLOCOS PAN'!$C$3:$Q$52,15,FALSE)</f>
        <v>-3291054.6208000001</v>
      </c>
      <c r="R27" s="1">
        <f>'RECEITAS - BLOCOS PAN'!R27-'OPEX - BLOCOS PAN'!R27-VLOOKUP('FLUXO DE CAIXA NOM.- BLOCOS PAN'!$D27,'CAPEX - BLOCOS PAN'!$C$3:$R$52,16,FALSE)</f>
        <v>-3278605.8164999997</v>
      </c>
      <c r="S27" s="1">
        <f>'RECEITAS - BLOCOS PAN'!S27-'OPEX - BLOCOS PAN'!S27-VLOOKUP('FLUXO DE CAIXA NOM.- BLOCOS PAN'!$D27,'CAPEX - BLOCOS PAN'!$C$3:$S$52,17,FALSE)</f>
        <v>-3266184.8710000003</v>
      </c>
      <c r="T27" s="1">
        <f>'RECEITAS - BLOCOS PAN'!T27-'OPEX - BLOCOS PAN'!T27-VLOOKUP('FLUXO DE CAIXA NOM.- BLOCOS PAN'!$D27,'CAPEX - BLOCOS PAN'!$C$3:$T$52,18,FALSE)</f>
        <v>-3253906.5236</v>
      </c>
      <c r="U27" s="1">
        <f>'RECEITAS - BLOCOS PAN'!U27-'OPEX - BLOCOS PAN'!U27-VLOOKUP('FLUXO DE CAIXA NOM.- BLOCOS PAN'!$D27,'CAPEX - BLOCOS PAN'!$C$3:$U$52,19,FALSE)</f>
        <v>-3241372.1618999997</v>
      </c>
      <c r="V27" s="1">
        <f>'RECEITAS - BLOCOS PAN'!V27-'OPEX - BLOCOS PAN'!V27-VLOOKUP('FLUXO DE CAIXA NOM.- BLOCOS PAN'!$D27,'CAPEX - BLOCOS PAN'!$C$3:$V$52,20,FALSE)</f>
        <v>-3229051.0345999999</v>
      </c>
      <c r="W27" s="1">
        <f>'RECEITAS - BLOCOS PAN'!W27-'OPEX - BLOCOS PAN'!W27-VLOOKUP('FLUXO DE CAIXA NOM.- BLOCOS PAN'!$D27,'CAPEX - BLOCOS PAN'!$C$3:$W$52,21,FALSE)</f>
        <v>-3216558.7900000005</v>
      </c>
      <c r="X27" s="1">
        <f>'RECEITAS - BLOCOS PAN'!X27-'OPEX - BLOCOS PAN'!X27-VLOOKUP('FLUXO DE CAIXA NOM.- BLOCOS PAN'!$D27,'CAPEX - BLOCOS PAN'!$C$3:$X$52,22,FALSE)</f>
        <v>-3204167.0252</v>
      </c>
      <c r="Y27" s="1">
        <f>'RECEITAS - BLOCOS PAN'!Y27-'OPEX - BLOCOS PAN'!Y27-VLOOKUP('FLUXO DE CAIXA NOM.- BLOCOS PAN'!$D27,'CAPEX - BLOCOS PAN'!$C$3:$Y$52,23,FALSE)</f>
        <v>-3191361.0654000007</v>
      </c>
      <c r="Z27" s="1">
        <f>'RECEITAS - BLOCOS PAN'!Z27-'OPEX - BLOCOS PAN'!Z27-VLOOKUP('FLUXO DE CAIXA NOM.- BLOCOS PAN'!$D27,'CAPEX - BLOCOS PAN'!$C$3:$Z$52,24,FALSE)</f>
        <v>-3178370.7445999999</v>
      </c>
      <c r="AA27" s="1">
        <f>'RECEITAS - BLOCOS PAN'!AA27-'OPEX - BLOCOS PAN'!AA27-VLOOKUP('FLUXO DE CAIXA NOM.- BLOCOS PAN'!$D27,'CAPEX - BLOCOS PAN'!$C$3:$AA$52,25,FALSE)</f>
        <v>-3165236.8096999992</v>
      </c>
      <c r="AB27" s="1">
        <f>'RECEITAS - BLOCOS PAN'!AB27-'OPEX - BLOCOS PAN'!AB27-VLOOKUP('FLUXO DE CAIXA NOM.- BLOCOS PAN'!$D27,'CAPEX - BLOCOS PAN'!$C$3:$AB$52,26,FALSE)</f>
        <v>-3152502.1478000004</v>
      </c>
      <c r="AC27" s="1">
        <f>'RECEITAS - BLOCOS PAN'!AC27-'OPEX - BLOCOS PAN'!AC27-VLOOKUP('FLUXO DE CAIXA NOM.- BLOCOS PAN'!$D27,'CAPEX - BLOCOS PAN'!$C$3:$AC$52,27,FALSE)</f>
        <v>-3139639.8100999999</v>
      </c>
      <c r="AD27" s="1">
        <f>'RECEITAS - BLOCOS PAN'!AD27-'OPEX - BLOCOS PAN'!AD27-VLOOKUP('FLUXO DE CAIXA NOM.- BLOCOS PAN'!$D27,'CAPEX - BLOCOS PAN'!$C$3:$AD$52,28,FALSE)</f>
        <v>-3126876.6300999997</v>
      </c>
      <c r="AE27" s="1">
        <f>'RECEITAS - BLOCOS PAN'!AE27-'OPEX - BLOCOS PAN'!AE27-VLOOKUP('FLUXO DE CAIXA NOM.- BLOCOS PAN'!$D27,'CAPEX - BLOCOS PAN'!$C$3:$AE$52,29,FALSE)</f>
        <v>-3114099.1893999996</v>
      </c>
      <c r="AF27" s="1">
        <f>'RECEITAS - BLOCOS PAN'!AF27-'OPEX - BLOCOS PAN'!AF27-VLOOKUP('FLUXO DE CAIXA NOM.- BLOCOS PAN'!$D27,'CAPEX - BLOCOS PAN'!$C$3:$AF$52,30,FALSE)</f>
        <v>-3101522.0477999998</v>
      </c>
      <c r="AG27" s="1">
        <f>'RECEITAS - BLOCOS PAN'!AG27-'OPEX - BLOCOS PAN'!AG27-VLOOKUP('FLUXO DE CAIXA NOM.- BLOCOS PAN'!$D27,'CAPEX - BLOCOS PAN'!$C$3:$AG$52,31,FALSE)</f>
        <v>-3088787.3868999998</v>
      </c>
      <c r="AH27" s="1">
        <f>'RECEITAS - BLOCOS PAN'!AH27-'OPEX - BLOCOS PAN'!AH27-VLOOKUP('FLUXO DE CAIXA NOM.- BLOCOS PAN'!$D27,'CAPEX - BLOCOS PAN'!$C$3:$AH$52,32,FALSE)</f>
        <v>-3076552.4800000004</v>
      </c>
      <c r="AI27" s="1">
        <f>'RECEITAS - BLOCOS PAN'!AI27-'OPEX - BLOCOS PAN'!AI27-VLOOKUP('FLUXO DE CAIXA NOM.- BLOCOS PAN'!$D27,'CAPEX - BLOCOS PAN'!$C$3:$AI$52,33,FALSE)</f>
        <v>-3064174.3131999997</v>
      </c>
      <c r="AJ27" s="1">
        <f>'RECEITAS - BLOCOS PAN'!AJ27-'OPEX - BLOCOS PAN'!AJ27-VLOOKUP('FLUXO DE CAIXA NOM.- BLOCOS PAN'!$D27,'CAPEX - BLOCOS PAN'!$C$3:$AJ$52,34,FALSE)</f>
        <v>-3051582.2503</v>
      </c>
      <c r="AK27" s="1">
        <f>'RECEITAS - BLOCOS PAN'!AK27-'OPEX - BLOCOS PAN'!AK27-VLOOKUP('FLUXO DE CAIXA NOM.- BLOCOS PAN'!$D27,'CAPEX - BLOCOS PAN'!$C$3:$AK$52,35,FALSE)</f>
        <v>-3038791.2117000003</v>
      </c>
      <c r="AL27" s="44">
        <f t="shared" si="2"/>
        <v>-183505380.35099998</v>
      </c>
      <c r="AM27" t="str">
        <f>VLOOKUP(D27,'FLUXO DE CAIXA DESC.-BLOCOS PAN'!$D$3:$AO$52,38,FALSE)</f>
        <v>MT - 2 - AL</v>
      </c>
    </row>
    <row r="28" spans="1:39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33</v>
      </c>
      <c r="H28" s="1">
        <f>'RECEITAS - BLOCOS PAN'!H28-'OPEX - BLOCOS PAN'!H28-VLOOKUP('FLUXO DE CAIXA NOM.- BLOCOS PAN'!$D28,'CAPEX - BLOCOS PAN'!$C$3:$H$52,6,FALSE)</f>
        <v>-35210191.359099999</v>
      </c>
      <c r="I28" s="1">
        <f>'RECEITAS - BLOCOS PAN'!I28-'OPEX - BLOCOS PAN'!I28-VLOOKUP('FLUXO DE CAIXA NOM.- BLOCOS PAN'!$D28,'CAPEX - BLOCOS PAN'!$C$3:$I$52,7,FALSE)</f>
        <v>-35334582.773800001</v>
      </c>
      <c r="J28" s="1">
        <f>'RECEITAS - BLOCOS PAN'!J28-'OPEX - BLOCOS PAN'!J28-VLOOKUP('FLUXO DE CAIXA NOM.- BLOCOS PAN'!$D28,'CAPEX - BLOCOS PAN'!$C$3:$J$52,8,FALSE)</f>
        <v>-35287167.622600004</v>
      </c>
      <c r="K28" s="1">
        <f>'RECEITAS - BLOCOS PAN'!K28-'OPEX - BLOCOS PAN'!K28-VLOOKUP('FLUXO DE CAIXA NOM.- BLOCOS PAN'!$D28,'CAPEX - BLOCOS PAN'!$C$3:$K$52,9,FALSE)</f>
        <v>-2867410.6373999999</v>
      </c>
      <c r="L28" s="1">
        <f>'RECEITAS - BLOCOS PAN'!L28-'OPEX - BLOCOS PAN'!L28-VLOOKUP('FLUXO DE CAIXA NOM.- BLOCOS PAN'!$D28,'CAPEX - BLOCOS PAN'!$C$3:$L$52,10,FALSE)</f>
        <v>-2842184.3927000002</v>
      </c>
      <c r="M28" s="1">
        <f>'RECEITAS - BLOCOS PAN'!M28-'OPEX - BLOCOS PAN'!M28-VLOOKUP('FLUXO DE CAIXA NOM.- BLOCOS PAN'!$D28,'CAPEX - BLOCOS PAN'!$C$3:$M$52,11,FALSE)</f>
        <v>-2820280.6815999998</v>
      </c>
      <c r="N28" s="1">
        <f>'RECEITAS - BLOCOS PAN'!N28-'OPEX - BLOCOS PAN'!N28-VLOOKUP('FLUXO DE CAIXA NOM.- BLOCOS PAN'!$D28,'CAPEX - BLOCOS PAN'!$C$3:$N$52,12,FALSE)</f>
        <v>-2800117.0205000001</v>
      </c>
      <c r="O28" s="1">
        <f>'RECEITAS - BLOCOS PAN'!O28-'OPEX - BLOCOS PAN'!O28-VLOOKUP('FLUXO DE CAIXA NOM.- BLOCOS PAN'!$D28,'CAPEX - BLOCOS PAN'!$C$3:$O$52,13,FALSE)</f>
        <v>-2781179.3473999999</v>
      </c>
      <c r="P28" s="1">
        <f>'RECEITAS - BLOCOS PAN'!P28-'OPEX - BLOCOS PAN'!P28-VLOOKUP('FLUXO DE CAIXA NOM.- BLOCOS PAN'!$D28,'CAPEX - BLOCOS PAN'!$C$3:$P$52,14,FALSE)</f>
        <v>-2763767.4724999997</v>
      </c>
      <c r="Q28" s="1">
        <f>'RECEITAS - BLOCOS PAN'!Q28-'OPEX - BLOCOS PAN'!Q28-VLOOKUP('FLUXO DE CAIXA NOM.- BLOCOS PAN'!$D28,'CAPEX - BLOCOS PAN'!$C$3:$Q$52,15,FALSE)</f>
        <v>-2748224.2928999998</v>
      </c>
      <c r="R28" s="1">
        <f>'RECEITAS - BLOCOS PAN'!R28-'OPEX - BLOCOS PAN'!R28-VLOOKUP('FLUXO DE CAIXA NOM.- BLOCOS PAN'!$D28,'CAPEX - BLOCOS PAN'!$C$3:$R$52,16,FALSE)</f>
        <v>-2733935.3135000002</v>
      </c>
      <c r="S28" s="1">
        <f>'RECEITAS - BLOCOS PAN'!S28-'OPEX - BLOCOS PAN'!S28-VLOOKUP('FLUXO DE CAIXA NOM.- BLOCOS PAN'!$D28,'CAPEX - BLOCOS PAN'!$C$3:$S$52,17,FALSE)</f>
        <v>-2719788.9330000002</v>
      </c>
      <c r="T28" s="1">
        <f>'RECEITAS - BLOCOS PAN'!T28-'OPEX - BLOCOS PAN'!T28-VLOOKUP('FLUXO DE CAIXA NOM.- BLOCOS PAN'!$D28,'CAPEX - BLOCOS PAN'!$C$3:$T$52,18,FALSE)</f>
        <v>-2705870.7083999999</v>
      </c>
      <c r="U28" s="1">
        <f>'RECEITAS - BLOCOS PAN'!U28-'OPEX - BLOCOS PAN'!U28-VLOOKUP('FLUXO DE CAIXA NOM.- BLOCOS PAN'!$D28,'CAPEX - BLOCOS PAN'!$C$3:$U$52,19,FALSE)</f>
        <v>-2691568.1306999996</v>
      </c>
      <c r="V28" s="1">
        <f>'RECEITAS - BLOCOS PAN'!V28-'OPEX - BLOCOS PAN'!V28-VLOOKUP('FLUXO DE CAIXA NOM.- BLOCOS PAN'!$D28,'CAPEX - BLOCOS PAN'!$C$3:$V$52,20,FALSE)</f>
        <v>-2677735.4654000001</v>
      </c>
      <c r="W28" s="1">
        <f>'RECEITAS - BLOCOS PAN'!W28-'OPEX - BLOCOS PAN'!W28-VLOOKUP('FLUXO DE CAIXA NOM.- BLOCOS PAN'!$D28,'CAPEX - BLOCOS PAN'!$C$3:$W$52,21,FALSE)</f>
        <v>-3265729.0670000003</v>
      </c>
      <c r="X28" s="1">
        <f>'RECEITAS - BLOCOS PAN'!X28-'OPEX - BLOCOS PAN'!X28-VLOOKUP('FLUXO DE CAIXA NOM.- BLOCOS PAN'!$D28,'CAPEX - BLOCOS PAN'!$C$3:$X$52,22,FALSE)</f>
        <v>-3250706.5482999999</v>
      </c>
      <c r="Y28" s="1">
        <f>'RECEITAS - BLOCOS PAN'!Y28-'OPEX - BLOCOS PAN'!Y28-VLOOKUP('FLUXO DE CAIXA NOM.- BLOCOS PAN'!$D28,'CAPEX - BLOCOS PAN'!$C$3:$Y$52,23,FALSE)</f>
        <v>-3235074.5482000001</v>
      </c>
      <c r="Z28" s="1">
        <f>'RECEITAS - BLOCOS PAN'!Z28-'OPEX - BLOCOS PAN'!Z28-VLOOKUP('FLUXO DE CAIXA NOM.- BLOCOS PAN'!$D28,'CAPEX - BLOCOS PAN'!$C$3:$Z$52,24,FALSE)</f>
        <v>-3219446.9322999995</v>
      </c>
      <c r="AA28" s="1">
        <f>'RECEITAS - BLOCOS PAN'!AA28-'OPEX - BLOCOS PAN'!AA28-VLOOKUP('FLUXO DE CAIXA NOM.- BLOCOS PAN'!$D28,'CAPEX - BLOCOS PAN'!$C$3:$AA$52,25,FALSE)</f>
        <v>-3203524.3027000003</v>
      </c>
      <c r="AB28" s="1">
        <f>'RECEITAS - BLOCOS PAN'!AB28-'OPEX - BLOCOS PAN'!AB28-VLOOKUP('FLUXO DE CAIXA NOM.- BLOCOS PAN'!$D28,'CAPEX - BLOCOS PAN'!$C$3:$AB$52,26,FALSE)</f>
        <v>-3188226.3625999996</v>
      </c>
      <c r="AC28" s="1">
        <f>'RECEITAS - BLOCOS PAN'!AC28-'OPEX - BLOCOS PAN'!AC28-VLOOKUP('FLUXO DE CAIXA NOM.- BLOCOS PAN'!$D28,'CAPEX - BLOCOS PAN'!$C$3:$AC$52,27,FALSE)</f>
        <v>-3172769.4570999993</v>
      </c>
      <c r="AD28" s="1">
        <f>'RECEITAS - BLOCOS PAN'!AD28-'OPEX - BLOCOS PAN'!AD28-VLOOKUP('FLUXO DE CAIXA NOM.- BLOCOS PAN'!$D28,'CAPEX - BLOCOS PAN'!$C$3:$AD$52,28,FALSE)</f>
        <v>-3157731.4187000003</v>
      </c>
      <c r="AE28" s="1">
        <f>'RECEITAS - BLOCOS PAN'!AE28-'OPEX - BLOCOS PAN'!AE28-VLOOKUP('FLUXO DE CAIXA NOM.- BLOCOS PAN'!$D28,'CAPEX - BLOCOS PAN'!$C$3:$AE$52,29,FALSE)</f>
        <v>-3143438.2988</v>
      </c>
      <c r="AF28" s="1">
        <f>'RECEITAS - BLOCOS PAN'!AF28-'OPEX - BLOCOS PAN'!AF28-VLOOKUP('FLUXO DE CAIXA NOM.- BLOCOS PAN'!$D28,'CAPEX - BLOCOS PAN'!$C$3:$AF$52,30,FALSE)</f>
        <v>-3129688.4983000001</v>
      </c>
      <c r="AG28" s="1">
        <f>'RECEITAS - BLOCOS PAN'!AG28-'OPEX - BLOCOS PAN'!AG28-VLOOKUP('FLUXO DE CAIXA NOM.- BLOCOS PAN'!$D28,'CAPEX - BLOCOS PAN'!$C$3:$AG$52,31,FALSE)</f>
        <v>-3115670.4880999997</v>
      </c>
      <c r="AH28" s="1">
        <f>'RECEITAS - BLOCOS PAN'!AH28-'OPEX - BLOCOS PAN'!AH28-VLOOKUP('FLUXO DE CAIXA NOM.- BLOCOS PAN'!$D28,'CAPEX - BLOCOS PAN'!$C$3:$AH$52,32,FALSE)</f>
        <v>-3102696.4939000001</v>
      </c>
      <c r="AI28" s="1">
        <f>'RECEITAS - BLOCOS PAN'!AI28-'OPEX - BLOCOS PAN'!AI28-VLOOKUP('FLUXO DE CAIXA NOM.- BLOCOS PAN'!$D28,'CAPEX - BLOCOS PAN'!$C$3:$AI$52,33,FALSE)</f>
        <v>-3089955.4367999998</v>
      </c>
      <c r="AJ28" s="1">
        <f>'RECEITAS - BLOCOS PAN'!AJ28-'OPEX - BLOCOS PAN'!AJ28-VLOOKUP('FLUXO DE CAIXA NOM.- BLOCOS PAN'!$D28,'CAPEX - BLOCOS PAN'!$C$3:$AJ$52,34,FALSE)</f>
        <v>-3077059.0378000005</v>
      </c>
      <c r="AK28" s="1">
        <f>'RECEITAS - BLOCOS PAN'!AK28-'OPEX - BLOCOS PAN'!AK28-VLOOKUP('FLUXO DE CAIXA NOM.- BLOCOS PAN'!$D28,'CAPEX - BLOCOS PAN'!$C$3:$AK$52,35,FALSE)</f>
        <v>-3063960.8914000001</v>
      </c>
      <c r="AL28" s="44">
        <f t="shared" si="2"/>
        <v>-186399681.93350005</v>
      </c>
      <c r="AM28" t="str">
        <f>VLOOKUP(D28,'FLUXO DE CAIXA DESC.-BLOCOS PAN'!$D$3:$AO$52,38,FALSE)</f>
        <v>MA + TO - AL</v>
      </c>
    </row>
    <row r="29" spans="1:39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33</v>
      </c>
      <c r="H29" s="1">
        <f>'RECEITAS - BLOCOS PAN'!H29-'OPEX - BLOCOS PAN'!H29-VLOOKUP('FLUXO DE CAIXA NOM.- BLOCOS PAN'!$D29,'CAPEX - BLOCOS PAN'!$C$3:$H$52,6,FALSE)</f>
        <v>-5489252.4978999998</v>
      </c>
      <c r="I29" s="1">
        <f>'RECEITAS - BLOCOS PAN'!I29-'OPEX - BLOCOS PAN'!I29-VLOOKUP('FLUXO DE CAIXA NOM.- BLOCOS PAN'!$D29,'CAPEX - BLOCOS PAN'!$C$3:$I$52,7,FALSE)</f>
        <v>-5488024.5937999999</v>
      </c>
      <c r="J29" s="1">
        <f>'RECEITAS - BLOCOS PAN'!J29-'OPEX - BLOCOS PAN'!J29-VLOOKUP('FLUXO DE CAIXA NOM.- BLOCOS PAN'!$D29,'CAPEX - BLOCOS PAN'!$C$3:$J$52,8,FALSE)</f>
        <v>-5487034.7768999999</v>
      </c>
      <c r="K29" s="1">
        <f>'RECEITAS - BLOCOS PAN'!K29-'OPEX - BLOCOS PAN'!K29-VLOOKUP('FLUXO DE CAIXA NOM.- BLOCOS PAN'!$D29,'CAPEX - BLOCOS PAN'!$C$3:$K$52,9,FALSE)</f>
        <v>-1968781.4421000001</v>
      </c>
      <c r="L29" s="1">
        <f>'RECEITAS - BLOCOS PAN'!L29-'OPEX - BLOCOS PAN'!L29-VLOOKUP('FLUXO DE CAIXA NOM.- BLOCOS PAN'!$D29,'CAPEX - BLOCOS PAN'!$C$3:$L$52,10,FALSE)</f>
        <v>-1968144.1624999996</v>
      </c>
      <c r="M29" s="1">
        <f>'RECEITAS - BLOCOS PAN'!M29-'OPEX - BLOCOS PAN'!M29-VLOOKUP('FLUXO DE CAIXA NOM.- BLOCOS PAN'!$D29,'CAPEX - BLOCOS PAN'!$C$3:$M$52,11,FALSE)</f>
        <v>-1967520.4425000001</v>
      </c>
      <c r="N29" s="1">
        <f>'RECEITAS - BLOCOS PAN'!N29-'OPEX - BLOCOS PAN'!N29-VLOOKUP('FLUXO DE CAIXA NOM.- BLOCOS PAN'!$D29,'CAPEX - BLOCOS PAN'!$C$3:$N$52,12,FALSE)</f>
        <v>-1966950.9582000002</v>
      </c>
      <c r="O29" s="1">
        <f>'RECEITAS - BLOCOS PAN'!O29-'OPEX - BLOCOS PAN'!O29-VLOOKUP('FLUXO DE CAIXA NOM.- BLOCOS PAN'!$D29,'CAPEX - BLOCOS PAN'!$C$3:$O$52,13,FALSE)</f>
        <v>-1966387.4523999998</v>
      </c>
      <c r="P29" s="1">
        <f>'RECEITAS - BLOCOS PAN'!P29-'OPEX - BLOCOS PAN'!P29-VLOOKUP('FLUXO DE CAIXA NOM.- BLOCOS PAN'!$D29,'CAPEX - BLOCOS PAN'!$C$3:$P$52,14,FALSE)</f>
        <v>-1965858.6453999998</v>
      </c>
      <c r="Q29" s="1">
        <f>'RECEITAS - BLOCOS PAN'!Q29-'OPEX - BLOCOS PAN'!Q29-VLOOKUP('FLUXO DE CAIXA NOM.- BLOCOS PAN'!$D29,'CAPEX - BLOCOS PAN'!$C$3:$Q$52,15,FALSE)</f>
        <v>-1965356.9572999999</v>
      </c>
      <c r="R29" s="1">
        <f>'RECEITAS - BLOCOS PAN'!R29-'OPEX - BLOCOS PAN'!R29-VLOOKUP('FLUXO DE CAIXA NOM.- BLOCOS PAN'!$D29,'CAPEX - BLOCOS PAN'!$C$3:$R$52,16,FALSE)</f>
        <v>-1964909.5058999998</v>
      </c>
      <c r="S29" s="1">
        <f>'RECEITAS - BLOCOS PAN'!S29-'OPEX - BLOCOS PAN'!S29-VLOOKUP('FLUXO DE CAIXA NOM.- BLOCOS PAN'!$D29,'CAPEX - BLOCOS PAN'!$C$3:$S$52,17,FALSE)</f>
        <v>-1964448.4950999997</v>
      </c>
      <c r="T29" s="1">
        <f>'RECEITAS - BLOCOS PAN'!T29-'OPEX - BLOCOS PAN'!T29-VLOOKUP('FLUXO DE CAIXA NOM.- BLOCOS PAN'!$D29,'CAPEX - BLOCOS PAN'!$C$3:$T$52,18,FALSE)</f>
        <v>-1963993.4618000002</v>
      </c>
      <c r="U29" s="1">
        <f>'RECEITAS - BLOCOS PAN'!U29-'OPEX - BLOCOS PAN'!U29-VLOOKUP('FLUXO DE CAIXA NOM.- BLOCOS PAN'!$D29,'CAPEX - BLOCOS PAN'!$C$3:$U$52,19,FALSE)</f>
        <v>-1963518.8923999998</v>
      </c>
      <c r="V29" s="1">
        <f>'RECEITAS - BLOCOS PAN'!V29-'OPEX - BLOCOS PAN'!V29-VLOOKUP('FLUXO DE CAIXA NOM.- BLOCOS PAN'!$D29,'CAPEX - BLOCOS PAN'!$C$3:$V$52,20,FALSE)</f>
        <v>-1963071.4409999999</v>
      </c>
      <c r="W29" s="1">
        <f>'RECEITAS - BLOCOS PAN'!W29-'OPEX - BLOCOS PAN'!W29-VLOOKUP('FLUXO DE CAIXA NOM.- BLOCOS PAN'!$D29,'CAPEX - BLOCOS PAN'!$C$3:$W$52,21,FALSE)</f>
        <v>-1962610.4303000001</v>
      </c>
      <c r="X29" s="1">
        <f>'RECEITAS - BLOCOS PAN'!X29-'OPEX - BLOCOS PAN'!X29-VLOOKUP('FLUXO DE CAIXA NOM.- BLOCOS PAN'!$D29,'CAPEX - BLOCOS PAN'!$C$3:$X$52,22,FALSE)</f>
        <v>-1962149.4194</v>
      </c>
      <c r="Y29" s="1">
        <f>'RECEITAS - BLOCOS PAN'!Y29-'OPEX - BLOCOS PAN'!Y29-VLOOKUP('FLUXO DE CAIXA NOM.- BLOCOS PAN'!$D29,'CAPEX - BLOCOS PAN'!$C$3:$Y$52,23,FALSE)</f>
        <v>-1961667.2672999999</v>
      </c>
      <c r="Z29" s="1">
        <f>'RECEITAS - BLOCOS PAN'!Z29-'OPEX - BLOCOS PAN'!Z29-VLOOKUP('FLUXO DE CAIXA NOM.- BLOCOS PAN'!$D29,'CAPEX - BLOCOS PAN'!$C$3:$Z$52,24,FALSE)</f>
        <v>-1961206.2574000002</v>
      </c>
      <c r="AA29" s="1">
        <f>'RECEITAS - BLOCOS PAN'!AA29-'OPEX - BLOCOS PAN'!AA29-VLOOKUP('FLUXO DE CAIXA NOM.- BLOCOS PAN'!$D29,'CAPEX - BLOCOS PAN'!$C$3:$AA$52,25,FALSE)</f>
        <v>-1960718.1277000001</v>
      </c>
      <c r="AB29" s="1">
        <f>'RECEITAS - BLOCOS PAN'!AB29-'OPEX - BLOCOS PAN'!AB29-VLOOKUP('FLUXO DE CAIXA NOM.- BLOCOS PAN'!$D29,'CAPEX - BLOCOS PAN'!$C$3:$AB$52,26,FALSE)</f>
        <v>-1960257.1169000003</v>
      </c>
      <c r="AC29" s="1">
        <f>'RECEITAS - BLOCOS PAN'!AC29-'OPEX - BLOCOS PAN'!AC29-VLOOKUP('FLUXO DE CAIXA NOM.- BLOCOS PAN'!$D29,'CAPEX - BLOCOS PAN'!$C$3:$AC$52,27,FALSE)</f>
        <v>-1959755.4287999999</v>
      </c>
      <c r="AD29" s="1">
        <f>'RECEITAS - BLOCOS PAN'!AD29-'OPEX - BLOCOS PAN'!AD29-VLOOKUP('FLUXO DE CAIXA NOM.- BLOCOS PAN'!$D29,'CAPEX - BLOCOS PAN'!$C$3:$AD$52,28,FALSE)</f>
        <v>-1959286.8370999999</v>
      </c>
      <c r="AE29" s="1">
        <f>'RECEITAS - BLOCOS PAN'!AE29-'OPEX - BLOCOS PAN'!AE29-VLOOKUP('FLUXO DE CAIXA NOM.- BLOCOS PAN'!$D29,'CAPEX - BLOCOS PAN'!$C$3:$AE$52,29,FALSE)</f>
        <v>-1958812.2667999999</v>
      </c>
      <c r="AF29" s="1">
        <f>'RECEITAS - BLOCOS PAN'!AF29-'OPEX - BLOCOS PAN'!AF29-VLOOKUP('FLUXO DE CAIXA NOM.- BLOCOS PAN'!$D29,'CAPEX - BLOCOS PAN'!$C$3:$AF$52,30,FALSE)</f>
        <v>-1958351.2560000003</v>
      </c>
      <c r="AG29" s="1">
        <f>'RECEITAS - BLOCOS PAN'!AG29-'OPEX - BLOCOS PAN'!AG29-VLOOKUP('FLUXO DE CAIXA NOM.- BLOCOS PAN'!$D29,'CAPEX - BLOCOS PAN'!$C$3:$AG$52,31,FALSE)</f>
        <v>-1957917.3639999996</v>
      </c>
      <c r="AH29" s="1">
        <f>'RECEITAS - BLOCOS PAN'!AH29-'OPEX - BLOCOS PAN'!AH29-VLOOKUP('FLUXO DE CAIXA NOM.- BLOCOS PAN'!$D29,'CAPEX - BLOCOS PAN'!$C$3:$AH$52,32,FALSE)</f>
        <v>-1957483.4710999997</v>
      </c>
      <c r="AI29" s="1">
        <f>'RECEITAS - BLOCOS PAN'!AI29-'OPEX - BLOCOS PAN'!AI29-VLOOKUP('FLUXO DE CAIXA NOM.- BLOCOS PAN'!$D29,'CAPEX - BLOCOS PAN'!$C$3:$AI$52,33,FALSE)</f>
        <v>-1957063.1385000004</v>
      </c>
      <c r="AJ29" s="1">
        <f>'RECEITAS - BLOCOS PAN'!AJ29-'OPEX - BLOCOS PAN'!AJ29-VLOOKUP('FLUXO DE CAIXA NOM.- BLOCOS PAN'!$D29,'CAPEX - BLOCOS PAN'!$C$3:$AJ$52,34,FALSE)</f>
        <v>-1956621.6636999999</v>
      </c>
      <c r="AK29" s="1">
        <f>'RECEITAS - BLOCOS PAN'!AK29-'OPEX - BLOCOS PAN'!AK29-VLOOKUP('FLUXO DE CAIXA NOM.- BLOCOS PAN'!$D29,'CAPEX - BLOCOS PAN'!$C$3:$AK$52,35,FALSE)</f>
        <v>-1956174.2123000002</v>
      </c>
      <c r="AL29" s="44">
        <f t="shared" si="2"/>
        <v>-69443327.982500002</v>
      </c>
      <c r="AM29" t="str">
        <f>VLOOKUP(D29,'FLUXO DE CAIXA DESC.-BLOCOS PAN'!$D$3:$AO$52,38,FALSE)</f>
        <v>MT - 1 - AL</v>
      </c>
    </row>
    <row r="30" spans="1:39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33</v>
      </c>
      <c r="H30" s="1">
        <f>'RECEITAS - BLOCOS PAN'!H30-'OPEX - BLOCOS PAN'!H30-VLOOKUP('FLUXO DE CAIXA NOM.- BLOCOS PAN'!$D30,'CAPEX - BLOCOS PAN'!$C$3:$H$52,6,FALSE)</f>
        <v>-13321816.509300001</v>
      </c>
      <c r="I30" s="1">
        <f>'RECEITAS - BLOCOS PAN'!I30-'OPEX - BLOCOS PAN'!I30-VLOOKUP('FLUXO DE CAIXA NOM.- BLOCOS PAN'!$D30,'CAPEX - BLOCOS PAN'!$C$3:$I$52,7,FALSE)</f>
        <v>-13304027.022</v>
      </c>
      <c r="J30" s="1">
        <f>'RECEITAS - BLOCOS PAN'!J30-'OPEX - BLOCOS PAN'!J30-VLOOKUP('FLUXO DE CAIXA NOM.- BLOCOS PAN'!$D30,'CAPEX - BLOCOS PAN'!$C$3:$J$52,8,FALSE)</f>
        <v>-13290113.320599999</v>
      </c>
      <c r="K30" s="1">
        <f>'RECEITAS - BLOCOS PAN'!K30-'OPEX - BLOCOS PAN'!K30-VLOOKUP('FLUXO DE CAIXA NOM.- BLOCOS PAN'!$D30,'CAPEX - BLOCOS PAN'!$C$3:$K$52,9,FALSE)</f>
        <v>-3417188.2283000005</v>
      </c>
      <c r="L30" s="1">
        <f>'RECEITAS - BLOCOS PAN'!L30-'OPEX - BLOCOS PAN'!L30-VLOOKUP('FLUXO DE CAIXA NOM.- BLOCOS PAN'!$D30,'CAPEX - BLOCOS PAN'!$C$3:$L$52,10,FALSE)</f>
        <v>-3408422.4526999998</v>
      </c>
      <c r="M30" s="1">
        <f>'RECEITAS - BLOCOS PAN'!M30-'OPEX - BLOCOS PAN'!M30-VLOOKUP('FLUXO DE CAIXA NOM.- BLOCOS PAN'!$D30,'CAPEX - BLOCOS PAN'!$C$3:$M$52,11,FALSE)</f>
        <v>-3400265.8850000002</v>
      </c>
      <c r="N30" s="1">
        <f>'RECEITAS - BLOCOS PAN'!N30-'OPEX - BLOCOS PAN'!N30-VLOOKUP('FLUXO DE CAIXA NOM.- BLOCOS PAN'!$D30,'CAPEX - BLOCOS PAN'!$C$3:$N$52,12,FALSE)</f>
        <v>-3392772.7914</v>
      </c>
      <c r="O30" s="1">
        <f>'RECEITAS - BLOCOS PAN'!O30-'OPEX - BLOCOS PAN'!O30-VLOOKUP('FLUXO DE CAIXA NOM.- BLOCOS PAN'!$D30,'CAPEX - BLOCOS PAN'!$C$3:$O$52,13,FALSE)</f>
        <v>-3385579.9944000002</v>
      </c>
      <c r="P30" s="1">
        <f>'RECEITAS - BLOCOS PAN'!P30-'OPEX - BLOCOS PAN'!P30-VLOOKUP('FLUXO DE CAIXA NOM.- BLOCOS PAN'!$D30,'CAPEX - BLOCOS PAN'!$C$3:$P$52,14,FALSE)</f>
        <v>-3379002.0881999996</v>
      </c>
      <c r="Q30" s="1">
        <f>'RECEITAS - BLOCOS PAN'!Q30-'OPEX - BLOCOS PAN'!Q30-VLOOKUP('FLUXO DE CAIXA NOM.- BLOCOS PAN'!$D30,'CAPEX - BLOCOS PAN'!$C$3:$Q$52,15,FALSE)</f>
        <v>-3372958.9605</v>
      </c>
      <c r="R30" s="1">
        <f>'RECEITAS - BLOCOS PAN'!R30-'OPEX - BLOCOS PAN'!R30-VLOOKUP('FLUXO DE CAIXA NOM.- BLOCOS PAN'!$D30,'CAPEX - BLOCOS PAN'!$C$3:$R$52,16,FALSE)</f>
        <v>-3367424.94</v>
      </c>
      <c r="S30" s="1">
        <f>'RECEITAS - BLOCOS PAN'!S30-'OPEX - BLOCOS PAN'!S30-VLOOKUP('FLUXO DE CAIXA NOM.- BLOCOS PAN'!$D30,'CAPEX - BLOCOS PAN'!$C$3:$S$52,17,FALSE)</f>
        <v>-3361933.8181000003</v>
      </c>
      <c r="T30" s="1">
        <f>'RECEITAS - BLOCOS PAN'!T30-'OPEX - BLOCOS PAN'!T30-VLOOKUP('FLUXO DE CAIXA NOM.- BLOCOS PAN'!$D30,'CAPEX - BLOCOS PAN'!$C$3:$T$52,18,FALSE)</f>
        <v>-3356585.6943000006</v>
      </c>
      <c r="U30" s="1">
        <f>'RECEITAS - BLOCOS PAN'!U30-'OPEX - BLOCOS PAN'!U30-VLOOKUP('FLUXO DE CAIXA NOM.- BLOCOS PAN'!$D30,'CAPEX - BLOCOS PAN'!$C$3:$U$52,19,FALSE)</f>
        <v>-3351094.5724000004</v>
      </c>
      <c r="V30" s="1">
        <f>'RECEITAS - BLOCOS PAN'!V30-'OPEX - BLOCOS PAN'!V30-VLOOKUP('FLUXO DE CAIXA NOM.- BLOCOS PAN'!$D30,'CAPEX - BLOCOS PAN'!$C$3:$V$52,20,FALSE)</f>
        <v>-3345645.8086999999</v>
      </c>
      <c r="W30" s="1">
        <f>'RECEITAS - BLOCOS PAN'!W30-'OPEX - BLOCOS PAN'!W30-VLOOKUP('FLUXO DE CAIXA NOM.- BLOCOS PAN'!$D30,'CAPEX - BLOCOS PAN'!$C$3:$W$52,21,FALSE)</f>
        <v>-3340240.4859000002</v>
      </c>
      <c r="X30" s="1">
        <f>'RECEITAS - BLOCOS PAN'!X30-'OPEX - BLOCOS PAN'!X30-VLOOKUP('FLUXO DE CAIXA NOM.- BLOCOS PAN'!$D30,'CAPEX - BLOCOS PAN'!$C$3:$X$52,22,FALSE)</f>
        <v>-3334777.9638999999</v>
      </c>
      <c r="Y30" s="1">
        <f>'RECEITAS - BLOCOS PAN'!Y30-'OPEX - BLOCOS PAN'!Y30-VLOOKUP('FLUXO DE CAIXA NOM.- BLOCOS PAN'!$D30,'CAPEX - BLOCOS PAN'!$C$3:$Y$52,23,FALSE)</f>
        <v>-3329243.9424999999</v>
      </c>
      <c r="Z30" s="1">
        <f>'RECEITAS - BLOCOS PAN'!Z30-'OPEX - BLOCOS PAN'!Z30-VLOOKUP('FLUXO DE CAIXA NOM.- BLOCOS PAN'!$D30,'CAPEX - BLOCOS PAN'!$C$3:$Z$52,24,FALSE)</f>
        <v>-3323589.8392000003</v>
      </c>
      <c r="AA30" s="1">
        <f>'RECEITAS - BLOCOS PAN'!AA30-'OPEX - BLOCOS PAN'!AA30-VLOOKUP('FLUXO DE CAIXA NOM.- BLOCOS PAN'!$D30,'CAPEX - BLOCOS PAN'!$C$3:$AA$52,25,FALSE)</f>
        <v>-3317869.9212000002</v>
      </c>
      <c r="AB30" s="1">
        <f>'RECEITAS - BLOCOS PAN'!AB30-'OPEX - BLOCOS PAN'!AB30-VLOOKUP('FLUXO DE CAIXA NOM.- BLOCOS PAN'!$D30,'CAPEX - BLOCOS PAN'!$C$3:$AB$52,26,FALSE)</f>
        <v>-3312407.3982999995</v>
      </c>
      <c r="AC30" s="1">
        <f>'RECEITAS - BLOCOS PAN'!AC30-'OPEX - BLOCOS PAN'!AC30-VLOOKUP('FLUXO DE CAIXA NOM.- BLOCOS PAN'!$D30,'CAPEX - BLOCOS PAN'!$C$3:$AC$52,27,FALSE)</f>
        <v>-3306801.8784000003</v>
      </c>
      <c r="AD30" s="1">
        <f>'RECEITAS - BLOCOS PAN'!AD30-'OPEX - BLOCOS PAN'!AD30-VLOOKUP('FLUXO DE CAIXA NOM.- BLOCOS PAN'!$D30,'CAPEX - BLOCOS PAN'!$C$3:$AD$52,28,FALSE)</f>
        <v>-3301353.656</v>
      </c>
      <c r="AE30" s="1">
        <f>'RECEITAS - BLOCOS PAN'!AE30-'OPEX - BLOCOS PAN'!AE30-VLOOKUP('FLUXO DE CAIXA NOM.- BLOCOS PAN'!$D30,'CAPEX - BLOCOS PAN'!$C$3:$AE$52,29,FALSE)</f>
        <v>-3295547.3977999999</v>
      </c>
      <c r="AF30" s="1">
        <f>'RECEITAS - BLOCOS PAN'!AF30-'OPEX - BLOCOS PAN'!AF30-VLOOKUP('FLUXO DE CAIXA NOM.- BLOCOS PAN'!$D30,'CAPEX - BLOCOS PAN'!$C$3:$AF$52,30,FALSE)</f>
        <v>-3289970.4768000003</v>
      </c>
      <c r="AG30" s="1">
        <f>'RECEITAS - BLOCOS PAN'!AG30-'OPEX - BLOCOS PAN'!AG30-VLOOKUP('FLUXO DE CAIXA NOM.- BLOCOS PAN'!$D30,'CAPEX - BLOCOS PAN'!$C$3:$AG$52,31,FALSE)</f>
        <v>-3284279.1578000002</v>
      </c>
      <c r="AH30" s="1">
        <f>'RECEITAS - BLOCOS PAN'!AH30-'OPEX - BLOCOS PAN'!AH30-VLOOKUP('FLUXO DE CAIXA NOM.- BLOCOS PAN'!$D30,'CAPEX - BLOCOS PAN'!$C$3:$AH$52,32,FALSE)</f>
        <v>-3278916.7344999993</v>
      </c>
      <c r="AI30" s="1">
        <f>'RECEITAS - BLOCOS PAN'!AI30-'OPEX - BLOCOS PAN'!AI30-VLOOKUP('FLUXO DE CAIXA NOM.- BLOCOS PAN'!$D30,'CAPEX - BLOCOS PAN'!$C$3:$AI$52,33,FALSE)</f>
        <v>-3273449.6494</v>
      </c>
      <c r="AJ30" s="1">
        <f>'RECEITAS - BLOCOS PAN'!AJ30-'OPEX - BLOCOS PAN'!AJ30-VLOOKUP('FLUXO DE CAIXA NOM.- BLOCOS PAN'!$D30,'CAPEX - BLOCOS PAN'!$C$3:$AJ$52,34,FALSE)</f>
        <v>-3267929.3873000001</v>
      </c>
      <c r="AK30" s="1">
        <f>'RECEITAS - BLOCOS PAN'!AK30-'OPEX - BLOCOS PAN'!AK30-VLOOKUP('FLUXO DE CAIXA NOM.- BLOCOS PAN'!$D30,'CAPEX - BLOCOS PAN'!$C$3:$AK$52,35,FALSE)</f>
        <v>-3262381.0661999998</v>
      </c>
      <c r="AL30" s="44">
        <f t="shared" si="2"/>
        <v>-129973591.04110001</v>
      </c>
      <c r="AM30" t="str">
        <f>VLOOKUP(D30,'FLUXO DE CAIXA DESC.-BLOCOS PAN'!$D$3:$AO$52,38,FALSE)</f>
        <v>MT - 1 - AL</v>
      </c>
    </row>
    <row r="31" spans="1:39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33</v>
      </c>
      <c r="H31" s="1">
        <f>'RECEITAS - BLOCOS PAN'!H31-'OPEX - BLOCOS PAN'!H31-VLOOKUP('FLUXO DE CAIXA NOM.- BLOCOS PAN'!$D31,'CAPEX - BLOCOS PAN'!$C$3:$H$52,6,FALSE)</f>
        <v>-8248507.3093999997</v>
      </c>
      <c r="I31" s="1">
        <f>'RECEITAS - BLOCOS PAN'!I31-'OPEX - BLOCOS PAN'!I31-VLOOKUP('FLUXO DE CAIXA NOM.- BLOCOS PAN'!$D31,'CAPEX - BLOCOS PAN'!$C$3:$I$52,7,FALSE)</f>
        <v>-8202627.9178999998</v>
      </c>
      <c r="J31" s="1">
        <f>'RECEITAS - BLOCOS PAN'!J31-'OPEX - BLOCOS PAN'!J31-VLOOKUP('FLUXO DE CAIXA NOM.- BLOCOS PAN'!$D31,'CAPEX - BLOCOS PAN'!$C$3:$J$52,8,FALSE)</f>
        <v>-8174637.5328000002</v>
      </c>
      <c r="K31" s="1">
        <f>'RECEITAS - BLOCOS PAN'!K31-'OPEX - BLOCOS PAN'!K31-VLOOKUP('FLUXO DE CAIXA NOM.- BLOCOS PAN'!$D31,'CAPEX - BLOCOS PAN'!$C$3:$K$52,9,FALSE)</f>
        <v>-3309872.8835</v>
      </c>
      <c r="L31" s="1">
        <f>'RECEITAS - BLOCOS PAN'!L31-'OPEX - BLOCOS PAN'!L31-VLOOKUP('FLUXO DE CAIXA NOM.- BLOCOS PAN'!$D31,'CAPEX - BLOCOS PAN'!$C$3:$L$52,10,FALSE)</f>
        <v>-3290468.0608999999</v>
      </c>
      <c r="M31" s="1">
        <f>'RECEITAS - BLOCOS PAN'!M31-'OPEX - BLOCOS PAN'!M31-VLOOKUP('FLUXO DE CAIXA NOM.- BLOCOS PAN'!$D31,'CAPEX - BLOCOS PAN'!$C$3:$M$52,11,FALSE)</f>
        <v>-3272392.5770000005</v>
      </c>
      <c r="N31" s="1">
        <f>'RECEITAS - BLOCOS PAN'!N31-'OPEX - BLOCOS PAN'!N31-VLOOKUP('FLUXO DE CAIXA NOM.- BLOCOS PAN'!$D31,'CAPEX - BLOCOS PAN'!$C$3:$N$52,12,FALSE)</f>
        <v>-3565694.1491</v>
      </c>
      <c r="O31" s="1">
        <f>'RECEITAS - BLOCOS PAN'!O31-'OPEX - BLOCOS PAN'!O31-VLOOKUP('FLUXO DE CAIXA NOM.- BLOCOS PAN'!$D31,'CAPEX - BLOCOS PAN'!$C$3:$O$52,13,FALSE)</f>
        <v>-3559875.4903000002</v>
      </c>
      <c r="P31" s="1">
        <f>'RECEITAS - BLOCOS PAN'!P31-'OPEX - BLOCOS PAN'!P31-VLOOKUP('FLUXO DE CAIXA NOM.- BLOCOS PAN'!$D31,'CAPEX - BLOCOS PAN'!$C$3:$P$52,14,FALSE)</f>
        <v>-3538299.7546999995</v>
      </c>
      <c r="Q31" s="1">
        <f>'RECEITAS - BLOCOS PAN'!Q31-'OPEX - BLOCOS PAN'!Q31-VLOOKUP('FLUXO DE CAIXA NOM.- BLOCOS PAN'!$D31,'CAPEX - BLOCOS PAN'!$C$3:$Q$52,15,FALSE)</f>
        <v>-3516838.0975999995</v>
      </c>
      <c r="R31" s="1">
        <f>'RECEITAS - BLOCOS PAN'!R31-'OPEX - BLOCOS PAN'!R31-VLOOKUP('FLUXO DE CAIXA NOM.- BLOCOS PAN'!$D31,'CAPEX - BLOCOS PAN'!$C$3:$R$52,16,FALSE)</f>
        <v>-3511661.7911</v>
      </c>
      <c r="S31" s="1">
        <f>'RECEITAS - BLOCOS PAN'!S31-'OPEX - BLOCOS PAN'!S31-VLOOKUP('FLUXO DE CAIXA NOM.- BLOCOS PAN'!$D31,'CAPEX - BLOCOS PAN'!$C$3:$S$52,17,FALSE)</f>
        <v>-3490371.2506000004</v>
      </c>
      <c r="T31" s="1">
        <f>'RECEITAS - BLOCOS PAN'!T31-'OPEX - BLOCOS PAN'!T31-VLOOKUP('FLUXO DE CAIXA NOM.- BLOCOS PAN'!$D31,'CAPEX - BLOCOS PAN'!$C$3:$T$52,18,FALSE)</f>
        <v>-3485309.0223999997</v>
      </c>
      <c r="U31" s="1">
        <f>'RECEITAS - BLOCOS PAN'!U31-'OPEX - BLOCOS PAN'!U31-VLOOKUP('FLUXO DE CAIXA NOM.- BLOCOS PAN'!$D31,'CAPEX - BLOCOS PAN'!$C$3:$U$52,19,FALSE)</f>
        <v>-3463590.6889</v>
      </c>
      <c r="V31" s="1">
        <f>'RECEITAS - BLOCOS PAN'!V31-'OPEX - BLOCOS PAN'!V31-VLOOKUP('FLUXO DE CAIXA NOM.- BLOCOS PAN'!$D31,'CAPEX - BLOCOS PAN'!$C$3:$V$52,20,FALSE)</f>
        <v>-3458656.1371000004</v>
      </c>
      <c r="W31" s="1">
        <f>'RECEITAS - BLOCOS PAN'!W31-'OPEX - BLOCOS PAN'!W31-VLOOKUP('FLUXO DE CAIXA NOM.- BLOCOS PAN'!$D31,'CAPEX - BLOCOS PAN'!$C$3:$W$52,21,FALSE)</f>
        <v>-3453736.5068999999</v>
      </c>
      <c r="X31" s="1">
        <f>'RECEITAS - BLOCOS PAN'!X31-'OPEX - BLOCOS PAN'!X31-VLOOKUP('FLUXO DE CAIXA NOM.- BLOCOS PAN'!$D31,'CAPEX - BLOCOS PAN'!$C$3:$X$52,22,FALSE)</f>
        <v>-3432060.9521999992</v>
      </c>
      <c r="Y31" s="1">
        <f>'RECEITAS - BLOCOS PAN'!Y31-'OPEX - BLOCOS PAN'!Y31-VLOOKUP('FLUXO DE CAIXA NOM.- BLOCOS PAN'!$D31,'CAPEX - BLOCOS PAN'!$C$3:$Y$52,23,FALSE)</f>
        <v>-3426919.3533999994</v>
      </c>
      <c r="Z31" s="1">
        <f>'RECEITAS - BLOCOS PAN'!Z31-'OPEX - BLOCOS PAN'!Z31-VLOOKUP('FLUXO DE CAIXA NOM.- BLOCOS PAN'!$D31,'CAPEX - BLOCOS PAN'!$C$3:$Z$52,24,FALSE)</f>
        <v>-3404510.7160999998</v>
      </c>
      <c r="AA31" s="1">
        <f>'RECEITAS - BLOCOS PAN'!AA31-'OPEX - BLOCOS PAN'!AA31-VLOOKUP('FLUXO DE CAIXA NOM.- BLOCOS PAN'!$D31,'CAPEX - BLOCOS PAN'!$C$3:$AA$52,25,FALSE)</f>
        <v>-3399305.2285000007</v>
      </c>
      <c r="AB31" s="1">
        <f>'RECEITAS - BLOCOS PAN'!AB31-'OPEX - BLOCOS PAN'!AB31-VLOOKUP('FLUXO DE CAIXA NOM.- BLOCOS PAN'!$D31,'CAPEX - BLOCOS PAN'!$C$3:$AB$52,26,FALSE)</f>
        <v>-3377144.8413999993</v>
      </c>
      <c r="AC31" s="1">
        <f>'RECEITAS - BLOCOS PAN'!AC31-'OPEX - BLOCOS PAN'!AC31-VLOOKUP('FLUXO DE CAIXA NOM.- BLOCOS PAN'!$D31,'CAPEX - BLOCOS PAN'!$C$3:$AC$52,27,FALSE)</f>
        <v>-3372339.2888000002</v>
      </c>
      <c r="AD31" s="1">
        <f>'RECEITAS - BLOCOS PAN'!AD31-'OPEX - BLOCOS PAN'!AD31-VLOOKUP('FLUXO DE CAIXA NOM.- BLOCOS PAN'!$D31,'CAPEX - BLOCOS PAN'!$C$3:$AD$52,28,FALSE)</f>
        <v>-3350164.6412999993</v>
      </c>
      <c r="AE31" s="1">
        <f>'RECEITAS - BLOCOS PAN'!AE31-'OPEX - BLOCOS PAN'!AE31-VLOOKUP('FLUXO DE CAIXA NOM.- BLOCOS PAN'!$D31,'CAPEX - BLOCOS PAN'!$C$3:$AE$52,29,FALSE)</f>
        <v>-3345701.3250000002</v>
      </c>
      <c r="AF31" s="1">
        <f>'RECEITAS - BLOCOS PAN'!AF31-'OPEX - BLOCOS PAN'!AF31-VLOOKUP('FLUXO DE CAIXA NOM.- BLOCOS PAN'!$D31,'CAPEX - BLOCOS PAN'!$C$3:$AF$52,30,FALSE)</f>
        <v>-3323540.9369000001</v>
      </c>
      <c r="AG31" s="1">
        <f>'RECEITAS - BLOCOS PAN'!AG31-'OPEX - BLOCOS PAN'!AG31-VLOOKUP('FLUXO DE CAIXA NOM.- BLOCOS PAN'!$D31,'CAPEX - BLOCOS PAN'!$C$3:$AG$52,31,FALSE)</f>
        <v>-3319390.6749999998</v>
      </c>
      <c r="AH31" s="1">
        <f>'RECEITAS - BLOCOS PAN'!AH31-'OPEX - BLOCOS PAN'!AH31-VLOOKUP('FLUXO DE CAIXA NOM.- BLOCOS PAN'!$D31,'CAPEX - BLOCOS PAN'!$C$3:$AH$52,32,FALSE)</f>
        <v>-3297814.9394999999</v>
      </c>
      <c r="AI31" s="1">
        <f>'RECEITAS - BLOCOS PAN'!AI31-'OPEX - BLOCOS PAN'!AI31-VLOOKUP('FLUXO DE CAIXA NOM.- BLOCOS PAN'!$D31,'CAPEX - BLOCOS PAN'!$C$3:$AI$52,33,FALSE)</f>
        <v>-3294549.4450000003</v>
      </c>
      <c r="AJ31" s="1">
        <f>'RECEITAS - BLOCOS PAN'!AJ31-'OPEX - BLOCOS PAN'!AJ31-VLOOKUP('FLUXO DE CAIXA NOM.- BLOCOS PAN'!$D31,'CAPEX - BLOCOS PAN'!$C$3:$AJ$52,34,FALSE)</f>
        <v>-3291269.6913000005</v>
      </c>
      <c r="AK31" s="1">
        <f>'RECEITAS - BLOCOS PAN'!AK31-'OPEX - BLOCOS PAN'!AK31-VLOOKUP('FLUXO DE CAIXA NOM.- BLOCOS PAN'!$D31,'CAPEX - BLOCOS PAN'!$C$3:$AK$52,35,FALSE)</f>
        <v>-3287975.6783000003</v>
      </c>
      <c r="AL31" s="44">
        <f t="shared" si="2"/>
        <v>-116465226.8829</v>
      </c>
      <c r="AM31" t="str">
        <f>VLOOKUP(D31,'FLUXO DE CAIXA DESC.-BLOCOS PAN'!$D$3:$AO$52,38,FALSE)</f>
        <v>Bloco Nordeste</v>
      </c>
    </row>
    <row r="32" spans="1:39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33</v>
      </c>
      <c r="H32" s="1">
        <f>'RECEITAS - BLOCOS PAN'!H32-'OPEX - BLOCOS PAN'!H32-VLOOKUP('FLUXO DE CAIXA NOM.- BLOCOS PAN'!$D32,'CAPEX - BLOCOS PAN'!$C$3:$H$52,6,FALSE)</f>
        <v>-21387244.780733332</v>
      </c>
      <c r="I32" s="1">
        <f>'RECEITAS - BLOCOS PAN'!I32-'OPEX - BLOCOS PAN'!I32-VLOOKUP('FLUXO DE CAIXA NOM.- BLOCOS PAN'!$D32,'CAPEX - BLOCOS PAN'!$C$3:$I$52,7,FALSE)</f>
        <v>-21375318.209633332</v>
      </c>
      <c r="J32" s="1">
        <f>'RECEITAS - BLOCOS PAN'!J32-'OPEX - BLOCOS PAN'!J32-VLOOKUP('FLUXO DE CAIXA NOM.- BLOCOS PAN'!$D32,'CAPEX - BLOCOS PAN'!$C$3:$J$52,8,FALSE)</f>
        <v>-21366194.940133333</v>
      </c>
      <c r="K32" s="1">
        <f>'RECEITAS - BLOCOS PAN'!K32-'OPEX - BLOCOS PAN'!K32-VLOOKUP('FLUXO DE CAIXA NOM.- BLOCOS PAN'!$D32,'CAPEX - BLOCOS PAN'!$C$3:$K$52,9,FALSE)</f>
        <v>-2596750.0443999995</v>
      </c>
      <c r="L32" s="1">
        <f>'RECEITAS - BLOCOS PAN'!L32-'OPEX - BLOCOS PAN'!L32-VLOOKUP('FLUXO DE CAIXA NOM.- BLOCOS PAN'!$D32,'CAPEX - BLOCOS PAN'!$C$3:$L$52,10,FALSE)</f>
        <v>-2590824.2453000005</v>
      </c>
      <c r="M32" s="1">
        <f>'RECEITAS - BLOCOS PAN'!M32-'OPEX - BLOCOS PAN'!M32-VLOOKUP('FLUXO DE CAIXA NOM.- BLOCOS PAN'!$D32,'CAPEX - BLOCOS PAN'!$C$3:$M$52,11,FALSE)</f>
        <v>-2585113.0737000001</v>
      </c>
      <c r="N32" s="1">
        <f>'RECEITAS - BLOCOS PAN'!N32-'OPEX - BLOCOS PAN'!N32-VLOOKUP('FLUXO DE CAIXA NOM.- BLOCOS PAN'!$D32,'CAPEX - BLOCOS PAN'!$C$3:$N$52,12,FALSE)</f>
        <v>-2579736.3501999998</v>
      </c>
      <c r="O32" s="1">
        <f>'RECEITAS - BLOCOS PAN'!O32-'OPEX - BLOCOS PAN'!O32-VLOOKUP('FLUXO DE CAIXA NOM.- BLOCOS PAN'!$D32,'CAPEX - BLOCOS PAN'!$C$3:$O$52,13,FALSE)</f>
        <v>-2574760.0214</v>
      </c>
      <c r="P32" s="1">
        <f>'RECEITAS - BLOCOS PAN'!P32-'OPEX - BLOCOS PAN'!P32-VLOOKUP('FLUXO DE CAIXA NOM.- BLOCOS PAN'!$D32,'CAPEX - BLOCOS PAN'!$C$3:$P$52,14,FALSE)</f>
        <v>-2569797.9923</v>
      </c>
      <c r="Q32" s="1">
        <f>'RECEITAS - BLOCOS PAN'!Q32-'OPEX - BLOCOS PAN'!Q32-VLOOKUP('FLUXO DE CAIXA NOM.- BLOCOS PAN'!$D32,'CAPEX - BLOCOS PAN'!$C$3:$Q$52,15,FALSE)</f>
        <v>-2565121.4172999999</v>
      </c>
      <c r="R32" s="1">
        <f>'RECEITAS - BLOCOS PAN'!R32-'OPEX - BLOCOS PAN'!R32-VLOOKUP('FLUXO DE CAIXA NOM.- BLOCOS PAN'!$D32,'CAPEX - BLOCOS PAN'!$C$3:$R$52,16,FALSE)</f>
        <v>-2560717.0797999999</v>
      </c>
      <c r="S32" s="1">
        <f>'RECEITAS - BLOCOS PAN'!S32-'OPEX - BLOCOS PAN'!S32-VLOOKUP('FLUXO DE CAIXA NOM.- BLOCOS PAN'!$D32,'CAPEX - BLOCOS PAN'!$C$3:$S$52,17,FALSE)</f>
        <v>-2556269.8437000001</v>
      </c>
      <c r="T32" s="1">
        <f>'RECEITAS - BLOCOS PAN'!T32-'OPEX - BLOCOS PAN'!T32-VLOOKUP('FLUXO DE CAIXA NOM.- BLOCOS PAN'!$D32,'CAPEX - BLOCOS PAN'!$C$3:$T$52,18,FALSE)</f>
        <v>-2551808.3070999999</v>
      </c>
      <c r="U32" s="1">
        <f>'RECEITAS - BLOCOS PAN'!U32-'OPEX - BLOCOS PAN'!U32-VLOOKUP('FLUXO DE CAIXA NOM.- BLOCOS PAN'!$D32,'CAPEX - BLOCOS PAN'!$C$3:$U$52,19,FALSE)</f>
        <v>-2547203.7732999995</v>
      </c>
      <c r="V32" s="1">
        <f>'RECEITAS - BLOCOS PAN'!V32-'OPEX - BLOCOS PAN'!V32-VLOOKUP('FLUXO DE CAIXA NOM.- BLOCOS PAN'!$D32,'CAPEX - BLOCOS PAN'!$C$3:$V$52,20,FALSE)</f>
        <v>-2542413.3414999996</v>
      </c>
      <c r="W32" s="1">
        <f>'RECEITAS - BLOCOS PAN'!W32-'OPEX - BLOCOS PAN'!W32-VLOOKUP('FLUXO DE CAIXA NOM.- BLOCOS PAN'!$D32,'CAPEX - BLOCOS PAN'!$C$3:$W$52,21,FALSE)</f>
        <v>-2537693.8668999998</v>
      </c>
      <c r="X32" s="1">
        <f>'RECEITAS - BLOCOS PAN'!X32-'OPEX - BLOCOS PAN'!X32-VLOOKUP('FLUXO DE CAIXA NOM.- BLOCOS PAN'!$D32,'CAPEX - BLOCOS PAN'!$C$3:$X$52,22,FALSE)</f>
        <v>-2532746.1372999996</v>
      </c>
      <c r="Y32" s="1">
        <f>'RECEITAS - BLOCOS PAN'!Y32-'OPEX - BLOCOS PAN'!Y32-VLOOKUP('FLUXO DE CAIXA NOM.- BLOCOS PAN'!$D32,'CAPEX - BLOCOS PAN'!$C$3:$Y$52,23,FALSE)</f>
        <v>-2527869.9073999994</v>
      </c>
      <c r="Z32" s="1">
        <f>'RECEITAS - BLOCOS PAN'!Z32-'OPEX - BLOCOS PAN'!Z32-VLOOKUP('FLUXO DE CAIXA NOM.- BLOCOS PAN'!$D32,'CAPEX - BLOCOS PAN'!$C$3:$Z$52,24,FALSE)</f>
        <v>-2522664.7812999999</v>
      </c>
      <c r="AA32" s="1">
        <f>'RECEITAS - BLOCOS PAN'!AA32-'OPEX - BLOCOS PAN'!AA32-VLOOKUP('FLUXO DE CAIXA NOM.- BLOCOS PAN'!$D32,'CAPEX - BLOCOS PAN'!$C$3:$AA$52,25,FALSE)</f>
        <v>-2517325.8152000001</v>
      </c>
      <c r="AB32" s="1">
        <f>'RECEITAS - BLOCOS PAN'!AB32-'OPEX - BLOCOS PAN'!AB32-VLOOKUP('FLUXO DE CAIXA NOM.- BLOCOS PAN'!$D32,'CAPEX - BLOCOS PAN'!$C$3:$AB$52,26,FALSE)</f>
        <v>-2512105.8481000001</v>
      </c>
      <c r="AC32" s="1">
        <f>'RECEITAS - BLOCOS PAN'!AC32-'OPEX - BLOCOS PAN'!AC32-VLOOKUP('FLUXO DE CAIXA NOM.- BLOCOS PAN'!$D32,'CAPEX - BLOCOS PAN'!$C$3:$AC$52,27,FALSE)</f>
        <v>-2506543.2275999999</v>
      </c>
      <c r="AD32" s="1">
        <f>'RECEITAS - BLOCOS PAN'!AD32-'OPEX - BLOCOS PAN'!AD32-VLOOKUP('FLUXO DE CAIXA NOM.- BLOCOS PAN'!$D32,'CAPEX - BLOCOS PAN'!$C$3:$AD$52,28,FALSE)</f>
        <v>-2501238.0027000001</v>
      </c>
      <c r="AE32" s="1">
        <f>'RECEITAS - BLOCOS PAN'!AE32-'OPEX - BLOCOS PAN'!AE32-VLOOKUP('FLUXO DE CAIXA NOM.- BLOCOS PAN'!$D32,'CAPEX - BLOCOS PAN'!$C$3:$AE$52,29,FALSE)</f>
        <v>-2495074.7910000002</v>
      </c>
      <c r="AF32" s="1">
        <f>'RECEITAS - BLOCOS PAN'!AF32-'OPEX - BLOCOS PAN'!AF32-VLOOKUP('FLUXO DE CAIXA NOM.- BLOCOS PAN'!$D32,'CAPEX - BLOCOS PAN'!$C$3:$AF$52,30,FALSE)</f>
        <v>-2488960.1645</v>
      </c>
      <c r="AG32" s="1">
        <f>'RECEITAS - BLOCOS PAN'!AG32-'OPEX - BLOCOS PAN'!AG32-VLOOKUP('FLUXO DE CAIXA NOM.- BLOCOS PAN'!$D32,'CAPEX - BLOCOS PAN'!$C$3:$AG$52,31,FALSE)</f>
        <v>-2482596.7552999998</v>
      </c>
      <c r="AH32" s="1">
        <f>'RECEITAS - BLOCOS PAN'!AH32-'OPEX - BLOCOS PAN'!AH32-VLOOKUP('FLUXO DE CAIXA NOM.- BLOCOS PAN'!$D32,'CAPEX - BLOCOS PAN'!$C$3:$AH$52,32,FALSE)</f>
        <v>-2476648.0395000004</v>
      </c>
      <c r="AI32" s="1">
        <f>'RECEITAS - BLOCOS PAN'!AI32-'OPEX - BLOCOS PAN'!AI32-VLOOKUP('FLUXO DE CAIXA NOM.- BLOCOS PAN'!$D32,'CAPEX - BLOCOS PAN'!$C$3:$AI$52,33,FALSE)</f>
        <v>-2470399.0285999998</v>
      </c>
      <c r="AJ32" s="1">
        <f>'RECEITAS - BLOCOS PAN'!AJ32-'OPEX - BLOCOS PAN'!AJ32-VLOOKUP('FLUXO DE CAIXA NOM.- BLOCOS PAN'!$D32,'CAPEX - BLOCOS PAN'!$C$3:$AJ$52,34,FALSE)</f>
        <v>-2464007.0204000003</v>
      </c>
      <c r="AK32" s="1">
        <f>'RECEITAS - BLOCOS PAN'!AK32-'OPEX - BLOCOS PAN'!AK32-VLOOKUP('FLUXO DE CAIXA NOM.- BLOCOS PAN'!$D32,'CAPEX - BLOCOS PAN'!$C$3:$AK$52,35,FALSE)</f>
        <v>-2457399.9726999998</v>
      </c>
      <c r="AL32" s="44">
        <f t="shared" si="2"/>
        <v>-132442546.77899997</v>
      </c>
      <c r="AM32" t="str">
        <f>VLOOKUP(D32,'FLUXO DE CAIXA DESC.-BLOCOS PAN'!$D$3:$AO$52,38,FALSE)</f>
        <v>AC + AM - 1 - AL</v>
      </c>
    </row>
    <row r="33" spans="1:39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33</v>
      </c>
      <c r="H33" s="1">
        <f>'RECEITAS - BLOCOS PAN'!H33-'OPEX - BLOCOS PAN'!H33-VLOOKUP('FLUXO DE CAIXA NOM.- BLOCOS PAN'!$D33,'CAPEX - BLOCOS PAN'!$C$3:$H$52,6,FALSE)</f>
        <v>-6171897.2343333326</v>
      </c>
      <c r="I33" s="1">
        <f>'RECEITAS - BLOCOS PAN'!I33-'OPEX - BLOCOS PAN'!I33-VLOOKUP('FLUXO DE CAIXA NOM.- BLOCOS PAN'!$D33,'CAPEX - BLOCOS PAN'!$C$3:$I$52,7,FALSE)</f>
        <v>-6171076.1043333337</v>
      </c>
      <c r="J33" s="1">
        <f>'RECEITAS - BLOCOS PAN'!J33-'OPEX - BLOCOS PAN'!J33-VLOOKUP('FLUXO DE CAIXA NOM.- BLOCOS PAN'!$D33,'CAPEX - BLOCOS PAN'!$C$3:$J$52,8,FALSE)</f>
        <v>-6170452.3834333327</v>
      </c>
      <c r="K33" s="1">
        <f>'RECEITAS - BLOCOS PAN'!K33-'OPEX - BLOCOS PAN'!K33-VLOOKUP('FLUXO DE CAIXA NOM.- BLOCOS PAN'!$D33,'CAPEX - BLOCOS PAN'!$C$3:$K$52,9,FALSE)</f>
        <v>-1432658.0397000001</v>
      </c>
      <c r="L33" s="1">
        <f>'RECEITAS - BLOCOS PAN'!L33-'OPEX - BLOCOS PAN'!L33-VLOOKUP('FLUXO DE CAIXA NOM.- BLOCOS PAN'!$D33,'CAPEX - BLOCOS PAN'!$C$3:$L$52,10,FALSE)</f>
        <v>-1432305.5025000002</v>
      </c>
      <c r="M33" s="1">
        <f>'RECEITAS - BLOCOS PAN'!M33-'OPEX - BLOCOS PAN'!M33-VLOOKUP('FLUXO DE CAIXA NOM.- BLOCOS PAN'!$D33,'CAPEX - BLOCOS PAN'!$C$3:$M$52,11,FALSE)</f>
        <v>-1431993.6416</v>
      </c>
      <c r="N33" s="1">
        <f>'RECEITAS - BLOCOS PAN'!N33-'OPEX - BLOCOS PAN'!N33-VLOOKUP('FLUXO DE CAIXA NOM.- BLOCOS PAN'!$D33,'CAPEX - BLOCOS PAN'!$C$3:$N$52,12,FALSE)</f>
        <v>-1431695.3407999999</v>
      </c>
      <c r="O33" s="1">
        <f>'RECEITAS - BLOCOS PAN'!O33-'OPEX - BLOCOS PAN'!O33-VLOOKUP('FLUXO DE CAIXA NOM.- BLOCOS PAN'!$D33,'CAPEX - BLOCOS PAN'!$C$3:$O$52,13,FALSE)</f>
        <v>-1431424.1577999999</v>
      </c>
      <c r="P33" s="1">
        <f>'RECEITAS - BLOCOS PAN'!P33-'OPEX - BLOCOS PAN'!P33-VLOOKUP('FLUXO DE CAIXA NOM.- BLOCOS PAN'!$D33,'CAPEX - BLOCOS PAN'!$C$3:$P$52,14,FALSE)</f>
        <v>-1431145.3933999999</v>
      </c>
      <c r="Q33" s="1">
        <f>'RECEITAS - BLOCOS PAN'!Q33-'OPEX - BLOCOS PAN'!Q33-VLOOKUP('FLUXO DE CAIXA NOM.- BLOCOS PAN'!$D33,'CAPEX - BLOCOS PAN'!$C$3:$Q$52,15,FALSE)</f>
        <v>-1430874.2107000002</v>
      </c>
      <c r="R33" s="1">
        <f>'RECEITAS - BLOCOS PAN'!R33-'OPEX - BLOCOS PAN'!R33-VLOOKUP('FLUXO DE CAIXA NOM.- BLOCOS PAN'!$D33,'CAPEX - BLOCOS PAN'!$C$3:$R$52,16,FALSE)</f>
        <v>-1430643.7060000002</v>
      </c>
      <c r="S33" s="1">
        <f>'RECEITAS - BLOCOS PAN'!S33-'OPEX - BLOCOS PAN'!S33-VLOOKUP('FLUXO DE CAIXA NOM.- BLOCOS PAN'!$D33,'CAPEX - BLOCOS PAN'!$C$3:$S$52,17,FALSE)</f>
        <v>-1430399.6410999999</v>
      </c>
      <c r="T33" s="1">
        <f>'RECEITAS - BLOCOS PAN'!T33-'OPEX - BLOCOS PAN'!T33-VLOOKUP('FLUXO DE CAIXA NOM.- BLOCOS PAN'!$D33,'CAPEX - BLOCOS PAN'!$C$3:$T$52,18,FALSE)</f>
        <v>-1430169.1354999999</v>
      </c>
      <c r="U33" s="1">
        <f>'RECEITAS - BLOCOS PAN'!U33-'OPEX - BLOCOS PAN'!U33-VLOOKUP('FLUXO DE CAIXA NOM.- BLOCOS PAN'!$D33,'CAPEX - BLOCOS PAN'!$C$3:$U$52,19,FALSE)</f>
        <v>-1429938.6307999999</v>
      </c>
      <c r="V33" s="1">
        <f>'RECEITAS - BLOCOS PAN'!V33-'OPEX - BLOCOS PAN'!V33-VLOOKUP('FLUXO DE CAIXA NOM.- BLOCOS PAN'!$D33,'CAPEX - BLOCOS PAN'!$C$3:$V$52,20,FALSE)</f>
        <v>-1429708.125</v>
      </c>
      <c r="W33" s="1">
        <f>'RECEITAS - BLOCOS PAN'!W33-'OPEX - BLOCOS PAN'!W33-VLOOKUP('FLUXO DE CAIXA NOM.- BLOCOS PAN'!$D33,'CAPEX - BLOCOS PAN'!$C$3:$W$52,21,FALSE)</f>
        <v>-1429477.6194</v>
      </c>
      <c r="X33" s="1">
        <f>'RECEITAS - BLOCOS PAN'!X33-'OPEX - BLOCOS PAN'!X33-VLOOKUP('FLUXO DE CAIXA NOM.- BLOCOS PAN'!$D33,'CAPEX - BLOCOS PAN'!$C$3:$X$52,22,FALSE)</f>
        <v>-1429247.1145999997</v>
      </c>
      <c r="Y33" s="1">
        <f>'RECEITAS - BLOCOS PAN'!Y33-'OPEX - BLOCOS PAN'!Y33-VLOOKUP('FLUXO DE CAIXA NOM.- BLOCOS PAN'!$D33,'CAPEX - BLOCOS PAN'!$C$3:$Y$52,23,FALSE)</f>
        <v>-1429016.6089000001</v>
      </c>
      <c r="Z33" s="1">
        <f>'RECEITAS - BLOCOS PAN'!Z33-'OPEX - BLOCOS PAN'!Z33-VLOOKUP('FLUXO DE CAIXA NOM.- BLOCOS PAN'!$D33,'CAPEX - BLOCOS PAN'!$C$3:$Z$52,24,FALSE)</f>
        <v>-1428764.9626</v>
      </c>
      <c r="AA33" s="1">
        <f>'RECEITAS - BLOCOS PAN'!AA33-'OPEX - BLOCOS PAN'!AA33-VLOOKUP('FLUXO DE CAIXA NOM.- BLOCOS PAN'!$D33,'CAPEX - BLOCOS PAN'!$C$3:$AA$52,25,FALSE)</f>
        <v>-1428493.7799</v>
      </c>
      <c r="AB33" s="1">
        <f>'RECEITAS - BLOCOS PAN'!AB33-'OPEX - BLOCOS PAN'!AB33-VLOOKUP('FLUXO DE CAIXA NOM.- BLOCOS PAN'!$D33,'CAPEX - BLOCOS PAN'!$C$3:$AB$52,26,FALSE)</f>
        <v>-1428263.2740999998</v>
      </c>
      <c r="AC33" s="1">
        <f>'RECEITAS - BLOCOS PAN'!AC33-'OPEX - BLOCOS PAN'!AC33-VLOOKUP('FLUXO DE CAIXA NOM.- BLOCOS PAN'!$D33,'CAPEX - BLOCOS PAN'!$C$3:$AC$52,27,FALSE)</f>
        <v>-1428032.7693000003</v>
      </c>
      <c r="AD33" s="1">
        <f>'RECEITAS - BLOCOS PAN'!AD33-'OPEX - BLOCOS PAN'!AD33-VLOOKUP('FLUXO DE CAIXA NOM.- BLOCOS PAN'!$D33,'CAPEX - BLOCOS PAN'!$C$3:$AD$52,28,FALSE)</f>
        <v>-1427802.2636000002</v>
      </c>
      <c r="AE33" s="1">
        <f>'RECEITAS - BLOCOS PAN'!AE33-'OPEX - BLOCOS PAN'!AE33-VLOOKUP('FLUXO DE CAIXA NOM.- BLOCOS PAN'!$D33,'CAPEX - BLOCOS PAN'!$C$3:$AE$52,29,FALSE)</f>
        <v>-1427571.7589</v>
      </c>
      <c r="AF33" s="1">
        <f>'RECEITAS - BLOCOS PAN'!AF33-'OPEX - BLOCOS PAN'!AF33-VLOOKUP('FLUXO DE CAIXA NOM.- BLOCOS PAN'!$D33,'CAPEX - BLOCOS PAN'!$C$3:$AF$52,30,FALSE)</f>
        <v>-1427341.2533</v>
      </c>
      <c r="AG33" s="1">
        <f>'RECEITAS - BLOCOS PAN'!AG33-'OPEX - BLOCOS PAN'!AG33-VLOOKUP('FLUXO DE CAIXA NOM.- BLOCOS PAN'!$D33,'CAPEX - BLOCOS PAN'!$C$3:$AG$52,31,FALSE)</f>
        <v>-1427070.0703999999</v>
      </c>
      <c r="AH33" s="1">
        <f>'RECEITAS - BLOCOS PAN'!AH33-'OPEX - BLOCOS PAN'!AH33-VLOOKUP('FLUXO DE CAIXA NOM.- BLOCOS PAN'!$D33,'CAPEX - BLOCOS PAN'!$C$3:$AH$52,32,FALSE)</f>
        <v>-1426839.5647000002</v>
      </c>
      <c r="AI33" s="1">
        <f>'RECEITAS - BLOCOS PAN'!AI33-'OPEX - BLOCOS PAN'!AI33-VLOOKUP('FLUXO DE CAIXA NOM.- BLOCOS PAN'!$D33,'CAPEX - BLOCOS PAN'!$C$3:$AI$52,33,FALSE)</f>
        <v>-1426636.1781000004</v>
      </c>
      <c r="AJ33" s="1">
        <f>'RECEITAS - BLOCOS PAN'!AJ33-'OPEX - BLOCOS PAN'!AJ33-VLOOKUP('FLUXO DE CAIXA NOM.- BLOCOS PAN'!$D33,'CAPEX - BLOCOS PAN'!$C$3:$AJ$52,34,FALSE)</f>
        <v>-1426357.4136000001</v>
      </c>
      <c r="AK33" s="1">
        <f>'RECEITAS - BLOCOS PAN'!AK33-'OPEX - BLOCOS PAN'!AK33-VLOOKUP('FLUXO DE CAIXA NOM.- BLOCOS PAN'!$D33,'CAPEX - BLOCOS PAN'!$C$3:$AK$52,35,FALSE)</f>
        <v>-1426126.9079</v>
      </c>
      <c r="AL33" s="44">
        <f t="shared" si="2"/>
        <v>-57103422.786299996</v>
      </c>
      <c r="AM33" t="str">
        <f>VLOOKUP(D33,'FLUXO DE CAIXA DESC.-BLOCOS PAN'!$D$3:$AO$52,38,FALSE)</f>
        <v>AM - 3 - AL</v>
      </c>
    </row>
    <row r="34" spans="1:39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33</v>
      </c>
      <c r="H34" s="1">
        <f>'RECEITAS - BLOCOS PAN'!H34-'OPEX - BLOCOS PAN'!H34-VLOOKUP('FLUXO DE CAIXA NOM.- BLOCOS PAN'!$D34,'CAPEX - BLOCOS PAN'!$C$3:$H$52,6,FALSE)</f>
        <v>-41253016.314199999</v>
      </c>
      <c r="I34" s="1">
        <f>'RECEITAS - BLOCOS PAN'!I34-'OPEX - BLOCOS PAN'!I34-VLOOKUP('FLUXO DE CAIXA NOM.- BLOCOS PAN'!$D34,'CAPEX - BLOCOS PAN'!$C$3:$I$52,7,FALSE)</f>
        <v>-41099069.019500002</v>
      </c>
      <c r="J34" s="1">
        <f>'RECEITAS - BLOCOS PAN'!J34-'OPEX - BLOCOS PAN'!J34-VLOOKUP('FLUXO DE CAIXA NOM.- BLOCOS PAN'!$D34,'CAPEX - BLOCOS PAN'!$C$3:$J$52,8,FALSE)</f>
        <v>-40977181.897699997</v>
      </c>
      <c r="K34" s="1">
        <f>'RECEITAS - BLOCOS PAN'!K34-'OPEX - BLOCOS PAN'!K34-VLOOKUP('FLUXO DE CAIXA NOM.- BLOCOS PAN'!$D34,'CAPEX - BLOCOS PAN'!$C$3:$K$52,9,FALSE)</f>
        <v>-2673372.9683999997</v>
      </c>
      <c r="L34" s="1">
        <f>'RECEITAS - BLOCOS PAN'!L34-'OPEX - BLOCOS PAN'!L34-VLOOKUP('FLUXO DE CAIXA NOM.- BLOCOS PAN'!$D34,'CAPEX - BLOCOS PAN'!$C$3:$L$52,10,FALSE)</f>
        <v>-2593682.2155999998</v>
      </c>
      <c r="M34" s="1">
        <f>'RECEITAS - BLOCOS PAN'!M34-'OPEX - BLOCOS PAN'!M34-VLOOKUP('FLUXO DE CAIXA NOM.- BLOCOS PAN'!$D34,'CAPEX - BLOCOS PAN'!$C$3:$M$52,11,FALSE)</f>
        <v>-2520966.1400000006</v>
      </c>
      <c r="N34" s="1">
        <f>'RECEITAS - BLOCOS PAN'!N34-'OPEX - BLOCOS PAN'!N34-VLOOKUP('FLUXO DE CAIXA NOM.- BLOCOS PAN'!$D34,'CAPEX - BLOCOS PAN'!$C$3:$N$52,12,FALSE)</f>
        <v>-2452728.818</v>
      </c>
      <c r="O34" s="1">
        <f>'RECEITAS - BLOCOS PAN'!O34-'OPEX - BLOCOS PAN'!O34-VLOOKUP('FLUXO DE CAIXA NOM.- BLOCOS PAN'!$D34,'CAPEX - BLOCOS PAN'!$C$3:$O$52,13,FALSE)</f>
        <v>-2386225.2546000006</v>
      </c>
      <c r="P34" s="1">
        <f>'RECEITAS - BLOCOS PAN'!P34-'OPEX - BLOCOS PAN'!P34-VLOOKUP('FLUXO DE CAIXA NOM.- BLOCOS PAN'!$D34,'CAPEX - BLOCOS PAN'!$C$3:$P$52,14,FALSE)</f>
        <v>-2323283.8791</v>
      </c>
      <c r="Q34" s="1">
        <f>'RECEITAS - BLOCOS PAN'!Q34-'OPEX - BLOCOS PAN'!Q34-VLOOKUP('FLUXO DE CAIXA NOM.- BLOCOS PAN'!$D34,'CAPEX - BLOCOS PAN'!$C$3:$Q$52,15,FALSE)</f>
        <v>-2263655.2909000004</v>
      </c>
      <c r="R34" s="1">
        <f>'RECEITAS - BLOCOS PAN'!R34-'OPEX - BLOCOS PAN'!R34-VLOOKUP('FLUXO DE CAIXA NOM.- BLOCOS PAN'!$D34,'CAPEX - BLOCOS PAN'!$C$3:$R$52,16,FALSE)</f>
        <v>-2207678.0828</v>
      </c>
      <c r="S34" s="1">
        <f>'RECEITAS - BLOCOS PAN'!S34-'OPEX - BLOCOS PAN'!S34-VLOOKUP('FLUXO DE CAIXA NOM.- BLOCOS PAN'!$D34,'CAPEX - BLOCOS PAN'!$C$3:$S$52,17,FALSE)</f>
        <v>-2150217.3177999998</v>
      </c>
      <c r="T34" s="1">
        <f>'RECEITAS - BLOCOS PAN'!T34-'OPEX - BLOCOS PAN'!T34-VLOOKUP('FLUXO DE CAIXA NOM.- BLOCOS PAN'!$D34,'CAPEX - BLOCOS PAN'!$C$3:$T$52,18,FALSE)</f>
        <v>-2093685.1942999996</v>
      </c>
      <c r="U34" s="1">
        <f>'RECEITAS - BLOCOS PAN'!U34-'OPEX - BLOCOS PAN'!U34-VLOOKUP('FLUXO DE CAIXA NOM.- BLOCOS PAN'!$D34,'CAPEX - BLOCOS PAN'!$C$3:$U$52,19,FALSE)</f>
        <v>-2034491.2908000001</v>
      </c>
      <c r="V34" s="1">
        <f>'RECEITAS - BLOCOS PAN'!V34-'OPEX - BLOCOS PAN'!V34-VLOOKUP('FLUXO DE CAIXA NOM.- BLOCOS PAN'!$D34,'CAPEX - BLOCOS PAN'!$C$3:$V$52,20,FALSE)</f>
        <v>-1976632.9423000002</v>
      </c>
      <c r="W34" s="1">
        <f>'RECEITAS - BLOCOS PAN'!W34-'OPEX - BLOCOS PAN'!W34-VLOOKUP('FLUXO DE CAIXA NOM.- BLOCOS PAN'!$D34,'CAPEX - BLOCOS PAN'!$C$3:$W$52,21,FALSE)</f>
        <v>-1916587.6848999998</v>
      </c>
      <c r="X34" s="1">
        <f>'RECEITAS - BLOCOS PAN'!X34-'OPEX - BLOCOS PAN'!X34-VLOOKUP('FLUXO DE CAIXA NOM.- BLOCOS PAN'!$D34,'CAPEX - BLOCOS PAN'!$C$3:$X$52,22,FALSE)</f>
        <v>-1856688.0589999999</v>
      </c>
      <c r="Y34" s="1">
        <f>'RECEITAS - BLOCOS PAN'!Y34-'OPEX - BLOCOS PAN'!Y34-VLOOKUP('FLUXO DE CAIXA NOM.- BLOCOS PAN'!$D34,'CAPEX - BLOCOS PAN'!$C$3:$Y$52,23,FALSE)</f>
        <v>-1794141.8742</v>
      </c>
      <c r="Z34" s="1">
        <f>'RECEITAS - BLOCOS PAN'!Z34-'OPEX - BLOCOS PAN'!Z34-VLOOKUP('FLUXO DE CAIXA NOM.- BLOCOS PAN'!$D34,'CAPEX - BLOCOS PAN'!$C$3:$Z$52,24,FALSE)</f>
        <v>-1731416.5777999996</v>
      </c>
      <c r="AA34" s="1">
        <f>'RECEITAS - BLOCOS PAN'!AA34-'OPEX - BLOCOS PAN'!AA34-VLOOKUP('FLUXO DE CAIXA NOM.- BLOCOS PAN'!$D34,'CAPEX - BLOCOS PAN'!$C$3:$AA$52,25,FALSE)</f>
        <v>-1665859.8369</v>
      </c>
      <c r="AB34" s="1">
        <f>'RECEITAS - BLOCOS PAN'!AB34-'OPEX - BLOCOS PAN'!AB34-VLOOKUP('FLUXO DE CAIXA NOM.- BLOCOS PAN'!$D34,'CAPEX - BLOCOS PAN'!$C$3:$AB$52,26,FALSE)</f>
        <v>-1602266.6569999997</v>
      </c>
      <c r="AC34" s="1">
        <f>'RECEITAS - BLOCOS PAN'!AC34-'OPEX - BLOCOS PAN'!AC34-VLOOKUP('FLUXO DE CAIXA NOM.- BLOCOS PAN'!$D34,'CAPEX - BLOCOS PAN'!$C$3:$AC$52,27,FALSE)</f>
        <v>-1536197.6300999997</v>
      </c>
      <c r="AD34" s="1">
        <f>'RECEITAS - BLOCOS PAN'!AD34-'OPEX - BLOCOS PAN'!AD34-VLOOKUP('FLUXO DE CAIXA NOM.- BLOCOS PAN'!$D34,'CAPEX - BLOCOS PAN'!$C$3:$AD$52,28,FALSE)</f>
        <v>-1471157.2486000005</v>
      </c>
      <c r="AE34" s="1">
        <f>'RECEITAS - BLOCOS PAN'!AE34-'OPEX - BLOCOS PAN'!AE34-VLOOKUP('FLUXO DE CAIXA NOM.- BLOCOS PAN'!$D34,'CAPEX - BLOCOS PAN'!$C$3:$AE$52,29,FALSE)</f>
        <v>-1405197.0037999996</v>
      </c>
      <c r="AF34" s="1">
        <f>'RECEITAS - BLOCOS PAN'!AF34-'OPEX - BLOCOS PAN'!AF34-VLOOKUP('FLUXO DE CAIXA NOM.- BLOCOS PAN'!$D34,'CAPEX - BLOCOS PAN'!$C$3:$AF$52,30,FALSE)</f>
        <v>-1339612.2185999993</v>
      </c>
      <c r="AG34" s="1">
        <f>'RECEITAS - BLOCOS PAN'!AG34-'OPEX - BLOCOS PAN'!AG34-VLOOKUP('FLUXO DE CAIXA NOM.- BLOCOS PAN'!$D34,'CAPEX - BLOCOS PAN'!$C$3:$AG$52,31,FALSE)</f>
        <v>-1271277.5466</v>
      </c>
      <c r="AH34" s="1">
        <f>'RECEITAS - BLOCOS PAN'!AH34-'OPEX - BLOCOS PAN'!AH34-VLOOKUP('FLUXO DE CAIXA NOM.- BLOCOS PAN'!$D34,'CAPEX - BLOCOS PAN'!$C$3:$AH$52,32,FALSE)</f>
        <v>-1205212.7532000002</v>
      </c>
      <c r="AI34" s="1">
        <f>'RECEITAS - BLOCOS PAN'!AI34-'OPEX - BLOCOS PAN'!AI34-VLOOKUP('FLUXO DE CAIXA NOM.- BLOCOS PAN'!$D34,'CAPEX - BLOCOS PAN'!$C$3:$AI$52,33,FALSE)</f>
        <v>-1136496.5288</v>
      </c>
      <c r="AJ34" s="1">
        <f>'RECEITAS - BLOCOS PAN'!AJ34-'OPEX - BLOCOS PAN'!AJ34-VLOOKUP('FLUXO DE CAIXA NOM.- BLOCOS PAN'!$D34,'CAPEX - BLOCOS PAN'!$C$3:$AJ$52,34,FALSE)</f>
        <v>-1066501.3099000002</v>
      </c>
      <c r="AK34" s="1">
        <f>'RECEITAS - BLOCOS PAN'!AK34-'OPEX - BLOCOS PAN'!AK34-VLOOKUP('FLUXO DE CAIXA NOM.- BLOCOS PAN'!$D34,'CAPEX - BLOCOS PAN'!$C$3:$AK$52,35,FALSE)</f>
        <v>-994834.10930000013</v>
      </c>
      <c r="AL34" s="44">
        <f t="shared" si="2"/>
        <v>-172999333.66469994</v>
      </c>
      <c r="AM34" t="str">
        <f>VLOOKUP(D34,'FLUXO DE CAIXA DESC.-BLOCOS PAN'!$D$3:$AO$52,38,FALSE)</f>
        <v>AM - 3 - AL</v>
      </c>
    </row>
    <row r="35" spans="1:39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33</v>
      </c>
      <c r="H35" s="1">
        <f>'RECEITAS - BLOCOS PAN'!H35-'OPEX - BLOCOS PAN'!H35-VLOOKUP('FLUXO DE CAIXA NOM.- BLOCOS PAN'!$D35,'CAPEX - BLOCOS PAN'!$C$3:$H$52,6,FALSE)</f>
        <v>-21973333.684</v>
      </c>
      <c r="I35" s="1">
        <f>'RECEITAS - BLOCOS PAN'!I35-'OPEX - BLOCOS PAN'!I35-VLOOKUP('FLUXO DE CAIXA NOM.- BLOCOS PAN'!$D35,'CAPEX - BLOCOS PAN'!$C$3:$I$52,7,FALSE)</f>
        <v>-21939265.886300001</v>
      </c>
      <c r="J35" s="1">
        <f>'RECEITAS - BLOCOS PAN'!J35-'OPEX - BLOCOS PAN'!J35-VLOOKUP('FLUXO DE CAIXA NOM.- BLOCOS PAN'!$D35,'CAPEX - BLOCOS PAN'!$C$3:$J$52,8,FALSE)</f>
        <v>-21912162.667800002</v>
      </c>
      <c r="K35" s="1">
        <f>'RECEITAS - BLOCOS PAN'!K35-'OPEX - BLOCOS PAN'!K35-VLOOKUP('FLUXO DE CAIXA NOM.- BLOCOS PAN'!$D35,'CAPEX - BLOCOS PAN'!$C$3:$K$52,9,FALSE)</f>
        <v>-3251599.0195000004</v>
      </c>
      <c r="L35" s="1">
        <f>'RECEITAS - BLOCOS PAN'!L35-'OPEX - BLOCOS PAN'!L35-VLOOKUP('FLUXO DE CAIXA NOM.- BLOCOS PAN'!$D35,'CAPEX - BLOCOS PAN'!$C$3:$L$52,10,FALSE)</f>
        <v>-3233913.2344000004</v>
      </c>
      <c r="M35" s="1">
        <f>'RECEITAS - BLOCOS PAN'!M35-'OPEX - BLOCOS PAN'!M35-VLOOKUP('FLUXO DE CAIXA NOM.- BLOCOS PAN'!$D35,'CAPEX - BLOCOS PAN'!$C$3:$M$52,11,FALSE)</f>
        <v>-3217674.3526999997</v>
      </c>
      <c r="N35" s="1">
        <f>'RECEITAS - BLOCOS PAN'!N35-'OPEX - BLOCOS PAN'!N35-VLOOKUP('FLUXO DE CAIXA NOM.- BLOCOS PAN'!$D35,'CAPEX - BLOCOS PAN'!$C$3:$N$52,12,FALSE)</f>
        <v>-3202344.9715</v>
      </c>
      <c r="O35" s="1">
        <f>'RECEITAS - BLOCOS PAN'!O35-'OPEX - BLOCOS PAN'!O35-VLOOKUP('FLUXO DE CAIXA NOM.- BLOCOS PAN'!$D35,'CAPEX - BLOCOS PAN'!$C$3:$O$52,13,FALSE)</f>
        <v>-3187429.7426</v>
      </c>
      <c r="P35" s="1">
        <f>'RECEITAS - BLOCOS PAN'!P35-'OPEX - BLOCOS PAN'!P35-VLOOKUP('FLUXO DE CAIXA NOM.- BLOCOS PAN'!$D35,'CAPEX - BLOCOS PAN'!$C$3:$P$52,14,FALSE)</f>
        <v>-3173759.1379000004</v>
      </c>
      <c r="Q35" s="1">
        <f>'RECEITAS - BLOCOS PAN'!Q35-'OPEX - BLOCOS PAN'!Q35-VLOOKUP('FLUXO DE CAIXA NOM.- BLOCOS PAN'!$D35,'CAPEX - BLOCOS PAN'!$C$3:$Q$52,15,FALSE)</f>
        <v>-3318933.8489000001</v>
      </c>
      <c r="R35" s="1">
        <f>'RECEITAS - BLOCOS PAN'!R35-'OPEX - BLOCOS PAN'!R35-VLOOKUP('FLUXO DE CAIXA NOM.- BLOCOS PAN'!$D35,'CAPEX - BLOCOS PAN'!$C$3:$R$52,16,FALSE)</f>
        <v>-3307154.5937000001</v>
      </c>
      <c r="S35" s="1">
        <f>'RECEITAS - BLOCOS PAN'!S35-'OPEX - BLOCOS PAN'!S35-VLOOKUP('FLUXO DE CAIXA NOM.- BLOCOS PAN'!$D35,'CAPEX - BLOCOS PAN'!$C$3:$S$52,17,FALSE)</f>
        <v>-3295446.6384999994</v>
      </c>
      <c r="T35" s="1">
        <f>'RECEITAS - BLOCOS PAN'!T35-'OPEX - BLOCOS PAN'!T35-VLOOKUP('FLUXO DE CAIXA NOM.- BLOCOS PAN'!$D35,'CAPEX - BLOCOS PAN'!$C$3:$T$52,18,FALSE)</f>
        <v>-3283810.6428999999</v>
      </c>
      <c r="U35" s="1">
        <f>'RECEITAS - BLOCOS PAN'!U35-'OPEX - BLOCOS PAN'!U35-VLOOKUP('FLUXO DE CAIXA NOM.- BLOCOS PAN'!$D35,'CAPEX - BLOCOS PAN'!$C$3:$U$52,19,FALSE)</f>
        <v>-3271945.8299000002</v>
      </c>
      <c r="V35" s="1">
        <f>'RECEITAS - BLOCOS PAN'!V35-'OPEX - BLOCOS PAN'!V35-VLOOKUP('FLUXO DE CAIXA NOM.- BLOCOS PAN'!$D35,'CAPEX - BLOCOS PAN'!$C$3:$V$52,20,FALSE)</f>
        <v>-3260366.8738000002</v>
      </c>
      <c r="W35" s="1">
        <f>'RECEITAS - BLOCOS PAN'!W35-'OPEX - BLOCOS PAN'!W35-VLOOKUP('FLUXO DE CAIXA NOM.- BLOCOS PAN'!$D35,'CAPEX - BLOCOS PAN'!$C$3:$W$52,21,FALSE)</f>
        <v>-3248530.5800999994</v>
      </c>
      <c r="X35" s="1">
        <f>'RECEITAS - BLOCOS PAN'!X35-'OPEX - BLOCOS PAN'!X35-VLOOKUP('FLUXO DE CAIXA NOM.- BLOCOS PAN'!$D35,'CAPEX - BLOCOS PAN'!$C$3:$X$52,22,FALSE)</f>
        <v>-3236751.3259000001</v>
      </c>
      <c r="Y35" s="1">
        <f>'RECEITAS - BLOCOS PAN'!Y35-'OPEX - BLOCOS PAN'!Y35-VLOOKUP('FLUXO DE CAIXA NOM.- BLOCOS PAN'!$D35,'CAPEX - BLOCOS PAN'!$C$3:$Y$52,23,FALSE)</f>
        <v>-3224573.4581999998</v>
      </c>
      <c r="Z35" s="1">
        <f>'RECEITAS - BLOCOS PAN'!Z35-'OPEX - BLOCOS PAN'!Z35-VLOOKUP('FLUXO DE CAIXA NOM.- BLOCOS PAN'!$D35,'CAPEX - BLOCOS PAN'!$C$3:$Z$52,24,FALSE)</f>
        <v>-3212423.4492000001</v>
      </c>
      <c r="AA35" s="1">
        <f>'RECEITAS - BLOCOS PAN'!AA35-'OPEX - BLOCOS PAN'!AA35-VLOOKUP('FLUXO DE CAIXA NOM.- BLOCOS PAN'!$D35,'CAPEX - BLOCOS PAN'!$C$3:$AA$52,25,FALSE)</f>
        <v>-3199988.9046000005</v>
      </c>
      <c r="AB35" s="1">
        <f>'RECEITAS - BLOCOS PAN'!AB35-'OPEX - BLOCOS PAN'!AB35-VLOOKUP('FLUXO DE CAIXA NOM.- BLOCOS PAN'!$D35,'CAPEX - BLOCOS PAN'!$C$3:$AB$52,26,FALSE)</f>
        <v>-3187910.1946999999</v>
      </c>
      <c r="AC35" s="1">
        <f>'RECEITAS - BLOCOS PAN'!AC35-'OPEX - BLOCOS PAN'!AC35-VLOOKUP('FLUXO DE CAIXA NOM.- BLOCOS PAN'!$D35,'CAPEX - BLOCOS PAN'!$C$3:$AC$52,27,FALSE)</f>
        <v>-3175589.4227</v>
      </c>
      <c r="AD35" s="1">
        <f>'RECEITAS - BLOCOS PAN'!AD35-'OPEX - BLOCOS PAN'!AD35-VLOOKUP('FLUXO DE CAIXA NOM.- BLOCOS PAN'!$D35,'CAPEX - BLOCOS PAN'!$C$3:$AD$52,28,FALSE)</f>
        <v>-3163468.5947000002</v>
      </c>
      <c r="AE35" s="1">
        <f>'RECEITAS - BLOCOS PAN'!AE35-'OPEX - BLOCOS PAN'!AE35-VLOOKUP('FLUXO DE CAIXA NOM.- BLOCOS PAN'!$D35,'CAPEX - BLOCOS PAN'!$C$3:$AE$52,29,FALSE)</f>
        <v>-3151461.1826000004</v>
      </c>
      <c r="AF35" s="1">
        <f>'RECEITAS - BLOCOS PAN'!AF35-'OPEX - BLOCOS PAN'!AF35-VLOOKUP('FLUXO DE CAIXA NOM.- BLOCOS PAN'!$D35,'CAPEX - BLOCOS PAN'!$C$3:$AF$52,30,FALSE)</f>
        <v>-3139768.1486</v>
      </c>
      <c r="AG35" s="1">
        <f>'RECEITAS - BLOCOS PAN'!AG35-'OPEX - BLOCOS PAN'!AG35-VLOOKUP('FLUXO DE CAIXA NOM.- BLOCOS PAN'!$D35,'CAPEX - BLOCOS PAN'!$C$3:$AG$52,31,FALSE)</f>
        <v>-3128003.1540000001</v>
      </c>
      <c r="AH35" s="1">
        <f>'RECEITAS - BLOCOS PAN'!AH35-'OPEX - BLOCOS PAN'!AH35-VLOOKUP('FLUXO DE CAIXA NOM.- BLOCOS PAN'!$D35,'CAPEX - BLOCOS PAN'!$C$3:$AH$52,32,FALSE)</f>
        <v>-3116609.5745999999</v>
      </c>
      <c r="AI35" s="1">
        <f>'RECEITAS - BLOCOS PAN'!AI35-'OPEX - BLOCOS PAN'!AI35-VLOOKUP('FLUXO DE CAIXA NOM.- BLOCOS PAN'!$D35,'CAPEX - BLOCOS PAN'!$C$3:$AI$52,33,FALSE)</f>
        <v>-3105215.3347</v>
      </c>
      <c r="AJ35" s="1">
        <f>'RECEITAS - BLOCOS PAN'!AJ35-'OPEX - BLOCOS PAN'!AJ35-VLOOKUP('FLUXO DE CAIXA NOM.- BLOCOS PAN'!$D35,'CAPEX - BLOCOS PAN'!$C$3:$AJ$52,34,FALSE)</f>
        <v>-3093621.4583999999</v>
      </c>
      <c r="AK35" s="1">
        <f>'RECEITAS - BLOCOS PAN'!AK35-'OPEX - BLOCOS PAN'!AK35-VLOOKUP('FLUXO DE CAIXA NOM.- BLOCOS PAN'!$D35,'CAPEX - BLOCOS PAN'!$C$3:$AK$52,35,FALSE)</f>
        <v>-3081871.3840000005</v>
      </c>
      <c r="AL35" s="44">
        <f t="shared" si="2"/>
        <v>-152294927.29140002</v>
      </c>
      <c r="AM35" t="str">
        <f>VLOOKUP(D35,'FLUXO DE CAIXA DESC.-BLOCOS PAN'!$D$3:$AO$52,38,FALSE)</f>
        <v>MT - 1 - AL</v>
      </c>
    </row>
    <row r="36" spans="1:39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33</v>
      </c>
      <c r="H36" s="1">
        <f>'RECEITAS - BLOCOS PAN'!H36-'OPEX - BLOCOS PAN'!H36-VLOOKUP('FLUXO DE CAIXA NOM.- BLOCOS PAN'!$D36,'CAPEX - BLOCOS PAN'!$C$3:$H$52,6,FALSE)</f>
        <v>-54043520.896266662</v>
      </c>
      <c r="I36" s="1">
        <f>'RECEITAS - BLOCOS PAN'!I36-'OPEX - BLOCOS PAN'!I36-VLOOKUP('FLUXO DE CAIXA NOM.- BLOCOS PAN'!$D36,'CAPEX - BLOCOS PAN'!$C$3:$I$52,7,FALSE)</f>
        <v>-53953011.005966663</v>
      </c>
      <c r="J36" s="1">
        <f>'RECEITAS - BLOCOS PAN'!J36-'OPEX - BLOCOS PAN'!J36-VLOOKUP('FLUXO DE CAIXA NOM.- BLOCOS PAN'!$D36,'CAPEX - BLOCOS PAN'!$C$3:$J$52,8,FALSE)</f>
        <v>-54940273.800466664</v>
      </c>
      <c r="K36" s="1">
        <f>'RECEITAS - BLOCOS PAN'!K36-'OPEX - BLOCOS PAN'!K36-VLOOKUP('FLUXO DE CAIXA NOM.- BLOCOS PAN'!$D36,'CAPEX - BLOCOS PAN'!$C$3:$K$52,9,FALSE)</f>
        <v>-3251382.8766000001</v>
      </c>
      <c r="L36" s="1">
        <f>'RECEITAS - BLOCOS PAN'!L36-'OPEX - BLOCOS PAN'!L36-VLOOKUP('FLUXO DE CAIXA NOM.- BLOCOS PAN'!$D36,'CAPEX - BLOCOS PAN'!$C$3:$L$52,10,FALSE)</f>
        <v>-3189628.3158999993</v>
      </c>
      <c r="M36" s="1">
        <f>'RECEITAS - BLOCOS PAN'!M36-'OPEX - BLOCOS PAN'!M36-VLOOKUP('FLUXO DE CAIXA NOM.- BLOCOS PAN'!$D36,'CAPEX - BLOCOS PAN'!$C$3:$M$52,11,FALSE)</f>
        <v>-3137189.3214000002</v>
      </c>
      <c r="N36" s="1">
        <f>'RECEITAS - BLOCOS PAN'!N36-'OPEX - BLOCOS PAN'!N36-VLOOKUP('FLUXO DE CAIXA NOM.- BLOCOS PAN'!$D36,'CAPEX - BLOCOS PAN'!$C$3:$N$52,12,FALSE)</f>
        <v>-3079515.5180000002</v>
      </c>
      <c r="O36" s="1">
        <f>'RECEITAS - BLOCOS PAN'!O36-'OPEX - BLOCOS PAN'!O36-VLOOKUP('FLUXO DE CAIXA NOM.- BLOCOS PAN'!$D36,'CAPEX - BLOCOS PAN'!$C$3:$O$52,13,FALSE)</f>
        <v>-3028655.2388999993</v>
      </c>
      <c r="P36" s="1">
        <f>'RECEITAS - BLOCOS PAN'!P36-'OPEX - BLOCOS PAN'!P36-VLOOKUP('FLUXO DE CAIXA NOM.- BLOCOS PAN'!$D36,'CAPEX - BLOCOS PAN'!$C$3:$P$52,14,FALSE)</f>
        <v>-2971564.4269000003</v>
      </c>
      <c r="Q36" s="1">
        <f>'RECEITAS - BLOCOS PAN'!Q36-'OPEX - BLOCOS PAN'!Q36-VLOOKUP('FLUXO DE CAIXA NOM.- BLOCOS PAN'!$D36,'CAPEX - BLOCOS PAN'!$C$3:$Q$52,15,FALSE)</f>
        <v>-2924661.5266999998</v>
      </c>
      <c r="R36" s="1">
        <f>'RECEITAS - BLOCOS PAN'!R36-'OPEX - BLOCOS PAN'!R36-VLOOKUP('FLUXO DE CAIXA NOM.- BLOCOS PAN'!$D36,'CAPEX - BLOCOS PAN'!$C$3:$R$52,16,FALSE)</f>
        <v>-2874770.0163999996</v>
      </c>
      <c r="S36" s="1">
        <f>'RECEITAS - BLOCOS PAN'!S36-'OPEX - BLOCOS PAN'!S36-VLOOKUP('FLUXO DE CAIXA NOM.- BLOCOS PAN'!$D36,'CAPEX - BLOCOS PAN'!$C$3:$S$52,17,FALSE)</f>
        <v>-2828740.5749999997</v>
      </c>
      <c r="T36" s="1">
        <f>'RECEITAS - BLOCOS PAN'!T36-'OPEX - BLOCOS PAN'!T36-VLOOKUP('FLUXO DE CAIXA NOM.- BLOCOS PAN'!$D36,'CAPEX - BLOCOS PAN'!$C$3:$T$52,18,FALSE)</f>
        <v>-2778128.7519</v>
      </c>
      <c r="U36" s="1">
        <f>'RECEITAS - BLOCOS PAN'!U36-'OPEX - BLOCOS PAN'!U36-VLOOKUP('FLUXO DE CAIXA NOM.- BLOCOS PAN'!$D36,'CAPEX - BLOCOS PAN'!$C$3:$U$52,19,FALSE)</f>
        <v>-2731715.1027999995</v>
      </c>
      <c r="V36" s="1">
        <f>'RECEITAS - BLOCOS PAN'!V36-'OPEX - BLOCOS PAN'!V36-VLOOKUP('FLUXO DE CAIXA NOM.- BLOCOS PAN'!$D36,'CAPEX - BLOCOS PAN'!$C$3:$V$52,20,FALSE)</f>
        <v>-2679763.4755000002</v>
      </c>
      <c r="W36" s="1">
        <f>'RECEITAS - BLOCOS PAN'!W36-'OPEX - BLOCOS PAN'!W36-VLOOKUP('FLUXO DE CAIXA NOM.- BLOCOS PAN'!$D36,'CAPEX - BLOCOS PAN'!$C$3:$W$52,21,FALSE)</f>
        <v>-2633392.4600000004</v>
      </c>
      <c r="X36" s="1">
        <f>'RECEITAS - BLOCOS PAN'!X36-'OPEX - BLOCOS PAN'!X36-VLOOKUP('FLUXO DE CAIXA NOM.- BLOCOS PAN'!$D36,'CAPEX - BLOCOS PAN'!$C$3:$X$52,22,FALSE)</f>
        <v>-2581341.4418000006</v>
      </c>
      <c r="Y36" s="1">
        <f>'RECEITAS - BLOCOS PAN'!Y36-'OPEX - BLOCOS PAN'!Y36-VLOOKUP('FLUXO DE CAIXA NOM.- BLOCOS PAN'!$D36,'CAPEX - BLOCOS PAN'!$C$3:$Y$52,23,FALSE)</f>
        <v>-2535074.8258000007</v>
      </c>
      <c r="Z36" s="1">
        <f>'RECEITAS - BLOCOS PAN'!Z36-'OPEX - BLOCOS PAN'!Z36-VLOOKUP('FLUXO DE CAIXA NOM.- BLOCOS PAN'!$D36,'CAPEX - BLOCOS PAN'!$C$3:$Z$52,24,FALSE)</f>
        <v>-2481863.9466000004</v>
      </c>
      <c r="AA36" s="1">
        <f>'RECEITAS - BLOCOS PAN'!AA36-'OPEX - BLOCOS PAN'!AA36-VLOOKUP('FLUXO DE CAIXA NOM.- BLOCOS PAN'!$D36,'CAPEX - BLOCOS PAN'!$C$3:$AA$52,25,FALSE)</f>
        <v>-2436233.6148999999</v>
      </c>
      <c r="AB36" s="1">
        <f>'RECEITAS - BLOCOS PAN'!AB36-'OPEX - BLOCOS PAN'!AB36-VLOOKUP('FLUXO DE CAIXA NOM.- BLOCOS PAN'!$D36,'CAPEX - BLOCOS PAN'!$C$3:$AB$52,26,FALSE)</f>
        <v>-2383499.7559000002</v>
      </c>
      <c r="AC36" s="1">
        <f>'RECEITAS - BLOCOS PAN'!AC36-'OPEX - BLOCOS PAN'!AC36-VLOOKUP('FLUXO DE CAIXA NOM.- BLOCOS PAN'!$D36,'CAPEX - BLOCOS PAN'!$C$3:$AC$52,27,FALSE)</f>
        <v>-2338091.0802999996</v>
      </c>
      <c r="AD36" s="1">
        <f>'RECEITAS - BLOCOS PAN'!AD36-'OPEX - BLOCOS PAN'!AD36-VLOOKUP('FLUXO DE CAIXA NOM.- BLOCOS PAN'!$D36,'CAPEX - BLOCOS PAN'!$C$3:$AD$52,28,FALSE)</f>
        <v>-2283609.8353999997</v>
      </c>
      <c r="AE36" s="1">
        <f>'RECEITAS - BLOCOS PAN'!AE36-'OPEX - BLOCOS PAN'!AE36-VLOOKUP('FLUXO DE CAIXA NOM.- BLOCOS PAN'!$D36,'CAPEX - BLOCOS PAN'!$C$3:$AE$52,29,FALSE)</f>
        <v>-2247050.8339</v>
      </c>
      <c r="AF36" s="1">
        <f>'RECEITAS - BLOCOS PAN'!AF36-'OPEX - BLOCOS PAN'!AF36-VLOOKUP('FLUXO DE CAIXA NOM.- BLOCOS PAN'!$D36,'CAPEX - BLOCOS PAN'!$C$3:$AF$52,30,FALSE)</f>
        <v>-2201203.2342000003</v>
      </c>
      <c r="AG36" s="1">
        <f>'RECEITAS - BLOCOS PAN'!AG36-'OPEX - BLOCOS PAN'!AG36-VLOOKUP('FLUXO DE CAIXA NOM.- BLOCOS PAN'!$D36,'CAPEX - BLOCOS PAN'!$C$3:$AG$52,31,FALSE)</f>
        <v>-2065189.1006999998</v>
      </c>
      <c r="AH36" s="1">
        <f>'RECEITAS - BLOCOS PAN'!AH36-'OPEX - BLOCOS PAN'!AH36-VLOOKUP('FLUXO DE CAIXA NOM.- BLOCOS PAN'!$D36,'CAPEX - BLOCOS PAN'!$C$3:$AH$52,32,FALSE)</f>
        <v>-2015392.2798000006</v>
      </c>
      <c r="AI36" s="1">
        <f>'RECEITAS - BLOCOS PAN'!AI36-'OPEX - BLOCOS PAN'!AI36-VLOOKUP('FLUXO DE CAIXA NOM.- BLOCOS PAN'!$D36,'CAPEX - BLOCOS PAN'!$C$3:$AI$52,33,FALSE)</f>
        <v>-1978286.1853000009</v>
      </c>
      <c r="AJ36" s="1">
        <f>'RECEITAS - BLOCOS PAN'!AJ36-'OPEX - BLOCOS PAN'!AJ36-VLOOKUP('FLUXO DE CAIXA NOM.- BLOCOS PAN'!$D36,'CAPEX - BLOCOS PAN'!$C$3:$AJ$52,34,FALSE)</f>
        <v>-1940430.9388999995</v>
      </c>
      <c r="AK36" s="1">
        <f>'RECEITAS - BLOCOS PAN'!AK36-'OPEX - BLOCOS PAN'!AK36-VLOOKUP('FLUXO DE CAIXA NOM.- BLOCOS PAN'!$D36,'CAPEX - BLOCOS PAN'!$C$3:$AK$52,35,FALSE)</f>
        <v>-1901837.5942000002</v>
      </c>
      <c r="AL36" s="44">
        <f t="shared" ref="AL36:AL37" si="3">SUM(H36:AK36)</f>
        <v>-232435017.9763999</v>
      </c>
      <c r="AM36" t="str">
        <f>VLOOKUP(D36,'FLUXO DE CAIXA DESC.-BLOCOS PAN'!$D$3:$AO$52,38,FALSE)</f>
        <v>PA 3 - AL</v>
      </c>
    </row>
    <row r="37" spans="1:39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33</v>
      </c>
      <c r="H37" s="1">
        <f>'RECEITAS - BLOCOS PAN'!H37-'OPEX - BLOCOS PAN'!H37-VLOOKUP('FLUXO DE CAIXA NOM.- BLOCOS PAN'!$D37,'CAPEX - BLOCOS PAN'!$C$3:$H$52,6,FALSE)</f>
        <v>-30466652.9375</v>
      </c>
      <c r="I37" s="1">
        <f>'RECEITAS - BLOCOS PAN'!I37-'OPEX - BLOCOS PAN'!I37-VLOOKUP('FLUXO DE CAIXA NOM.- BLOCOS PAN'!$D37,'CAPEX - BLOCOS PAN'!$C$3:$I$52,7,FALSE)</f>
        <v>-30320756.298299998</v>
      </c>
      <c r="J37" s="1">
        <f>'RECEITAS - BLOCOS PAN'!J37-'OPEX - BLOCOS PAN'!J37-VLOOKUP('FLUXO DE CAIXA NOM.- BLOCOS PAN'!$D37,'CAPEX - BLOCOS PAN'!$C$3:$J$52,8,FALSE)</f>
        <v>-30204114.642200001</v>
      </c>
      <c r="K37" s="1">
        <f>'RECEITAS - BLOCOS PAN'!K37-'OPEX - BLOCOS PAN'!K37-VLOOKUP('FLUXO DE CAIXA NOM.- BLOCOS PAN'!$D37,'CAPEX - BLOCOS PAN'!$C$3:$K$52,9,FALSE)</f>
        <v>-3170817.3588000005</v>
      </c>
      <c r="L37" s="1">
        <f>'RECEITAS - BLOCOS PAN'!L37-'OPEX - BLOCOS PAN'!L37-VLOOKUP('FLUXO DE CAIXA NOM.- BLOCOS PAN'!$D37,'CAPEX - BLOCOS PAN'!$C$3:$L$52,10,FALSE)</f>
        <v>-3094552.4117000001</v>
      </c>
      <c r="M37" s="1">
        <f>'RECEITAS - BLOCOS PAN'!M37-'OPEX - BLOCOS PAN'!M37-VLOOKUP('FLUXO DE CAIXA NOM.- BLOCOS PAN'!$D37,'CAPEX - BLOCOS PAN'!$C$3:$M$52,11,FALSE)</f>
        <v>-3023789.3942</v>
      </c>
      <c r="N37" s="1">
        <f>'RECEITAS - BLOCOS PAN'!N37-'OPEX - BLOCOS PAN'!N37-VLOOKUP('FLUXO DE CAIXA NOM.- BLOCOS PAN'!$D37,'CAPEX - BLOCOS PAN'!$C$3:$N$52,12,FALSE)</f>
        <v>-2956897.8520999998</v>
      </c>
      <c r="O37" s="1">
        <f>'RECEITAS - BLOCOS PAN'!O37-'OPEX - BLOCOS PAN'!O37-VLOOKUP('FLUXO DE CAIXA NOM.- BLOCOS PAN'!$D37,'CAPEX - BLOCOS PAN'!$C$3:$O$52,13,FALSE)</f>
        <v>-2888862.2795999995</v>
      </c>
      <c r="P37" s="1">
        <f>'RECEITAS - BLOCOS PAN'!P37-'OPEX - BLOCOS PAN'!P37-VLOOKUP('FLUXO DE CAIXA NOM.- BLOCOS PAN'!$D37,'CAPEX - BLOCOS PAN'!$C$3:$P$52,14,FALSE)</f>
        <v>-2825069.7090999992</v>
      </c>
      <c r="Q37" s="1">
        <f>'RECEITAS - BLOCOS PAN'!Q37-'OPEX - BLOCOS PAN'!Q37-VLOOKUP('FLUXO DE CAIXA NOM.- BLOCOS PAN'!$D37,'CAPEX - BLOCOS PAN'!$C$3:$Q$52,15,FALSE)</f>
        <v>-2766939.2642999995</v>
      </c>
      <c r="R37" s="1">
        <f>'RECEITAS - BLOCOS PAN'!R37-'OPEX - BLOCOS PAN'!R37-VLOOKUP('FLUXO DE CAIXA NOM.- BLOCOS PAN'!$D37,'CAPEX - BLOCOS PAN'!$C$3:$R$52,16,FALSE)</f>
        <v>-2710442.3644000003</v>
      </c>
      <c r="S37" s="1">
        <f>'RECEITAS - BLOCOS PAN'!S37-'OPEX - BLOCOS PAN'!S37-VLOOKUP('FLUXO DE CAIXA NOM.- BLOCOS PAN'!$D37,'CAPEX - BLOCOS PAN'!$C$3:$S$52,17,FALSE)</f>
        <v>-2656823.9146999996</v>
      </c>
      <c r="T37" s="1">
        <f>'RECEITAS - BLOCOS PAN'!T37-'OPEX - BLOCOS PAN'!T37-VLOOKUP('FLUXO DE CAIXA NOM.- BLOCOS PAN'!$D37,'CAPEX - BLOCOS PAN'!$C$3:$T$52,18,FALSE)</f>
        <v>-2601527.6598</v>
      </c>
      <c r="U37" s="1">
        <f>'RECEITAS - BLOCOS PAN'!U37-'OPEX - BLOCOS PAN'!U37-VLOOKUP('FLUXO DE CAIXA NOM.- BLOCOS PAN'!$D37,'CAPEX - BLOCOS PAN'!$C$3:$U$52,19,FALSE)</f>
        <v>-2545088.6513000005</v>
      </c>
      <c r="V37" s="1">
        <f>'RECEITAS - BLOCOS PAN'!V37-'OPEX - BLOCOS PAN'!V37-VLOOKUP('FLUXO DE CAIXA NOM.- BLOCOS PAN'!$D37,'CAPEX - BLOCOS PAN'!$C$3:$V$52,20,FALSE)</f>
        <v>-2488331.1029000003</v>
      </c>
      <c r="W37" s="1">
        <f>'RECEITAS - BLOCOS PAN'!W37-'OPEX - BLOCOS PAN'!W37-VLOOKUP('FLUXO DE CAIXA NOM.- BLOCOS PAN'!$D37,'CAPEX - BLOCOS PAN'!$C$3:$W$52,21,FALSE)</f>
        <v>-2432247.9957999992</v>
      </c>
      <c r="X37" s="1">
        <f>'RECEITAS - BLOCOS PAN'!X37-'OPEX - BLOCOS PAN'!X37-VLOOKUP('FLUXO DE CAIXA NOM.- BLOCOS PAN'!$D37,'CAPEX - BLOCOS PAN'!$C$3:$X$52,22,FALSE)</f>
        <v>-2376390.5552999997</v>
      </c>
      <c r="Y37" s="1">
        <f>'RECEITAS - BLOCOS PAN'!Y37-'OPEX - BLOCOS PAN'!Y37-VLOOKUP('FLUXO DE CAIXA NOM.- BLOCOS PAN'!$D37,'CAPEX - BLOCOS PAN'!$C$3:$Y$52,23,FALSE)</f>
        <v>-2318787.7666000002</v>
      </c>
      <c r="Z37" s="1">
        <f>'RECEITAS - BLOCOS PAN'!Z37-'OPEX - BLOCOS PAN'!Z37-VLOOKUP('FLUXO DE CAIXA NOM.- BLOCOS PAN'!$D37,'CAPEX - BLOCOS PAN'!$C$3:$Z$52,24,FALSE)</f>
        <v>-2262795.0405999995</v>
      </c>
      <c r="AA37" s="1">
        <f>'RECEITAS - BLOCOS PAN'!AA37-'OPEX - BLOCOS PAN'!AA37-VLOOKUP('FLUXO DE CAIXA NOM.- BLOCOS PAN'!$D37,'CAPEX - BLOCOS PAN'!$C$3:$AA$52,25,FALSE)</f>
        <v>-2202949.1835999992</v>
      </c>
      <c r="AB37" s="1">
        <f>'RECEITAS - BLOCOS PAN'!AB37-'OPEX - BLOCOS PAN'!AB37-VLOOKUP('FLUXO DE CAIXA NOM.- BLOCOS PAN'!$D37,'CAPEX - BLOCOS PAN'!$C$3:$AB$52,26,FALSE)</f>
        <v>-2146242.4273999999</v>
      </c>
      <c r="AC37" s="1">
        <f>'RECEITAS - BLOCOS PAN'!AC37-'OPEX - BLOCOS PAN'!AC37-VLOOKUP('FLUXO DE CAIXA NOM.- BLOCOS PAN'!$D37,'CAPEX - BLOCOS PAN'!$C$3:$AC$52,27,FALSE)</f>
        <v>-2088817.7046000003</v>
      </c>
      <c r="AD37" s="1">
        <f>'RECEITAS - BLOCOS PAN'!AD37-'OPEX - BLOCOS PAN'!AD37-VLOOKUP('FLUXO DE CAIXA NOM.- BLOCOS PAN'!$D37,'CAPEX - BLOCOS PAN'!$C$3:$AD$52,28,FALSE)</f>
        <v>-2028990.5158999995</v>
      </c>
      <c r="AE37" s="1">
        <f>'RECEITAS - BLOCOS PAN'!AE37-'OPEX - BLOCOS PAN'!AE37-VLOOKUP('FLUXO DE CAIXA NOM.- BLOCOS PAN'!$D37,'CAPEX - BLOCOS PAN'!$C$3:$AE$52,29,FALSE)</f>
        <v>-1975895.4822999998</v>
      </c>
      <c r="AF37" s="1">
        <f>'RECEITAS - BLOCOS PAN'!AF37-'OPEX - BLOCOS PAN'!AF37-VLOOKUP('FLUXO DE CAIXA NOM.- BLOCOS PAN'!$D37,'CAPEX - BLOCOS PAN'!$C$3:$AF$52,30,FALSE)</f>
        <v>-1920259.6954000001</v>
      </c>
      <c r="AG37" s="1">
        <f>'RECEITAS - BLOCOS PAN'!AG37-'OPEX - BLOCOS PAN'!AG37-VLOOKUP('FLUXO DE CAIXA NOM.- BLOCOS PAN'!$D37,'CAPEX - BLOCOS PAN'!$C$3:$AG$52,31,FALSE)</f>
        <v>-1866435.2623000001</v>
      </c>
      <c r="AH37" s="1">
        <f>'RECEITAS - BLOCOS PAN'!AH37-'OPEX - BLOCOS PAN'!AH37-VLOOKUP('FLUXO DE CAIXA NOM.- BLOCOS PAN'!$D37,'CAPEX - BLOCOS PAN'!$C$3:$AH$52,32,FALSE)</f>
        <v>-1812993.9470000002</v>
      </c>
      <c r="AI37" s="1">
        <f>'RECEITAS - BLOCOS PAN'!AI37-'OPEX - BLOCOS PAN'!AI37-VLOOKUP('FLUXO DE CAIXA NOM.- BLOCOS PAN'!$D37,'CAPEX - BLOCOS PAN'!$C$3:$AI$52,33,FALSE)</f>
        <v>-1758719.6088999994</v>
      </c>
      <c r="AJ37" s="1">
        <f>'RECEITAS - BLOCOS PAN'!AJ37-'OPEX - BLOCOS PAN'!AJ37-VLOOKUP('FLUXO DE CAIXA NOM.- BLOCOS PAN'!$D37,'CAPEX - BLOCOS PAN'!$C$3:$AJ$52,34,FALSE)</f>
        <v>-1703564.7645999999</v>
      </c>
      <c r="AK37" s="1">
        <f>'RECEITAS - BLOCOS PAN'!AK37-'OPEX - BLOCOS PAN'!AK37-VLOOKUP('FLUXO DE CAIXA NOM.- BLOCOS PAN'!$D37,'CAPEX - BLOCOS PAN'!$C$3:$AK$52,35,FALSE)</f>
        <v>-1647318.5728000002</v>
      </c>
      <c r="AL37" s="44">
        <f t="shared" si="3"/>
        <v>-155263074.36399999</v>
      </c>
      <c r="AM37" t="str">
        <f>VLOOKUP(D37,'FLUXO DE CAIXA DESC.-BLOCOS PAN'!$D$3:$AO$52,38,FALSE)</f>
        <v>Bloco Nordeste</v>
      </c>
    </row>
    <row r="38" spans="1:39" x14ac:dyDescent="0.35">
      <c r="A38" t="s">
        <v>53</v>
      </c>
      <c r="B38" s="5" t="s">
        <v>266</v>
      </c>
      <c r="C38">
        <v>150375</v>
      </c>
      <c r="D38" t="s">
        <v>289</v>
      </c>
      <c r="E38" t="str">
        <f>VLOOKUP(A38,'CAPEX Manut. Estr_Naveg. Aérea'!$A$2:$B$38,2,FALSE)</f>
        <v>Jacareacanga</v>
      </c>
      <c r="F38" t="s">
        <v>29</v>
      </c>
      <c r="G38" t="s">
        <v>33</v>
      </c>
      <c r="H38" s="1">
        <f>'RECEITAS - BLOCOS PAN'!H38-'OPEX - BLOCOS PAN'!H38-VLOOKUP('FLUXO DE CAIXA NOM.- BLOCOS PAN'!$D38,'CAPEX - BLOCOS PAN'!$C$3:$H$52,6,FALSE)</f>
        <v>-16106203.924560167</v>
      </c>
      <c r="I38" s="1">
        <f>'RECEITAS - BLOCOS PAN'!I38-'OPEX - BLOCOS PAN'!I38-VLOOKUP('FLUXO DE CAIXA NOM.- BLOCOS PAN'!$D38,'CAPEX - BLOCOS PAN'!$C$3:$I$52,7,FALSE)</f>
        <v>-16106203.924560167</v>
      </c>
      <c r="J38" s="1">
        <f>'RECEITAS - BLOCOS PAN'!J38-'OPEX - BLOCOS PAN'!J38-VLOOKUP('FLUXO DE CAIXA NOM.- BLOCOS PAN'!$D38,'CAPEX - BLOCOS PAN'!$C$3:$J$52,8,FALSE)</f>
        <v>-16106203.924560167</v>
      </c>
      <c r="K38" s="1">
        <f>'RECEITAS - BLOCOS PAN'!K38-'OPEX - BLOCOS PAN'!K38-VLOOKUP('FLUXO DE CAIXA NOM.- BLOCOS PAN'!$D38,'CAPEX - BLOCOS PAN'!$C$3:$K$52,9,FALSE)</f>
        <v>-337249.50489999994</v>
      </c>
      <c r="L38" s="1">
        <f>'RECEITAS - BLOCOS PAN'!L38-'OPEX - BLOCOS PAN'!L38-VLOOKUP('FLUXO DE CAIXA NOM.- BLOCOS PAN'!$D38,'CAPEX - BLOCOS PAN'!$C$3:$L$52,10,FALSE)</f>
        <v>-337249.50489999994</v>
      </c>
      <c r="M38" s="1">
        <f>'RECEITAS - BLOCOS PAN'!M38-'OPEX - BLOCOS PAN'!M38-VLOOKUP('FLUXO DE CAIXA NOM.- BLOCOS PAN'!$D38,'CAPEX - BLOCOS PAN'!$C$3:$M$52,11,FALSE)</f>
        <v>-337249.50489999994</v>
      </c>
      <c r="N38" s="1">
        <f>'RECEITAS - BLOCOS PAN'!N38-'OPEX - BLOCOS PAN'!N38-VLOOKUP('FLUXO DE CAIXA NOM.- BLOCOS PAN'!$D38,'CAPEX - BLOCOS PAN'!$C$3:$N$52,12,FALSE)</f>
        <v>-337249.50489999994</v>
      </c>
      <c r="O38" s="1">
        <f>'RECEITAS - BLOCOS PAN'!O38-'OPEX - BLOCOS PAN'!O38-VLOOKUP('FLUXO DE CAIXA NOM.- BLOCOS PAN'!$D38,'CAPEX - BLOCOS PAN'!$C$3:$O$52,13,FALSE)</f>
        <v>-337249.50489999994</v>
      </c>
      <c r="P38" s="1">
        <f>'RECEITAS - BLOCOS PAN'!P38-'OPEX - BLOCOS PAN'!P38-VLOOKUP('FLUXO DE CAIXA NOM.- BLOCOS PAN'!$D38,'CAPEX - BLOCOS PAN'!$C$3:$P$52,14,FALSE)</f>
        <v>-337249.50489999994</v>
      </c>
      <c r="Q38" s="1">
        <f>'RECEITAS - BLOCOS PAN'!Q38-'OPEX - BLOCOS PAN'!Q38-VLOOKUP('FLUXO DE CAIXA NOM.- BLOCOS PAN'!$D38,'CAPEX - BLOCOS PAN'!$C$3:$Q$52,15,FALSE)</f>
        <v>-337249.50489999994</v>
      </c>
      <c r="R38" s="1">
        <f>'RECEITAS - BLOCOS PAN'!R38-'OPEX - BLOCOS PAN'!R38-VLOOKUP('FLUXO DE CAIXA NOM.- BLOCOS PAN'!$D38,'CAPEX - BLOCOS PAN'!$C$3:$R$52,16,FALSE)</f>
        <v>-337249.50489999994</v>
      </c>
      <c r="S38" s="1">
        <f>'RECEITAS - BLOCOS PAN'!S38-'OPEX - BLOCOS PAN'!S38-VLOOKUP('FLUXO DE CAIXA NOM.- BLOCOS PAN'!$D38,'CAPEX - BLOCOS PAN'!$C$3:$S$52,17,FALSE)</f>
        <v>-337249.50489999994</v>
      </c>
      <c r="T38" s="1">
        <f>'RECEITAS - BLOCOS PAN'!T38-'OPEX - BLOCOS PAN'!T38-VLOOKUP('FLUXO DE CAIXA NOM.- BLOCOS PAN'!$D38,'CAPEX - BLOCOS PAN'!$C$3:$T$52,18,FALSE)</f>
        <v>-337249.50489999994</v>
      </c>
      <c r="U38" s="1">
        <f>'RECEITAS - BLOCOS PAN'!U38-'OPEX - BLOCOS PAN'!U38-VLOOKUP('FLUXO DE CAIXA NOM.- BLOCOS PAN'!$D38,'CAPEX - BLOCOS PAN'!$C$3:$U$52,19,FALSE)</f>
        <v>-337249.50489999994</v>
      </c>
      <c r="V38" s="1">
        <f>'RECEITAS - BLOCOS PAN'!V38-'OPEX - BLOCOS PAN'!V38-VLOOKUP('FLUXO DE CAIXA NOM.- BLOCOS PAN'!$D38,'CAPEX - BLOCOS PAN'!$C$3:$V$52,20,FALSE)</f>
        <v>-337249.50489999994</v>
      </c>
      <c r="W38" s="1">
        <f>'RECEITAS - BLOCOS PAN'!W38-'OPEX - BLOCOS PAN'!W38-VLOOKUP('FLUXO DE CAIXA NOM.- BLOCOS PAN'!$D38,'CAPEX - BLOCOS PAN'!$C$3:$W$52,21,FALSE)</f>
        <v>-337249.50489999994</v>
      </c>
      <c r="X38" s="1">
        <f>'RECEITAS - BLOCOS PAN'!X38-'OPEX - BLOCOS PAN'!X38-VLOOKUP('FLUXO DE CAIXA NOM.- BLOCOS PAN'!$D38,'CAPEX - BLOCOS PAN'!$C$3:$X$52,22,FALSE)</f>
        <v>-337249.50489999994</v>
      </c>
      <c r="Y38" s="1">
        <f>'RECEITAS - BLOCOS PAN'!Y38-'OPEX - BLOCOS PAN'!Y38-VLOOKUP('FLUXO DE CAIXA NOM.- BLOCOS PAN'!$D38,'CAPEX - BLOCOS PAN'!$C$3:$Y$52,23,FALSE)</f>
        <v>-337249.50489999994</v>
      </c>
      <c r="Z38" s="1">
        <f>'RECEITAS - BLOCOS PAN'!Z38-'OPEX - BLOCOS PAN'!Z38-VLOOKUP('FLUXO DE CAIXA NOM.- BLOCOS PAN'!$D38,'CAPEX - BLOCOS PAN'!$C$3:$Z$52,24,FALSE)</f>
        <v>-337249.50489999994</v>
      </c>
      <c r="AA38" s="1">
        <f>'RECEITAS - BLOCOS PAN'!AA38-'OPEX - BLOCOS PAN'!AA38-VLOOKUP('FLUXO DE CAIXA NOM.- BLOCOS PAN'!$D38,'CAPEX - BLOCOS PAN'!$C$3:$AA$52,25,FALSE)</f>
        <v>-337249.50489999994</v>
      </c>
      <c r="AB38" s="1">
        <f>'RECEITAS - BLOCOS PAN'!AB38-'OPEX - BLOCOS PAN'!AB38-VLOOKUP('FLUXO DE CAIXA NOM.- BLOCOS PAN'!$D38,'CAPEX - BLOCOS PAN'!$C$3:$AB$52,26,FALSE)</f>
        <v>-337249.50489999994</v>
      </c>
      <c r="AC38" s="1">
        <f>'RECEITAS - BLOCOS PAN'!AC38-'OPEX - BLOCOS PAN'!AC38-VLOOKUP('FLUXO DE CAIXA NOM.- BLOCOS PAN'!$D38,'CAPEX - BLOCOS PAN'!$C$3:$AC$52,27,FALSE)</f>
        <v>-337249.50489999994</v>
      </c>
      <c r="AD38" s="1">
        <f>'RECEITAS - BLOCOS PAN'!AD38-'OPEX - BLOCOS PAN'!AD38-VLOOKUP('FLUXO DE CAIXA NOM.- BLOCOS PAN'!$D38,'CAPEX - BLOCOS PAN'!$C$3:$AD$52,28,FALSE)</f>
        <v>-337249.50489999994</v>
      </c>
      <c r="AE38" s="1">
        <f>'RECEITAS - BLOCOS PAN'!AE38-'OPEX - BLOCOS PAN'!AE38-VLOOKUP('FLUXO DE CAIXA NOM.- BLOCOS PAN'!$D38,'CAPEX - BLOCOS PAN'!$C$3:$AE$52,29,FALSE)</f>
        <v>-337249.50489999994</v>
      </c>
      <c r="AF38" s="1">
        <f>'RECEITAS - BLOCOS PAN'!AF38-'OPEX - BLOCOS PAN'!AF38-VLOOKUP('FLUXO DE CAIXA NOM.- BLOCOS PAN'!$D38,'CAPEX - BLOCOS PAN'!$C$3:$AF$52,30,FALSE)</f>
        <v>-337249.50489999994</v>
      </c>
      <c r="AG38" s="1">
        <f>'RECEITAS - BLOCOS PAN'!AG38-'OPEX - BLOCOS PAN'!AG38-VLOOKUP('FLUXO DE CAIXA NOM.- BLOCOS PAN'!$D38,'CAPEX - BLOCOS PAN'!$C$3:$AG$52,31,FALSE)</f>
        <v>-337249.50489999994</v>
      </c>
      <c r="AH38" s="1">
        <f>'RECEITAS - BLOCOS PAN'!AH38-'OPEX - BLOCOS PAN'!AH38-VLOOKUP('FLUXO DE CAIXA NOM.- BLOCOS PAN'!$D38,'CAPEX - BLOCOS PAN'!$C$3:$AH$52,32,FALSE)</f>
        <v>-337249.50489999994</v>
      </c>
      <c r="AI38" s="1">
        <f>'RECEITAS - BLOCOS PAN'!AI38-'OPEX - BLOCOS PAN'!AI38-VLOOKUP('FLUXO DE CAIXA NOM.- BLOCOS PAN'!$D38,'CAPEX - BLOCOS PAN'!$C$3:$AI$52,33,FALSE)</f>
        <v>-337249.50489999994</v>
      </c>
      <c r="AJ38" s="1">
        <f>'RECEITAS - BLOCOS PAN'!AJ38-'OPEX - BLOCOS PAN'!AJ38-VLOOKUP('FLUXO DE CAIXA NOM.- BLOCOS PAN'!$D38,'CAPEX - BLOCOS PAN'!$C$3:$AJ$52,34,FALSE)</f>
        <v>-337249.50489999994</v>
      </c>
      <c r="AK38" s="1">
        <f>'RECEITAS - BLOCOS PAN'!AK38-'OPEX - BLOCOS PAN'!AK38-VLOOKUP('FLUXO DE CAIXA NOM.- BLOCOS PAN'!$D38,'CAPEX - BLOCOS PAN'!$C$3:$AK$52,35,FALSE)</f>
        <v>-337249.50489999994</v>
      </c>
      <c r="AL38" s="44">
        <f t="shared" si="2"/>
        <v>-57424348.405980527</v>
      </c>
      <c r="AM38" t="str">
        <f>VLOOKUP(D38,'FLUXO DE CAIXA DESC.-BLOCOS PAN'!$D$3:$AO$52,38,FALSE)</f>
        <v>PA - 1 - AL</v>
      </c>
    </row>
    <row r="39" spans="1:39" x14ac:dyDescent="0.35">
      <c r="A39" t="s">
        <v>86</v>
      </c>
      <c r="B39" s="5" t="s">
        <v>268</v>
      </c>
      <c r="C39">
        <v>130390</v>
      </c>
      <c r="D39" t="s">
        <v>290</v>
      </c>
      <c r="E39" t="str">
        <f>VLOOKUP(A39,'CAPEX Manut. Estr_Naveg. Aérea'!$A$2:$B$38,2,FALSE)</f>
        <v>São Paulo de Olivença</v>
      </c>
      <c r="F39" t="s">
        <v>35</v>
      </c>
      <c r="G39" t="s">
        <v>33</v>
      </c>
      <c r="H39" s="1">
        <f>'RECEITAS - BLOCOS PAN'!H39-'OPEX - BLOCOS PAN'!H39-VLOOKUP('FLUXO DE CAIXA NOM.- BLOCOS PAN'!$D39,'CAPEX - BLOCOS PAN'!$C$3:$H$52,6,FALSE)</f>
        <v>-9244063.0718212556</v>
      </c>
      <c r="I39" s="1">
        <f>'RECEITAS - BLOCOS PAN'!I39-'OPEX - BLOCOS PAN'!I39-VLOOKUP('FLUXO DE CAIXA NOM.- BLOCOS PAN'!$D39,'CAPEX - BLOCOS PAN'!$C$3:$I$52,7,FALSE)</f>
        <v>-9244063.0718212556</v>
      </c>
      <c r="J39" s="1">
        <f>'RECEITAS - BLOCOS PAN'!J39-'OPEX - BLOCOS PAN'!J39-VLOOKUP('FLUXO DE CAIXA NOM.- BLOCOS PAN'!$D39,'CAPEX - BLOCOS PAN'!$C$3:$J$52,8,FALSE)</f>
        <v>-9244063.0718212556</v>
      </c>
      <c r="K39" s="1">
        <f>'RECEITAS - BLOCOS PAN'!K39-'OPEX - BLOCOS PAN'!K39-VLOOKUP('FLUXO DE CAIXA NOM.- BLOCOS PAN'!$D39,'CAPEX - BLOCOS PAN'!$C$3:$K$52,9,FALSE)</f>
        <v>-586047.71399999992</v>
      </c>
      <c r="L39" s="1">
        <f>'RECEITAS - BLOCOS PAN'!L39-'OPEX - BLOCOS PAN'!L39-VLOOKUP('FLUXO DE CAIXA NOM.- BLOCOS PAN'!$D39,'CAPEX - BLOCOS PAN'!$C$3:$L$52,10,FALSE)</f>
        <v>-586047.71399999992</v>
      </c>
      <c r="M39" s="1">
        <f>'RECEITAS - BLOCOS PAN'!M39-'OPEX - BLOCOS PAN'!M39-VLOOKUP('FLUXO DE CAIXA NOM.- BLOCOS PAN'!$D39,'CAPEX - BLOCOS PAN'!$C$3:$M$52,11,FALSE)</f>
        <v>-586047.71399999992</v>
      </c>
      <c r="N39" s="1">
        <f>'RECEITAS - BLOCOS PAN'!N39-'OPEX - BLOCOS PAN'!N39-VLOOKUP('FLUXO DE CAIXA NOM.- BLOCOS PAN'!$D39,'CAPEX - BLOCOS PAN'!$C$3:$N$52,12,FALSE)</f>
        <v>-586047.71399999992</v>
      </c>
      <c r="O39" s="1">
        <f>'RECEITAS - BLOCOS PAN'!O39-'OPEX - BLOCOS PAN'!O39-VLOOKUP('FLUXO DE CAIXA NOM.- BLOCOS PAN'!$D39,'CAPEX - BLOCOS PAN'!$C$3:$O$52,13,FALSE)</f>
        <v>-586047.71399999992</v>
      </c>
      <c r="P39" s="1">
        <f>'RECEITAS - BLOCOS PAN'!P39-'OPEX - BLOCOS PAN'!P39-VLOOKUP('FLUXO DE CAIXA NOM.- BLOCOS PAN'!$D39,'CAPEX - BLOCOS PAN'!$C$3:$P$52,14,FALSE)</f>
        <v>-586047.71399999992</v>
      </c>
      <c r="Q39" s="1">
        <f>'RECEITAS - BLOCOS PAN'!Q39-'OPEX - BLOCOS PAN'!Q39-VLOOKUP('FLUXO DE CAIXA NOM.- BLOCOS PAN'!$D39,'CAPEX - BLOCOS PAN'!$C$3:$Q$52,15,FALSE)</f>
        <v>-586047.71399999992</v>
      </c>
      <c r="R39" s="1">
        <f>'RECEITAS - BLOCOS PAN'!R39-'OPEX - BLOCOS PAN'!R39-VLOOKUP('FLUXO DE CAIXA NOM.- BLOCOS PAN'!$D39,'CAPEX - BLOCOS PAN'!$C$3:$R$52,16,FALSE)</f>
        <v>-586047.71399999992</v>
      </c>
      <c r="S39" s="1">
        <f>'RECEITAS - BLOCOS PAN'!S39-'OPEX - BLOCOS PAN'!S39-VLOOKUP('FLUXO DE CAIXA NOM.- BLOCOS PAN'!$D39,'CAPEX - BLOCOS PAN'!$C$3:$S$52,17,FALSE)</f>
        <v>-586047.71399999992</v>
      </c>
      <c r="T39" s="1">
        <f>'RECEITAS - BLOCOS PAN'!T39-'OPEX - BLOCOS PAN'!T39-VLOOKUP('FLUXO DE CAIXA NOM.- BLOCOS PAN'!$D39,'CAPEX - BLOCOS PAN'!$C$3:$T$52,18,FALSE)</f>
        <v>-586047.71399999992</v>
      </c>
      <c r="U39" s="1">
        <f>'RECEITAS - BLOCOS PAN'!U39-'OPEX - BLOCOS PAN'!U39-VLOOKUP('FLUXO DE CAIXA NOM.- BLOCOS PAN'!$D39,'CAPEX - BLOCOS PAN'!$C$3:$U$52,19,FALSE)</f>
        <v>-586047.71399999992</v>
      </c>
      <c r="V39" s="1">
        <f>'RECEITAS - BLOCOS PAN'!V39-'OPEX - BLOCOS PAN'!V39-VLOOKUP('FLUXO DE CAIXA NOM.- BLOCOS PAN'!$D39,'CAPEX - BLOCOS PAN'!$C$3:$V$52,20,FALSE)</f>
        <v>-586047.71399999992</v>
      </c>
      <c r="W39" s="1">
        <f>'RECEITAS - BLOCOS PAN'!W39-'OPEX - BLOCOS PAN'!W39-VLOOKUP('FLUXO DE CAIXA NOM.- BLOCOS PAN'!$D39,'CAPEX - BLOCOS PAN'!$C$3:$W$52,21,FALSE)</f>
        <v>-586047.71399999992</v>
      </c>
      <c r="X39" s="1">
        <f>'RECEITAS - BLOCOS PAN'!X39-'OPEX - BLOCOS PAN'!X39-VLOOKUP('FLUXO DE CAIXA NOM.- BLOCOS PAN'!$D39,'CAPEX - BLOCOS PAN'!$C$3:$X$52,22,FALSE)</f>
        <v>-586047.71399999992</v>
      </c>
      <c r="Y39" s="1">
        <f>'RECEITAS - BLOCOS PAN'!Y39-'OPEX - BLOCOS PAN'!Y39-VLOOKUP('FLUXO DE CAIXA NOM.- BLOCOS PAN'!$D39,'CAPEX - BLOCOS PAN'!$C$3:$Y$52,23,FALSE)</f>
        <v>-586047.71399999992</v>
      </c>
      <c r="Z39" s="1">
        <f>'RECEITAS - BLOCOS PAN'!Z39-'OPEX - BLOCOS PAN'!Z39-VLOOKUP('FLUXO DE CAIXA NOM.- BLOCOS PAN'!$D39,'CAPEX - BLOCOS PAN'!$C$3:$Z$52,24,FALSE)</f>
        <v>-586047.71399999992</v>
      </c>
      <c r="AA39" s="1">
        <f>'RECEITAS - BLOCOS PAN'!AA39-'OPEX - BLOCOS PAN'!AA39-VLOOKUP('FLUXO DE CAIXA NOM.- BLOCOS PAN'!$D39,'CAPEX - BLOCOS PAN'!$C$3:$AA$52,25,FALSE)</f>
        <v>-586047.71399999992</v>
      </c>
      <c r="AB39" s="1">
        <f>'RECEITAS - BLOCOS PAN'!AB39-'OPEX - BLOCOS PAN'!AB39-VLOOKUP('FLUXO DE CAIXA NOM.- BLOCOS PAN'!$D39,'CAPEX - BLOCOS PAN'!$C$3:$AB$52,26,FALSE)</f>
        <v>-586047.71399999992</v>
      </c>
      <c r="AC39" s="1">
        <f>'RECEITAS - BLOCOS PAN'!AC39-'OPEX - BLOCOS PAN'!AC39-VLOOKUP('FLUXO DE CAIXA NOM.- BLOCOS PAN'!$D39,'CAPEX - BLOCOS PAN'!$C$3:$AC$52,27,FALSE)</f>
        <v>-586047.71399999992</v>
      </c>
      <c r="AD39" s="1">
        <f>'RECEITAS - BLOCOS PAN'!AD39-'OPEX - BLOCOS PAN'!AD39-VLOOKUP('FLUXO DE CAIXA NOM.- BLOCOS PAN'!$D39,'CAPEX - BLOCOS PAN'!$C$3:$AD$52,28,FALSE)</f>
        <v>-586047.71399999992</v>
      </c>
      <c r="AE39" s="1">
        <f>'RECEITAS - BLOCOS PAN'!AE39-'OPEX - BLOCOS PAN'!AE39-VLOOKUP('FLUXO DE CAIXA NOM.- BLOCOS PAN'!$D39,'CAPEX - BLOCOS PAN'!$C$3:$AE$52,29,FALSE)</f>
        <v>-586047.71399999992</v>
      </c>
      <c r="AF39" s="1">
        <f>'RECEITAS - BLOCOS PAN'!AF39-'OPEX - BLOCOS PAN'!AF39-VLOOKUP('FLUXO DE CAIXA NOM.- BLOCOS PAN'!$D39,'CAPEX - BLOCOS PAN'!$C$3:$AF$52,30,FALSE)</f>
        <v>-586047.71399999992</v>
      </c>
      <c r="AG39" s="1">
        <f>'RECEITAS - BLOCOS PAN'!AG39-'OPEX - BLOCOS PAN'!AG39-VLOOKUP('FLUXO DE CAIXA NOM.- BLOCOS PAN'!$D39,'CAPEX - BLOCOS PAN'!$C$3:$AG$52,31,FALSE)</f>
        <v>-586047.71399999992</v>
      </c>
      <c r="AH39" s="1">
        <f>'RECEITAS - BLOCOS PAN'!AH39-'OPEX - BLOCOS PAN'!AH39-VLOOKUP('FLUXO DE CAIXA NOM.- BLOCOS PAN'!$D39,'CAPEX - BLOCOS PAN'!$C$3:$AH$52,32,FALSE)</f>
        <v>-586047.71399999992</v>
      </c>
      <c r="AI39" s="1">
        <f>'RECEITAS - BLOCOS PAN'!AI39-'OPEX - BLOCOS PAN'!AI39-VLOOKUP('FLUXO DE CAIXA NOM.- BLOCOS PAN'!$D39,'CAPEX - BLOCOS PAN'!$C$3:$AI$52,33,FALSE)</f>
        <v>-586047.71399999992</v>
      </c>
      <c r="AJ39" s="1">
        <f>'RECEITAS - BLOCOS PAN'!AJ39-'OPEX - BLOCOS PAN'!AJ39-VLOOKUP('FLUXO DE CAIXA NOM.- BLOCOS PAN'!$D39,'CAPEX - BLOCOS PAN'!$C$3:$AJ$52,34,FALSE)</f>
        <v>-586047.71399999992</v>
      </c>
      <c r="AK39" s="1">
        <f>'RECEITAS - BLOCOS PAN'!AK39-'OPEX - BLOCOS PAN'!AK39-VLOOKUP('FLUXO DE CAIXA NOM.- BLOCOS PAN'!$D39,'CAPEX - BLOCOS PAN'!$C$3:$AK$52,35,FALSE)</f>
        <v>-586047.71399999992</v>
      </c>
      <c r="AL39" s="44">
        <f t="shared" si="2"/>
        <v>-43555477.493463807</v>
      </c>
      <c r="AM39" t="str">
        <f>VLOOKUP(D39,'FLUXO DE CAIXA DESC.-BLOCOS PAN'!$D$3:$AO$52,38,FALSE)</f>
        <v>AC + AM - 1 - AL</v>
      </c>
    </row>
    <row r="40" spans="1:39" x14ac:dyDescent="0.35">
      <c r="A40" t="s">
        <v>161</v>
      </c>
      <c r="B40" s="5" t="s">
        <v>269</v>
      </c>
      <c r="C40">
        <v>510677</v>
      </c>
      <c r="D40" t="s">
        <v>301</v>
      </c>
      <c r="E40" t="str">
        <f>VLOOKUP(A40,'CAPEX Manut. Estr_Naveg. Aérea'!$A$2:$B$38,2,FALSE)</f>
        <v>Porto Alegre do Norte</v>
      </c>
      <c r="F40" t="s">
        <v>37</v>
      </c>
      <c r="G40" t="s">
        <v>33</v>
      </c>
      <c r="H40" s="1">
        <f>'RECEITAS - BLOCOS PAN'!H40-'OPEX - BLOCOS PAN'!H40-VLOOKUP('FLUXO DE CAIXA NOM.- BLOCOS PAN'!$D40,'CAPEX - BLOCOS PAN'!$C$3:$H$52,6,FALSE)</f>
        <v>-8618035.9826957174</v>
      </c>
      <c r="I40" s="1">
        <f>'RECEITAS - BLOCOS PAN'!I40-'OPEX - BLOCOS PAN'!I40-VLOOKUP('FLUXO DE CAIXA NOM.- BLOCOS PAN'!$D40,'CAPEX - BLOCOS PAN'!$C$3:$I$52,7,FALSE)</f>
        <v>-8618035.9826957174</v>
      </c>
      <c r="J40" s="1">
        <f>'RECEITAS - BLOCOS PAN'!J40-'OPEX - BLOCOS PAN'!J40-VLOOKUP('FLUXO DE CAIXA NOM.- BLOCOS PAN'!$D40,'CAPEX - BLOCOS PAN'!$C$3:$J$52,8,FALSE)</f>
        <v>-8618035.9826957174</v>
      </c>
      <c r="K40" s="1">
        <f>'RECEITAS - BLOCOS PAN'!K40-'OPEX - BLOCOS PAN'!K40-VLOOKUP('FLUXO DE CAIXA NOM.- BLOCOS PAN'!$D40,'CAPEX - BLOCOS PAN'!$C$3:$K$52,9,FALSE)</f>
        <v>-524938.88270000007</v>
      </c>
      <c r="L40" s="1">
        <f>'RECEITAS - BLOCOS PAN'!L40-'OPEX - BLOCOS PAN'!L40-VLOOKUP('FLUXO DE CAIXA NOM.- BLOCOS PAN'!$D40,'CAPEX - BLOCOS PAN'!$C$3:$L$52,10,FALSE)</f>
        <v>-524938.88270000007</v>
      </c>
      <c r="M40" s="1">
        <f>'RECEITAS - BLOCOS PAN'!M40-'OPEX - BLOCOS PAN'!M40-VLOOKUP('FLUXO DE CAIXA NOM.- BLOCOS PAN'!$D40,'CAPEX - BLOCOS PAN'!$C$3:$M$52,11,FALSE)</f>
        <v>-524938.88270000007</v>
      </c>
      <c r="N40" s="1">
        <f>'RECEITAS - BLOCOS PAN'!N40-'OPEX - BLOCOS PAN'!N40-VLOOKUP('FLUXO DE CAIXA NOM.- BLOCOS PAN'!$D40,'CAPEX - BLOCOS PAN'!$C$3:$N$52,12,FALSE)</f>
        <v>-524938.88270000007</v>
      </c>
      <c r="O40" s="1">
        <f>'RECEITAS - BLOCOS PAN'!O40-'OPEX - BLOCOS PAN'!O40-VLOOKUP('FLUXO DE CAIXA NOM.- BLOCOS PAN'!$D40,'CAPEX - BLOCOS PAN'!$C$3:$O$52,13,FALSE)</f>
        <v>-524938.88270000007</v>
      </c>
      <c r="P40" s="1">
        <f>'RECEITAS - BLOCOS PAN'!P40-'OPEX - BLOCOS PAN'!P40-VLOOKUP('FLUXO DE CAIXA NOM.- BLOCOS PAN'!$D40,'CAPEX - BLOCOS PAN'!$C$3:$P$52,14,FALSE)</f>
        <v>-524938.88270000007</v>
      </c>
      <c r="Q40" s="1">
        <f>'RECEITAS - BLOCOS PAN'!Q40-'OPEX - BLOCOS PAN'!Q40-VLOOKUP('FLUXO DE CAIXA NOM.- BLOCOS PAN'!$D40,'CAPEX - BLOCOS PAN'!$C$3:$Q$52,15,FALSE)</f>
        <v>-524938.88270000007</v>
      </c>
      <c r="R40" s="1">
        <f>'RECEITAS - BLOCOS PAN'!R40-'OPEX - BLOCOS PAN'!R40-VLOOKUP('FLUXO DE CAIXA NOM.- BLOCOS PAN'!$D40,'CAPEX - BLOCOS PAN'!$C$3:$R$52,16,FALSE)</f>
        <v>-524938.88270000007</v>
      </c>
      <c r="S40" s="1">
        <f>'RECEITAS - BLOCOS PAN'!S40-'OPEX - BLOCOS PAN'!S40-VLOOKUP('FLUXO DE CAIXA NOM.- BLOCOS PAN'!$D40,'CAPEX - BLOCOS PAN'!$C$3:$S$52,17,FALSE)</f>
        <v>-524938.88270000007</v>
      </c>
      <c r="T40" s="1">
        <f>'RECEITAS - BLOCOS PAN'!T40-'OPEX - BLOCOS PAN'!T40-VLOOKUP('FLUXO DE CAIXA NOM.- BLOCOS PAN'!$D40,'CAPEX - BLOCOS PAN'!$C$3:$T$52,18,FALSE)</f>
        <v>-524938.88270000007</v>
      </c>
      <c r="U40" s="1">
        <f>'RECEITAS - BLOCOS PAN'!U40-'OPEX - BLOCOS PAN'!U40-VLOOKUP('FLUXO DE CAIXA NOM.- BLOCOS PAN'!$D40,'CAPEX - BLOCOS PAN'!$C$3:$U$52,19,FALSE)</f>
        <v>-524938.88270000007</v>
      </c>
      <c r="V40" s="1">
        <f>'RECEITAS - BLOCOS PAN'!V40-'OPEX - BLOCOS PAN'!V40-VLOOKUP('FLUXO DE CAIXA NOM.- BLOCOS PAN'!$D40,'CAPEX - BLOCOS PAN'!$C$3:$V$52,20,FALSE)</f>
        <v>-524938.88270000007</v>
      </c>
      <c r="W40" s="1">
        <f>'RECEITAS - BLOCOS PAN'!W40-'OPEX - BLOCOS PAN'!W40-VLOOKUP('FLUXO DE CAIXA NOM.- BLOCOS PAN'!$D40,'CAPEX - BLOCOS PAN'!$C$3:$W$52,21,FALSE)</f>
        <v>-524938.88270000007</v>
      </c>
      <c r="X40" s="1">
        <f>'RECEITAS - BLOCOS PAN'!X40-'OPEX - BLOCOS PAN'!X40-VLOOKUP('FLUXO DE CAIXA NOM.- BLOCOS PAN'!$D40,'CAPEX - BLOCOS PAN'!$C$3:$X$52,22,FALSE)</f>
        <v>-524938.88270000007</v>
      </c>
      <c r="Y40" s="1">
        <f>'RECEITAS - BLOCOS PAN'!Y40-'OPEX - BLOCOS PAN'!Y40-VLOOKUP('FLUXO DE CAIXA NOM.- BLOCOS PAN'!$D40,'CAPEX - BLOCOS PAN'!$C$3:$Y$52,23,FALSE)</f>
        <v>-524938.88270000007</v>
      </c>
      <c r="Z40" s="1">
        <f>'RECEITAS - BLOCOS PAN'!Z40-'OPEX - BLOCOS PAN'!Z40-VLOOKUP('FLUXO DE CAIXA NOM.- BLOCOS PAN'!$D40,'CAPEX - BLOCOS PAN'!$C$3:$Z$52,24,FALSE)</f>
        <v>-524938.88270000007</v>
      </c>
      <c r="AA40" s="1">
        <f>'RECEITAS - BLOCOS PAN'!AA40-'OPEX - BLOCOS PAN'!AA40-VLOOKUP('FLUXO DE CAIXA NOM.- BLOCOS PAN'!$D40,'CAPEX - BLOCOS PAN'!$C$3:$AA$52,25,FALSE)</f>
        <v>-524938.88270000007</v>
      </c>
      <c r="AB40" s="1">
        <f>'RECEITAS - BLOCOS PAN'!AB40-'OPEX - BLOCOS PAN'!AB40-VLOOKUP('FLUXO DE CAIXA NOM.- BLOCOS PAN'!$D40,'CAPEX - BLOCOS PAN'!$C$3:$AB$52,26,FALSE)</f>
        <v>-524938.88270000007</v>
      </c>
      <c r="AC40" s="1">
        <f>'RECEITAS - BLOCOS PAN'!AC40-'OPEX - BLOCOS PAN'!AC40-VLOOKUP('FLUXO DE CAIXA NOM.- BLOCOS PAN'!$D40,'CAPEX - BLOCOS PAN'!$C$3:$AC$52,27,FALSE)</f>
        <v>-524938.88270000007</v>
      </c>
      <c r="AD40" s="1">
        <f>'RECEITAS - BLOCOS PAN'!AD40-'OPEX - BLOCOS PAN'!AD40-VLOOKUP('FLUXO DE CAIXA NOM.- BLOCOS PAN'!$D40,'CAPEX - BLOCOS PAN'!$C$3:$AD$52,28,FALSE)</f>
        <v>-524938.88270000007</v>
      </c>
      <c r="AE40" s="1">
        <f>'RECEITAS - BLOCOS PAN'!AE40-'OPEX - BLOCOS PAN'!AE40-VLOOKUP('FLUXO DE CAIXA NOM.- BLOCOS PAN'!$D40,'CAPEX - BLOCOS PAN'!$C$3:$AE$52,29,FALSE)</f>
        <v>-524938.88270000007</v>
      </c>
      <c r="AF40" s="1">
        <f>'RECEITAS - BLOCOS PAN'!AF40-'OPEX - BLOCOS PAN'!AF40-VLOOKUP('FLUXO DE CAIXA NOM.- BLOCOS PAN'!$D40,'CAPEX - BLOCOS PAN'!$C$3:$AF$52,30,FALSE)</f>
        <v>-524938.88270000007</v>
      </c>
      <c r="AG40" s="1">
        <f>'RECEITAS - BLOCOS PAN'!AG40-'OPEX - BLOCOS PAN'!AG40-VLOOKUP('FLUXO DE CAIXA NOM.- BLOCOS PAN'!$D40,'CAPEX - BLOCOS PAN'!$C$3:$AG$52,31,FALSE)</f>
        <v>-524938.88270000007</v>
      </c>
      <c r="AH40" s="1">
        <f>'RECEITAS - BLOCOS PAN'!AH40-'OPEX - BLOCOS PAN'!AH40-VLOOKUP('FLUXO DE CAIXA NOM.- BLOCOS PAN'!$D40,'CAPEX - BLOCOS PAN'!$C$3:$AH$52,32,FALSE)</f>
        <v>-524938.88270000007</v>
      </c>
      <c r="AI40" s="1">
        <f>'RECEITAS - BLOCOS PAN'!AI40-'OPEX - BLOCOS PAN'!AI40-VLOOKUP('FLUXO DE CAIXA NOM.- BLOCOS PAN'!$D40,'CAPEX - BLOCOS PAN'!$C$3:$AI$52,33,FALSE)</f>
        <v>-524938.88270000007</v>
      </c>
      <c r="AJ40" s="1">
        <f>'RECEITAS - BLOCOS PAN'!AJ40-'OPEX - BLOCOS PAN'!AJ40-VLOOKUP('FLUXO DE CAIXA NOM.- BLOCOS PAN'!$D40,'CAPEX - BLOCOS PAN'!$C$3:$AJ$52,34,FALSE)</f>
        <v>-524938.88270000007</v>
      </c>
      <c r="AK40" s="1">
        <f>'RECEITAS - BLOCOS PAN'!AK40-'OPEX - BLOCOS PAN'!AK40-VLOOKUP('FLUXO DE CAIXA NOM.- BLOCOS PAN'!$D40,'CAPEX - BLOCOS PAN'!$C$3:$AK$52,35,FALSE)</f>
        <v>-524938.88270000007</v>
      </c>
      <c r="AL40" s="44">
        <f t="shared" si="2"/>
        <v>-40027457.780987196</v>
      </c>
      <c r="AM40" t="str">
        <f>VLOOKUP(D40,'FLUXO DE CAIXA DESC.-BLOCOS PAN'!$D$3:$AO$52,38,FALSE)</f>
        <v>MT - 2 - AL</v>
      </c>
    </row>
    <row r="41" spans="1:39" x14ac:dyDescent="0.35">
      <c r="A41" t="s">
        <v>114</v>
      </c>
      <c r="B41" s="5" t="s">
        <v>278</v>
      </c>
      <c r="C41">
        <v>120035</v>
      </c>
      <c r="D41" t="s">
        <v>294</v>
      </c>
      <c r="E41" t="str">
        <f>VLOOKUP(A41,'CAPEX Manut. Estr_Naveg. Aérea'!$A$2:$B$38,2,FALSE)</f>
        <v>Marechal Thaumaturgo</v>
      </c>
      <c r="F41" t="s">
        <v>41</v>
      </c>
      <c r="G41" t="s">
        <v>33</v>
      </c>
      <c r="H41" s="1">
        <f>'RECEITAS - BLOCOS PAN'!H41-'OPEX - BLOCOS PAN'!H41-VLOOKUP('FLUXO DE CAIXA NOM.- BLOCOS PAN'!$D41,'CAPEX - BLOCOS PAN'!$C$3:$H$52,6,FALSE)</f>
        <v>-7567340.5377000002</v>
      </c>
      <c r="I41" s="1">
        <f>'RECEITAS - BLOCOS PAN'!I41-'OPEX - BLOCOS PAN'!I41-VLOOKUP('FLUXO DE CAIXA NOM.- BLOCOS PAN'!$D41,'CAPEX - BLOCOS PAN'!$C$3:$I$52,7,FALSE)</f>
        <v>-7567340.5377000002</v>
      </c>
      <c r="J41" s="1">
        <f>'RECEITAS - BLOCOS PAN'!J41-'OPEX - BLOCOS PAN'!J41-VLOOKUP('FLUXO DE CAIXA NOM.- BLOCOS PAN'!$D41,'CAPEX - BLOCOS PAN'!$C$3:$J$52,8,FALSE)</f>
        <v>-7567340.5377000002</v>
      </c>
      <c r="K41" s="1">
        <f>'RECEITAS - BLOCOS PAN'!K41-'OPEX - BLOCOS PAN'!K41-VLOOKUP('FLUXO DE CAIXA NOM.- BLOCOS PAN'!$D41,'CAPEX - BLOCOS PAN'!$C$3:$K$52,9,FALSE)</f>
        <v>-517712.3847</v>
      </c>
      <c r="L41" s="1">
        <f>'RECEITAS - BLOCOS PAN'!L41-'OPEX - BLOCOS PAN'!L41-VLOOKUP('FLUXO DE CAIXA NOM.- BLOCOS PAN'!$D41,'CAPEX - BLOCOS PAN'!$C$3:$L$52,10,FALSE)</f>
        <v>-517712.3847</v>
      </c>
      <c r="M41" s="1">
        <f>'RECEITAS - BLOCOS PAN'!M41-'OPEX - BLOCOS PAN'!M41-VLOOKUP('FLUXO DE CAIXA NOM.- BLOCOS PAN'!$D41,'CAPEX - BLOCOS PAN'!$C$3:$M$52,11,FALSE)</f>
        <v>-517712.3847</v>
      </c>
      <c r="N41" s="1">
        <f>'RECEITAS - BLOCOS PAN'!N41-'OPEX - BLOCOS PAN'!N41-VLOOKUP('FLUXO DE CAIXA NOM.- BLOCOS PAN'!$D41,'CAPEX - BLOCOS PAN'!$C$3:$N$52,12,FALSE)</f>
        <v>-517712.3847</v>
      </c>
      <c r="O41" s="1">
        <f>'RECEITAS - BLOCOS PAN'!O41-'OPEX - BLOCOS PAN'!O41-VLOOKUP('FLUXO DE CAIXA NOM.- BLOCOS PAN'!$D41,'CAPEX - BLOCOS PAN'!$C$3:$O$52,13,FALSE)</f>
        <v>-517712.3847</v>
      </c>
      <c r="P41" s="1">
        <f>'RECEITAS - BLOCOS PAN'!P41-'OPEX - BLOCOS PAN'!P41-VLOOKUP('FLUXO DE CAIXA NOM.- BLOCOS PAN'!$D41,'CAPEX - BLOCOS PAN'!$C$3:$P$52,14,FALSE)</f>
        <v>-517712.3847</v>
      </c>
      <c r="Q41" s="1">
        <f>'RECEITAS - BLOCOS PAN'!Q41-'OPEX - BLOCOS PAN'!Q41-VLOOKUP('FLUXO DE CAIXA NOM.- BLOCOS PAN'!$D41,'CAPEX - BLOCOS PAN'!$C$3:$Q$52,15,FALSE)</f>
        <v>-517712.3847</v>
      </c>
      <c r="R41" s="1">
        <f>'RECEITAS - BLOCOS PAN'!R41-'OPEX - BLOCOS PAN'!R41-VLOOKUP('FLUXO DE CAIXA NOM.- BLOCOS PAN'!$D41,'CAPEX - BLOCOS PAN'!$C$3:$R$52,16,FALSE)</f>
        <v>-517712.3847</v>
      </c>
      <c r="S41" s="1">
        <f>'RECEITAS - BLOCOS PAN'!S41-'OPEX - BLOCOS PAN'!S41-VLOOKUP('FLUXO DE CAIXA NOM.- BLOCOS PAN'!$D41,'CAPEX - BLOCOS PAN'!$C$3:$S$52,17,FALSE)</f>
        <v>-517712.3847</v>
      </c>
      <c r="T41" s="1">
        <f>'RECEITAS - BLOCOS PAN'!T41-'OPEX - BLOCOS PAN'!T41-VLOOKUP('FLUXO DE CAIXA NOM.- BLOCOS PAN'!$D41,'CAPEX - BLOCOS PAN'!$C$3:$T$52,18,FALSE)</f>
        <v>-517712.3847</v>
      </c>
      <c r="U41" s="1">
        <f>'RECEITAS - BLOCOS PAN'!U41-'OPEX - BLOCOS PAN'!U41-VLOOKUP('FLUXO DE CAIXA NOM.- BLOCOS PAN'!$D41,'CAPEX - BLOCOS PAN'!$C$3:$U$52,19,FALSE)</f>
        <v>-517712.3847</v>
      </c>
      <c r="V41" s="1">
        <f>'RECEITAS - BLOCOS PAN'!V41-'OPEX - BLOCOS PAN'!V41-VLOOKUP('FLUXO DE CAIXA NOM.- BLOCOS PAN'!$D41,'CAPEX - BLOCOS PAN'!$C$3:$V$52,20,FALSE)</f>
        <v>-517712.3847</v>
      </c>
      <c r="W41" s="1">
        <f>'RECEITAS - BLOCOS PAN'!W41-'OPEX - BLOCOS PAN'!W41-VLOOKUP('FLUXO DE CAIXA NOM.- BLOCOS PAN'!$D41,'CAPEX - BLOCOS PAN'!$C$3:$W$52,21,FALSE)</f>
        <v>-517712.3847</v>
      </c>
      <c r="X41" s="1">
        <f>'RECEITAS - BLOCOS PAN'!X41-'OPEX - BLOCOS PAN'!X41-VLOOKUP('FLUXO DE CAIXA NOM.- BLOCOS PAN'!$D41,'CAPEX - BLOCOS PAN'!$C$3:$X$52,22,FALSE)</f>
        <v>-517712.3847</v>
      </c>
      <c r="Y41" s="1">
        <f>'RECEITAS - BLOCOS PAN'!Y41-'OPEX - BLOCOS PAN'!Y41-VLOOKUP('FLUXO DE CAIXA NOM.- BLOCOS PAN'!$D41,'CAPEX - BLOCOS PAN'!$C$3:$Y$52,23,FALSE)</f>
        <v>-517712.3847</v>
      </c>
      <c r="Z41" s="1">
        <f>'RECEITAS - BLOCOS PAN'!Z41-'OPEX - BLOCOS PAN'!Z41-VLOOKUP('FLUXO DE CAIXA NOM.- BLOCOS PAN'!$D41,'CAPEX - BLOCOS PAN'!$C$3:$Z$52,24,FALSE)</f>
        <v>-517712.3847</v>
      </c>
      <c r="AA41" s="1">
        <f>'RECEITAS - BLOCOS PAN'!AA41-'OPEX - BLOCOS PAN'!AA41-VLOOKUP('FLUXO DE CAIXA NOM.- BLOCOS PAN'!$D41,'CAPEX - BLOCOS PAN'!$C$3:$AA$52,25,FALSE)</f>
        <v>-517712.3847</v>
      </c>
      <c r="AB41" s="1">
        <f>'RECEITAS - BLOCOS PAN'!AB41-'OPEX - BLOCOS PAN'!AB41-VLOOKUP('FLUXO DE CAIXA NOM.- BLOCOS PAN'!$D41,'CAPEX - BLOCOS PAN'!$C$3:$AB$52,26,FALSE)</f>
        <v>-517712.3847</v>
      </c>
      <c r="AC41" s="1">
        <f>'RECEITAS - BLOCOS PAN'!AC41-'OPEX - BLOCOS PAN'!AC41-VLOOKUP('FLUXO DE CAIXA NOM.- BLOCOS PAN'!$D41,'CAPEX - BLOCOS PAN'!$C$3:$AC$52,27,FALSE)</f>
        <v>-517712.3847</v>
      </c>
      <c r="AD41" s="1">
        <f>'RECEITAS - BLOCOS PAN'!AD41-'OPEX - BLOCOS PAN'!AD41-VLOOKUP('FLUXO DE CAIXA NOM.- BLOCOS PAN'!$D41,'CAPEX - BLOCOS PAN'!$C$3:$AD$52,28,FALSE)</f>
        <v>-517712.3847</v>
      </c>
      <c r="AE41" s="1">
        <f>'RECEITAS - BLOCOS PAN'!AE41-'OPEX - BLOCOS PAN'!AE41-VLOOKUP('FLUXO DE CAIXA NOM.- BLOCOS PAN'!$D41,'CAPEX - BLOCOS PAN'!$C$3:$AE$52,29,FALSE)</f>
        <v>-517712.3847</v>
      </c>
      <c r="AF41" s="1">
        <f>'RECEITAS - BLOCOS PAN'!AF41-'OPEX - BLOCOS PAN'!AF41-VLOOKUP('FLUXO DE CAIXA NOM.- BLOCOS PAN'!$D41,'CAPEX - BLOCOS PAN'!$C$3:$AF$52,30,FALSE)</f>
        <v>-517712.3847</v>
      </c>
      <c r="AG41" s="1">
        <f>'RECEITAS - BLOCOS PAN'!AG41-'OPEX - BLOCOS PAN'!AG41-VLOOKUP('FLUXO DE CAIXA NOM.- BLOCOS PAN'!$D41,'CAPEX - BLOCOS PAN'!$C$3:$AG$52,31,FALSE)</f>
        <v>-517712.3847</v>
      </c>
      <c r="AH41" s="1">
        <f>'RECEITAS - BLOCOS PAN'!AH41-'OPEX - BLOCOS PAN'!AH41-VLOOKUP('FLUXO DE CAIXA NOM.- BLOCOS PAN'!$D41,'CAPEX - BLOCOS PAN'!$C$3:$AH$52,32,FALSE)</f>
        <v>-517712.3847</v>
      </c>
      <c r="AI41" s="1">
        <f>'RECEITAS - BLOCOS PAN'!AI41-'OPEX - BLOCOS PAN'!AI41-VLOOKUP('FLUXO DE CAIXA NOM.- BLOCOS PAN'!$D41,'CAPEX - BLOCOS PAN'!$C$3:$AI$52,33,FALSE)</f>
        <v>-517712.3847</v>
      </c>
      <c r="AJ41" s="1">
        <f>'RECEITAS - BLOCOS PAN'!AJ41-'OPEX - BLOCOS PAN'!AJ41-VLOOKUP('FLUXO DE CAIXA NOM.- BLOCOS PAN'!$D41,'CAPEX - BLOCOS PAN'!$C$3:$AJ$52,34,FALSE)</f>
        <v>-517712.3847</v>
      </c>
      <c r="AK41" s="1">
        <f>'RECEITAS - BLOCOS PAN'!AK41-'OPEX - BLOCOS PAN'!AK41-VLOOKUP('FLUXO DE CAIXA NOM.- BLOCOS PAN'!$D41,'CAPEX - BLOCOS PAN'!$C$3:$AK$52,35,FALSE)</f>
        <v>-517712.3847</v>
      </c>
      <c r="AL41" s="44">
        <f t="shared" si="2"/>
        <v>-36680256.000000007</v>
      </c>
      <c r="AM41" t="str">
        <f>VLOOKUP(D41,'FLUXO DE CAIXA DESC.-BLOCOS PAN'!$D$3:$AO$52,38,FALSE)</f>
        <v>AC + AM - 1 - AL</v>
      </c>
    </row>
    <row r="42" spans="1:39" x14ac:dyDescent="0.35">
      <c r="A42" t="s">
        <v>87</v>
      </c>
      <c r="B42" s="5" t="s">
        <v>279</v>
      </c>
      <c r="C42">
        <v>150503</v>
      </c>
      <c r="D42" t="s">
        <v>291</v>
      </c>
      <c r="E42" t="str">
        <f>VLOOKUP(A42,'CAPEX Manut. Estr_Naveg. Aérea'!$A$2:$B$38,2,FALSE)</f>
        <v>Novo Progresso</v>
      </c>
      <c r="F42" t="s">
        <v>29</v>
      </c>
      <c r="G42" t="s">
        <v>33</v>
      </c>
      <c r="H42" s="1">
        <f>'RECEITAS - BLOCOS PAN'!H42-'OPEX - BLOCOS PAN'!H42-VLOOKUP('FLUXO DE CAIXA NOM.- BLOCOS PAN'!$D42,'CAPEX - BLOCOS PAN'!$C$3:$H$52,6,FALSE)</f>
        <v>-14764706.643615702</v>
      </c>
      <c r="I42" s="1">
        <f>'RECEITAS - BLOCOS PAN'!I42-'OPEX - BLOCOS PAN'!I42-VLOOKUP('FLUXO DE CAIXA NOM.- BLOCOS PAN'!$D42,'CAPEX - BLOCOS PAN'!$C$3:$I$52,7,FALSE)</f>
        <v>-14764706.643615702</v>
      </c>
      <c r="J42" s="1">
        <f>'RECEITAS - BLOCOS PAN'!J42-'OPEX - BLOCOS PAN'!J42-VLOOKUP('FLUXO DE CAIXA NOM.- BLOCOS PAN'!$D42,'CAPEX - BLOCOS PAN'!$C$3:$J$52,8,FALSE)</f>
        <v>-14764706.643615702</v>
      </c>
      <c r="K42" s="1">
        <f>'RECEITAS - BLOCOS PAN'!K42-'OPEX - BLOCOS PAN'!K42-VLOOKUP('FLUXO DE CAIXA NOM.- BLOCOS PAN'!$D42,'CAPEX - BLOCOS PAN'!$C$3:$K$52,9,FALSE)</f>
        <v>-503210.11090000003</v>
      </c>
      <c r="L42" s="1">
        <f>'RECEITAS - BLOCOS PAN'!L42-'OPEX - BLOCOS PAN'!L42-VLOOKUP('FLUXO DE CAIXA NOM.- BLOCOS PAN'!$D42,'CAPEX - BLOCOS PAN'!$C$3:$L$52,10,FALSE)</f>
        <v>-503210.11090000003</v>
      </c>
      <c r="M42" s="1">
        <f>'RECEITAS - BLOCOS PAN'!M42-'OPEX - BLOCOS PAN'!M42-VLOOKUP('FLUXO DE CAIXA NOM.- BLOCOS PAN'!$D42,'CAPEX - BLOCOS PAN'!$C$3:$M$52,11,FALSE)</f>
        <v>-503210.11090000003</v>
      </c>
      <c r="N42" s="1">
        <f>'RECEITAS - BLOCOS PAN'!N42-'OPEX - BLOCOS PAN'!N42-VLOOKUP('FLUXO DE CAIXA NOM.- BLOCOS PAN'!$D42,'CAPEX - BLOCOS PAN'!$C$3:$N$52,12,FALSE)</f>
        <v>-503210.11090000003</v>
      </c>
      <c r="O42" s="1">
        <f>'RECEITAS - BLOCOS PAN'!O42-'OPEX - BLOCOS PAN'!O42-VLOOKUP('FLUXO DE CAIXA NOM.- BLOCOS PAN'!$D42,'CAPEX - BLOCOS PAN'!$C$3:$O$52,13,FALSE)</f>
        <v>-503210.11090000003</v>
      </c>
      <c r="P42" s="1">
        <f>'RECEITAS - BLOCOS PAN'!P42-'OPEX - BLOCOS PAN'!P42-VLOOKUP('FLUXO DE CAIXA NOM.- BLOCOS PAN'!$D42,'CAPEX - BLOCOS PAN'!$C$3:$P$52,14,FALSE)</f>
        <v>-503210.11090000003</v>
      </c>
      <c r="Q42" s="1">
        <f>'RECEITAS - BLOCOS PAN'!Q42-'OPEX - BLOCOS PAN'!Q42-VLOOKUP('FLUXO DE CAIXA NOM.- BLOCOS PAN'!$D42,'CAPEX - BLOCOS PAN'!$C$3:$Q$52,15,FALSE)</f>
        <v>-503210.11090000003</v>
      </c>
      <c r="R42" s="1">
        <f>'RECEITAS - BLOCOS PAN'!R42-'OPEX - BLOCOS PAN'!R42-VLOOKUP('FLUXO DE CAIXA NOM.- BLOCOS PAN'!$D42,'CAPEX - BLOCOS PAN'!$C$3:$R$52,16,FALSE)</f>
        <v>-503210.11090000003</v>
      </c>
      <c r="S42" s="1">
        <f>'RECEITAS - BLOCOS PAN'!S42-'OPEX - BLOCOS PAN'!S42-VLOOKUP('FLUXO DE CAIXA NOM.- BLOCOS PAN'!$D42,'CAPEX - BLOCOS PAN'!$C$3:$S$52,17,FALSE)</f>
        <v>-503210.11090000003</v>
      </c>
      <c r="T42" s="1">
        <f>'RECEITAS - BLOCOS PAN'!T42-'OPEX - BLOCOS PAN'!T42-VLOOKUP('FLUXO DE CAIXA NOM.- BLOCOS PAN'!$D42,'CAPEX - BLOCOS PAN'!$C$3:$T$52,18,FALSE)</f>
        <v>-503210.11090000003</v>
      </c>
      <c r="U42" s="1">
        <f>'RECEITAS - BLOCOS PAN'!U42-'OPEX - BLOCOS PAN'!U42-VLOOKUP('FLUXO DE CAIXA NOM.- BLOCOS PAN'!$D42,'CAPEX - BLOCOS PAN'!$C$3:$U$52,19,FALSE)</f>
        <v>-503210.11090000003</v>
      </c>
      <c r="V42" s="1">
        <f>'RECEITAS - BLOCOS PAN'!V42-'OPEX - BLOCOS PAN'!V42-VLOOKUP('FLUXO DE CAIXA NOM.- BLOCOS PAN'!$D42,'CAPEX - BLOCOS PAN'!$C$3:$V$52,20,FALSE)</f>
        <v>-503210.11090000003</v>
      </c>
      <c r="W42" s="1">
        <f>'RECEITAS - BLOCOS PAN'!W42-'OPEX - BLOCOS PAN'!W42-VLOOKUP('FLUXO DE CAIXA NOM.- BLOCOS PAN'!$D42,'CAPEX - BLOCOS PAN'!$C$3:$W$52,21,FALSE)</f>
        <v>-503210.11090000003</v>
      </c>
      <c r="X42" s="1">
        <f>'RECEITAS - BLOCOS PAN'!X42-'OPEX - BLOCOS PAN'!X42-VLOOKUP('FLUXO DE CAIXA NOM.- BLOCOS PAN'!$D42,'CAPEX - BLOCOS PAN'!$C$3:$X$52,22,FALSE)</f>
        <v>-503210.11090000003</v>
      </c>
      <c r="Y42" s="1">
        <f>'RECEITAS - BLOCOS PAN'!Y42-'OPEX - BLOCOS PAN'!Y42-VLOOKUP('FLUXO DE CAIXA NOM.- BLOCOS PAN'!$D42,'CAPEX - BLOCOS PAN'!$C$3:$Y$52,23,FALSE)</f>
        <v>-503210.11090000003</v>
      </c>
      <c r="Z42" s="1">
        <f>'RECEITAS - BLOCOS PAN'!Z42-'OPEX - BLOCOS PAN'!Z42-VLOOKUP('FLUXO DE CAIXA NOM.- BLOCOS PAN'!$D42,'CAPEX - BLOCOS PAN'!$C$3:$Z$52,24,FALSE)</f>
        <v>-503210.11090000003</v>
      </c>
      <c r="AA42" s="1">
        <f>'RECEITAS - BLOCOS PAN'!AA42-'OPEX - BLOCOS PAN'!AA42-VLOOKUP('FLUXO DE CAIXA NOM.- BLOCOS PAN'!$D42,'CAPEX - BLOCOS PAN'!$C$3:$AA$52,25,FALSE)</f>
        <v>-503210.11090000003</v>
      </c>
      <c r="AB42" s="1">
        <f>'RECEITAS - BLOCOS PAN'!AB42-'OPEX - BLOCOS PAN'!AB42-VLOOKUP('FLUXO DE CAIXA NOM.- BLOCOS PAN'!$D42,'CAPEX - BLOCOS PAN'!$C$3:$AB$52,26,FALSE)</f>
        <v>-503210.11090000003</v>
      </c>
      <c r="AC42" s="1">
        <f>'RECEITAS - BLOCOS PAN'!AC42-'OPEX - BLOCOS PAN'!AC42-VLOOKUP('FLUXO DE CAIXA NOM.- BLOCOS PAN'!$D42,'CAPEX - BLOCOS PAN'!$C$3:$AC$52,27,FALSE)</f>
        <v>-503210.11090000003</v>
      </c>
      <c r="AD42" s="1">
        <f>'RECEITAS - BLOCOS PAN'!AD42-'OPEX - BLOCOS PAN'!AD42-VLOOKUP('FLUXO DE CAIXA NOM.- BLOCOS PAN'!$D42,'CAPEX - BLOCOS PAN'!$C$3:$AD$52,28,FALSE)</f>
        <v>-503210.11090000003</v>
      </c>
      <c r="AE42" s="1">
        <f>'RECEITAS - BLOCOS PAN'!AE42-'OPEX - BLOCOS PAN'!AE42-VLOOKUP('FLUXO DE CAIXA NOM.- BLOCOS PAN'!$D42,'CAPEX - BLOCOS PAN'!$C$3:$AE$52,29,FALSE)</f>
        <v>-503210.11090000003</v>
      </c>
      <c r="AF42" s="1">
        <f>'RECEITAS - BLOCOS PAN'!AF42-'OPEX - BLOCOS PAN'!AF42-VLOOKUP('FLUXO DE CAIXA NOM.- BLOCOS PAN'!$D42,'CAPEX - BLOCOS PAN'!$C$3:$AF$52,30,FALSE)</f>
        <v>-503210.11090000003</v>
      </c>
      <c r="AG42" s="1">
        <f>'RECEITAS - BLOCOS PAN'!AG42-'OPEX - BLOCOS PAN'!AG42-VLOOKUP('FLUXO DE CAIXA NOM.- BLOCOS PAN'!$D42,'CAPEX - BLOCOS PAN'!$C$3:$AG$52,31,FALSE)</f>
        <v>-503210.11090000003</v>
      </c>
      <c r="AH42" s="1">
        <f>'RECEITAS - BLOCOS PAN'!AH42-'OPEX - BLOCOS PAN'!AH42-VLOOKUP('FLUXO DE CAIXA NOM.- BLOCOS PAN'!$D42,'CAPEX - BLOCOS PAN'!$C$3:$AH$52,32,FALSE)</f>
        <v>-503210.11090000003</v>
      </c>
      <c r="AI42" s="1">
        <f>'RECEITAS - BLOCOS PAN'!AI42-'OPEX - BLOCOS PAN'!AI42-VLOOKUP('FLUXO DE CAIXA NOM.- BLOCOS PAN'!$D42,'CAPEX - BLOCOS PAN'!$C$3:$AI$52,33,FALSE)</f>
        <v>-503210.11090000003</v>
      </c>
      <c r="AJ42" s="1">
        <f>'RECEITAS - BLOCOS PAN'!AJ42-'OPEX - BLOCOS PAN'!AJ42-VLOOKUP('FLUXO DE CAIXA NOM.- BLOCOS PAN'!$D42,'CAPEX - BLOCOS PAN'!$C$3:$AJ$52,34,FALSE)</f>
        <v>-503210.11090000003</v>
      </c>
      <c r="AK42" s="1">
        <f>'RECEITAS - BLOCOS PAN'!AK42-'OPEX - BLOCOS PAN'!AK42-VLOOKUP('FLUXO DE CAIXA NOM.- BLOCOS PAN'!$D42,'CAPEX - BLOCOS PAN'!$C$3:$AK$52,35,FALSE)</f>
        <v>-503210.11090000003</v>
      </c>
      <c r="AL42" s="44">
        <f t="shared" si="2"/>
        <v>-57880792.925147101</v>
      </c>
      <c r="AM42" t="str">
        <f>VLOOKUP(D42,'FLUXO DE CAIXA DESC.-BLOCOS PAN'!$D$3:$AO$52,38,FALSE)</f>
        <v>PA - 1 - AL</v>
      </c>
    </row>
    <row r="43" spans="1:39" s="49" customFormat="1" x14ac:dyDescent="0.35">
      <c r="A43" s="49" t="s">
        <v>369</v>
      </c>
      <c r="B43" s="76" t="s">
        <v>370</v>
      </c>
      <c r="C43" s="49">
        <v>260110</v>
      </c>
      <c r="D43" s="49" t="s">
        <v>371</v>
      </c>
      <c r="E43" s="49" t="s">
        <v>370</v>
      </c>
      <c r="F43" s="49" t="s">
        <v>36</v>
      </c>
      <c r="G43" s="49" t="s">
        <v>33</v>
      </c>
      <c r="H43" s="72">
        <f>'RECEITAS - BLOCOS PAN'!H43-'OPEX - BLOCOS PAN'!H43-VLOOKUP('FLUXO DE CAIXA NOM.- BLOCOS PAN'!$D43,'CAPEX - BLOCOS PAN'!$C$3:$H$52,6,FALSE)</f>
        <v>-9141413.2730364166</v>
      </c>
      <c r="I43" s="72">
        <f>'RECEITAS - BLOCOS PAN'!I43-'OPEX - BLOCOS PAN'!I43-VLOOKUP('FLUXO DE CAIXA NOM.- BLOCOS PAN'!$D43,'CAPEX - BLOCOS PAN'!$C$3:$I$52,7,FALSE)</f>
        <v>-9141413.2730364166</v>
      </c>
      <c r="J43" s="72">
        <f>'RECEITAS - BLOCOS PAN'!J43-'OPEX - BLOCOS PAN'!J43-VLOOKUP('FLUXO DE CAIXA NOM.- BLOCOS PAN'!$D43,'CAPEX - BLOCOS PAN'!$C$3:$J$52,8,FALSE)</f>
        <v>-9141413.2730364166</v>
      </c>
      <c r="K43" s="72">
        <f>'RECEITAS - BLOCOS PAN'!K43-'OPEX - BLOCOS PAN'!K43-VLOOKUP('FLUXO DE CAIXA NOM.- BLOCOS PAN'!$D43,'CAPEX - BLOCOS PAN'!$C$3:$K$52,9,FALSE)</f>
        <v>-663923.62609999999</v>
      </c>
      <c r="L43" s="72">
        <f>'RECEITAS - BLOCOS PAN'!L43-'OPEX - BLOCOS PAN'!L43-VLOOKUP('FLUXO DE CAIXA NOM.- BLOCOS PAN'!$D43,'CAPEX - BLOCOS PAN'!$C$3:$L$52,10,FALSE)</f>
        <v>-663923.62609999999</v>
      </c>
      <c r="M43" s="72">
        <f>'RECEITAS - BLOCOS PAN'!M43-'OPEX - BLOCOS PAN'!M43-VLOOKUP('FLUXO DE CAIXA NOM.- BLOCOS PAN'!$D43,'CAPEX - BLOCOS PAN'!$C$3:$M$52,11,FALSE)</f>
        <v>-663923.62609999999</v>
      </c>
      <c r="N43" s="72">
        <f>'RECEITAS - BLOCOS PAN'!N43-'OPEX - BLOCOS PAN'!N43-VLOOKUP('FLUXO DE CAIXA NOM.- BLOCOS PAN'!$D43,'CAPEX - BLOCOS PAN'!$C$3:$N$52,12,FALSE)</f>
        <v>-663923.62609999999</v>
      </c>
      <c r="O43" s="72">
        <f>'RECEITAS - BLOCOS PAN'!O43-'OPEX - BLOCOS PAN'!O43-VLOOKUP('FLUXO DE CAIXA NOM.- BLOCOS PAN'!$D43,'CAPEX - BLOCOS PAN'!$C$3:$O$52,13,FALSE)</f>
        <v>-663923.62609999999</v>
      </c>
      <c r="P43" s="72">
        <f>'RECEITAS - BLOCOS PAN'!P43-'OPEX - BLOCOS PAN'!P43-VLOOKUP('FLUXO DE CAIXA NOM.- BLOCOS PAN'!$D43,'CAPEX - BLOCOS PAN'!$C$3:$P$52,14,FALSE)</f>
        <v>-663923.62609999999</v>
      </c>
      <c r="Q43" s="72">
        <f>'RECEITAS - BLOCOS PAN'!Q43-'OPEX - BLOCOS PAN'!Q43-VLOOKUP('FLUXO DE CAIXA NOM.- BLOCOS PAN'!$D43,'CAPEX - BLOCOS PAN'!$C$3:$Q$52,15,FALSE)</f>
        <v>-663923.62609999999</v>
      </c>
      <c r="R43" s="72">
        <f>'RECEITAS - BLOCOS PAN'!R43-'OPEX - BLOCOS PAN'!R43-VLOOKUP('FLUXO DE CAIXA NOM.- BLOCOS PAN'!$D43,'CAPEX - BLOCOS PAN'!$C$3:$R$52,16,FALSE)</f>
        <v>-663923.62609999999</v>
      </c>
      <c r="S43" s="72">
        <f>'RECEITAS - BLOCOS PAN'!S43-'OPEX - BLOCOS PAN'!S43-VLOOKUP('FLUXO DE CAIXA NOM.- BLOCOS PAN'!$D43,'CAPEX - BLOCOS PAN'!$C$3:$S$52,17,FALSE)</f>
        <v>-663923.62609999999</v>
      </c>
      <c r="T43" s="72">
        <f>'RECEITAS - BLOCOS PAN'!T43-'OPEX - BLOCOS PAN'!T43-VLOOKUP('FLUXO DE CAIXA NOM.- BLOCOS PAN'!$D43,'CAPEX - BLOCOS PAN'!$C$3:$T$52,18,FALSE)</f>
        <v>-663923.62609999999</v>
      </c>
      <c r="U43" s="72">
        <f>'RECEITAS - BLOCOS PAN'!U43-'OPEX - BLOCOS PAN'!U43-VLOOKUP('FLUXO DE CAIXA NOM.- BLOCOS PAN'!$D43,'CAPEX - BLOCOS PAN'!$C$3:$U$52,19,FALSE)</f>
        <v>-663923.62609999999</v>
      </c>
      <c r="V43" s="72">
        <f>'RECEITAS - BLOCOS PAN'!V43-'OPEX - BLOCOS PAN'!V43-VLOOKUP('FLUXO DE CAIXA NOM.- BLOCOS PAN'!$D43,'CAPEX - BLOCOS PAN'!$C$3:$V$52,20,FALSE)</f>
        <v>-663923.62609999999</v>
      </c>
      <c r="W43" s="72">
        <f>'RECEITAS - BLOCOS PAN'!W43-'OPEX - BLOCOS PAN'!W43-VLOOKUP('FLUXO DE CAIXA NOM.- BLOCOS PAN'!$D43,'CAPEX - BLOCOS PAN'!$C$3:$W$52,21,FALSE)</f>
        <v>-663923.62609999999</v>
      </c>
      <c r="X43" s="72">
        <f>'RECEITAS - BLOCOS PAN'!X43-'OPEX - BLOCOS PAN'!X43-VLOOKUP('FLUXO DE CAIXA NOM.- BLOCOS PAN'!$D43,'CAPEX - BLOCOS PAN'!$C$3:$X$52,22,FALSE)</f>
        <v>-663923.62609999999</v>
      </c>
      <c r="Y43" s="72">
        <f>'RECEITAS - BLOCOS PAN'!Y43-'OPEX - BLOCOS PAN'!Y43-VLOOKUP('FLUXO DE CAIXA NOM.- BLOCOS PAN'!$D43,'CAPEX - BLOCOS PAN'!$C$3:$Y$52,23,FALSE)</f>
        <v>-663923.62609999999</v>
      </c>
      <c r="Z43" s="72">
        <f>'RECEITAS - BLOCOS PAN'!Z43-'OPEX - BLOCOS PAN'!Z43-VLOOKUP('FLUXO DE CAIXA NOM.- BLOCOS PAN'!$D43,'CAPEX - BLOCOS PAN'!$C$3:$Z$52,24,FALSE)</f>
        <v>-663923.62609999999</v>
      </c>
      <c r="AA43" s="72">
        <f>'RECEITAS - BLOCOS PAN'!AA43-'OPEX - BLOCOS PAN'!AA43-VLOOKUP('FLUXO DE CAIXA NOM.- BLOCOS PAN'!$D43,'CAPEX - BLOCOS PAN'!$C$3:$AA$52,25,FALSE)</f>
        <v>-663923.62609999999</v>
      </c>
      <c r="AB43" s="72">
        <f>'RECEITAS - BLOCOS PAN'!AB43-'OPEX - BLOCOS PAN'!AB43-VLOOKUP('FLUXO DE CAIXA NOM.- BLOCOS PAN'!$D43,'CAPEX - BLOCOS PAN'!$C$3:$AB$52,26,FALSE)</f>
        <v>-663923.62609999999</v>
      </c>
      <c r="AC43" s="72">
        <f>'RECEITAS - BLOCOS PAN'!AC43-'OPEX - BLOCOS PAN'!AC43-VLOOKUP('FLUXO DE CAIXA NOM.- BLOCOS PAN'!$D43,'CAPEX - BLOCOS PAN'!$C$3:$AC$52,27,FALSE)</f>
        <v>-663923.62609999999</v>
      </c>
      <c r="AD43" s="72">
        <f>'RECEITAS - BLOCOS PAN'!AD43-'OPEX - BLOCOS PAN'!AD43-VLOOKUP('FLUXO DE CAIXA NOM.- BLOCOS PAN'!$D43,'CAPEX - BLOCOS PAN'!$C$3:$AD$52,28,FALSE)</f>
        <v>-663923.62609999999</v>
      </c>
      <c r="AE43" s="72">
        <f>'RECEITAS - BLOCOS PAN'!AE43-'OPEX - BLOCOS PAN'!AE43-VLOOKUP('FLUXO DE CAIXA NOM.- BLOCOS PAN'!$D43,'CAPEX - BLOCOS PAN'!$C$3:$AE$52,29,FALSE)</f>
        <v>-663923.62609999999</v>
      </c>
      <c r="AF43" s="72">
        <f>'RECEITAS - BLOCOS PAN'!AF43-'OPEX - BLOCOS PAN'!AF43-VLOOKUP('FLUXO DE CAIXA NOM.- BLOCOS PAN'!$D43,'CAPEX - BLOCOS PAN'!$C$3:$AF$52,30,FALSE)</f>
        <v>-663923.62609999999</v>
      </c>
      <c r="AG43" s="72">
        <f>'RECEITAS - BLOCOS PAN'!AG43-'OPEX - BLOCOS PAN'!AG43-VLOOKUP('FLUXO DE CAIXA NOM.- BLOCOS PAN'!$D43,'CAPEX - BLOCOS PAN'!$C$3:$AG$52,31,FALSE)</f>
        <v>-663923.62609999999</v>
      </c>
      <c r="AH43" s="72">
        <f>'RECEITAS - BLOCOS PAN'!AH43-'OPEX - BLOCOS PAN'!AH43-VLOOKUP('FLUXO DE CAIXA NOM.- BLOCOS PAN'!$D43,'CAPEX - BLOCOS PAN'!$C$3:$AH$52,32,FALSE)</f>
        <v>-663923.62609999999</v>
      </c>
      <c r="AI43" s="72">
        <f>'RECEITAS - BLOCOS PAN'!AI43-'OPEX - BLOCOS PAN'!AI43-VLOOKUP('FLUXO DE CAIXA NOM.- BLOCOS PAN'!$D43,'CAPEX - BLOCOS PAN'!$C$3:$AI$52,33,FALSE)</f>
        <v>-663923.62609999999</v>
      </c>
      <c r="AJ43" s="72">
        <f>'RECEITAS - BLOCOS PAN'!AJ43-'OPEX - BLOCOS PAN'!AJ43-VLOOKUP('FLUXO DE CAIXA NOM.- BLOCOS PAN'!$D43,'CAPEX - BLOCOS PAN'!$C$3:$AJ$52,34,FALSE)</f>
        <v>-663923.62609999999</v>
      </c>
      <c r="AK43" s="72">
        <f>'RECEITAS - BLOCOS PAN'!AK43-'OPEX - BLOCOS PAN'!AK43-VLOOKUP('FLUXO DE CAIXA NOM.- BLOCOS PAN'!$D43,'CAPEX - BLOCOS PAN'!$C$3:$AK$52,35,FALSE)</f>
        <v>-663923.62609999999</v>
      </c>
      <c r="AL43" s="77">
        <f t="shared" ref="AL43" si="4">SUM(H43:AK43)</f>
        <v>-45350177.723809317</v>
      </c>
      <c r="AM43" s="49" t="str">
        <f>VLOOKUP(D43,'FLUXO DE CAIXA DESC.-BLOCOS PAN'!$D$3:$AO$52,38,FALSE)</f>
        <v>Bloco Nordeste</v>
      </c>
    </row>
    <row r="44" spans="1:39" s="49" customFormat="1" x14ac:dyDescent="0.35">
      <c r="A44" s="49" t="s">
        <v>88</v>
      </c>
      <c r="B44" s="76" t="s">
        <v>270</v>
      </c>
      <c r="C44" s="49">
        <v>210120</v>
      </c>
      <c r="D44" s="49" t="s">
        <v>292</v>
      </c>
      <c r="E44" s="49" t="str">
        <f>VLOOKUP(A44,'CAPEX Manut. Estr_Naveg. Aérea'!$A$2:$B$38,2,FALSE)</f>
        <v>Bacabal</v>
      </c>
      <c r="F44" s="49" t="s">
        <v>31</v>
      </c>
      <c r="G44" s="49" t="s">
        <v>33</v>
      </c>
      <c r="H44" s="72">
        <f>'RECEITAS - BLOCOS PAN'!H44-'OPEX - BLOCOS PAN'!H44-VLOOKUP('FLUXO DE CAIXA NOM.- BLOCOS PAN'!$D44,'CAPEX - BLOCOS PAN'!$C$3:$H$52,6,FALSE)</f>
        <v>-13798901.61544523</v>
      </c>
      <c r="I44" s="72">
        <f>'RECEITAS - BLOCOS PAN'!I44-'OPEX - BLOCOS PAN'!I44-VLOOKUP('FLUXO DE CAIXA NOM.- BLOCOS PAN'!$D44,'CAPEX - BLOCOS PAN'!$C$3:$I$52,7,FALSE)</f>
        <v>-13798901.61544523</v>
      </c>
      <c r="J44" s="72">
        <f>'RECEITAS - BLOCOS PAN'!J44-'OPEX - BLOCOS PAN'!J44-VLOOKUP('FLUXO DE CAIXA NOM.- BLOCOS PAN'!$D44,'CAPEX - BLOCOS PAN'!$C$3:$J$52,8,FALSE)</f>
        <v>-13798901.61544523</v>
      </c>
      <c r="K44" s="72">
        <f>'RECEITAS - BLOCOS PAN'!K44-'OPEX - BLOCOS PAN'!K44-VLOOKUP('FLUXO DE CAIXA NOM.- BLOCOS PAN'!$D44,'CAPEX - BLOCOS PAN'!$C$3:$K$52,9,FALSE)</f>
        <v>-487027.96920000005</v>
      </c>
      <c r="L44" s="72">
        <f>'RECEITAS - BLOCOS PAN'!L44-'OPEX - BLOCOS PAN'!L44-VLOOKUP('FLUXO DE CAIXA NOM.- BLOCOS PAN'!$D44,'CAPEX - BLOCOS PAN'!$C$3:$L$52,10,FALSE)</f>
        <v>-487027.96920000005</v>
      </c>
      <c r="M44" s="72">
        <f>'RECEITAS - BLOCOS PAN'!M44-'OPEX - BLOCOS PAN'!M44-VLOOKUP('FLUXO DE CAIXA NOM.- BLOCOS PAN'!$D44,'CAPEX - BLOCOS PAN'!$C$3:$M$52,11,FALSE)</f>
        <v>-487027.96920000005</v>
      </c>
      <c r="N44" s="72">
        <f>'RECEITAS - BLOCOS PAN'!N44-'OPEX - BLOCOS PAN'!N44-VLOOKUP('FLUXO DE CAIXA NOM.- BLOCOS PAN'!$D44,'CAPEX - BLOCOS PAN'!$C$3:$N$52,12,FALSE)</f>
        <v>-487027.96920000005</v>
      </c>
      <c r="O44" s="72">
        <f>'RECEITAS - BLOCOS PAN'!O44-'OPEX - BLOCOS PAN'!O44-VLOOKUP('FLUXO DE CAIXA NOM.- BLOCOS PAN'!$D44,'CAPEX - BLOCOS PAN'!$C$3:$O$52,13,FALSE)</f>
        <v>-487027.96920000005</v>
      </c>
      <c r="P44" s="72">
        <f>'RECEITAS - BLOCOS PAN'!P44-'OPEX - BLOCOS PAN'!P44-VLOOKUP('FLUXO DE CAIXA NOM.- BLOCOS PAN'!$D44,'CAPEX - BLOCOS PAN'!$C$3:$P$52,14,FALSE)</f>
        <v>-487027.96920000005</v>
      </c>
      <c r="Q44" s="72">
        <f>'RECEITAS - BLOCOS PAN'!Q44-'OPEX - BLOCOS PAN'!Q44-VLOOKUP('FLUXO DE CAIXA NOM.- BLOCOS PAN'!$D44,'CAPEX - BLOCOS PAN'!$C$3:$Q$52,15,FALSE)</f>
        <v>-487027.96920000005</v>
      </c>
      <c r="R44" s="72">
        <f>'RECEITAS - BLOCOS PAN'!R44-'OPEX - BLOCOS PAN'!R44-VLOOKUP('FLUXO DE CAIXA NOM.- BLOCOS PAN'!$D44,'CAPEX - BLOCOS PAN'!$C$3:$R$52,16,FALSE)</f>
        <v>-487027.96920000005</v>
      </c>
      <c r="S44" s="72">
        <f>'RECEITAS - BLOCOS PAN'!S44-'OPEX - BLOCOS PAN'!S44-VLOOKUP('FLUXO DE CAIXA NOM.- BLOCOS PAN'!$D44,'CAPEX - BLOCOS PAN'!$C$3:$S$52,17,FALSE)</f>
        <v>-487027.96920000005</v>
      </c>
      <c r="T44" s="72">
        <f>'RECEITAS - BLOCOS PAN'!T44-'OPEX - BLOCOS PAN'!T44-VLOOKUP('FLUXO DE CAIXA NOM.- BLOCOS PAN'!$D44,'CAPEX - BLOCOS PAN'!$C$3:$T$52,18,FALSE)</f>
        <v>-487027.96920000005</v>
      </c>
      <c r="U44" s="72">
        <f>'RECEITAS - BLOCOS PAN'!U44-'OPEX - BLOCOS PAN'!U44-VLOOKUP('FLUXO DE CAIXA NOM.- BLOCOS PAN'!$D44,'CAPEX - BLOCOS PAN'!$C$3:$U$52,19,FALSE)</f>
        <v>-487027.96920000005</v>
      </c>
      <c r="V44" s="72">
        <f>'RECEITAS - BLOCOS PAN'!V44-'OPEX - BLOCOS PAN'!V44-VLOOKUP('FLUXO DE CAIXA NOM.- BLOCOS PAN'!$D44,'CAPEX - BLOCOS PAN'!$C$3:$V$52,20,FALSE)</f>
        <v>-487027.96920000005</v>
      </c>
      <c r="W44" s="72">
        <f>'RECEITAS - BLOCOS PAN'!W44-'OPEX - BLOCOS PAN'!W44-VLOOKUP('FLUXO DE CAIXA NOM.- BLOCOS PAN'!$D44,'CAPEX - BLOCOS PAN'!$C$3:$W$52,21,FALSE)</f>
        <v>-487027.96920000005</v>
      </c>
      <c r="X44" s="72">
        <f>'RECEITAS - BLOCOS PAN'!X44-'OPEX - BLOCOS PAN'!X44-VLOOKUP('FLUXO DE CAIXA NOM.- BLOCOS PAN'!$D44,'CAPEX - BLOCOS PAN'!$C$3:$X$52,22,FALSE)</f>
        <v>-487027.96920000005</v>
      </c>
      <c r="Y44" s="72">
        <f>'RECEITAS - BLOCOS PAN'!Y44-'OPEX - BLOCOS PAN'!Y44-VLOOKUP('FLUXO DE CAIXA NOM.- BLOCOS PAN'!$D44,'CAPEX - BLOCOS PAN'!$C$3:$Y$52,23,FALSE)</f>
        <v>-487027.96920000005</v>
      </c>
      <c r="Z44" s="72">
        <f>'RECEITAS - BLOCOS PAN'!Z44-'OPEX - BLOCOS PAN'!Z44-VLOOKUP('FLUXO DE CAIXA NOM.- BLOCOS PAN'!$D44,'CAPEX - BLOCOS PAN'!$C$3:$Z$52,24,FALSE)</f>
        <v>-487027.96920000005</v>
      </c>
      <c r="AA44" s="72">
        <f>'RECEITAS - BLOCOS PAN'!AA44-'OPEX - BLOCOS PAN'!AA44-VLOOKUP('FLUXO DE CAIXA NOM.- BLOCOS PAN'!$D44,'CAPEX - BLOCOS PAN'!$C$3:$AA$52,25,FALSE)</f>
        <v>-487027.96920000005</v>
      </c>
      <c r="AB44" s="72">
        <f>'RECEITAS - BLOCOS PAN'!AB44-'OPEX - BLOCOS PAN'!AB44-VLOOKUP('FLUXO DE CAIXA NOM.- BLOCOS PAN'!$D44,'CAPEX - BLOCOS PAN'!$C$3:$AB$52,26,FALSE)</f>
        <v>-487027.96920000005</v>
      </c>
      <c r="AC44" s="72">
        <f>'RECEITAS - BLOCOS PAN'!AC44-'OPEX - BLOCOS PAN'!AC44-VLOOKUP('FLUXO DE CAIXA NOM.- BLOCOS PAN'!$D44,'CAPEX - BLOCOS PAN'!$C$3:$AC$52,27,FALSE)</f>
        <v>-487027.96920000005</v>
      </c>
      <c r="AD44" s="72">
        <f>'RECEITAS - BLOCOS PAN'!AD44-'OPEX - BLOCOS PAN'!AD44-VLOOKUP('FLUXO DE CAIXA NOM.- BLOCOS PAN'!$D44,'CAPEX - BLOCOS PAN'!$C$3:$AD$52,28,FALSE)</f>
        <v>-487027.96920000005</v>
      </c>
      <c r="AE44" s="72">
        <f>'RECEITAS - BLOCOS PAN'!AE44-'OPEX - BLOCOS PAN'!AE44-VLOOKUP('FLUXO DE CAIXA NOM.- BLOCOS PAN'!$D44,'CAPEX - BLOCOS PAN'!$C$3:$AE$52,29,FALSE)</f>
        <v>-487027.96920000005</v>
      </c>
      <c r="AF44" s="72">
        <f>'RECEITAS - BLOCOS PAN'!AF44-'OPEX - BLOCOS PAN'!AF44-VLOOKUP('FLUXO DE CAIXA NOM.- BLOCOS PAN'!$D44,'CAPEX - BLOCOS PAN'!$C$3:$AF$52,30,FALSE)</f>
        <v>-487027.96920000005</v>
      </c>
      <c r="AG44" s="72">
        <f>'RECEITAS - BLOCOS PAN'!AG44-'OPEX - BLOCOS PAN'!AG44-VLOOKUP('FLUXO DE CAIXA NOM.- BLOCOS PAN'!$D44,'CAPEX - BLOCOS PAN'!$C$3:$AG$52,31,FALSE)</f>
        <v>-487027.96920000005</v>
      </c>
      <c r="AH44" s="72">
        <f>'RECEITAS - BLOCOS PAN'!AH44-'OPEX - BLOCOS PAN'!AH44-VLOOKUP('FLUXO DE CAIXA NOM.- BLOCOS PAN'!$D44,'CAPEX - BLOCOS PAN'!$C$3:$AH$52,32,FALSE)</f>
        <v>-487027.96920000005</v>
      </c>
      <c r="AI44" s="72">
        <f>'RECEITAS - BLOCOS PAN'!AI44-'OPEX - BLOCOS PAN'!AI44-VLOOKUP('FLUXO DE CAIXA NOM.- BLOCOS PAN'!$D44,'CAPEX - BLOCOS PAN'!$C$3:$AI$52,33,FALSE)</f>
        <v>-487027.96920000005</v>
      </c>
      <c r="AJ44" s="72">
        <f>'RECEITAS - BLOCOS PAN'!AJ44-'OPEX - BLOCOS PAN'!AJ44-VLOOKUP('FLUXO DE CAIXA NOM.- BLOCOS PAN'!$D44,'CAPEX - BLOCOS PAN'!$C$3:$AJ$52,34,FALSE)</f>
        <v>-487027.96920000005</v>
      </c>
      <c r="AK44" s="72">
        <f>'RECEITAS - BLOCOS PAN'!AK44-'OPEX - BLOCOS PAN'!AK44-VLOOKUP('FLUXO DE CAIXA NOM.- BLOCOS PAN'!$D44,'CAPEX - BLOCOS PAN'!$C$3:$AK$52,35,FALSE)</f>
        <v>-487027.96920000005</v>
      </c>
      <c r="AL44" s="77">
        <f t="shared" ref="AL44:AL52" si="5">SUM(H44:AK44)</f>
        <v>-54546460.014735699</v>
      </c>
      <c r="AM44" s="49" t="str">
        <f>VLOOKUP(D44,'FLUXO DE CAIXA DESC.-BLOCOS PAN'!$D$3:$AO$52,38,FALSE)</f>
        <v>MA + TO - AL</v>
      </c>
    </row>
    <row r="45" spans="1:39" s="49" customFormat="1" x14ac:dyDescent="0.35">
      <c r="A45" s="49" t="s">
        <v>89</v>
      </c>
      <c r="B45" s="76" t="s">
        <v>271</v>
      </c>
      <c r="C45" s="49">
        <v>210140</v>
      </c>
      <c r="D45" s="49" t="s">
        <v>293</v>
      </c>
      <c r="E45" s="49" t="str">
        <f>VLOOKUP(A45,'CAPEX Manut. Estr_Naveg. Aérea'!$A$2:$B$38,2,FALSE)</f>
        <v>Balsas</v>
      </c>
      <c r="F45" s="49" t="s">
        <v>31</v>
      </c>
      <c r="G45" s="49" t="s">
        <v>33</v>
      </c>
      <c r="H45" s="72">
        <f>'RECEITAS - BLOCOS PAN'!H45-'OPEX - BLOCOS PAN'!H45-VLOOKUP('FLUXO DE CAIXA NOM.- BLOCOS PAN'!$D45,'CAPEX - BLOCOS PAN'!$C$3:$H$52,6,FALSE)</f>
        <v>-10153084.235431917</v>
      </c>
      <c r="I45" s="72">
        <f>'RECEITAS - BLOCOS PAN'!I45-'OPEX - BLOCOS PAN'!I45-VLOOKUP('FLUXO DE CAIXA NOM.- BLOCOS PAN'!$D45,'CAPEX - BLOCOS PAN'!$C$3:$I$52,7,FALSE)</f>
        <v>-10153084.235431917</v>
      </c>
      <c r="J45" s="72">
        <f>'RECEITAS - BLOCOS PAN'!J45-'OPEX - BLOCOS PAN'!J45-VLOOKUP('FLUXO DE CAIXA NOM.- BLOCOS PAN'!$D45,'CAPEX - BLOCOS PAN'!$C$3:$J$52,8,FALSE)</f>
        <v>-10153084.235431917</v>
      </c>
      <c r="K45" s="72">
        <f>'RECEITAS - BLOCOS PAN'!K45-'OPEX - BLOCOS PAN'!K45-VLOOKUP('FLUXO DE CAIXA NOM.- BLOCOS PAN'!$D45,'CAPEX - BLOCOS PAN'!$C$3:$K$52,9,FALSE)</f>
        <v>-432691.06270000001</v>
      </c>
      <c r="L45" s="72">
        <f>'RECEITAS - BLOCOS PAN'!L45-'OPEX - BLOCOS PAN'!L45-VLOOKUP('FLUXO DE CAIXA NOM.- BLOCOS PAN'!$D45,'CAPEX - BLOCOS PAN'!$C$3:$L$52,10,FALSE)</f>
        <v>-432691.06270000001</v>
      </c>
      <c r="M45" s="72">
        <f>'RECEITAS - BLOCOS PAN'!M45-'OPEX - BLOCOS PAN'!M45-VLOOKUP('FLUXO DE CAIXA NOM.- BLOCOS PAN'!$D45,'CAPEX - BLOCOS PAN'!$C$3:$M$52,11,FALSE)</f>
        <v>-432691.06270000001</v>
      </c>
      <c r="N45" s="72">
        <f>'RECEITAS - BLOCOS PAN'!N45-'OPEX - BLOCOS PAN'!N45-VLOOKUP('FLUXO DE CAIXA NOM.- BLOCOS PAN'!$D45,'CAPEX - BLOCOS PAN'!$C$3:$N$52,12,FALSE)</f>
        <v>-432691.06270000001</v>
      </c>
      <c r="O45" s="72">
        <f>'RECEITAS - BLOCOS PAN'!O45-'OPEX - BLOCOS PAN'!O45-VLOOKUP('FLUXO DE CAIXA NOM.- BLOCOS PAN'!$D45,'CAPEX - BLOCOS PAN'!$C$3:$O$52,13,FALSE)</f>
        <v>-432691.06270000001</v>
      </c>
      <c r="P45" s="72">
        <f>'RECEITAS - BLOCOS PAN'!P45-'OPEX - BLOCOS PAN'!P45-VLOOKUP('FLUXO DE CAIXA NOM.- BLOCOS PAN'!$D45,'CAPEX - BLOCOS PAN'!$C$3:$P$52,14,FALSE)</f>
        <v>-432691.06270000001</v>
      </c>
      <c r="Q45" s="72">
        <f>'RECEITAS - BLOCOS PAN'!Q45-'OPEX - BLOCOS PAN'!Q45-VLOOKUP('FLUXO DE CAIXA NOM.- BLOCOS PAN'!$D45,'CAPEX - BLOCOS PAN'!$C$3:$Q$52,15,FALSE)</f>
        <v>-432691.06270000001</v>
      </c>
      <c r="R45" s="72">
        <f>'RECEITAS - BLOCOS PAN'!R45-'OPEX - BLOCOS PAN'!R45-VLOOKUP('FLUXO DE CAIXA NOM.- BLOCOS PAN'!$D45,'CAPEX - BLOCOS PAN'!$C$3:$R$52,16,FALSE)</f>
        <v>-432691.06270000001</v>
      </c>
      <c r="S45" s="72">
        <f>'RECEITAS - BLOCOS PAN'!S45-'OPEX - BLOCOS PAN'!S45-VLOOKUP('FLUXO DE CAIXA NOM.- BLOCOS PAN'!$D45,'CAPEX - BLOCOS PAN'!$C$3:$S$52,17,FALSE)</f>
        <v>-432691.06270000001</v>
      </c>
      <c r="T45" s="72">
        <f>'RECEITAS - BLOCOS PAN'!T45-'OPEX - BLOCOS PAN'!T45-VLOOKUP('FLUXO DE CAIXA NOM.- BLOCOS PAN'!$D45,'CAPEX - BLOCOS PAN'!$C$3:$T$52,18,FALSE)</f>
        <v>-432691.06270000001</v>
      </c>
      <c r="U45" s="72">
        <f>'RECEITAS - BLOCOS PAN'!U45-'OPEX - BLOCOS PAN'!U45-VLOOKUP('FLUXO DE CAIXA NOM.- BLOCOS PAN'!$D45,'CAPEX - BLOCOS PAN'!$C$3:$U$52,19,FALSE)</f>
        <v>-432691.06270000001</v>
      </c>
      <c r="V45" s="72">
        <f>'RECEITAS - BLOCOS PAN'!V45-'OPEX - BLOCOS PAN'!V45-VLOOKUP('FLUXO DE CAIXA NOM.- BLOCOS PAN'!$D45,'CAPEX - BLOCOS PAN'!$C$3:$V$52,20,FALSE)</f>
        <v>-432691.06270000001</v>
      </c>
      <c r="W45" s="72">
        <f>'RECEITAS - BLOCOS PAN'!W45-'OPEX - BLOCOS PAN'!W45-VLOOKUP('FLUXO DE CAIXA NOM.- BLOCOS PAN'!$D45,'CAPEX - BLOCOS PAN'!$C$3:$W$52,21,FALSE)</f>
        <v>-432691.06270000001</v>
      </c>
      <c r="X45" s="72">
        <f>'RECEITAS - BLOCOS PAN'!X45-'OPEX - BLOCOS PAN'!X45-VLOOKUP('FLUXO DE CAIXA NOM.- BLOCOS PAN'!$D45,'CAPEX - BLOCOS PAN'!$C$3:$X$52,22,FALSE)</f>
        <v>-432691.06270000001</v>
      </c>
      <c r="Y45" s="72">
        <f>'RECEITAS - BLOCOS PAN'!Y45-'OPEX - BLOCOS PAN'!Y45-VLOOKUP('FLUXO DE CAIXA NOM.- BLOCOS PAN'!$D45,'CAPEX - BLOCOS PAN'!$C$3:$Y$52,23,FALSE)</f>
        <v>-432691.06270000001</v>
      </c>
      <c r="Z45" s="72">
        <f>'RECEITAS - BLOCOS PAN'!Z45-'OPEX - BLOCOS PAN'!Z45-VLOOKUP('FLUXO DE CAIXA NOM.- BLOCOS PAN'!$D45,'CAPEX - BLOCOS PAN'!$C$3:$Z$52,24,FALSE)</f>
        <v>-432691.06270000001</v>
      </c>
      <c r="AA45" s="72">
        <f>'RECEITAS - BLOCOS PAN'!AA45-'OPEX - BLOCOS PAN'!AA45-VLOOKUP('FLUXO DE CAIXA NOM.- BLOCOS PAN'!$D45,'CAPEX - BLOCOS PAN'!$C$3:$AA$52,25,FALSE)</f>
        <v>-432691.06270000001</v>
      </c>
      <c r="AB45" s="72">
        <f>'RECEITAS - BLOCOS PAN'!AB45-'OPEX - BLOCOS PAN'!AB45-VLOOKUP('FLUXO DE CAIXA NOM.- BLOCOS PAN'!$D45,'CAPEX - BLOCOS PAN'!$C$3:$AB$52,26,FALSE)</f>
        <v>-432691.06270000001</v>
      </c>
      <c r="AC45" s="72">
        <f>'RECEITAS - BLOCOS PAN'!AC45-'OPEX - BLOCOS PAN'!AC45-VLOOKUP('FLUXO DE CAIXA NOM.- BLOCOS PAN'!$D45,'CAPEX - BLOCOS PAN'!$C$3:$AC$52,27,FALSE)</f>
        <v>-432691.06270000001</v>
      </c>
      <c r="AD45" s="72">
        <f>'RECEITAS - BLOCOS PAN'!AD45-'OPEX - BLOCOS PAN'!AD45-VLOOKUP('FLUXO DE CAIXA NOM.- BLOCOS PAN'!$D45,'CAPEX - BLOCOS PAN'!$C$3:$AD$52,28,FALSE)</f>
        <v>-432691.06270000001</v>
      </c>
      <c r="AE45" s="72">
        <f>'RECEITAS - BLOCOS PAN'!AE45-'OPEX - BLOCOS PAN'!AE45-VLOOKUP('FLUXO DE CAIXA NOM.- BLOCOS PAN'!$D45,'CAPEX - BLOCOS PAN'!$C$3:$AE$52,29,FALSE)</f>
        <v>-432691.06270000001</v>
      </c>
      <c r="AF45" s="72">
        <f>'RECEITAS - BLOCOS PAN'!AF45-'OPEX - BLOCOS PAN'!AF45-VLOOKUP('FLUXO DE CAIXA NOM.- BLOCOS PAN'!$D45,'CAPEX - BLOCOS PAN'!$C$3:$AF$52,30,FALSE)</f>
        <v>-432691.06270000001</v>
      </c>
      <c r="AG45" s="72">
        <f>'RECEITAS - BLOCOS PAN'!AG45-'OPEX - BLOCOS PAN'!AG45-VLOOKUP('FLUXO DE CAIXA NOM.- BLOCOS PAN'!$D45,'CAPEX - BLOCOS PAN'!$C$3:$AG$52,31,FALSE)</f>
        <v>-432691.06270000001</v>
      </c>
      <c r="AH45" s="72">
        <f>'RECEITAS - BLOCOS PAN'!AH45-'OPEX - BLOCOS PAN'!AH45-VLOOKUP('FLUXO DE CAIXA NOM.- BLOCOS PAN'!$D45,'CAPEX - BLOCOS PAN'!$C$3:$AH$52,32,FALSE)</f>
        <v>-432691.06270000001</v>
      </c>
      <c r="AI45" s="72">
        <f>'RECEITAS - BLOCOS PAN'!AI45-'OPEX - BLOCOS PAN'!AI45-VLOOKUP('FLUXO DE CAIXA NOM.- BLOCOS PAN'!$D45,'CAPEX - BLOCOS PAN'!$C$3:$AI$52,33,FALSE)</f>
        <v>-432691.06270000001</v>
      </c>
      <c r="AJ45" s="72">
        <f>'RECEITAS - BLOCOS PAN'!AJ45-'OPEX - BLOCOS PAN'!AJ45-VLOOKUP('FLUXO DE CAIXA NOM.- BLOCOS PAN'!$D45,'CAPEX - BLOCOS PAN'!$C$3:$AJ$52,34,FALSE)</f>
        <v>-432691.06270000001</v>
      </c>
      <c r="AK45" s="72">
        <f>'RECEITAS - BLOCOS PAN'!AK45-'OPEX - BLOCOS PAN'!AK45-VLOOKUP('FLUXO DE CAIXA NOM.- BLOCOS PAN'!$D45,'CAPEX - BLOCOS PAN'!$C$3:$AK$52,35,FALSE)</f>
        <v>-432691.06270000001</v>
      </c>
      <c r="AL45" s="77">
        <f t="shared" si="5"/>
        <v>-42141911.399195813</v>
      </c>
      <c r="AM45" s="49" t="str">
        <f>VLOOKUP(D45,'FLUXO DE CAIXA DESC.-BLOCOS PAN'!$D$3:$AO$52,38,FALSE)</f>
        <v>MA + TO - AL</v>
      </c>
    </row>
    <row r="46" spans="1:39" s="49" customFormat="1" x14ac:dyDescent="0.35">
      <c r="A46" s="49" t="s">
        <v>373</v>
      </c>
      <c r="B46" s="76" t="s">
        <v>374</v>
      </c>
      <c r="C46" s="49">
        <v>260600</v>
      </c>
      <c r="D46" s="49" t="s">
        <v>375</v>
      </c>
      <c r="E46" s="49" t="s">
        <v>374</v>
      </c>
      <c r="F46" s="49" t="s">
        <v>36</v>
      </c>
      <c r="G46" s="49" t="s">
        <v>33</v>
      </c>
      <c r="H46" s="72">
        <f>'RECEITAS - BLOCOS PAN'!H46-'OPEX - BLOCOS PAN'!H46-VLOOKUP('FLUXO DE CAIXA NOM.- BLOCOS PAN'!$D46,'CAPEX - BLOCOS PAN'!$C$3:$H$52,6,FALSE)</f>
        <v>-9552739.7416826598</v>
      </c>
      <c r="I46" s="72">
        <f>'RECEITAS - BLOCOS PAN'!I46-'OPEX - BLOCOS PAN'!I46-VLOOKUP('FLUXO DE CAIXA NOM.- BLOCOS PAN'!$D46,'CAPEX - BLOCOS PAN'!$C$3:$I$52,7,FALSE)</f>
        <v>-9552739.7416826598</v>
      </c>
      <c r="J46" s="72">
        <f>'RECEITAS - BLOCOS PAN'!J46-'OPEX - BLOCOS PAN'!J46-VLOOKUP('FLUXO DE CAIXA NOM.- BLOCOS PAN'!$D46,'CAPEX - BLOCOS PAN'!$C$3:$J$52,8,FALSE)</f>
        <v>-9552739.7416826598</v>
      </c>
      <c r="K46" s="72">
        <f>'RECEITAS - BLOCOS PAN'!K46-'OPEX - BLOCOS PAN'!K46-VLOOKUP('FLUXO DE CAIXA NOM.- BLOCOS PAN'!$D46,'CAPEX - BLOCOS PAN'!$C$3:$K$52,9,FALSE)</f>
        <v>-661858.70570000005</v>
      </c>
      <c r="L46" s="72">
        <f>'RECEITAS - BLOCOS PAN'!L46-'OPEX - BLOCOS PAN'!L46-VLOOKUP('FLUXO DE CAIXA NOM.- BLOCOS PAN'!$D46,'CAPEX - BLOCOS PAN'!$C$3:$L$52,10,FALSE)</f>
        <v>-661858.70570000005</v>
      </c>
      <c r="M46" s="72">
        <f>'RECEITAS - BLOCOS PAN'!M46-'OPEX - BLOCOS PAN'!M46-VLOOKUP('FLUXO DE CAIXA NOM.- BLOCOS PAN'!$D46,'CAPEX - BLOCOS PAN'!$C$3:$M$52,11,FALSE)</f>
        <v>-661858.70570000005</v>
      </c>
      <c r="N46" s="72">
        <f>'RECEITAS - BLOCOS PAN'!N46-'OPEX - BLOCOS PAN'!N46-VLOOKUP('FLUXO DE CAIXA NOM.- BLOCOS PAN'!$D46,'CAPEX - BLOCOS PAN'!$C$3:$N$52,12,FALSE)</f>
        <v>-661858.70570000005</v>
      </c>
      <c r="O46" s="72">
        <f>'RECEITAS - BLOCOS PAN'!O46-'OPEX - BLOCOS PAN'!O46-VLOOKUP('FLUXO DE CAIXA NOM.- BLOCOS PAN'!$D46,'CAPEX - BLOCOS PAN'!$C$3:$O$52,13,FALSE)</f>
        <v>-661858.70570000005</v>
      </c>
      <c r="P46" s="72">
        <f>'RECEITAS - BLOCOS PAN'!P46-'OPEX - BLOCOS PAN'!P46-VLOOKUP('FLUXO DE CAIXA NOM.- BLOCOS PAN'!$D46,'CAPEX - BLOCOS PAN'!$C$3:$P$52,14,FALSE)</f>
        <v>-661858.70570000005</v>
      </c>
      <c r="Q46" s="72">
        <f>'RECEITAS - BLOCOS PAN'!Q46-'OPEX - BLOCOS PAN'!Q46-VLOOKUP('FLUXO DE CAIXA NOM.- BLOCOS PAN'!$D46,'CAPEX - BLOCOS PAN'!$C$3:$Q$52,15,FALSE)</f>
        <v>-661858.70570000005</v>
      </c>
      <c r="R46" s="72">
        <f>'RECEITAS - BLOCOS PAN'!R46-'OPEX - BLOCOS PAN'!R46-VLOOKUP('FLUXO DE CAIXA NOM.- BLOCOS PAN'!$D46,'CAPEX - BLOCOS PAN'!$C$3:$R$52,16,FALSE)</f>
        <v>-661858.70570000005</v>
      </c>
      <c r="S46" s="72">
        <f>'RECEITAS - BLOCOS PAN'!S46-'OPEX - BLOCOS PAN'!S46-VLOOKUP('FLUXO DE CAIXA NOM.- BLOCOS PAN'!$D46,'CAPEX - BLOCOS PAN'!$C$3:$S$52,17,FALSE)</f>
        <v>-661858.70570000005</v>
      </c>
      <c r="T46" s="72">
        <f>'RECEITAS - BLOCOS PAN'!T46-'OPEX - BLOCOS PAN'!T46-VLOOKUP('FLUXO DE CAIXA NOM.- BLOCOS PAN'!$D46,'CAPEX - BLOCOS PAN'!$C$3:$T$52,18,FALSE)</f>
        <v>-661858.70570000005</v>
      </c>
      <c r="U46" s="72">
        <f>'RECEITAS - BLOCOS PAN'!U46-'OPEX - BLOCOS PAN'!U46-VLOOKUP('FLUXO DE CAIXA NOM.- BLOCOS PAN'!$D46,'CAPEX - BLOCOS PAN'!$C$3:$U$52,19,FALSE)</f>
        <v>-661858.70570000005</v>
      </c>
      <c r="V46" s="72">
        <f>'RECEITAS - BLOCOS PAN'!V46-'OPEX - BLOCOS PAN'!V46-VLOOKUP('FLUXO DE CAIXA NOM.- BLOCOS PAN'!$D46,'CAPEX - BLOCOS PAN'!$C$3:$V$52,20,FALSE)</f>
        <v>-661858.70570000005</v>
      </c>
      <c r="W46" s="72">
        <f>'RECEITAS - BLOCOS PAN'!W46-'OPEX - BLOCOS PAN'!W46-VLOOKUP('FLUXO DE CAIXA NOM.- BLOCOS PAN'!$D46,'CAPEX - BLOCOS PAN'!$C$3:$W$52,21,FALSE)</f>
        <v>-661858.70570000005</v>
      </c>
      <c r="X46" s="72">
        <f>'RECEITAS - BLOCOS PAN'!X46-'OPEX - BLOCOS PAN'!X46-VLOOKUP('FLUXO DE CAIXA NOM.- BLOCOS PAN'!$D46,'CAPEX - BLOCOS PAN'!$C$3:$X$52,22,FALSE)</f>
        <v>-661858.70570000005</v>
      </c>
      <c r="Y46" s="72">
        <f>'RECEITAS - BLOCOS PAN'!Y46-'OPEX - BLOCOS PAN'!Y46-VLOOKUP('FLUXO DE CAIXA NOM.- BLOCOS PAN'!$D46,'CAPEX - BLOCOS PAN'!$C$3:$Y$52,23,FALSE)</f>
        <v>-661858.70570000005</v>
      </c>
      <c r="Z46" s="72">
        <f>'RECEITAS - BLOCOS PAN'!Z46-'OPEX - BLOCOS PAN'!Z46-VLOOKUP('FLUXO DE CAIXA NOM.- BLOCOS PAN'!$D46,'CAPEX - BLOCOS PAN'!$C$3:$Z$52,24,FALSE)</f>
        <v>-661858.70570000005</v>
      </c>
      <c r="AA46" s="72">
        <f>'RECEITAS - BLOCOS PAN'!AA46-'OPEX - BLOCOS PAN'!AA46-VLOOKUP('FLUXO DE CAIXA NOM.- BLOCOS PAN'!$D46,'CAPEX - BLOCOS PAN'!$C$3:$AA$52,25,FALSE)</f>
        <v>-661858.70570000005</v>
      </c>
      <c r="AB46" s="72">
        <f>'RECEITAS - BLOCOS PAN'!AB46-'OPEX - BLOCOS PAN'!AB46-VLOOKUP('FLUXO DE CAIXA NOM.- BLOCOS PAN'!$D46,'CAPEX - BLOCOS PAN'!$C$3:$AB$52,26,FALSE)</f>
        <v>-661858.70570000005</v>
      </c>
      <c r="AC46" s="72">
        <f>'RECEITAS - BLOCOS PAN'!AC46-'OPEX - BLOCOS PAN'!AC46-VLOOKUP('FLUXO DE CAIXA NOM.- BLOCOS PAN'!$D46,'CAPEX - BLOCOS PAN'!$C$3:$AC$52,27,FALSE)</f>
        <v>-661858.70570000005</v>
      </c>
      <c r="AD46" s="72">
        <f>'RECEITAS - BLOCOS PAN'!AD46-'OPEX - BLOCOS PAN'!AD46-VLOOKUP('FLUXO DE CAIXA NOM.- BLOCOS PAN'!$D46,'CAPEX - BLOCOS PAN'!$C$3:$AD$52,28,FALSE)</f>
        <v>-661858.70570000005</v>
      </c>
      <c r="AE46" s="72">
        <f>'RECEITAS - BLOCOS PAN'!AE46-'OPEX - BLOCOS PAN'!AE46-VLOOKUP('FLUXO DE CAIXA NOM.- BLOCOS PAN'!$D46,'CAPEX - BLOCOS PAN'!$C$3:$AE$52,29,FALSE)</f>
        <v>-661858.70570000005</v>
      </c>
      <c r="AF46" s="72">
        <f>'RECEITAS - BLOCOS PAN'!AF46-'OPEX - BLOCOS PAN'!AF46-VLOOKUP('FLUXO DE CAIXA NOM.- BLOCOS PAN'!$D46,'CAPEX - BLOCOS PAN'!$C$3:$AF$52,30,FALSE)</f>
        <v>-661858.70570000005</v>
      </c>
      <c r="AG46" s="72">
        <f>'RECEITAS - BLOCOS PAN'!AG46-'OPEX - BLOCOS PAN'!AG46-VLOOKUP('FLUXO DE CAIXA NOM.- BLOCOS PAN'!$D46,'CAPEX - BLOCOS PAN'!$C$3:$AG$52,31,FALSE)</f>
        <v>-661858.70570000005</v>
      </c>
      <c r="AH46" s="72">
        <f>'RECEITAS - BLOCOS PAN'!AH46-'OPEX - BLOCOS PAN'!AH46-VLOOKUP('FLUXO DE CAIXA NOM.- BLOCOS PAN'!$D46,'CAPEX - BLOCOS PAN'!$C$3:$AH$52,32,FALSE)</f>
        <v>-661858.70570000005</v>
      </c>
      <c r="AI46" s="72">
        <f>'RECEITAS - BLOCOS PAN'!AI46-'OPEX - BLOCOS PAN'!AI46-VLOOKUP('FLUXO DE CAIXA NOM.- BLOCOS PAN'!$D46,'CAPEX - BLOCOS PAN'!$C$3:$AI$52,33,FALSE)</f>
        <v>-661858.70570000005</v>
      </c>
      <c r="AJ46" s="72">
        <f>'RECEITAS - BLOCOS PAN'!AJ46-'OPEX - BLOCOS PAN'!AJ46-VLOOKUP('FLUXO DE CAIXA NOM.- BLOCOS PAN'!$D46,'CAPEX - BLOCOS PAN'!$C$3:$AJ$52,34,FALSE)</f>
        <v>-661858.70570000005</v>
      </c>
      <c r="AK46" s="72">
        <f>'RECEITAS - BLOCOS PAN'!AK46-'OPEX - BLOCOS PAN'!AK46-VLOOKUP('FLUXO DE CAIXA NOM.- BLOCOS PAN'!$D46,'CAPEX - BLOCOS PAN'!$C$3:$AK$52,35,FALSE)</f>
        <v>-661858.70570000005</v>
      </c>
      <c r="AL46" s="77">
        <f t="shared" ref="AL46" si="6">SUM(H46:AK46)</f>
        <v>-46528404.278948024</v>
      </c>
      <c r="AM46" s="49" t="str">
        <f>VLOOKUP(D46,'FLUXO DE CAIXA DESC.-BLOCOS PAN'!$D$3:$AO$52,38,FALSE)</f>
        <v>Bloco Nordeste</v>
      </c>
    </row>
    <row r="47" spans="1:39" x14ac:dyDescent="0.35">
      <c r="A47" t="s">
        <v>125</v>
      </c>
      <c r="B47" s="5" t="s">
        <v>272</v>
      </c>
      <c r="C47">
        <v>110008</v>
      </c>
      <c r="D47" t="s">
        <v>295</v>
      </c>
      <c r="E47" t="str">
        <f>VLOOKUP(A47,'CAPEX Manut. Estr_Naveg. Aérea'!$A$2:$B$38,2,FALSE)</f>
        <v>Costa Marques</v>
      </c>
      <c r="F47" t="s">
        <v>30</v>
      </c>
      <c r="G47" t="s">
        <v>33</v>
      </c>
      <c r="H47" s="1">
        <f>'RECEITAS - BLOCOS PAN'!H47-'OPEX - BLOCOS PAN'!H47-VLOOKUP('FLUXO DE CAIXA NOM.- BLOCOS PAN'!$D47,'CAPEX - BLOCOS PAN'!$C$3:$H$52,6,FALSE)</f>
        <v>-10752227.989765812</v>
      </c>
      <c r="I47" s="1">
        <f>'RECEITAS - BLOCOS PAN'!I47-'OPEX - BLOCOS PAN'!I47-VLOOKUP('FLUXO DE CAIXA NOM.- BLOCOS PAN'!$D47,'CAPEX - BLOCOS PAN'!$C$3:$I$52,7,FALSE)</f>
        <v>-10752227.989765812</v>
      </c>
      <c r="J47" s="1">
        <f>'RECEITAS - BLOCOS PAN'!J47-'OPEX - BLOCOS PAN'!J47-VLOOKUP('FLUXO DE CAIXA NOM.- BLOCOS PAN'!$D47,'CAPEX - BLOCOS PAN'!$C$3:$J$52,8,FALSE)</f>
        <v>-10752227.989765812</v>
      </c>
      <c r="K47" s="1">
        <f>'RECEITAS - BLOCOS PAN'!K47-'OPEX - BLOCOS PAN'!K47-VLOOKUP('FLUXO DE CAIXA NOM.- BLOCOS PAN'!$D47,'CAPEX - BLOCOS PAN'!$C$3:$K$52,9,FALSE)</f>
        <v>-497901.1495</v>
      </c>
      <c r="L47" s="1">
        <f>'RECEITAS - BLOCOS PAN'!L47-'OPEX - BLOCOS PAN'!L47-VLOOKUP('FLUXO DE CAIXA NOM.- BLOCOS PAN'!$D47,'CAPEX - BLOCOS PAN'!$C$3:$L$52,10,FALSE)</f>
        <v>-497901.1495</v>
      </c>
      <c r="M47" s="1">
        <f>'RECEITAS - BLOCOS PAN'!M47-'OPEX - BLOCOS PAN'!M47-VLOOKUP('FLUXO DE CAIXA NOM.- BLOCOS PAN'!$D47,'CAPEX - BLOCOS PAN'!$C$3:$M$52,11,FALSE)</f>
        <v>-497901.1495</v>
      </c>
      <c r="N47" s="1">
        <f>'RECEITAS - BLOCOS PAN'!N47-'OPEX - BLOCOS PAN'!N47-VLOOKUP('FLUXO DE CAIXA NOM.- BLOCOS PAN'!$D47,'CAPEX - BLOCOS PAN'!$C$3:$N$52,12,FALSE)</f>
        <v>-497901.1495</v>
      </c>
      <c r="O47" s="1">
        <f>'RECEITAS - BLOCOS PAN'!O47-'OPEX - BLOCOS PAN'!O47-VLOOKUP('FLUXO DE CAIXA NOM.- BLOCOS PAN'!$D47,'CAPEX - BLOCOS PAN'!$C$3:$O$52,13,FALSE)</f>
        <v>-497901.1495</v>
      </c>
      <c r="P47" s="1">
        <f>'RECEITAS - BLOCOS PAN'!P47-'OPEX - BLOCOS PAN'!P47-VLOOKUP('FLUXO DE CAIXA NOM.- BLOCOS PAN'!$D47,'CAPEX - BLOCOS PAN'!$C$3:$P$52,14,FALSE)</f>
        <v>-497901.1495</v>
      </c>
      <c r="Q47" s="1">
        <f>'RECEITAS - BLOCOS PAN'!Q47-'OPEX - BLOCOS PAN'!Q47-VLOOKUP('FLUXO DE CAIXA NOM.- BLOCOS PAN'!$D47,'CAPEX - BLOCOS PAN'!$C$3:$Q$52,15,FALSE)</f>
        <v>-497901.1495</v>
      </c>
      <c r="R47" s="1">
        <f>'RECEITAS - BLOCOS PAN'!R47-'OPEX - BLOCOS PAN'!R47-VLOOKUP('FLUXO DE CAIXA NOM.- BLOCOS PAN'!$D47,'CAPEX - BLOCOS PAN'!$C$3:$R$52,16,FALSE)</f>
        <v>-497901.1495</v>
      </c>
      <c r="S47" s="1">
        <f>'RECEITAS - BLOCOS PAN'!S47-'OPEX - BLOCOS PAN'!S47-VLOOKUP('FLUXO DE CAIXA NOM.- BLOCOS PAN'!$D47,'CAPEX - BLOCOS PAN'!$C$3:$S$52,17,FALSE)</f>
        <v>-497901.1495</v>
      </c>
      <c r="T47" s="1">
        <f>'RECEITAS - BLOCOS PAN'!T47-'OPEX - BLOCOS PAN'!T47-VLOOKUP('FLUXO DE CAIXA NOM.- BLOCOS PAN'!$D47,'CAPEX - BLOCOS PAN'!$C$3:$T$52,18,FALSE)</f>
        <v>-497901.1495</v>
      </c>
      <c r="U47" s="1">
        <f>'RECEITAS - BLOCOS PAN'!U47-'OPEX - BLOCOS PAN'!U47-VLOOKUP('FLUXO DE CAIXA NOM.- BLOCOS PAN'!$D47,'CAPEX - BLOCOS PAN'!$C$3:$U$52,19,FALSE)</f>
        <v>-497901.1495</v>
      </c>
      <c r="V47" s="1">
        <f>'RECEITAS - BLOCOS PAN'!V47-'OPEX - BLOCOS PAN'!V47-VLOOKUP('FLUXO DE CAIXA NOM.- BLOCOS PAN'!$D47,'CAPEX - BLOCOS PAN'!$C$3:$V$52,20,FALSE)</f>
        <v>-497901.1495</v>
      </c>
      <c r="W47" s="1">
        <f>'RECEITAS - BLOCOS PAN'!W47-'OPEX - BLOCOS PAN'!W47-VLOOKUP('FLUXO DE CAIXA NOM.- BLOCOS PAN'!$D47,'CAPEX - BLOCOS PAN'!$C$3:$W$52,21,FALSE)</f>
        <v>-497901.1495</v>
      </c>
      <c r="X47" s="1">
        <f>'RECEITAS - BLOCOS PAN'!X47-'OPEX - BLOCOS PAN'!X47-VLOOKUP('FLUXO DE CAIXA NOM.- BLOCOS PAN'!$D47,'CAPEX - BLOCOS PAN'!$C$3:$X$52,22,FALSE)</f>
        <v>-497901.1495</v>
      </c>
      <c r="Y47" s="1">
        <f>'RECEITAS - BLOCOS PAN'!Y47-'OPEX - BLOCOS PAN'!Y47-VLOOKUP('FLUXO DE CAIXA NOM.- BLOCOS PAN'!$D47,'CAPEX - BLOCOS PAN'!$C$3:$Y$52,23,FALSE)</f>
        <v>-497901.1495</v>
      </c>
      <c r="Z47" s="1">
        <f>'RECEITAS - BLOCOS PAN'!Z47-'OPEX - BLOCOS PAN'!Z47-VLOOKUP('FLUXO DE CAIXA NOM.- BLOCOS PAN'!$D47,'CAPEX - BLOCOS PAN'!$C$3:$Z$52,24,FALSE)</f>
        <v>-497901.1495</v>
      </c>
      <c r="AA47" s="1">
        <f>'RECEITAS - BLOCOS PAN'!AA47-'OPEX - BLOCOS PAN'!AA47-VLOOKUP('FLUXO DE CAIXA NOM.- BLOCOS PAN'!$D47,'CAPEX - BLOCOS PAN'!$C$3:$AA$52,25,FALSE)</f>
        <v>-497901.1495</v>
      </c>
      <c r="AB47" s="1">
        <f>'RECEITAS - BLOCOS PAN'!AB47-'OPEX - BLOCOS PAN'!AB47-VLOOKUP('FLUXO DE CAIXA NOM.- BLOCOS PAN'!$D47,'CAPEX - BLOCOS PAN'!$C$3:$AB$52,26,FALSE)</f>
        <v>-497901.1495</v>
      </c>
      <c r="AC47" s="1">
        <f>'RECEITAS - BLOCOS PAN'!AC47-'OPEX - BLOCOS PAN'!AC47-VLOOKUP('FLUXO DE CAIXA NOM.- BLOCOS PAN'!$D47,'CAPEX - BLOCOS PAN'!$C$3:$AC$52,27,FALSE)</f>
        <v>-497901.1495</v>
      </c>
      <c r="AD47" s="1">
        <f>'RECEITAS - BLOCOS PAN'!AD47-'OPEX - BLOCOS PAN'!AD47-VLOOKUP('FLUXO DE CAIXA NOM.- BLOCOS PAN'!$D47,'CAPEX - BLOCOS PAN'!$C$3:$AD$52,28,FALSE)</f>
        <v>-497901.1495</v>
      </c>
      <c r="AE47" s="1">
        <f>'RECEITAS - BLOCOS PAN'!AE47-'OPEX - BLOCOS PAN'!AE47-VLOOKUP('FLUXO DE CAIXA NOM.- BLOCOS PAN'!$D47,'CAPEX - BLOCOS PAN'!$C$3:$AE$52,29,FALSE)</f>
        <v>-497901.1495</v>
      </c>
      <c r="AF47" s="1">
        <f>'RECEITAS - BLOCOS PAN'!AF47-'OPEX - BLOCOS PAN'!AF47-VLOOKUP('FLUXO DE CAIXA NOM.- BLOCOS PAN'!$D47,'CAPEX - BLOCOS PAN'!$C$3:$AF$52,30,FALSE)</f>
        <v>-497901.1495</v>
      </c>
      <c r="AG47" s="1">
        <f>'RECEITAS - BLOCOS PAN'!AG47-'OPEX - BLOCOS PAN'!AG47-VLOOKUP('FLUXO DE CAIXA NOM.- BLOCOS PAN'!$D47,'CAPEX - BLOCOS PAN'!$C$3:$AG$52,31,FALSE)</f>
        <v>-497901.1495</v>
      </c>
      <c r="AH47" s="1">
        <f>'RECEITAS - BLOCOS PAN'!AH47-'OPEX - BLOCOS PAN'!AH47-VLOOKUP('FLUXO DE CAIXA NOM.- BLOCOS PAN'!$D47,'CAPEX - BLOCOS PAN'!$C$3:$AH$52,32,FALSE)</f>
        <v>-497901.1495</v>
      </c>
      <c r="AI47" s="1">
        <f>'RECEITAS - BLOCOS PAN'!AI47-'OPEX - BLOCOS PAN'!AI47-VLOOKUP('FLUXO DE CAIXA NOM.- BLOCOS PAN'!$D47,'CAPEX - BLOCOS PAN'!$C$3:$AI$52,33,FALSE)</f>
        <v>-497901.1495</v>
      </c>
      <c r="AJ47" s="1">
        <f>'RECEITAS - BLOCOS PAN'!AJ47-'OPEX - BLOCOS PAN'!AJ47-VLOOKUP('FLUXO DE CAIXA NOM.- BLOCOS PAN'!$D47,'CAPEX - BLOCOS PAN'!$C$3:$AJ$52,34,FALSE)</f>
        <v>-497901.1495</v>
      </c>
      <c r="AK47" s="1">
        <f>'RECEITAS - BLOCOS PAN'!AK47-'OPEX - BLOCOS PAN'!AK47-VLOOKUP('FLUXO DE CAIXA NOM.- BLOCOS PAN'!$D47,'CAPEX - BLOCOS PAN'!$C$3:$AK$52,35,FALSE)</f>
        <v>-497901.1495</v>
      </c>
      <c r="AL47" s="44">
        <f t="shared" si="5"/>
        <v>-45700015.005797379</v>
      </c>
      <c r="AM47" t="str">
        <f>VLOOKUP(D47,'FLUXO DE CAIXA DESC.-BLOCOS PAN'!$D$3:$AO$52,38,FALSE)</f>
        <v>RO - 1 - AL</v>
      </c>
    </row>
    <row r="48" spans="1:39" x14ac:dyDescent="0.35">
      <c r="A48" t="s">
        <v>134</v>
      </c>
      <c r="B48" s="5" t="s">
        <v>273</v>
      </c>
      <c r="C48">
        <v>130370</v>
      </c>
      <c r="D48" t="s">
        <v>296</v>
      </c>
      <c r="E48" t="str">
        <f>VLOOKUP(A48,'CAPEX Manut. Estr_Naveg. Aérea'!$A$2:$B$38,2,FALSE)</f>
        <v>Santo Antônio do Içá</v>
      </c>
      <c r="F48" t="s">
        <v>35</v>
      </c>
      <c r="G48" t="s">
        <v>33</v>
      </c>
      <c r="H48" s="1">
        <f>'RECEITAS - BLOCOS PAN'!H48-'OPEX - BLOCOS PAN'!H48-VLOOKUP('FLUXO DE CAIXA NOM.- BLOCOS PAN'!$D48,'CAPEX - BLOCOS PAN'!$C$3:$H$52,6,FALSE)</f>
        <v>-14053445.479048483</v>
      </c>
      <c r="I48" s="1">
        <f>'RECEITAS - BLOCOS PAN'!I48-'OPEX - BLOCOS PAN'!I48-VLOOKUP('FLUXO DE CAIXA NOM.- BLOCOS PAN'!$D48,'CAPEX - BLOCOS PAN'!$C$3:$I$52,7,FALSE)</f>
        <v>-14053445.479048483</v>
      </c>
      <c r="J48" s="1">
        <f>'RECEITAS - BLOCOS PAN'!J48-'OPEX - BLOCOS PAN'!J48-VLOOKUP('FLUXO DE CAIXA NOM.- BLOCOS PAN'!$D48,'CAPEX - BLOCOS PAN'!$C$3:$J$52,8,FALSE)</f>
        <v>-14053445.479048483</v>
      </c>
      <c r="K48" s="1">
        <f>'RECEITAS - BLOCOS PAN'!K48-'OPEX - BLOCOS PAN'!K48-VLOOKUP('FLUXO DE CAIXA NOM.- BLOCOS PAN'!$D48,'CAPEX - BLOCOS PAN'!$C$3:$K$52,9,FALSE)</f>
        <v>-603039.05939999991</v>
      </c>
      <c r="L48" s="1">
        <f>'RECEITAS - BLOCOS PAN'!L48-'OPEX - BLOCOS PAN'!L48-VLOOKUP('FLUXO DE CAIXA NOM.- BLOCOS PAN'!$D48,'CAPEX - BLOCOS PAN'!$C$3:$L$52,10,FALSE)</f>
        <v>-603039.05939999991</v>
      </c>
      <c r="M48" s="1">
        <f>'RECEITAS - BLOCOS PAN'!M48-'OPEX - BLOCOS PAN'!M48-VLOOKUP('FLUXO DE CAIXA NOM.- BLOCOS PAN'!$D48,'CAPEX - BLOCOS PAN'!$C$3:$M$52,11,FALSE)</f>
        <v>-603039.05939999991</v>
      </c>
      <c r="N48" s="1">
        <f>'RECEITAS - BLOCOS PAN'!N48-'OPEX - BLOCOS PAN'!N48-VLOOKUP('FLUXO DE CAIXA NOM.- BLOCOS PAN'!$D48,'CAPEX - BLOCOS PAN'!$C$3:$N$52,12,FALSE)</f>
        <v>-603039.05939999991</v>
      </c>
      <c r="O48" s="1">
        <f>'RECEITAS - BLOCOS PAN'!O48-'OPEX - BLOCOS PAN'!O48-VLOOKUP('FLUXO DE CAIXA NOM.- BLOCOS PAN'!$D48,'CAPEX - BLOCOS PAN'!$C$3:$O$52,13,FALSE)</f>
        <v>-603039.05939999991</v>
      </c>
      <c r="P48" s="1">
        <f>'RECEITAS - BLOCOS PAN'!P48-'OPEX - BLOCOS PAN'!P48-VLOOKUP('FLUXO DE CAIXA NOM.- BLOCOS PAN'!$D48,'CAPEX - BLOCOS PAN'!$C$3:$P$52,14,FALSE)</f>
        <v>-603039.05939999991</v>
      </c>
      <c r="Q48" s="1">
        <f>'RECEITAS - BLOCOS PAN'!Q48-'OPEX - BLOCOS PAN'!Q48-VLOOKUP('FLUXO DE CAIXA NOM.- BLOCOS PAN'!$D48,'CAPEX - BLOCOS PAN'!$C$3:$Q$52,15,FALSE)</f>
        <v>-603039.05939999991</v>
      </c>
      <c r="R48" s="1">
        <f>'RECEITAS - BLOCOS PAN'!R48-'OPEX - BLOCOS PAN'!R48-VLOOKUP('FLUXO DE CAIXA NOM.- BLOCOS PAN'!$D48,'CAPEX - BLOCOS PAN'!$C$3:$R$52,16,FALSE)</f>
        <v>-603039.05939999991</v>
      </c>
      <c r="S48" s="1">
        <f>'RECEITAS - BLOCOS PAN'!S48-'OPEX - BLOCOS PAN'!S48-VLOOKUP('FLUXO DE CAIXA NOM.- BLOCOS PAN'!$D48,'CAPEX - BLOCOS PAN'!$C$3:$S$52,17,FALSE)</f>
        <v>-603039.05939999991</v>
      </c>
      <c r="T48" s="1">
        <f>'RECEITAS - BLOCOS PAN'!T48-'OPEX - BLOCOS PAN'!T48-VLOOKUP('FLUXO DE CAIXA NOM.- BLOCOS PAN'!$D48,'CAPEX - BLOCOS PAN'!$C$3:$T$52,18,FALSE)</f>
        <v>-603039.05939999991</v>
      </c>
      <c r="U48" s="1">
        <f>'RECEITAS - BLOCOS PAN'!U48-'OPEX - BLOCOS PAN'!U48-VLOOKUP('FLUXO DE CAIXA NOM.- BLOCOS PAN'!$D48,'CAPEX - BLOCOS PAN'!$C$3:$U$52,19,FALSE)</f>
        <v>-603039.05939999991</v>
      </c>
      <c r="V48" s="1">
        <f>'RECEITAS - BLOCOS PAN'!V48-'OPEX - BLOCOS PAN'!V48-VLOOKUP('FLUXO DE CAIXA NOM.- BLOCOS PAN'!$D48,'CAPEX - BLOCOS PAN'!$C$3:$V$52,20,FALSE)</f>
        <v>-603039.05939999991</v>
      </c>
      <c r="W48" s="1">
        <f>'RECEITAS - BLOCOS PAN'!W48-'OPEX - BLOCOS PAN'!W48-VLOOKUP('FLUXO DE CAIXA NOM.- BLOCOS PAN'!$D48,'CAPEX - BLOCOS PAN'!$C$3:$W$52,21,FALSE)</f>
        <v>-603039.05939999991</v>
      </c>
      <c r="X48" s="1">
        <f>'RECEITAS - BLOCOS PAN'!X48-'OPEX - BLOCOS PAN'!X48-VLOOKUP('FLUXO DE CAIXA NOM.- BLOCOS PAN'!$D48,'CAPEX - BLOCOS PAN'!$C$3:$X$52,22,FALSE)</f>
        <v>-603039.05939999991</v>
      </c>
      <c r="Y48" s="1">
        <f>'RECEITAS - BLOCOS PAN'!Y48-'OPEX - BLOCOS PAN'!Y48-VLOOKUP('FLUXO DE CAIXA NOM.- BLOCOS PAN'!$D48,'CAPEX - BLOCOS PAN'!$C$3:$Y$52,23,FALSE)</f>
        <v>-603039.05939999991</v>
      </c>
      <c r="Z48" s="1">
        <f>'RECEITAS - BLOCOS PAN'!Z48-'OPEX - BLOCOS PAN'!Z48-VLOOKUP('FLUXO DE CAIXA NOM.- BLOCOS PAN'!$D48,'CAPEX - BLOCOS PAN'!$C$3:$Z$52,24,FALSE)</f>
        <v>-603039.05939999991</v>
      </c>
      <c r="AA48" s="1">
        <f>'RECEITAS - BLOCOS PAN'!AA48-'OPEX - BLOCOS PAN'!AA48-VLOOKUP('FLUXO DE CAIXA NOM.- BLOCOS PAN'!$D48,'CAPEX - BLOCOS PAN'!$C$3:$AA$52,25,FALSE)</f>
        <v>-603039.05939999991</v>
      </c>
      <c r="AB48" s="1">
        <f>'RECEITAS - BLOCOS PAN'!AB48-'OPEX - BLOCOS PAN'!AB48-VLOOKUP('FLUXO DE CAIXA NOM.- BLOCOS PAN'!$D48,'CAPEX - BLOCOS PAN'!$C$3:$AB$52,26,FALSE)</f>
        <v>-603039.05939999991</v>
      </c>
      <c r="AC48" s="1">
        <f>'RECEITAS - BLOCOS PAN'!AC48-'OPEX - BLOCOS PAN'!AC48-VLOOKUP('FLUXO DE CAIXA NOM.- BLOCOS PAN'!$D48,'CAPEX - BLOCOS PAN'!$C$3:$AC$52,27,FALSE)</f>
        <v>-603039.05939999991</v>
      </c>
      <c r="AD48" s="1">
        <f>'RECEITAS - BLOCOS PAN'!AD48-'OPEX - BLOCOS PAN'!AD48-VLOOKUP('FLUXO DE CAIXA NOM.- BLOCOS PAN'!$D48,'CAPEX - BLOCOS PAN'!$C$3:$AD$52,28,FALSE)</f>
        <v>-603039.05939999991</v>
      </c>
      <c r="AE48" s="1">
        <f>'RECEITAS - BLOCOS PAN'!AE48-'OPEX - BLOCOS PAN'!AE48-VLOOKUP('FLUXO DE CAIXA NOM.- BLOCOS PAN'!$D48,'CAPEX - BLOCOS PAN'!$C$3:$AE$52,29,FALSE)</f>
        <v>-603039.05939999991</v>
      </c>
      <c r="AF48" s="1">
        <f>'RECEITAS - BLOCOS PAN'!AF48-'OPEX - BLOCOS PAN'!AF48-VLOOKUP('FLUXO DE CAIXA NOM.- BLOCOS PAN'!$D48,'CAPEX - BLOCOS PAN'!$C$3:$AF$52,30,FALSE)</f>
        <v>-603039.05939999991</v>
      </c>
      <c r="AG48" s="1">
        <f>'RECEITAS - BLOCOS PAN'!AG48-'OPEX - BLOCOS PAN'!AG48-VLOOKUP('FLUXO DE CAIXA NOM.- BLOCOS PAN'!$D48,'CAPEX - BLOCOS PAN'!$C$3:$AG$52,31,FALSE)</f>
        <v>-603039.05939999991</v>
      </c>
      <c r="AH48" s="1">
        <f>'RECEITAS - BLOCOS PAN'!AH48-'OPEX - BLOCOS PAN'!AH48-VLOOKUP('FLUXO DE CAIXA NOM.- BLOCOS PAN'!$D48,'CAPEX - BLOCOS PAN'!$C$3:$AH$52,32,FALSE)</f>
        <v>-603039.05939999991</v>
      </c>
      <c r="AI48" s="1">
        <f>'RECEITAS - BLOCOS PAN'!AI48-'OPEX - BLOCOS PAN'!AI48-VLOOKUP('FLUXO DE CAIXA NOM.- BLOCOS PAN'!$D48,'CAPEX - BLOCOS PAN'!$C$3:$AI$52,33,FALSE)</f>
        <v>-603039.05939999991</v>
      </c>
      <c r="AJ48" s="1">
        <f>'RECEITAS - BLOCOS PAN'!AJ48-'OPEX - BLOCOS PAN'!AJ48-VLOOKUP('FLUXO DE CAIXA NOM.- BLOCOS PAN'!$D48,'CAPEX - BLOCOS PAN'!$C$3:$AJ$52,34,FALSE)</f>
        <v>-603039.05939999991</v>
      </c>
      <c r="AK48" s="1">
        <f>'RECEITAS - BLOCOS PAN'!AK48-'OPEX - BLOCOS PAN'!AK48-VLOOKUP('FLUXO DE CAIXA NOM.- BLOCOS PAN'!$D48,'CAPEX - BLOCOS PAN'!$C$3:$AK$52,35,FALSE)</f>
        <v>-603039.05939999991</v>
      </c>
      <c r="AL48" s="44">
        <f t="shared" si="5"/>
        <v>-58442391.040945441</v>
      </c>
      <c r="AM48" t="str">
        <f>VLOOKUP(D48,'FLUXO DE CAIXA DESC.-BLOCOS PAN'!$D$3:$AO$52,38,FALSE)</f>
        <v>AC + AM - 1 - AL</v>
      </c>
    </row>
    <row r="49" spans="1:39" x14ac:dyDescent="0.35">
      <c r="A49" t="s">
        <v>151</v>
      </c>
      <c r="B49" s="5" t="s">
        <v>274</v>
      </c>
      <c r="C49">
        <v>130160</v>
      </c>
      <c r="D49" t="s">
        <v>297</v>
      </c>
      <c r="E49" t="str">
        <f>VLOOKUP(A49,'CAPEX Manut. Estr_Naveg. Aérea'!$A$2:$B$38,2,FALSE)</f>
        <v>Fonte Boa</v>
      </c>
      <c r="F49" t="s">
        <v>35</v>
      </c>
      <c r="G49" t="s">
        <v>33</v>
      </c>
      <c r="H49" s="1">
        <f>'RECEITAS - BLOCOS PAN'!H49-'OPEX - BLOCOS PAN'!H49-VLOOKUP('FLUXO DE CAIXA NOM.- BLOCOS PAN'!$D49,'CAPEX - BLOCOS PAN'!$C$3:$H$52,6,FALSE)</f>
        <v>-11662811.809094688</v>
      </c>
      <c r="I49" s="1">
        <f>'RECEITAS - BLOCOS PAN'!I49-'OPEX - BLOCOS PAN'!I49-VLOOKUP('FLUXO DE CAIXA NOM.- BLOCOS PAN'!$D49,'CAPEX - BLOCOS PAN'!$C$3:$I$52,7,FALSE)</f>
        <v>-11662811.809094688</v>
      </c>
      <c r="J49" s="1">
        <f>'RECEITAS - BLOCOS PAN'!J49-'OPEX - BLOCOS PAN'!J49-VLOOKUP('FLUXO DE CAIXA NOM.- BLOCOS PAN'!$D49,'CAPEX - BLOCOS PAN'!$C$3:$J$52,8,FALSE)</f>
        <v>-11662811.809094688</v>
      </c>
      <c r="K49" s="1">
        <f>'RECEITAS - BLOCOS PAN'!K49-'OPEX - BLOCOS PAN'!K49-VLOOKUP('FLUXO DE CAIXA NOM.- BLOCOS PAN'!$D49,'CAPEX - BLOCOS PAN'!$C$3:$K$52,9,FALSE)</f>
        <v>-597670.26620000007</v>
      </c>
      <c r="L49" s="1">
        <f>'RECEITAS - BLOCOS PAN'!L49-'OPEX - BLOCOS PAN'!L49-VLOOKUP('FLUXO DE CAIXA NOM.- BLOCOS PAN'!$D49,'CAPEX - BLOCOS PAN'!$C$3:$L$52,10,FALSE)</f>
        <v>-597670.26620000007</v>
      </c>
      <c r="M49" s="1">
        <f>'RECEITAS - BLOCOS PAN'!M49-'OPEX - BLOCOS PAN'!M49-VLOOKUP('FLUXO DE CAIXA NOM.- BLOCOS PAN'!$D49,'CAPEX - BLOCOS PAN'!$C$3:$M$52,11,FALSE)</f>
        <v>-597670.26620000007</v>
      </c>
      <c r="N49" s="1">
        <f>'RECEITAS - BLOCOS PAN'!N49-'OPEX - BLOCOS PAN'!N49-VLOOKUP('FLUXO DE CAIXA NOM.- BLOCOS PAN'!$D49,'CAPEX - BLOCOS PAN'!$C$3:$N$52,12,FALSE)</f>
        <v>-597670.26620000007</v>
      </c>
      <c r="O49" s="1">
        <f>'RECEITAS - BLOCOS PAN'!O49-'OPEX - BLOCOS PAN'!O49-VLOOKUP('FLUXO DE CAIXA NOM.- BLOCOS PAN'!$D49,'CAPEX - BLOCOS PAN'!$C$3:$O$52,13,FALSE)</f>
        <v>-597670.26620000007</v>
      </c>
      <c r="P49" s="1">
        <f>'RECEITAS - BLOCOS PAN'!P49-'OPEX - BLOCOS PAN'!P49-VLOOKUP('FLUXO DE CAIXA NOM.- BLOCOS PAN'!$D49,'CAPEX - BLOCOS PAN'!$C$3:$P$52,14,FALSE)</f>
        <v>-597670.26620000007</v>
      </c>
      <c r="Q49" s="1">
        <f>'RECEITAS - BLOCOS PAN'!Q49-'OPEX - BLOCOS PAN'!Q49-VLOOKUP('FLUXO DE CAIXA NOM.- BLOCOS PAN'!$D49,'CAPEX - BLOCOS PAN'!$C$3:$Q$52,15,FALSE)</f>
        <v>-597670.26620000007</v>
      </c>
      <c r="R49" s="1">
        <f>'RECEITAS - BLOCOS PAN'!R49-'OPEX - BLOCOS PAN'!R49-VLOOKUP('FLUXO DE CAIXA NOM.- BLOCOS PAN'!$D49,'CAPEX - BLOCOS PAN'!$C$3:$R$52,16,FALSE)</f>
        <v>-597670.26620000007</v>
      </c>
      <c r="S49" s="1">
        <f>'RECEITAS - BLOCOS PAN'!S49-'OPEX - BLOCOS PAN'!S49-VLOOKUP('FLUXO DE CAIXA NOM.- BLOCOS PAN'!$D49,'CAPEX - BLOCOS PAN'!$C$3:$S$52,17,FALSE)</f>
        <v>-597670.26620000007</v>
      </c>
      <c r="T49" s="1">
        <f>'RECEITAS - BLOCOS PAN'!T49-'OPEX - BLOCOS PAN'!T49-VLOOKUP('FLUXO DE CAIXA NOM.- BLOCOS PAN'!$D49,'CAPEX - BLOCOS PAN'!$C$3:$T$52,18,FALSE)</f>
        <v>-597670.26620000007</v>
      </c>
      <c r="U49" s="1">
        <f>'RECEITAS - BLOCOS PAN'!U49-'OPEX - BLOCOS PAN'!U49-VLOOKUP('FLUXO DE CAIXA NOM.- BLOCOS PAN'!$D49,'CAPEX - BLOCOS PAN'!$C$3:$U$52,19,FALSE)</f>
        <v>-597670.26620000007</v>
      </c>
      <c r="V49" s="1">
        <f>'RECEITAS - BLOCOS PAN'!V49-'OPEX - BLOCOS PAN'!V49-VLOOKUP('FLUXO DE CAIXA NOM.- BLOCOS PAN'!$D49,'CAPEX - BLOCOS PAN'!$C$3:$V$52,20,FALSE)</f>
        <v>-597670.26620000007</v>
      </c>
      <c r="W49" s="1">
        <f>'RECEITAS - BLOCOS PAN'!W49-'OPEX - BLOCOS PAN'!W49-VLOOKUP('FLUXO DE CAIXA NOM.- BLOCOS PAN'!$D49,'CAPEX - BLOCOS PAN'!$C$3:$W$52,21,FALSE)</f>
        <v>-597670.26620000007</v>
      </c>
      <c r="X49" s="1">
        <f>'RECEITAS - BLOCOS PAN'!X49-'OPEX - BLOCOS PAN'!X49-VLOOKUP('FLUXO DE CAIXA NOM.- BLOCOS PAN'!$D49,'CAPEX - BLOCOS PAN'!$C$3:$X$52,22,FALSE)</f>
        <v>-597670.26620000007</v>
      </c>
      <c r="Y49" s="1">
        <f>'RECEITAS - BLOCOS PAN'!Y49-'OPEX - BLOCOS PAN'!Y49-VLOOKUP('FLUXO DE CAIXA NOM.- BLOCOS PAN'!$D49,'CAPEX - BLOCOS PAN'!$C$3:$Y$52,23,FALSE)</f>
        <v>-597670.26620000007</v>
      </c>
      <c r="Z49" s="1">
        <f>'RECEITAS - BLOCOS PAN'!Z49-'OPEX - BLOCOS PAN'!Z49-VLOOKUP('FLUXO DE CAIXA NOM.- BLOCOS PAN'!$D49,'CAPEX - BLOCOS PAN'!$C$3:$Z$52,24,FALSE)</f>
        <v>-597670.26620000007</v>
      </c>
      <c r="AA49" s="1">
        <f>'RECEITAS - BLOCOS PAN'!AA49-'OPEX - BLOCOS PAN'!AA49-VLOOKUP('FLUXO DE CAIXA NOM.- BLOCOS PAN'!$D49,'CAPEX - BLOCOS PAN'!$C$3:$AA$52,25,FALSE)</f>
        <v>-597670.26620000007</v>
      </c>
      <c r="AB49" s="1">
        <f>'RECEITAS - BLOCOS PAN'!AB49-'OPEX - BLOCOS PAN'!AB49-VLOOKUP('FLUXO DE CAIXA NOM.- BLOCOS PAN'!$D49,'CAPEX - BLOCOS PAN'!$C$3:$AB$52,26,FALSE)</f>
        <v>-597670.26620000007</v>
      </c>
      <c r="AC49" s="1">
        <f>'RECEITAS - BLOCOS PAN'!AC49-'OPEX - BLOCOS PAN'!AC49-VLOOKUP('FLUXO DE CAIXA NOM.- BLOCOS PAN'!$D49,'CAPEX - BLOCOS PAN'!$C$3:$AC$52,27,FALSE)</f>
        <v>-597670.26620000007</v>
      </c>
      <c r="AD49" s="1">
        <f>'RECEITAS - BLOCOS PAN'!AD49-'OPEX - BLOCOS PAN'!AD49-VLOOKUP('FLUXO DE CAIXA NOM.- BLOCOS PAN'!$D49,'CAPEX - BLOCOS PAN'!$C$3:$AD$52,28,FALSE)</f>
        <v>-597670.26620000007</v>
      </c>
      <c r="AE49" s="1">
        <f>'RECEITAS - BLOCOS PAN'!AE49-'OPEX - BLOCOS PAN'!AE49-VLOOKUP('FLUXO DE CAIXA NOM.- BLOCOS PAN'!$D49,'CAPEX - BLOCOS PAN'!$C$3:$AE$52,29,FALSE)</f>
        <v>-597670.26620000007</v>
      </c>
      <c r="AF49" s="1">
        <f>'RECEITAS - BLOCOS PAN'!AF49-'OPEX - BLOCOS PAN'!AF49-VLOOKUP('FLUXO DE CAIXA NOM.- BLOCOS PAN'!$D49,'CAPEX - BLOCOS PAN'!$C$3:$AF$52,30,FALSE)</f>
        <v>-597670.26620000007</v>
      </c>
      <c r="AG49" s="1">
        <f>'RECEITAS - BLOCOS PAN'!AG49-'OPEX - BLOCOS PAN'!AG49-VLOOKUP('FLUXO DE CAIXA NOM.- BLOCOS PAN'!$D49,'CAPEX - BLOCOS PAN'!$C$3:$AG$52,31,FALSE)</f>
        <v>-597670.26620000007</v>
      </c>
      <c r="AH49" s="1">
        <f>'RECEITAS - BLOCOS PAN'!AH49-'OPEX - BLOCOS PAN'!AH49-VLOOKUP('FLUXO DE CAIXA NOM.- BLOCOS PAN'!$D49,'CAPEX - BLOCOS PAN'!$C$3:$AH$52,32,FALSE)</f>
        <v>-597670.26620000007</v>
      </c>
      <c r="AI49" s="1">
        <f>'RECEITAS - BLOCOS PAN'!AI49-'OPEX - BLOCOS PAN'!AI49-VLOOKUP('FLUXO DE CAIXA NOM.- BLOCOS PAN'!$D49,'CAPEX - BLOCOS PAN'!$C$3:$AI$52,33,FALSE)</f>
        <v>-597670.26620000007</v>
      </c>
      <c r="AJ49" s="1">
        <f>'RECEITAS - BLOCOS PAN'!AJ49-'OPEX - BLOCOS PAN'!AJ49-VLOOKUP('FLUXO DE CAIXA NOM.- BLOCOS PAN'!$D49,'CAPEX - BLOCOS PAN'!$C$3:$AJ$52,34,FALSE)</f>
        <v>-597670.26620000007</v>
      </c>
      <c r="AK49" s="1">
        <f>'RECEITAS - BLOCOS PAN'!AK49-'OPEX - BLOCOS PAN'!AK49-VLOOKUP('FLUXO DE CAIXA NOM.- BLOCOS PAN'!$D49,'CAPEX - BLOCOS PAN'!$C$3:$AK$52,35,FALSE)</f>
        <v>-597670.26620000007</v>
      </c>
      <c r="AL49" s="44">
        <f t="shared" si="5"/>
        <v>-51125532.614684023</v>
      </c>
      <c r="AM49" t="str">
        <f>VLOOKUP(D49,'FLUXO DE CAIXA DESC.-BLOCOS PAN'!$D$3:$AO$52,38,FALSE)</f>
        <v>AM - 2 - AL</v>
      </c>
    </row>
    <row r="50" spans="1:39" x14ac:dyDescent="0.35">
      <c r="A50" t="s">
        <v>155</v>
      </c>
      <c r="B50" s="5" t="s">
        <v>265</v>
      </c>
      <c r="C50">
        <v>510704</v>
      </c>
      <c r="D50" t="s">
        <v>298</v>
      </c>
      <c r="E50" t="str">
        <f>VLOOKUP(A50,'CAPEX Manut. Estr_Naveg. Aérea'!$A$2:$B$38,2,FALSE)</f>
        <v>Primavera do Leste</v>
      </c>
      <c r="F50" t="s">
        <v>37</v>
      </c>
      <c r="G50" t="s">
        <v>33</v>
      </c>
      <c r="H50" s="1">
        <f>'RECEITAS - BLOCOS PAN'!H50-'OPEX - BLOCOS PAN'!H50-VLOOKUP('FLUXO DE CAIXA NOM.- BLOCOS PAN'!$D50,'CAPEX - BLOCOS PAN'!$C$3:$H$52,6,FALSE)</f>
        <v>-8799596.8000062257</v>
      </c>
      <c r="I50" s="1">
        <f>'RECEITAS - BLOCOS PAN'!I50-'OPEX - BLOCOS PAN'!I50-VLOOKUP('FLUXO DE CAIXA NOM.- BLOCOS PAN'!$D50,'CAPEX - BLOCOS PAN'!$C$3:$I$52,7,FALSE)</f>
        <v>-8799596.8000062257</v>
      </c>
      <c r="J50" s="1">
        <f>'RECEITAS - BLOCOS PAN'!J50-'OPEX - BLOCOS PAN'!J50-VLOOKUP('FLUXO DE CAIXA NOM.- BLOCOS PAN'!$D50,'CAPEX - BLOCOS PAN'!$C$3:$J$52,8,FALSE)</f>
        <v>-8799596.8000062257</v>
      </c>
      <c r="K50" s="1">
        <f>'RECEITAS - BLOCOS PAN'!K50-'OPEX - BLOCOS PAN'!K50-VLOOKUP('FLUXO DE CAIXA NOM.- BLOCOS PAN'!$D50,'CAPEX - BLOCOS PAN'!$C$3:$K$52,9,FALSE)</f>
        <v>-147959.9901</v>
      </c>
      <c r="L50" s="1">
        <f>'RECEITAS - BLOCOS PAN'!L50-'OPEX - BLOCOS PAN'!L50-VLOOKUP('FLUXO DE CAIXA NOM.- BLOCOS PAN'!$D50,'CAPEX - BLOCOS PAN'!$C$3:$L$52,10,FALSE)</f>
        <v>-147959.9901</v>
      </c>
      <c r="M50" s="1">
        <f>'RECEITAS - BLOCOS PAN'!M50-'OPEX - BLOCOS PAN'!M50-VLOOKUP('FLUXO DE CAIXA NOM.- BLOCOS PAN'!$D50,'CAPEX - BLOCOS PAN'!$C$3:$M$52,11,FALSE)</f>
        <v>-147959.9901</v>
      </c>
      <c r="N50" s="1">
        <f>'RECEITAS - BLOCOS PAN'!N50-'OPEX - BLOCOS PAN'!N50-VLOOKUP('FLUXO DE CAIXA NOM.- BLOCOS PAN'!$D50,'CAPEX - BLOCOS PAN'!$C$3:$N$52,12,FALSE)</f>
        <v>-147959.9901</v>
      </c>
      <c r="O50" s="1">
        <f>'RECEITAS - BLOCOS PAN'!O50-'OPEX - BLOCOS PAN'!O50-VLOOKUP('FLUXO DE CAIXA NOM.- BLOCOS PAN'!$D50,'CAPEX - BLOCOS PAN'!$C$3:$O$52,13,FALSE)</f>
        <v>-147959.9901</v>
      </c>
      <c r="P50" s="1">
        <f>'RECEITAS - BLOCOS PAN'!P50-'OPEX - BLOCOS PAN'!P50-VLOOKUP('FLUXO DE CAIXA NOM.- BLOCOS PAN'!$D50,'CAPEX - BLOCOS PAN'!$C$3:$P$52,14,FALSE)</f>
        <v>-147959.9901</v>
      </c>
      <c r="Q50" s="1">
        <f>'RECEITAS - BLOCOS PAN'!Q50-'OPEX - BLOCOS PAN'!Q50-VLOOKUP('FLUXO DE CAIXA NOM.- BLOCOS PAN'!$D50,'CAPEX - BLOCOS PAN'!$C$3:$Q$52,15,FALSE)</f>
        <v>-147959.9901</v>
      </c>
      <c r="R50" s="1">
        <f>'RECEITAS - BLOCOS PAN'!R50-'OPEX - BLOCOS PAN'!R50-VLOOKUP('FLUXO DE CAIXA NOM.- BLOCOS PAN'!$D50,'CAPEX - BLOCOS PAN'!$C$3:$R$52,16,FALSE)</f>
        <v>-147959.9901</v>
      </c>
      <c r="S50" s="1">
        <f>'RECEITAS - BLOCOS PAN'!S50-'OPEX - BLOCOS PAN'!S50-VLOOKUP('FLUXO DE CAIXA NOM.- BLOCOS PAN'!$D50,'CAPEX - BLOCOS PAN'!$C$3:$S$52,17,FALSE)</f>
        <v>-147959.9901</v>
      </c>
      <c r="T50" s="1">
        <f>'RECEITAS - BLOCOS PAN'!T50-'OPEX - BLOCOS PAN'!T50-VLOOKUP('FLUXO DE CAIXA NOM.- BLOCOS PAN'!$D50,'CAPEX - BLOCOS PAN'!$C$3:$T$52,18,FALSE)</f>
        <v>-147959.9901</v>
      </c>
      <c r="U50" s="1">
        <f>'RECEITAS - BLOCOS PAN'!U50-'OPEX - BLOCOS PAN'!U50-VLOOKUP('FLUXO DE CAIXA NOM.- BLOCOS PAN'!$D50,'CAPEX - BLOCOS PAN'!$C$3:$U$52,19,FALSE)</f>
        <v>-147959.9901</v>
      </c>
      <c r="V50" s="1">
        <f>'RECEITAS - BLOCOS PAN'!V50-'OPEX - BLOCOS PAN'!V50-VLOOKUP('FLUXO DE CAIXA NOM.- BLOCOS PAN'!$D50,'CAPEX - BLOCOS PAN'!$C$3:$V$52,20,FALSE)</f>
        <v>-147959.9901</v>
      </c>
      <c r="W50" s="1">
        <f>'RECEITAS - BLOCOS PAN'!W50-'OPEX - BLOCOS PAN'!W50-VLOOKUP('FLUXO DE CAIXA NOM.- BLOCOS PAN'!$D50,'CAPEX - BLOCOS PAN'!$C$3:$W$52,21,FALSE)</f>
        <v>-147959.9901</v>
      </c>
      <c r="X50" s="1">
        <f>'RECEITAS - BLOCOS PAN'!X50-'OPEX - BLOCOS PAN'!X50-VLOOKUP('FLUXO DE CAIXA NOM.- BLOCOS PAN'!$D50,'CAPEX - BLOCOS PAN'!$C$3:$X$52,22,FALSE)</f>
        <v>-147959.9901</v>
      </c>
      <c r="Y50" s="1">
        <f>'RECEITAS - BLOCOS PAN'!Y50-'OPEX - BLOCOS PAN'!Y50-VLOOKUP('FLUXO DE CAIXA NOM.- BLOCOS PAN'!$D50,'CAPEX - BLOCOS PAN'!$C$3:$Y$52,23,FALSE)</f>
        <v>-147959.9901</v>
      </c>
      <c r="Z50" s="1">
        <f>'RECEITAS - BLOCOS PAN'!Z50-'OPEX - BLOCOS PAN'!Z50-VLOOKUP('FLUXO DE CAIXA NOM.- BLOCOS PAN'!$D50,'CAPEX - BLOCOS PAN'!$C$3:$Z$52,24,FALSE)</f>
        <v>-147959.9901</v>
      </c>
      <c r="AA50" s="1">
        <f>'RECEITAS - BLOCOS PAN'!AA50-'OPEX - BLOCOS PAN'!AA50-VLOOKUP('FLUXO DE CAIXA NOM.- BLOCOS PAN'!$D50,'CAPEX - BLOCOS PAN'!$C$3:$AA$52,25,FALSE)</f>
        <v>-147959.9901</v>
      </c>
      <c r="AB50" s="1">
        <f>'RECEITAS - BLOCOS PAN'!AB50-'OPEX - BLOCOS PAN'!AB50-VLOOKUP('FLUXO DE CAIXA NOM.- BLOCOS PAN'!$D50,'CAPEX - BLOCOS PAN'!$C$3:$AB$52,26,FALSE)</f>
        <v>-147959.9901</v>
      </c>
      <c r="AC50" s="1">
        <f>'RECEITAS - BLOCOS PAN'!AC50-'OPEX - BLOCOS PAN'!AC50-VLOOKUP('FLUXO DE CAIXA NOM.- BLOCOS PAN'!$D50,'CAPEX - BLOCOS PAN'!$C$3:$AC$52,27,FALSE)</f>
        <v>-147959.9901</v>
      </c>
      <c r="AD50" s="1">
        <f>'RECEITAS - BLOCOS PAN'!AD50-'OPEX - BLOCOS PAN'!AD50-VLOOKUP('FLUXO DE CAIXA NOM.- BLOCOS PAN'!$D50,'CAPEX - BLOCOS PAN'!$C$3:$AD$52,28,FALSE)</f>
        <v>-147959.9901</v>
      </c>
      <c r="AE50" s="1">
        <f>'RECEITAS - BLOCOS PAN'!AE50-'OPEX - BLOCOS PAN'!AE50-VLOOKUP('FLUXO DE CAIXA NOM.- BLOCOS PAN'!$D50,'CAPEX - BLOCOS PAN'!$C$3:$AE$52,29,FALSE)</f>
        <v>-147959.9901</v>
      </c>
      <c r="AF50" s="1">
        <f>'RECEITAS - BLOCOS PAN'!AF50-'OPEX - BLOCOS PAN'!AF50-VLOOKUP('FLUXO DE CAIXA NOM.- BLOCOS PAN'!$D50,'CAPEX - BLOCOS PAN'!$C$3:$AF$52,30,FALSE)</f>
        <v>-147959.9901</v>
      </c>
      <c r="AG50" s="1">
        <f>'RECEITAS - BLOCOS PAN'!AG50-'OPEX - BLOCOS PAN'!AG50-VLOOKUP('FLUXO DE CAIXA NOM.- BLOCOS PAN'!$D50,'CAPEX - BLOCOS PAN'!$C$3:$AG$52,31,FALSE)</f>
        <v>-147959.9901</v>
      </c>
      <c r="AH50" s="1">
        <f>'RECEITAS - BLOCOS PAN'!AH50-'OPEX - BLOCOS PAN'!AH50-VLOOKUP('FLUXO DE CAIXA NOM.- BLOCOS PAN'!$D50,'CAPEX - BLOCOS PAN'!$C$3:$AH$52,32,FALSE)</f>
        <v>-147959.9901</v>
      </c>
      <c r="AI50" s="1">
        <f>'RECEITAS - BLOCOS PAN'!AI50-'OPEX - BLOCOS PAN'!AI50-VLOOKUP('FLUXO DE CAIXA NOM.- BLOCOS PAN'!$D50,'CAPEX - BLOCOS PAN'!$C$3:$AI$52,33,FALSE)</f>
        <v>-147959.9901</v>
      </c>
      <c r="AJ50" s="1">
        <f>'RECEITAS - BLOCOS PAN'!AJ50-'OPEX - BLOCOS PAN'!AJ50-VLOOKUP('FLUXO DE CAIXA NOM.- BLOCOS PAN'!$D50,'CAPEX - BLOCOS PAN'!$C$3:$AJ$52,34,FALSE)</f>
        <v>-147959.9901</v>
      </c>
      <c r="AK50" s="1">
        <f>'RECEITAS - BLOCOS PAN'!AK50-'OPEX - BLOCOS PAN'!AK50-VLOOKUP('FLUXO DE CAIXA NOM.- BLOCOS PAN'!$D50,'CAPEX - BLOCOS PAN'!$C$3:$AK$52,35,FALSE)</f>
        <v>-147959.9901</v>
      </c>
      <c r="AL50" s="44">
        <f t="shared" si="5"/>
        <v>-30393710.132718679</v>
      </c>
      <c r="AM50" t="str">
        <f>VLOOKUP(D50,'FLUXO DE CAIXA DESC.-BLOCOS PAN'!$D$3:$AO$52,38,FALSE)</f>
        <v>MT - 2 - AL</v>
      </c>
    </row>
    <row r="51" spans="1:39" x14ac:dyDescent="0.35">
      <c r="A51" t="s">
        <v>156</v>
      </c>
      <c r="B51" s="5" t="s">
        <v>275</v>
      </c>
      <c r="C51">
        <v>130360</v>
      </c>
      <c r="D51" t="s">
        <v>299</v>
      </c>
      <c r="E51" t="str">
        <f>VLOOKUP(A51,'CAPEX Manut. Estr_Naveg. Aérea'!$A$2:$B$38,2,FALSE)</f>
        <v>Santa Isabel do Rio Negro</v>
      </c>
      <c r="F51" t="s">
        <v>35</v>
      </c>
      <c r="G51" t="s">
        <v>33</v>
      </c>
      <c r="H51" s="1">
        <f>'RECEITAS - BLOCOS PAN'!H51-'OPEX - BLOCOS PAN'!H51-VLOOKUP('FLUXO DE CAIXA NOM.- BLOCOS PAN'!$D51,'CAPEX - BLOCOS PAN'!$C$3:$H$52,6,FALSE)</f>
        <v>-11967747.059274809</v>
      </c>
      <c r="I51" s="1">
        <f>'RECEITAS - BLOCOS PAN'!I51-'OPEX - BLOCOS PAN'!I51-VLOOKUP('FLUXO DE CAIXA NOM.- BLOCOS PAN'!$D51,'CAPEX - BLOCOS PAN'!$C$3:$I$52,7,FALSE)</f>
        <v>-11967747.059274809</v>
      </c>
      <c r="J51" s="1">
        <f>'RECEITAS - BLOCOS PAN'!J51-'OPEX - BLOCOS PAN'!J51-VLOOKUP('FLUXO DE CAIXA NOM.- BLOCOS PAN'!$D51,'CAPEX - BLOCOS PAN'!$C$3:$J$52,8,FALSE)</f>
        <v>-11967747.059274809</v>
      </c>
      <c r="K51" s="1">
        <f>'RECEITAS - BLOCOS PAN'!K51-'OPEX - BLOCOS PAN'!K51-VLOOKUP('FLUXO DE CAIXA NOM.- BLOCOS PAN'!$D51,'CAPEX - BLOCOS PAN'!$C$3:$K$52,9,FALSE)</f>
        <v>-587876.64350000001</v>
      </c>
      <c r="L51" s="1">
        <f>'RECEITAS - BLOCOS PAN'!L51-'OPEX - BLOCOS PAN'!L51-VLOOKUP('FLUXO DE CAIXA NOM.- BLOCOS PAN'!$D51,'CAPEX - BLOCOS PAN'!$C$3:$L$52,10,FALSE)</f>
        <v>-587876.64350000001</v>
      </c>
      <c r="M51" s="1">
        <f>'RECEITAS - BLOCOS PAN'!M51-'OPEX - BLOCOS PAN'!M51-VLOOKUP('FLUXO DE CAIXA NOM.- BLOCOS PAN'!$D51,'CAPEX - BLOCOS PAN'!$C$3:$M$52,11,FALSE)</f>
        <v>-587876.64350000001</v>
      </c>
      <c r="N51" s="1">
        <f>'RECEITAS - BLOCOS PAN'!N51-'OPEX - BLOCOS PAN'!N51-VLOOKUP('FLUXO DE CAIXA NOM.- BLOCOS PAN'!$D51,'CAPEX - BLOCOS PAN'!$C$3:$N$52,12,FALSE)</f>
        <v>-587876.64350000001</v>
      </c>
      <c r="O51" s="1">
        <f>'RECEITAS - BLOCOS PAN'!O51-'OPEX - BLOCOS PAN'!O51-VLOOKUP('FLUXO DE CAIXA NOM.- BLOCOS PAN'!$D51,'CAPEX - BLOCOS PAN'!$C$3:$O$52,13,FALSE)</f>
        <v>-587876.64350000001</v>
      </c>
      <c r="P51" s="1">
        <f>'RECEITAS - BLOCOS PAN'!P51-'OPEX - BLOCOS PAN'!P51-VLOOKUP('FLUXO DE CAIXA NOM.- BLOCOS PAN'!$D51,'CAPEX - BLOCOS PAN'!$C$3:$P$52,14,FALSE)</f>
        <v>-587876.64350000001</v>
      </c>
      <c r="Q51" s="1">
        <f>'RECEITAS - BLOCOS PAN'!Q51-'OPEX - BLOCOS PAN'!Q51-VLOOKUP('FLUXO DE CAIXA NOM.- BLOCOS PAN'!$D51,'CAPEX - BLOCOS PAN'!$C$3:$Q$52,15,FALSE)</f>
        <v>-587876.64350000001</v>
      </c>
      <c r="R51" s="1">
        <f>'RECEITAS - BLOCOS PAN'!R51-'OPEX - BLOCOS PAN'!R51-VLOOKUP('FLUXO DE CAIXA NOM.- BLOCOS PAN'!$D51,'CAPEX - BLOCOS PAN'!$C$3:$R$52,16,FALSE)</f>
        <v>-587876.64350000001</v>
      </c>
      <c r="S51" s="1">
        <f>'RECEITAS - BLOCOS PAN'!S51-'OPEX - BLOCOS PAN'!S51-VLOOKUP('FLUXO DE CAIXA NOM.- BLOCOS PAN'!$D51,'CAPEX - BLOCOS PAN'!$C$3:$S$52,17,FALSE)</f>
        <v>-587876.64350000001</v>
      </c>
      <c r="T51" s="1">
        <f>'RECEITAS - BLOCOS PAN'!T51-'OPEX - BLOCOS PAN'!T51-VLOOKUP('FLUXO DE CAIXA NOM.- BLOCOS PAN'!$D51,'CAPEX - BLOCOS PAN'!$C$3:$T$52,18,FALSE)</f>
        <v>-587876.64350000001</v>
      </c>
      <c r="U51" s="1">
        <f>'RECEITAS - BLOCOS PAN'!U51-'OPEX - BLOCOS PAN'!U51-VLOOKUP('FLUXO DE CAIXA NOM.- BLOCOS PAN'!$D51,'CAPEX - BLOCOS PAN'!$C$3:$U$52,19,FALSE)</f>
        <v>-587876.64350000001</v>
      </c>
      <c r="V51" s="1">
        <f>'RECEITAS - BLOCOS PAN'!V51-'OPEX - BLOCOS PAN'!V51-VLOOKUP('FLUXO DE CAIXA NOM.- BLOCOS PAN'!$D51,'CAPEX - BLOCOS PAN'!$C$3:$V$52,20,FALSE)</f>
        <v>-587876.64350000001</v>
      </c>
      <c r="W51" s="1">
        <f>'RECEITAS - BLOCOS PAN'!W51-'OPEX - BLOCOS PAN'!W51-VLOOKUP('FLUXO DE CAIXA NOM.- BLOCOS PAN'!$D51,'CAPEX - BLOCOS PAN'!$C$3:$W$52,21,FALSE)</f>
        <v>-587876.64350000001</v>
      </c>
      <c r="X51" s="1">
        <f>'RECEITAS - BLOCOS PAN'!X51-'OPEX - BLOCOS PAN'!X51-VLOOKUP('FLUXO DE CAIXA NOM.- BLOCOS PAN'!$D51,'CAPEX - BLOCOS PAN'!$C$3:$X$52,22,FALSE)</f>
        <v>-587876.64350000001</v>
      </c>
      <c r="Y51" s="1">
        <f>'RECEITAS - BLOCOS PAN'!Y51-'OPEX - BLOCOS PAN'!Y51-VLOOKUP('FLUXO DE CAIXA NOM.- BLOCOS PAN'!$D51,'CAPEX - BLOCOS PAN'!$C$3:$Y$52,23,FALSE)</f>
        <v>-587876.64350000001</v>
      </c>
      <c r="Z51" s="1">
        <f>'RECEITAS - BLOCOS PAN'!Z51-'OPEX - BLOCOS PAN'!Z51-VLOOKUP('FLUXO DE CAIXA NOM.- BLOCOS PAN'!$D51,'CAPEX - BLOCOS PAN'!$C$3:$Z$52,24,FALSE)</f>
        <v>-587876.64350000001</v>
      </c>
      <c r="AA51" s="1">
        <f>'RECEITAS - BLOCOS PAN'!AA51-'OPEX - BLOCOS PAN'!AA51-VLOOKUP('FLUXO DE CAIXA NOM.- BLOCOS PAN'!$D51,'CAPEX - BLOCOS PAN'!$C$3:$AA$52,25,FALSE)</f>
        <v>-587876.64350000001</v>
      </c>
      <c r="AB51" s="1">
        <f>'RECEITAS - BLOCOS PAN'!AB51-'OPEX - BLOCOS PAN'!AB51-VLOOKUP('FLUXO DE CAIXA NOM.- BLOCOS PAN'!$D51,'CAPEX - BLOCOS PAN'!$C$3:$AB$52,26,FALSE)</f>
        <v>-587876.64350000001</v>
      </c>
      <c r="AC51" s="1">
        <f>'RECEITAS - BLOCOS PAN'!AC51-'OPEX - BLOCOS PAN'!AC51-VLOOKUP('FLUXO DE CAIXA NOM.- BLOCOS PAN'!$D51,'CAPEX - BLOCOS PAN'!$C$3:$AC$52,27,FALSE)</f>
        <v>-587876.64350000001</v>
      </c>
      <c r="AD51" s="1">
        <f>'RECEITAS - BLOCOS PAN'!AD51-'OPEX - BLOCOS PAN'!AD51-VLOOKUP('FLUXO DE CAIXA NOM.- BLOCOS PAN'!$D51,'CAPEX - BLOCOS PAN'!$C$3:$AD$52,28,FALSE)</f>
        <v>-587876.64350000001</v>
      </c>
      <c r="AE51" s="1">
        <f>'RECEITAS - BLOCOS PAN'!AE51-'OPEX - BLOCOS PAN'!AE51-VLOOKUP('FLUXO DE CAIXA NOM.- BLOCOS PAN'!$D51,'CAPEX - BLOCOS PAN'!$C$3:$AE$52,29,FALSE)</f>
        <v>-587876.64350000001</v>
      </c>
      <c r="AF51" s="1">
        <f>'RECEITAS - BLOCOS PAN'!AF51-'OPEX - BLOCOS PAN'!AF51-VLOOKUP('FLUXO DE CAIXA NOM.- BLOCOS PAN'!$D51,'CAPEX - BLOCOS PAN'!$C$3:$AF$52,30,FALSE)</f>
        <v>-587876.64350000001</v>
      </c>
      <c r="AG51" s="1">
        <f>'RECEITAS - BLOCOS PAN'!AG51-'OPEX - BLOCOS PAN'!AG51-VLOOKUP('FLUXO DE CAIXA NOM.- BLOCOS PAN'!$D51,'CAPEX - BLOCOS PAN'!$C$3:$AG$52,31,FALSE)</f>
        <v>-587876.64350000001</v>
      </c>
      <c r="AH51" s="1">
        <f>'RECEITAS - BLOCOS PAN'!AH51-'OPEX - BLOCOS PAN'!AH51-VLOOKUP('FLUXO DE CAIXA NOM.- BLOCOS PAN'!$D51,'CAPEX - BLOCOS PAN'!$C$3:$AH$52,32,FALSE)</f>
        <v>-587876.64350000001</v>
      </c>
      <c r="AI51" s="1">
        <f>'RECEITAS - BLOCOS PAN'!AI51-'OPEX - BLOCOS PAN'!AI51-VLOOKUP('FLUXO DE CAIXA NOM.- BLOCOS PAN'!$D51,'CAPEX - BLOCOS PAN'!$C$3:$AI$52,33,FALSE)</f>
        <v>-587876.64350000001</v>
      </c>
      <c r="AJ51" s="1">
        <f>'RECEITAS - BLOCOS PAN'!AJ51-'OPEX - BLOCOS PAN'!AJ51-VLOOKUP('FLUXO DE CAIXA NOM.- BLOCOS PAN'!$D51,'CAPEX - BLOCOS PAN'!$C$3:$AJ$52,34,FALSE)</f>
        <v>-587876.64350000001</v>
      </c>
      <c r="AK51" s="1">
        <f>'RECEITAS - BLOCOS PAN'!AK51-'OPEX - BLOCOS PAN'!AK51-VLOOKUP('FLUXO DE CAIXA NOM.- BLOCOS PAN'!$D51,'CAPEX - BLOCOS PAN'!$C$3:$AK$52,35,FALSE)</f>
        <v>-587876.64350000001</v>
      </c>
      <c r="AL51" s="44">
        <f t="shared" si="5"/>
        <v>-51775910.552324437</v>
      </c>
      <c r="AM51" t="str">
        <f>VLOOKUP(D51,'FLUXO DE CAIXA DESC.-BLOCOS PAN'!$D$3:$AO$52,38,FALSE)</f>
        <v>AM - 2 - AL</v>
      </c>
    </row>
    <row r="52" spans="1:39" x14ac:dyDescent="0.35">
      <c r="A52" t="s">
        <v>160</v>
      </c>
      <c r="B52" s="5" t="s">
        <v>276</v>
      </c>
      <c r="C52">
        <v>130014</v>
      </c>
      <c r="D52" t="s">
        <v>300</v>
      </c>
      <c r="E52" t="str">
        <f>VLOOKUP(A52,'CAPEX Manut. Estr_Naveg. Aérea'!$A$2:$B$38,2,FALSE)</f>
        <v>Apuí</v>
      </c>
      <c r="F52" t="s">
        <v>35</v>
      </c>
      <c r="G52" t="s">
        <v>33</v>
      </c>
      <c r="H52" s="1">
        <f>'RECEITAS - BLOCOS PAN'!H52-'OPEX - BLOCOS PAN'!H52-VLOOKUP('FLUXO DE CAIXA NOM.- BLOCOS PAN'!$D52,'CAPEX - BLOCOS PAN'!$C$3:$H$52,6,FALSE)</f>
        <v>-10728979.762042485</v>
      </c>
      <c r="I52" s="1">
        <f>'RECEITAS - BLOCOS PAN'!I52-'OPEX - BLOCOS PAN'!I52-VLOOKUP('FLUXO DE CAIXA NOM.- BLOCOS PAN'!$D52,'CAPEX - BLOCOS PAN'!$C$3:$I$52,7,FALSE)</f>
        <v>-10728979.762042485</v>
      </c>
      <c r="J52" s="1">
        <f>'RECEITAS - BLOCOS PAN'!J52-'OPEX - BLOCOS PAN'!J52-VLOOKUP('FLUXO DE CAIXA NOM.- BLOCOS PAN'!$D52,'CAPEX - BLOCOS PAN'!$C$3:$J$52,8,FALSE)</f>
        <v>-10728979.762042485</v>
      </c>
      <c r="K52" s="1">
        <f>'RECEITAS - BLOCOS PAN'!K52-'OPEX - BLOCOS PAN'!K52-VLOOKUP('FLUXO DE CAIXA NOM.- BLOCOS PAN'!$D52,'CAPEX - BLOCOS PAN'!$C$3:$K$52,9,FALSE)</f>
        <v>-591475.50490000006</v>
      </c>
      <c r="L52" s="1">
        <f>'RECEITAS - BLOCOS PAN'!L52-'OPEX - BLOCOS PAN'!L52-VLOOKUP('FLUXO DE CAIXA NOM.- BLOCOS PAN'!$D52,'CAPEX - BLOCOS PAN'!$C$3:$L$52,10,FALSE)</f>
        <v>-591475.50490000006</v>
      </c>
      <c r="M52" s="1">
        <f>'RECEITAS - BLOCOS PAN'!M52-'OPEX - BLOCOS PAN'!M52-VLOOKUP('FLUXO DE CAIXA NOM.- BLOCOS PAN'!$D52,'CAPEX - BLOCOS PAN'!$C$3:$M$52,11,FALSE)</f>
        <v>-591475.50490000006</v>
      </c>
      <c r="N52" s="1">
        <f>'RECEITAS - BLOCOS PAN'!N52-'OPEX - BLOCOS PAN'!N52-VLOOKUP('FLUXO DE CAIXA NOM.- BLOCOS PAN'!$D52,'CAPEX - BLOCOS PAN'!$C$3:$N$52,12,FALSE)</f>
        <v>-591475.50490000006</v>
      </c>
      <c r="O52" s="1">
        <f>'RECEITAS - BLOCOS PAN'!O52-'OPEX - BLOCOS PAN'!O52-VLOOKUP('FLUXO DE CAIXA NOM.- BLOCOS PAN'!$D52,'CAPEX - BLOCOS PAN'!$C$3:$O$52,13,FALSE)</f>
        <v>-591475.50490000006</v>
      </c>
      <c r="P52" s="1">
        <f>'RECEITAS - BLOCOS PAN'!P52-'OPEX - BLOCOS PAN'!P52-VLOOKUP('FLUXO DE CAIXA NOM.- BLOCOS PAN'!$D52,'CAPEX - BLOCOS PAN'!$C$3:$P$52,14,FALSE)</f>
        <v>-591475.50490000006</v>
      </c>
      <c r="Q52" s="1">
        <f>'RECEITAS - BLOCOS PAN'!Q52-'OPEX - BLOCOS PAN'!Q52-VLOOKUP('FLUXO DE CAIXA NOM.- BLOCOS PAN'!$D52,'CAPEX - BLOCOS PAN'!$C$3:$Q$52,15,FALSE)</f>
        <v>-591475.50490000006</v>
      </c>
      <c r="R52" s="1">
        <f>'RECEITAS - BLOCOS PAN'!R52-'OPEX - BLOCOS PAN'!R52-VLOOKUP('FLUXO DE CAIXA NOM.- BLOCOS PAN'!$D52,'CAPEX - BLOCOS PAN'!$C$3:$R$52,16,FALSE)</f>
        <v>-591475.50490000006</v>
      </c>
      <c r="S52" s="1">
        <f>'RECEITAS - BLOCOS PAN'!S52-'OPEX - BLOCOS PAN'!S52-VLOOKUP('FLUXO DE CAIXA NOM.- BLOCOS PAN'!$D52,'CAPEX - BLOCOS PAN'!$C$3:$S$52,17,FALSE)</f>
        <v>-591475.50490000006</v>
      </c>
      <c r="T52" s="1">
        <f>'RECEITAS - BLOCOS PAN'!T52-'OPEX - BLOCOS PAN'!T52-VLOOKUP('FLUXO DE CAIXA NOM.- BLOCOS PAN'!$D52,'CAPEX - BLOCOS PAN'!$C$3:$T$52,18,FALSE)</f>
        <v>-591475.50490000006</v>
      </c>
      <c r="U52" s="1">
        <f>'RECEITAS - BLOCOS PAN'!U52-'OPEX - BLOCOS PAN'!U52-VLOOKUP('FLUXO DE CAIXA NOM.- BLOCOS PAN'!$D52,'CAPEX - BLOCOS PAN'!$C$3:$U$52,19,FALSE)</f>
        <v>-591475.50490000006</v>
      </c>
      <c r="V52" s="1">
        <f>'RECEITAS - BLOCOS PAN'!V52-'OPEX - BLOCOS PAN'!V52-VLOOKUP('FLUXO DE CAIXA NOM.- BLOCOS PAN'!$D52,'CAPEX - BLOCOS PAN'!$C$3:$V$52,20,FALSE)</f>
        <v>-591475.50490000006</v>
      </c>
      <c r="W52" s="1">
        <f>'RECEITAS - BLOCOS PAN'!W52-'OPEX - BLOCOS PAN'!W52-VLOOKUP('FLUXO DE CAIXA NOM.- BLOCOS PAN'!$D52,'CAPEX - BLOCOS PAN'!$C$3:$W$52,21,FALSE)</f>
        <v>-591475.50490000006</v>
      </c>
      <c r="X52" s="1">
        <f>'RECEITAS - BLOCOS PAN'!X52-'OPEX - BLOCOS PAN'!X52-VLOOKUP('FLUXO DE CAIXA NOM.- BLOCOS PAN'!$D52,'CAPEX - BLOCOS PAN'!$C$3:$X$52,22,FALSE)</f>
        <v>-591475.50490000006</v>
      </c>
      <c r="Y52" s="1">
        <f>'RECEITAS - BLOCOS PAN'!Y52-'OPEX - BLOCOS PAN'!Y52-VLOOKUP('FLUXO DE CAIXA NOM.- BLOCOS PAN'!$D52,'CAPEX - BLOCOS PAN'!$C$3:$Y$52,23,FALSE)</f>
        <v>-591475.50490000006</v>
      </c>
      <c r="Z52" s="1">
        <f>'RECEITAS - BLOCOS PAN'!Z52-'OPEX - BLOCOS PAN'!Z52-VLOOKUP('FLUXO DE CAIXA NOM.- BLOCOS PAN'!$D52,'CAPEX - BLOCOS PAN'!$C$3:$Z$52,24,FALSE)</f>
        <v>-591475.50490000006</v>
      </c>
      <c r="AA52" s="1">
        <f>'RECEITAS - BLOCOS PAN'!AA52-'OPEX - BLOCOS PAN'!AA52-VLOOKUP('FLUXO DE CAIXA NOM.- BLOCOS PAN'!$D52,'CAPEX - BLOCOS PAN'!$C$3:$AA$52,25,FALSE)</f>
        <v>-591475.50490000006</v>
      </c>
      <c r="AB52" s="1">
        <f>'RECEITAS - BLOCOS PAN'!AB52-'OPEX - BLOCOS PAN'!AB52-VLOOKUP('FLUXO DE CAIXA NOM.- BLOCOS PAN'!$D52,'CAPEX - BLOCOS PAN'!$C$3:$AB$52,26,FALSE)</f>
        <v>-591475.50490000006</v>
      </c>
      <c r="AC52" s="1">
        <f>'RECEITAS - BLOCOS PAN'!AC52-'OPEX - BLOCOS PAN'!AC52-VLOOKUP('FLUXO DE CAIXA NOM.- BLOCOS PAN'!$D52,'CAPEX - BLOCOS PAN'!$C$3:$AC$52,27,FALSE)</f>
        <v>-591475.50490000006</v>
      </c>
      <c r="AD52" s="1">
        <f>'RECEITAS - BLOCOS PAN'!AD52-'OPEX - BLOCOS PAN'!AD52-VLOOKUP('FLUXO DE CAIXA NOM.- BLOCOS PAN'!$D52,'CAPEX - BLOCOS PAN'!$C$3:$AD$52,28,FALSE)</f>
        <v>-591475.50490000006</v>
      </c>
      <c r="AE52" s="1">
        <f>'RECEITAS - BLOCOS PAN'!AE52-'OPEX - BLOCOS PAN'!AE52-VLOOKUP('FLUXO DE CAIXA NOM.- BLOCOS PAN'!$D52,'CAPEX - BLOCOS PAN'!$C$3:$AE$52,29,FALSE)</f>
        <v>-591475.50490000006</v>
      </c>
      <c r="AF52" s="1">
        <f>'RECEITAS - BLOCOS PAN'!AF52-'OPEX - BLOCOS PAN'!AF52-VLOOKUP('FLUXO DE CAIXA NOM.- BLOCOS PAN'!$D52,'CAPEX - BLOCOS PAN'!$C$3:$AF$52,30,FALSE)</f>
        <v>-591475.50490000006</v>
      </c>
      <c r="AG52" s="1">
        <f>'RECEITAS - BLOCOS PAN'!AG52-'OPEX - BLOCOS PAN'!AG52-VLOOKUP('FLUXO DE CAIXA NOM.- BLOCOS PAN'!$D52,'CAPEX - BLOCOS PAN'!$C$3:$AG$52,31,FALSE)</f>
        <v>-591475.50490000006</v>
      </c>
      <c r="AH52" s="1">
        <f>'RECEITAS - BLOCOS PAN'!AH52-'OPEX - BLOCOS PAN'!AH52-VLOOKUP('FLUXO DE CAIXA NOM.- BLOCOS PAN'!$D52,'CAPEX - BLOCOS PAN'!$C$3:$AH$52,32,FALSE)</f>
        <v>-591475.50490000006</v>
      </c>
      <c r="AI52" s="1">
        <f>'RECEITAS - BLOCOS PAN'!AI52-'OPEX - BLOCOS PAN'!AI52-VLOOKUP('FLUXO DE CAIXA NOM.- BLOCOS PAN'!$D52,'CAPEX - BLOCOS PAN'!$C$3:$AI$52,33,FALSE)</f>
        <v>-591475.50490000006</v>
      </c>
      <c r="AJ52" s="1">
        <f>'RECEITAS - BLOCOS PAN'!AJ52-'OPEX - BLOCOS PAN'!AJ52-VLOOKUP('FLUXO DE CAIXA NOM.- BLOCOS PAN'!$D52,'CAPEX - BLOCOS PAN'!$C$3:$AJ$52,34,FALSE)</f>
        <v>-591475.50490000006</v>
      </c>
      <c r="AK52" s="1">
        <f>'RECEITAS - BLOCOS PAN'!AK52-'OPEX - BLOCOS PAN'!AK52-VLOOKUP('FLUXO DE CAIXA NOM.- BLOCOS PAN'!$D52,'CAPEX - BLOCOS PAN'!$C$3:$AK$52,35,FALSE)</f>
        <v>-591475.50490000006</v>
      </c>
      <c r="AL52" s="44">
        <f t="shared" si="5"/>
        <v>-48156777.918427482</v>
      </c>
      <c r="AM52" t="str">
        <f>VLOOKUP(D52,'FLUXO DE CAIXA DESC.-BLOCOS PAN'!$D$3:$AO$52,38,FALSE)</f>
        <v>AM - 3 - AL</v>
      </c>
    </row>
    <row r="53" spans="1:39" x14ac:dyDescent="0.35">
      <c r="H53" s="69">
        <f>SUBTOTAL(109,H3:H52)</f>
        <v>-1231110055.3977883</v>
      </c>
      <c r="I53" s="69">
        <f>SUBTOTAL(109,I3:I52)</f>
        <v>-1229910942.6359885</v>
      </c>
      <c r="J53" s="69">
        <f>SUBTOTAL(109,J3:J52)</f>
        <v>-1231092847.3197882</v>
      </c>
      <c r="K53" s="69">
        <f>SUBTOTAL(109,K3:K52)</f>
        <v>-101510954.6093</v>
      </c>
      <c r="L53" s="69">
        <f>SUBTOTAL(109,L3:L52)</f>
        <v>-102776069.63589999</v>
      </c>
      <c r="M53" s="69">
        <f>SUBTOTAL(109,M3:M52)</f>
        <v>-102044894.3777</v>
      </c>
      <c r="N53" s="69">
        <f>SUBTOTAL(109,N3:N52)</f>
        <v>-101958705.2679</v>
      </c>
      <c r="O53" s="69">
        <f>SUBTOTAL(109,O3:O52)</f>
        <v>-101452486.12269998</v>
      </c>
      <c r="P53" s="69">
        <f>SUBTOTAL(109,P3:P52)</f>
        <v>-100805895.28739999</v>
      </c>
      <c r="Q53" s="69">
        <f>SUBTOTAL(109,Q3:Q52)</f>
        <v>-100732169.93710002</v>
      </c>
      <c r="R53" s="69">
        <f>SUBTOTAL(109,R3:R52)</f>
        <v>-100177796.36949998</v>
      </c>
      <c r="S53" s="69">
        <f>SUBTOTAL(109,S3:S52)</f>
        <v>-99922962.098000035</v>
      </c>
      <c r="T53" s="69">
        <f>SUBTOTAL(109,T3:T52)</f>
        <v>-99371585.264199972</v>
      </c>
      <c r="U53" s="69">
        <f>SUBTOTAL(109,U3:U52)</f>
        <v>-98788742.878299996</v>
      </c>
      <c r="V53" s="69">
        <f>SUBTOTAL(109,V3:V52)</f>
        <v>-98225429.5995</v>
      </c>
      <c r="W53" s="69">
        <f>SUBTOTAL(109,W3:W52)</f>
        <v>-98408578.517699972</v>
      </c>
      <c r="X53" s="69">
        <f>SUBTOTAL(109,X3:X52)</f>
        <v>-98879493.080200016</v>
      </c>
      <c r="Y53" s="69">
        <f>SUBTOTAL(109,Y3:Y52)</f>
        <v>-98288859.500999972</v>
      </c>
      <c r="Z53" s="69">
        <f>SUBTOTAL(109,Z3:Z52)</f>
        <v>-97675163.214899987</v>
      </c>
      <c r="AA53" s="69">
        <f>SUBTOTAL(109,AA3:AA52)</f>
        <v>-98132322.220599979</v>
      </c>
      <c r="AB53" s="69">
        <f>SUBTOTAL(109,AB3:AB52)</f>
        <v>-97514071.947899997</v>
      </c>
      <c r="AC53" s="69">
        <f>SUBTOTAL(109,AC3:AC52)</f>
        <v>-96904045.987599999</v>
      </c>
      <c r="AD53" s="69">
        <f>SUBTOTAL(109,AD3:AD52)</f>
        <v>-97481275.635499999</v>
      </c>
      <c r="AE53" s="69">
        <f>SUBTOTAL(109,AE3:AE52)</f>
        <v>-96897485.198500007</v>
      </c>
      <c r="AF53" s="69">
        <f>SUBTOTAL(109,AF3:AF52)</f>
        <v>-96290759.521999985</v>
      </c>
      <c r="AG53" s="69">
        <f>SUBTOTAL(109,AG3:AG52)</f>
        <v>-96233444.06840001</v>
      </c>
      <c r="AH53" s="69">
        <f>SUBTOTAL(109,AH3:AH52)</f>
        <v>-98830671.940599993</v>
      </c>
      <c r="AI53" s="69">
        <f>SUBTOTAL(109,AI3:AI52)</f>
        <v>-98239962.777300015</v>
      </c>
      <c r="AJ53" s="69">
        <f>SUBTOTAL(109,AJ3:AJ52)</f>
        <v>-97781411.539899975</v>
      </c>
      <c r="AK53" s="69">
        <f>SUBTOTAL(109,AK3:AK52)</f>
        <v>-98208006.521300003</v>
      </c>
      <c r="AL53" s="69">
        <f>SUBTOTAL(109,AL3:AL52)</f>
        <v>-6365647088.4744625</v>
      </c>
    </row>
    <row r="54" spans="1:39" x14ac:dyDescent="0.35">
      <c r="H54" s="69">
        <f>H53</f>
        <v>-1231110055.3977883</v>
      </c>
      <c r="I54" s="69">
        <f>H54+I53</f>
        <v>-2461020998.0337768</v>
      </c>
      <c r="J54" s="69">
        <f t="shared" ref="J54:AK54" si="7">I54+J53</f>
        <v>-3692113845.3535652</v>
      </c>
      <c r="K54" s="69">
        <f t="shared" si="7"/>
        <v>-3793624799.9628654</v>
      </c>
      <c r="L54" s="69">
        <f t="shared" si="7"/>
        <v>-3896400869.5987654</v>
      </c>
      <c r="M54" s="69">
        <f t="shared" si="7"/>
        <v>-3998445763.9764652</v>
      </c>
      <c r="N54" s="69">
        <f t="shared" si="7"/>
        <v>-4100404469.2443652</v>
      </c>
      <c r="O54" s="69">
        <f t="shared" si="7"/>
        <v>-4201856955.3670654</v>
      </c>
      <c r="P54" s="69">
        <f t="shared" si="7"/>
        <v>-4302662850.6544657</v>
      </c>
      <c r="Q54" s="69">
        <f t="shared" si="7"/>
        <v>-4403395020.5915661</v>
      </c>
      <c r="R54" s="69">
        <f t="shared" si="7"/>
        <v>-4503572816.9610662</v>
      </c>
      <c r="S54" s="69">
        <f t="shared" si="7"/>
        <v>-4603495779.0590658</v>
      </c>
      <c r="T54" s="69">
        <f t="shared" si="7"/>
        <v>-4702867364.323266</v>
      </c>
      <c r="U54" s="69">
        <f t="shared" si="7"/>
        <v>-4801656107.2015657</v>
      </c>
      <c r="V54" s="69">
        <f t="shared" si="7"/>
        <v>-4899881536.8010654</v>
      </c>
      <c r="W54" s="69">
        <f t="shared" si="7"/>
        <v>-4998290115.3187656</v>
      </c>
      <c r="X54" s="69">
        <f t="shared" si="7"/>
        <v>-5097169608.3989658</v>
      </c>
      <c r="Y54" s="69">
        <f t="shared" si="7"/>
        <v>-5195458467.8999662</v>
      </c>
      <c r="Z54" s="69">
        <f t="shared" si="7"/>
        <v>-5293133631.1148663</v>
      </c>
      <c r="AA54" s="69">
        <f t="shared" si="7"/>
        <v>-5391265953.3354664</v>
      </c>
      <c r="AB54" s="69">
        <f t="shared" si="7"/>
        <v>-5488780025.2833662</v>
      </c>
      <c r="AC54" s="69">
        <f t="shared" si="7"/>
        <v>-5585684071.2709665</v>
      </c>
      <c r="AD54" s="69">
        <f t="shared" si="7"/>
        <v>-5683165346.9064665</v>
      </c>
      <c r="AE54" s="69">
        <f t="shared" si="7"/>
        <v>-5780062832.1049662</v>
      </c>
      <c r="AF54" s="69">
        <f t="shared" si="7"/>
        <v>-5876353591.6269665</v>
      </c>
      <c r="AG54" s="69">
        <f t="shared" si="7"/>
        <v>-5972587035.6953669</v>
      </c>
      <c r="AH54" s="69">
        <f t="shared" si="7"/>
        <v>-6071417707.6359673</v>
      </c>
      <c r="AI54" s="69">
        <f t="shared" si="7"/>
        <v>-6169657670.4132671</v>
      </c>
      <c r="AJ54" s="69">
        <f t="shared" si="7"/>
        <v>-6267439081.953167</v>
      </c>
      <c r="AK54" s="69">
        <f t="shared" si="7"/>
        <v>-6365647088.4744673</v>
      </c>
    </row>
    <row r="59" spans="1:39" x14ac:dyDescent="0.35">
      <c r="A59" s="63" t="s">
        <v>354</v>
      </c>
    </row>
  </sheetData>
  <autoFilter ref="A2:AM2" xr:uid="{7465DE03-B81E-45D9-A69D-479AC3B51F78}"/>
  <conditionalFormatting sqref="D47:D52 D3:D38">
    <cfRule type="duplicateValues" dxfId="22" priority="261"/>
  </conditionalFormatting>
  <hyperlinks>
    <hyperlink ref="A59" location="Introdução!A1" display="Introdução!A1" xr:uid="{BF77D40E-CDF2-42C4-B4DC-69F1057116E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9C07-6709-46B2-80CF-1F4B955233A0}">
  <sheetPr>
    <tabColor rgb="FF00B0F0"/>
  </sheetPr>
  <dimension ref="A1:AW59"/>
  <sheetViews>
    <sheetView topLeftCell="A13" workbookViewId="0">
      <pane xSplit="5" topLeftCell="F1" activePane="topRight" state="frozen"/>
      <selection pane="topRight" activeCell="A46" sqref="A46:XFD46"/>
    </sheetView>
  </sheetViews>
  <sheetFormatPr defaultRowHeight="14.5" x14ac:dyDescent="0.35"/>
  <cols>
    <col min="1" max="1" width="7" bestFit="1" customWidth="1"/>
    <col min="2" max="2" width="22.26953125" customWidth="1"/>
    <col min="3" max="3" width="13.1796875" bestFit="1" customWidth="1"/>
    <col min="4" max="4" width="16.54296875" customWidth="1"/>
    <col min="5" max="5" width="3.81640625" bestFit="1" customWidth="1"/>
    <col min="6" max="7" width="11.81640625" customWidth="1"/>
    <col min="8" max="10" width="19.7265625" bestFit="1" customWidth="1"/>
    <col min="11" max="20" width="18" bestFit="1" customWidth="1"/>
    <col min="21" max="21" width="19" bestFit="1" customWidth="1"/>
    <col min="22" max="22" width="18.54296875" bestFit="1" customWidth="1"/>
    <col min="23" max="24" width="17.54296875" bestFit="1" customWidth="1"/>
    <col min="25" max="25" width="18" bestFit="1" customWidth="1"/>
    <col min="26" max="26" width="16.81640625" bestFit="1" customWidth="1"/>
    <col min="27" max="32" width="18" bestFit="1" customWidth="1"/>
    <col min="33" max="33" width="16.81640625" bestFit="1" customWidth="1"/>
    <col min="34" max="37" width="18" bestFit="1" customWidth="1"/>
    <col min="38" max="38" width="9.54296875" bestFit="1" customWidth="1"/>
    <col min="39" max="39" width="19.54296875" bestFit="1" customWidth="1"/>
    <col min="40" max="40" width="21.7265625" bestFit="1" customWidth="1"/>
    <col min="41" max="41" width="10.7265625" bestFit="1" customWidth="1"/>
    <col min="42" max="42" width="11.54296875" customWidth="1"/>
    <col min="43" max="43" width="11.1796875" customWidth="1"/>
    <col min="44" max="44" width="11.1796875" bestFit="1" customWidth="1"/>
    <col min="45" max="45" width="11.26953125" customWidth="1"/>
    <col min="46" max="47" width="11.1796875" bestFit="1" customWidth="1"/>
    <col min="48" max="48" width="28.7265625" bestFit="1" customWidth="1"/>
    <col min="49" max="49" width="12.81640625" bestFit="1" customWidth="1"/>
  </cols>
  <sheetData>
    <row r="1" spans="1:4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249</v>
      </c>
      <c r="I1" s="2" t="s">
        <v>249</v>
      </c>
      <c r="J1" s="2" t="s">
        <v>249</v>
      </c>
      <c r="K1" s="2" t="s">
        <v>249</v>
      </c>
      <c r="L1" s="2" t="s">
        <v>249</v>
      </c>
      <c r="M1" s="2" t="s">
        <v>249</v>
      </c>
      <c r="N1" s="2" t="s">
        <v>249</v>
      </c>
      <c r="O1" s="2" t="s">
        <v>249</v>
      </c>
      <c r="P1" s="2" t="s">
        <v>249</v>
      </c>
      <c r="Q1" s="2" t="s">
        <v>249</v>
      </c>
      <c r="R1" s="2" t="s">
        <v>249</v>
      </c>
      <c r="S1" s="2" t="s">
        <v>249</v>
      </c>
      <c r="T1" s="2" t="s">
        <v>249</v>
      </c>
      <c r="U1" s="2" t="s">
        <v>249</v>
      </c>
      <c r="V1" s="2" t="s">
        <v>249</v>
      </c>
      <c r="W1" s="2" t="s">
        <v>249</v>
      </c>
      <c r="X1" s="2" t="s">
        <v>249</v>
      </c>
      <c r="Y1" s="2" t="s">
        <v>249</v>
      </c>
      <c r="Z1" s="2" t="s">
        <v>249</v>
      </c>
      <c r="AA1" s="2" t="s">
        <v>249</v>
      </c>
      <c r="AB1" s="2" t="s">
        <v>249</v>
      </c>
      <c r="AC1" s="2" t="s">
        <v>249</v>
      </c>
      <c r="AD1" s="2" t="s">
        <v>249</v>
      </c>
      <c r="AE1" s="2" t="s">
        <v>249</v>
      </c>
      <c r="AF1" s="2" t="s">
        <v>249</v>
      </c>
      <c r="AG1" s="2" t="s">
        <v>249</v>
      </c>
      <c r="AH1" s="2" t="s">
        <v>249</v>
      </c>
      <c r="AI1" s="2" t="s">
        <v>249</v>
      </c>
      <c r="AJ1" s="2" t="s">
        <v>249</v>
      </c>
      <c r="AK1" s="2" t="s">
        <v>249</v>
      </c>
      <c r="AL1" s="2" t="s">
        <v>249</v>
      </c>
      <c r="AM1" s="2" t="s">
        <v>249</v>
      </c>
      <c r="AN1" s="2" t="s">
        <v>363</v>
      </c>
      <c r="AO1" s="2" t="s">
        <v>11</v>
      </c>
      <c r="AP1" s="2" t="s">
        <v>12</v>
      </c>
      <c r="AQ1" s="2"/>
      <c r="AR1" s="2"/>
      <c r="AS1" s="2" t="s">
        <v>13</v>
      </c>
      <c r="AT1" s="2"/>
      <c r="AU1" s="2"/>
      <c r="AV1" s="2" t="s">
        <v>355</v>
      </c>
    </row>
    <row r="2" spans="1:49" x14ac:dyDescent="0.35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2" t="s">
        <v>14</v>
      </c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43">
        <v>31</v>
      </c>
      <c r="AM2" s="2" t="s">
        <v>250</v>
      </c>
      <c r="AN2" s="68" t="s">
        <v>363</v>
      </c>
      <c r="AO2" s="2"/>
      <c r="AP2" s="2" t="s">
        <v>26</v>
      </c>
      <c r="AQ2" s="2" t="s">
        <v>27</v>
      </c>
      <c r="AR2" s="2" t="s">
        <v>28</v>
      </c>
      <c r="AS2" s="2" t="s">
        <v>26</v>
      </c>
      <c r="AT2" s="2" t="s">
        <v>27</v>
      </c>
      <c r="AU2" s="2" t="s">
        <v>28</v>
      </c>
      <c r="AV2" s="43" t="s">
        <v>303</v>
      </c>
      <c r="AW2" s="2" t="s">
        <v>361</v>
      </c>
    </row>
    <row r="3" spans="1:49" x14ac:dyDescent="0.35">
      <c r="A3" t="s">
        <v>43</v>
      </c>
      <c r="B3" t="s">
        <v>44</v>
      </c>
      <c r="C3" t="s">
        <v>45</v>
      </c>
      <c r="D3" t="s">
        <v>44</v>
      </c>
      <c r="E3" t="s">
        <v>29</v>
      </c>
      <c r="F3" t="s">
        <v>33</v>
      </c>
      <c r="G3" t="s">
        <v>34</v>
      </c>
      <c r="H3" s="1">
        <f>'CAPEX - BLOCOS PAN S- MULT.'!H3*$C$56</f>
        <v>45106666.666666664</v>
      </c>
      <c r="I3" s="1">
        <f>'CAPEX - BLOCOS PAN S- MULT.'!I3*$C$56</f>
        <v>45106666.666666664</v>
      </c>
      <c r="J3" s="1">
        <f>'CAPEX - BLOCOS PAN S- MULT.'!J3*$C$56</f>
        <v>45106666.666666664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f>SUM(H3:AL3)</f>
        <v>135320000</v>
      </c>
      <c r="AN3" s="71">
        <v>0</v>
      </c>
      <c r="AO3" s="3">
        <v>1</v>
      </c>
      <c r="AP3" s="3" t="s">
        <v>171</v>
      </c>
      <c r="AQ3" s="3">
        <v>2045</v>
      </c>
      <c r="AR3" s="3">
        <v>2025</v>
      </c>
      <c r="AS3" s="3" t="s">
        <v>171</v>
      </c>
      <c r="AT3" s="3">
        <v>3</v>
      </c>
      <c r="AU3" s="3">
        <v>2</v>
      </c>
      <c r="AV3" t="str">
        <f>VLOOKUP(C3,'FLUXO DE CAIXA DESC.-BLOCOS PAN'!$D$3:$AO$52,38,FALSE)</f>
        <v>PA - 1 - AL</v>
      </c>
      <c r="AW3" t="s">
        <v>39</v>
      </c>
    </row>
    <row r="4" spans="1:49" x14ac:dyDescent="0.35">
      <c r="A4" t="s">
        <v>46</v>
      </c>
      <c r="B4" t="s">
        <v>47</v>
      </c>
      <c r="C4" t="s">
        <v>48</v>
      </c>
      <c r="D4" t="s">
        <v>49</v>
      </c>
      <c r="E4" t="s">
        <v>40</v>
      </c>
      <c r="F4" t="s">
        <v>33</v>
      </c>
      <c r="G4" t="s">
        <v>34</v>
      </c>
      <c r="H4" s="1">
        <f>'CAPEX - BLOCOS PAN S- MULT.'!H4*$C$55</f>
        <v>28092500</v>
      </c>
      <c r="I4" s="1">
        <f>'CAPEX - BLOCOS PAN S- MULT.'!I4*$C$55</f>
        <v>28092500</v>
      </c>
      <c r="J4" s="1">
        <f>'CAPEX - BLOCOS PAN S- MULT.'!J4*$C$55</f>
        <v>28092500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f t="shared" ref="AM4:AM52" si="0">SUM(H4:AL4)</f>
        <v>84277500</v>
      </c>
      <c r="AN4" s="71">
        <v>0</v>
      </c>
      <c r="AO4" s="3">
        <v>1</v>
      </c>
      <c r="AP4" s="3" t="s">
        <v>171</v>
      </c>
      <c r="AQ4" s="3">
        <v>2039</v>
      </c>
      <c r="AR4" s="3">
        <v>2025</v>
      </c>
      <c r="AS4" s="3" t="s">
        <v>171</v>
      </c>
      <c r="AT4" s="3">
        <v>3</v>
      </c>
      <c r="AU4" s="3">
        <v>2</v>
      </c>
      <c r="AV4" t="str">
        <f>VLOOKUP(C4,'FLUXO DE CAIXA DESC.-BLOCOS PAN'!$D$3:$AO$52,38,FALSE)</f>
        <v>Bloco Nordeste</v>
      </c>
      <c r="AW4" t="s">
        <v>362</v>
      </c>
    </row>
    <row r="5" spans="1:49" x14ac:dyDescent="0.35">
      <c r="A5" t="s">
        <v>50</v>
      </c>
      <c r="B5" t="s">
        <v>51</v>
      </c>
      <c r="C5" t="s">
        <v>52</v>
      </c>
      <c r="D5" t="s">
        <v>51</v>
      </c>
      <c r="E5" t="s">
        <v>35</v>
      </c>
      <c r="F5" t="s">
        <v>33</v>
      </c>
      <c r="G5" t="s">
        <v>34</v>
      </c>
      <c r="H5" s="1">
        <f>'CAPEX - BLOCOS PAN S- MULT.'!H5*$C$56</f>
        <v>21471000</v>
      </c>
      <c r="I5" s="1">
        <f>'CAPEX - BLOCOS PAN S- MULT.'!I5*$C$56</f>
        <v>21471000</v>
      </c>
      <c r="J5" s="1">
        <f>'CAPEX - BLOCOS PAN S- MULT.'!J5*$C$56</f>
        <v>21471000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f t="shared" si="0"/>
        <v>64413000</v>
      </c>
      <c r="AN5" s="71">
        <f>VLOOKUP(A5,'[5]CAPEX - rubrica'!$B$2:$I$9,8,FALSE)</f>
        <v>65287004.632582746</v>
      </c>
      <c r="AO5" s="3">
        <v>0</v>
      </c>
      <c r="AP5" s="3" t="s">
        <v>171</v>
      </c>
      <c r="AQ5" s="3" t="s">
        <v>171</v>
      </c>
      <c r="AR5" s="3">
        <v>2026</v>
      </c>
      <c r="AS5" s="3" t="s">
        <v>171</v>
      </c>
      <c r="AT5" s="3" t="s">
        <v>171</v>
      </c>
      <c r="AU5" s="3">
        <v>1</v>
      </c>
      <c r="AV5" t="str">
        <f>VLOOKUP(C5,'FLUXO DE CAIXA DESC.-BLOCOS PAN'!$D$3:$AO$52,38,FALSE)</f>
        <v>AM - 2 - AL</v>
      </c>
      <c r="AW5" t="s">
        <v>39</v>
      </c>
    </row>
    <row r="6" spans="1:49" x14ac:dyDescent="0.35">
      <c r="A6" t="s">
        <v>54</v>
      </c>
      <c r="B6" t="s">
        <v>55</v>
      </c>
      <c r="C6" t="s">
        <v>56</v>
      </c>
      <c r="D6" t="s">
        <v>55</v>
      </c>
      <c r="E6" t="s">
        <v>30</v>
      </c>
      <c r="F6" t="s">
        <v>33</v>
      </c>
      <c r="G6" t="s">
        <v>34</v>
      </c>
      <c r="H6" s="1">
        <f>'CAPEX - BLOCOS PAN S- MULT.'!H6*$C$56</f>
        <v>23681000</v>
      </c>
      <c r="I6" s="1">
        <f>'CAPEX - BLOCOS PAN S- MULT.'!I6*$C$56</f>
        <v>23681000</v>
      </c>
      <c r="J6" s="1">
        <f>'CAPEX - BLOCOS PAN S- MULT.'!J6*$C$56</f>
        <v>23681000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f t="shared" si="0"/>
        <v>71043000</v>
      </c>
      <c r="AN6" s="71">
        <v>0</v>
      </c>
      <c r="AO6" s="3">
        <v>1</v>
      </c>
      <c r="AP6" s="3" t="s">
        <v>171</v>
      </c>
      <c r="AQ6" s="3" t="s">
        <v>171</v>
      </c>
      <c r="AR6" s="3">
        <v>2038</v>
      </c>
      <c r="AS6" s="3" t="s">
        <v>171</v>
      </c>
      <c r="AT6" s="3" t="s">
        <v>171</v>
      </c>
      <c r="AU6" s="3">
        <v>2</v>
      </c>
      <c r="AV6" t="str">
        <f>VLOOKUP(C6,'FLUXO DE CAIXA DESC.-BLOCOS PAN'!$D$3:$AO$52,38,FALSE)</f>
        <v>RO - 1 - AL</v>
      </c>
      <c r="AW6" t="s">
        <v>39</v>
      </c>
    </row>
    <row r="7" spans="1:49" x14ac:dyDescent="0.35">
      <c r="A7" t="s">
        <v>57</v>
      </c>
      <c r="B7" t="s">
        <v>58</v>
      </c>
      <c r="C7" t="s">
        <v>59</v>
      </c>
      <c r="D7" t="s">
        <v>58</v>
      </c>
      <c r="E7" t="s">
        <v>35</v>
      </c>
      <c r="F7" t="s">
        <v>33</v>
      </c>
      <c r="G7" t="s">
        <v>34</v>
      </c>
      <c r="H7" s="1">
        <f>'CAPEX - BLOCOS PAN S- MULT.'!H7*$C$56</f>
        <v>42925000</v>
      </c>
      <c r="I7" s="1">
        <f>'CAPEX - BLOCOS PAN S- MULT.'!I7*$C$56</f>
        <v>42925000</v>
      </c>
      <c r="J7" s="1">
        <f>'CAPEX - BLOCOS PAN S- MULT.'!J7*$C$56</f>
        <v>42925000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f t="shared" si="0"/>
        <v>128775000</v>
      </c>
      <c r="AN7" s="71">
        <v>0</v>
      </c>
      <c r="AO7" s="3">
        <v>3</v>
      </c>
      <c r="AP7" s="3" t="s">
        <v>171</v>
      </c>
      <c r="AQ7" s="3" t="s">
        <v>171</v>
      </c>
      <c r="AR7" s="3" t="s">
        <v>171</v>
      </c>
      <c r="AS7" s="3" t="s">
        <v>171</v>
      </c>
      <c r="AT7" s="3" t="s">
        <v>171</v>
      </c>
      <c r="AU7" s="3" t="s">
        <v>171</v>
      </c>
      <c r="AV7" t="str">
        <f>VLOOKUP(C7,'FLUXO DE CAIXA DESC.-BLOCOS PAN'!$D$3:$AO$52,38,FALSE)</f>
        <v>AM - 3 - AL</v>
      </c>
      <c r="AW7" t="s">
        <v>39</v>
      </c>
    </row>
    <row r="8" spans="1:49" x14ac:dyDescent="0.35">
      <c r="A8" t="s">
        <v>60</v>
      </c>
      <c r="B8" t="s">
        <v>61</v>
      </c>
      <c r="C8" t="s">
        <v>62</v>
      </c>
      <c r="D8" t="s">
        <v>63</v>
      </c>
      <c r="E8" t="s">
        <v>29</v>
      </c>
      <c r="F8" t="s">
        <v>33</v>
      </c>
      <c r="G8" t="s">
        <v>34</v>
      </c>
      <c r="H8" s="1">
        <f>'CAPEX - BLOCOS PAN S- MULT.'!H8*$C$56</f>
        <v>46812333.333333336</v>
      </c>
      <c r="I8" s="1">
        <f>'CAPEX - BLOCOS PAN S- MULT.'!I8*$C$56</f>
        <v>46812333.333333336</v>
      </c>
      <c r="J8" s="1">
        <f>'CAPEX - BLOCOS PAN S- MULT.'!J8*$C$56</f>
        <v>46812333.333333336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f t="shared" si="0"/>
        <v>140437000</v>
      </c>
      <c r="AN8" s="71">
        <v>0</v>
      </c>
      <c r="AO8" s="3">
        <v>1</v>
      </c>
      <c r="AP8" s="3" t="s">
        <v>171</v>
      </c>
      <c r="AQ8" s="3">
        <v>2042</v>
      </c>
      <c r="AR8" s="3">
        <v>2029</v>
      </c>
      <c r="AS8" s="3" t="s">
        <v>171</v>
      </c>
      <c r="AT8" s="3">
        <v>3</v>
      </c>
      <c r="AU8" s="3">
        <v>2</v>
      </c>
      <c r="AV8" t="str">
        <f>VLOOKUP(C8,'FLUXO DE CAIXA DESC.-BLOCOS PAN'!$D$3:$AO$52,38,FALSE)</f>
        <v>PA 3 - AL</v>
      </c>
      <c r="AW8" t="s">
        <v>39</v>
      </c>
    </row>
    <row r="9" spans="1:49" x14ac:dyDescent="0.35">
      <c r="A9" t="s">
        <v>64</v>
      </c>
      <c r="B9" t="s">
        <v>65</v>
      </c>
      <c r="C9" t="s">
        <v>66</v>
      </c>
      <c r="D9" t="s">
        <v>65</v>
      </c>
      <c r="E9" t="s">
        <v>35</v>
      </c>
      <c r="F9" t="s">
        <v>33</v>
      </c>
      <c r="G9" t="s">
        <v>34</v>
      </c>
      <c r="H9" s="1">
        <f>'CAPEX - BLOCOS PAN S- MULT.'!H9*$C$56</f>
        <v>11628000</v>
      </c>
      <c r="I9" s="1">
        <f>'CAPEX - BLOCOS PAN S- MULT.'!I9*$C$56</f>
        <v>11628000</v>
      </c>
      <c r="J9" s="1">
        <f>'CAPEX - BLOCOS PAN S- MULT.'!J9*$C$56</f>
        <v>11628000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f t="shared" si="0"/>
        <v>34884000</v>
      </c>
      <c r="AN9" s="71">
        <v>0</v>
      </c>
      <c r="AO9" s="3">
        <v>1</v>
      </c>
      <c r="AP9" s="3" t="s">
        <v>171</v>
      </c>
      <c r="AQ9" s="3" t="s">
        <v>171</v>
      </c>
      <c r="AR9" s="3">
        <v>2045</v>
      </c>
      <c r="AS9" s="3" t="s">
        <v>171</v>
      </c>
      <c r="AT9" s="3" t="s">
        <v>171</v>
      </c>
      <c r="AU9" s="3">
        <v>2</v>
      </c>
      <c r="AV9" t="str">
        <f>VLOOKUP(C9,'FLUXO DE CAIXA DESC.-BLOCOS PAN'!$D$3:$AO$52,38,FALSE)</f>
        <v>AM - 2 - AL</v>
      </c>
      <c r="AW9" t="s">
        <v>39</v>
      </c>
    </row>
    <row r="10" spans="1:49" x14ac:dyDescent="0.35">
      <c r="A10" t="s">
        <v>67</v>
      </c>
      <c r="B10" t="s">
        <v>68</v>
      </c>
      <c r="C10" t="s">
        <v>69</v>
      </c>
      <c r="D10" t="s">
        <v>70</v>
      </c>
      <c r="E10" t="s">
        <v>29</v>
      </c>
      <c r="F10" t="s">
        <v>33</v>
      </c>
      <c r="G10" t="s">
        <v>34</v>
      </c>
      <c r="H10" s="1">
        <f>'CAPEX - BLOCOS PAN S- MULT.'!H10*$C$56</f>
        <v>42460333.333333336</v>
      </c>
      <c r="I10" s="1">
        <f>'CAPEX - BLOCOS PAN S- MULT.'!I10*$C$56</f>
        <v>42460333.333333336</v>
      </c>
      <c r="J10" s="1">
        <f>'CAPEX - BLOCOS PAN S- MULT.'!J10*$C$56</f>
        <v>42460333.333333336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f t="shared" si="0"/>
        <v>127381000</v>
      </c>
      <c r="AN10" s="71">
        <v>0</v>
      </c>
      <c r="AO10" s="3">
        <v>1</v>
      </c>
      <c r="AP10" s="3" t="s">
        <v>171</v>
      </c>
      <c r="AQ10" s="3">
        <v>2049</v>
      </c>
      <c r="AR10" s="3">
        <v>2034</v>
      </c>
      <c r="AS10" s="3" t="s">
        <v>171</v>
      </c>
      <c r="AT10" s="3">
        <v>3</v>
      </c>
      <c r="AU10" s="3">
        <v>2</v>
      </c>
      <c r="AV10" t="str">
        <f>VLOOKUP(C10,'FLUXO DE CAIXA DESC.-BLOCOS PAN'!$D$3:$AO$52,38,FALSE)</f>
        <v>PA - 1 - AL</v>
      </c>
      <c r="AW10" t="s">
        <v>39</v>
      </c>
    </row>
    <row r="11" spans="1:49" x14ac:dyDescent="0.35">
      <c r="A11" t="s">
        <v>71</v>
      </c>
      <c r="B11" t="s">
        <v>72</v>
      </c>
      <c r="C11" t="s">
        <v>73</v>
      </c>
      <c r="D11" t="s">
        <v>72</v>
      </c>
      <c r="E11" t="s">
        <v>41</v>
      </c>
      <c r="F11" t="s">
        <v>33</v>
      </c>
      <c r="G11" t="s">
        <v>34</v>
      </c>
      <c r="H11" s="1">
        <f>'CAPEX - BLOCOS PAN S- MULT.'!H11*$C$56</f>
        <v>21405833.333333332</v>
      </c>
      <c r="I11" s="1">
        <f>'CAPEX - BLOCOS PAN S- MULT.'!I11*$C$56</f>
        <v>21405833.333333332</v>
      </c>
      <c r="J11" s="1">
        <f>'CAPEX - BLOCOS PAN S- MULT.'!J11*$C$56</f>
        <v>21405833.333333332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f t="shared" si="0"/>
        <v>64217500</v>
      </c>
      <c r="AN11" s="71">
        <v>0</v>
      </c>
      <c r="AO11" s="3">
        <v>1</v>
      </c>
      <c r="AP11" s="3" t="s">
        <v>171</v>
      </c>
      <c r="AQ11" s="3" t="s">
        <v>171</v>
      </c>
      <c r="AR11" s="3" t="s">
        <v>171</v>
      </c>
      <c r="AS11" s="3" t="s">
        <v>171</v>
      </c>
      <c r="AT11" s="3" t="s">
        <v>171</v>
      </c>
      <c r="AU11" s="3" t="s">
        <v>171</v>
      </c>
      <c r="AV11" t="str">
        <f>VLOOKUP(C11,'FLUXO DE CAIXA DESC.-BLOCOS PAN'!$D$3:$AO$52,38,FALSE)</f>
        <v>AC + AM - 1 - AL</v>
      </c>
      <c r="AW11" t="s">
        <v>39</v>
      </c>
    </row>
    <row r="12" spans="1:49" x14ac:dyDescent="0.35">
      <c r="A12" t="s">
        <v>74</v>
      </c>
      <c r="B12" t="s">
        <v>75</v>
      </c>
      <c r="C12" t="s">
        <v>76</v>
      </c>
      <c r="D12" t="s">
        <v>75</v>
      </c>
      <c r="E12" t="s">
        <v>29</v>
      </c>
      <c r="F12" t="s">
        <v>33</v>
      </c>
      <c r="G12" t="s">
        <v>34</v>
      </c>
      <c r="H12" s="1">
        <f>'CAPEX - BLOCOS PAN S- MULT.'!H12*$C$56</f>
        <v>54805166.666666664</v>
      </c>
      <c r="I12" s="1">
        <f>'CAPEX - BLOCOS PAN S- MULT.'!I12*$C$56</f>
        <v>54805166.666666664</v>
      </c>
      <c r="J12" s="1">
        <f>'CAPEX - BLOCOS PAN S- MULT.'!J12*$C$56</f>
        <v>54805166.666666664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f t="shared" si="0"/>
        <v>164415500</v>
      </c>
      <c r="AN12" s="71">
        <v>0</v>
      </c>
      <c r="AO12" s="3">
        <v>1</v>
      </c>
      <c r="AP12" s="3" t="s">
        <v>171</v>
      </c>
      <c r="AQ12" s="3">
        <v>2049</v>
      </c>
      <c r="AR12" s="3">
        <v>2026</v>
      </c>
      <c r="AS12" s="3" t="s">
        <v>171</v>
      </c>
      <c r="AT12" s="3">
        <v>3</v>
      </c>
      <c r="AU12" s="3">
        <v>2</v>
      </c>
      <c r="AV12" t="str">
        <f>VLOOKUP(C12,'FLUXO DE CAIXA DESC.-BLOCOS PAN'!$D$3:$AO$52,38,FALSE)</f>
        <v>PA - 2 - AL</v>
      </c>
      <c r="AW12" t="s">
        <v>39</v>
      </c>
    </row>
    <row r="13" spans="1:49" x14ac:dyDescent="0.35">
      <c r="A13" t="s">
        <v>77</v>
      </c>
      <c r="B13" t="s">
        <v>78</v>
      </c>
      <c r="C13" t="s">
        <v>79</v>
      </c>
      <c r="D13" t="s">
        <v>78</v>
      </c>
      <c r="E13" t="s">
        <v>35</v>
      </c>
      <c r="F13" t="s">
        <v>33</v>
      </c>
      <c r="G13" t="s">
        <v>34</v>
      </c>
      <c r="H13" s="1">
        <f>'CAPEX - BLOCOS PAN S- MULT.'!H13*$C$56</f>
        <v>47523500</v>
      </c>
      <c r="I13" s="1">
        <f>'CAPEX - BLOCOS PAN S- MULT.'!I13*$C$56</f>
        <v>47523500</v>
      </c>
      <c r="J13" s="1">
        <f>'CAPEX - BLOCOS PAN S- MULT.'!J13*$C$56</f>
        <v>47523500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f t="shared" si="0"/>
        <v>142570500</v>
      </c>
      <c r="AN13" s="71">
        <f>VLOOKUP(A13,'[5]CAPEX - rubrica'!$B$2:$I$9,8,FALSE)</f>
        <v>122627997.84597401</v>
      </c>
      <c r="AO13" s="3">
        <v>1</v>
      </c>
      <c r="AP13" s="3" t="s">
        <v>171</v>
      </c>
      <c r="AQ13" s="3">
        <v>2052</v>
      </c>
      <c r="AR13" s="3">
        <v>2024</v>
      </c>
      <c r="AS13" s="3" t="s">
        <v>171</v>
      </c>
      <c r="AT13" s="3">
        <v>3</v>
      </c>
      <c r="AU13" s="3">
        <v>2</v>
      </c>
      <c r="AV13" t="str">
        <f>VLOOKUP(C13,'FLUXO DE CAIXA DESC.-BLOCOS PAN'!$D$3:$AO$52,38,FALSE)</f>
        <v>AM - 2 - AL</v>
      </c>
      <c r="AW13" t="s">
        <v>39</v>
      </c>
    </row>
    <row r="14" spans="1:49" x14ac:dyDescent="0.35">
      <c r="A14" t="s">
        <v>80</v>
      </c>
      <c r="B14" t="s">
        <v>81</v>
      </c>
      <c r="C14" t="s">
        <v>82</v>
      </c>
      <c r="D14" t="s">
        <v>81</v>
      </c>
      <c r="E14" t="s">
        <v>40</v>
      </c>
      <c r="F14" t="s">
        <v>33</v>
      </c>
      <c r="G14" t="s">
        <v>34</v>
      </c>
      <c r="H14" s="1">
        <f>'CAPEX - BLOCOS PAN S- MULT.'!H14*$C$55</f>
        <v>22530000</v>
      </c>
      <c r="I14" s="1">
        <f>'CAPEX - BLOCOS PAN S- MULT.'!I14*$C$55</f>
        <v>22530000</v>
      </c>
      <c r="J14" s="1">
        <f>'CAPEX - BLOCOS PAN S- MULT.'!J14*$C$55</f>
        <v>22530000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f t="shared" si="0"/>
        <v>67590000</v>
      </c>
      <c r="AN14" s="71">
        <v>0</v>
      </c>
      <c r="AO14" s="3">
        <v>1</v>
      </c>
      <c r="AP14" s="3" t="s">
        <v>171</v>
      </c>
      <c r="AQ14" s="3">
        <v>2048</v>
      </c>
      <c r="AR14" s="3">
        <v>2032</v>
      </c>
      <c r="AS14" s="3" t="s">
        <v>171</v>
      </c>
      <c r="AT14" s="3">
        <v>3</v>
      </c>
      <c r="AU14" s="3">
        <v>2</v>
      </c>
      <c r="AV14" t="str">
        <f>VLOOKUP(C14,'FLUXO DE CAIXA DESC.-BLOCOS PAN'!$D$3:$AO$52,38,FALSE)</f>
        <v>Bloco Nordeste</v>
      </c>
      <c r="AW14" t="s">
        <v>362</v>
      </c>
    </row>
    <row r="15" spans="1:49" x14ac:dyDescent="0.35">
      <c r="A15" t="s">
        <v>83</v>
      </c>
      <c r="B15" t="s">
        <v>84</v>
      </c>
      <c r="C15" t="s">
        <v>85</v>
      </c>
      <c r="D15" t="s">
        <v>84</v>
      </c>
      <c r="E15" t="s">
        <v>30</v>
      </c>
      <c r="F15" t="s">
        <v>33</v>
      </c>
      <c r="G15" t="s">
        <v>34</v>
      </c>
      <c r="H15" s="1">
        <f>'CAPEX - BLOCOS PAN S- MULT.'!H15*$C$56</f>
        <v>54402833.333333336</v>
      </c>
      <c r="I15" s="1">
        <f>'CAPEX - BLOCOS PAN S- MULT.'!I15*$C$56</f>
        <v>54402833.333333336</v>
      </c>
      <c r="J15" s="1">
        <f>'CAPEX - BLOCOS PAN S- MULT.'!J15*$C$56</f>
        <v>54402833.333333336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f t="shared" si="0"/>
        <v>163208500</v>
      </c>
      <c r="AN15" s="71">
        <v>0</v>
      </c>
      <c r="AO15" s="3">
        <v>2</v>
      </c>
      <c r="AP15" s="3" t="s">
        <v>171</v>
      </c>
      <c r="AQ15" s="3" t="s">
        <v>171</v>
      </c>
      <c r="AR15" s="3">
        <v>2027</v>
      </c>
      <c r="AS15" s="3" t="s">
        <v>171</v>
      </c>
      <c r="AT15" s="3" t="s">
        <v>171</v>
      </c>
      <c r="AU15" s="3">
        <v>3</v>
      </c>
      <c r="AV15" t="str">
        <f>VLOOKUP(C15,'FLUXO DE CAIXA DESC.-BLOCOS PAN'!$D$3:$AO$52,38,FALSE)</f>
        <v>RO - 1 - AL</v>
      </c>
      <c r="AW15" t="s">
        <v>39</v>
      </c>
    </row>
    <row r="16" spans="1:49" x14ac:dyDescent="0.35">
      <c r="A16" t="s">
        <v>90</v>
      </c>
      <c r="B16" t="s">
        <v>91</v>
      </c>
      <c r="C16" t="s">
        <v>92</v>
      </c>
      <c r="D16" t="s">
        <v>91</v>
      </c>
      <c r="E16" t="s">
        <v>29</v>
      </c>
      <c r="F16" t="s">
        <v>33</v>
      </c>
      <c r="G16" t="s">
        <v>34</v>
      </c>
      <c r="H16" s="1">
        <f>'CAPEX - BLOCOS PAN S- MULT.'!H16*$C$56</f>
        <v>14739000</v>
      </c>
      <c r="I16" s="1">
        <f>'CAPEX - BLOCOS PAN S- MULT.'!I16*$C$56</f>
        <v>14739000</v>
      </c>
      <c r="J16" s="1">
        <f>'CAPEX - BLOCOS PAN S- MULT.'!J16*$C$56</f>
        <v>14739000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f t="shared" si="0"/>
        <v>44217000</v>
      </c>
      <c r="AN16" s="71">
        <v>0</v>
      </c>
      <c r="AO16" s="3">
        <v>1</v>
      </c>
      <c r="AP16" s="3" t="s">
        <v>171</v>
      </c>
      <c r="AQ16" s="3" t="s">
        <v>171</v>
      </c>
      <c r="AR16" s="3" t="s">
        <v>171</v>
      </c>
      <c r="AS16" s="3" t="s">
        <v>171</v>
      </c>
      <c r="AT16" s="3" t="s">
        <v>171</v>
      </c>
      <c r="AU16" s="3" t="s">
        <v>171</v>
      </c>
      <c r="AV16" t="str">
        <f>VLOOKUP(C16,'FLUXO DE CAIXA DESC.-BLOCOS PAN'!$D$3:$AO$52,38,FALSE)</f>
        <v>PA - 2 - AL</v>
      </c>
      <c r="AW16" t="s">
        <v>39</v>
      </c>
    </row>
    <row r="17" spans="1:49" x14ac:dyDescent="0.35">
      <c r="A17" t="s">
        <v>93</v>
      </c>
      <c r="B17" t="s">
        <v>94</v>
      </c>
      <c r="C17" t="s">
        <v>95</v>
      </c>
      <c r="D17" t="s">
        <v>96</v>
      </c>
      <c r="E17" t="s">
        <v>29</v>
      </c>
      <c r="F17" t="s">
        <v>33</v>
      </c>
      <c r="G17" t="s">
        <v>34</v>
      </c>
      <c r="H17" s="1">
        <f>'CAPEX - BLOCOS PAN S- MULT.'!H17*$C$56</f>
        <v>59995833.333333328</v>
      </c>
      <c r="I17" s="1">
        <f>'CAPEX - BLOCOS PAN S- MULT.'!I17*$C$56</f>
        <v>59995833.333333328</v>
      </c>
      <c r="J17" s="1">
        <f>'CAPEX - BLOCOS PAN S- MULT.'!J17*$C$56</f>
        <v>59995833.333333328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f t="shared" si="0"/>
        <v>179987500</v>
      </c>
      <c r="AN17" s="71">
        <v>0</v>
      </c>
      <c r="AO17" s="3">
        <v>1</v>
      </c>
      <c r="AP17" s="3" t="s">
        <v>171</v>
      </c>
      <c r="AQ17" s="3">
        <v>2049</v>
      </c>
      <c r="AR17" s="3">
        <v>2034</v>
      </c>
      <c r="AS17" s="3" t="s">
        <v>171</v>
      </c>
      <c r="AT17" s="3">
        <v>3</v>
      </c>
      <c r="AU17" s="3">
        <v>2</v>
      </c>
      <c r="AV17" t="str">
        <f>VLOOKUP(C17,'FLUXO DE CAIXA DESC.-BLOCOS PAN'!$D$3:$AO$52,38,FALSE)</f>
        <v>PA - 2 - AL</v>
      </c>
      <c r="AW17" t="s">
        <v>39</v>
      </c>
    </row>
    <row r="18" spans="1:49" x14ac:dyDescent="0.35">
      <c r="A18" t="s">
        <v>97</v>
      </c>
      <c r="B18" t="s">
        <v>98</v>
      </c>
      <c r="C18" t="s">
        <v>99</v>
      </c>
      <c r="D18" t="s">
        <v>98</v>
      </c>
      <c r="E18" t="s">
        <v>29</v>
      </c>
      <c r="F18" t="s">
        <v>33</v>
      </c>
      <c r="G18" t="s">
        <v>34</v>
      </c>
      <c r="H18" s="1">
        <f>'CAPEX - BLOCOS PAN S- MULT.'!H18*$C$56</f>
        <v>15648500</v>
      </c>
      <c r="I18" s="1">
        <f>'CAPEX - BLOCOS PAN S- MULT.'!I18*$C$56</f>
        <v>15648500</v>
      </c>
      <c r="J18" s="1">
        <f>'CAPEX - BLOCOS PAN S- MULT.'!J18*$C$56</f>
        <v>15648500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f t="shared" si="0"/>
        <v>46945500</v>
      </c>
      <c r="AN18" s="71">
        <v>0</v>
      </c>
      <c r="AO18" s="3">
        <v>1</v>
      </c>
      <c r="AP18" s="3" t="s">
        <v>171</v>
      </c>
      <c r="AQ18" s="3" t="s">
        <v>171</v>
      </c>
      <c r="AR18" s="3" t="s">
        <v>171</v>
      </c>
      <c r="AS18" s="3" t="s">
        <v>171</v>
      </c>
      <c r="AT18" s="3" t="s">
        <v>171</v>
      </c>
      <c r="AU18" s="3" t="s">
        <v>171</v>
      </c>
      <c r="AV18" t="str">
        <f>VLOOKUP(C18,'FLUXO DE CAIXA DESC.-BLOCOS PAN'!$D$3:$AO$52,38,FALSE)</f>
        <v>PA - 2 - AL</v>
      </c>
      <c r="AW18" t="s">
        <v>39</v>
      </c>
    </row>
    <row r="19" spans="1:49" x14ac:dyDescent="0.35">
      <c r="A19" t="s">
        <v>100</v>
      </c>
      <c r="B19" t="s">
        <v>101</v>
      </c>
      <c r="C19" t="s">
        <v>102</v>
      </c>
      <c r="D19" t="s">
        <v>103</v>
      </c>
      <c r="E19" t="s">
        <v>40</v>
      </c>
      <c r="F19" t="s">
        <v>33</v>
      </c>
      <c r="G19" t="s">
        <v>34</v>
      </c>
      <c r="H19" s="1">
        <f>'CAPEX - BLOCOS PAN S- MULT.'!H19*$C$55</f>
        <v>34962500</v>
      </c>
      <c r="I19" s="1">
        <f>'CAPEX - BLOCOS PAN S- MULT.'!I19*$C$55</f>
        <v>34962500</v>
      </c>
      <c r="J19" s="1">
        <f>'CAPEX - BLOCOS PAN S- MULT.'!J19*$C$55</f>
        <v>34962500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f t="shared" si="0"/>
        <v>104887500</v>
      </c>
      <c r="AN19" s="71">
        <v>0</v>
      </c>
      <c r="AO19" s="3">
        <v>2</v>
      </c>
      <c r="AP19" s="3" t="s">
        <v>171</v>
      </c>
      <c r="AQ19" s="3" t="s">
        <v>171</v>
      </c>
      <c r="AR19" s="3">
        <v>2027</v>
      </c>
      <c r="AS19" s="3" t="s">
        <v>171</v>
      </c>
      <c r="AT19" s="3" t="s">
        <v>171</v>
      </c>
      <c r="AU19" s="3">
        <v>3</v>
      </c>
      <c r="AV19" t="str">
        <f>VLOOKUP(C19,'FLUXO DE CAIXA DESC.-BLOCOS PAN'!$D$3:$AO$52,38,FALSE)</f>
        <v>Bloco Nordeste</v>
      </c>
      <c r="AW19" t="s">
        <v>362</v>
      </c>
    </row>
    <row r="20" spans="1:49" x14ac:dyDescent="0.35">
      <c r="A20" t="s">
        <v>104</v>
      </c>
      <c r="B20" t="s">
        <v>105</v>
      </c>
      <c r="C20" t="s">
        <v>106</v>
      </c>
      <c r="D20" t="s">
        <v>107</v>
      </c>
      <c r="E20" t="s">
        <v>36</v>
      </c>
      <c r="F20" t="s">
        <v>33</v>
      </c>
      <c r="G20" t="s">
        <v>34</v>
      </c>
      <c r="H20" s="1">
        <f>'CAPEX - BLOCOS PAN S- MULT.'!H20*$C$55</f>
        <v>13805000</v>
      </c>
      <c r="I20" s="1">
        <f>'CAPEX - BLOCOS PAN S- MULT.'!I20*$C$55</f>
        <v>13805000</v>
      </c>
      <c r="J20" s="1">
        <f>'CAPEX - BLOCOS PAN S- MULT.'!J20*$C$55</f>
        <v>13805000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f t="shared" si="0"/>
        <v>41415000</v>
      </c>
      <c r="AN20" s="71">
        <v>0</v>
      </c>
      <c r="AO20" s="3">
        <v>1</v>
      </c>
      <c r="AP20" s="3" t="s">
        <v>171</v>
      </c>
      <c r="AQ20" s="3" t="s">
        <v>171</v>
      </c>
      <c r="AR20" s="3" t="s">
        <v>171</v>
      </c>
      <c r="AS20" s="3" t="s">
        <v>171</v>
      </c>
      <c r="AT20" s="3" t="s">
        <v>171</v>
      </c>
      <c r="AU20" s="3" t="s">
        <v>171</v>
      </c>
      <c r="AV20" t="str">
        <f>VLOOKUP(C20,'FLUXO DE CAIXA DESC.-BLOCOS PAN'!$D$3:$AO$52,38,FALSE)</f>
        <v>Bloco Nordeste</v>
      </c>
      <c r="AW20" t="s">
        <v>362</v>
      </c>
    </row>
    <row r="21" spans="1:49" x14ac:dyDescent="0.35">
      <c r="A21" t="s">
        <v>108</v>
      </c>
      <c r="B21" t="s">
        <v>109</v>
      </c>
      <c r="C21" t="s">
        <v>110</v>
      </c>
      <c r="D21" t="s">
        <v>109</v>
      </c>
      <c r="E21" t="s">
        <v>29</v>
      </c>
      <c r="F21" t="s">
        <v>33</v>
      </c>
      <c r="G21" t="s">
        <v>34</v>
      </c>
      <c r="H21" s="1">
        <f>'CAPEX - BLOCOS PAN S- MULT.'!H21*$C$56</f>
        <v>17269166.666666668</v>
      </c>
      <c r="I21" s="1">
        <f>'CAPEX - BLOCOS PAN S- MULT.'!I21*$C$56</f>
        <v>17269166.666666668</v>
      </c>
      <c r="J21" s="1">
        <f>'CAPEX - BLOCOS PAN S- MULT.'!J21*$C$56</f>
        <v>17269166.666666668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f t="shared" si="0"/>
        <v>51807500</v>
      </c>
      <c r="AN21" s="71">
        <v>0</v>
      </c>
      <c r="AO21" s="3">
        <v>1</v>
      </c>
      <c r="AP21" s="3" t="s">
        <v>171</v>
      </c>
      <c r="AQ21" s="3" t="s">
        <v>171</v>
      </c>
      <c r="AR21" s="3">
        <v>2032</v>
      </c>
      <c r="AS21" s="3" t="s">
        <v>171</v>
      </c>
      <c r="AT21" s="3" t="s">
        <v>171</v>
      </c>
      <c r="AU21" s="3">
        <v>2</v>
      </c>
      <c r="AV21" t="str">
        <f>VLOOKUP(C21,'FLUXO DE CAIXA DESC.-BLOCOS PAN'!$D$3:$AO$52,38,FALSE)</f>
        <v>PA 3 - AL</v>
      </c>
      <c r="AW21" t="s">
        <v>39</v>
      </c>
    </row>
    <row r="22" spans="1:49" x14ac:dyDescent="0.35">
      <c r="A22" t="s">
        <v>111</v>
      </c>
      <c r="B22" t="s">
        <v>112</v>
      </c>
      <c r="C22" t="s">
        <v>113</v>
      </c>
      <c r="D22" t="s">
        <v>112</v>
      </c>
      <c r="E22" t="s">
        <v>30</v>
      </c>
      <c r="F22" t="s">
        <v>33</v>
      </c>
      <c r="G22" t="s">
        <v>34</v>
      </c>
      <c r="H22" s="1">
        <f>'CAPEX - BLOCOS PAN S- MULT.'!H22*$C$56</f>
        <v>39879166.666666664</v>
      </c>
      <c r="I22" s="1">
        <f>'CAPEX - BLOCOS PAN S- MULT.'!I22*$C$56</f>
        <v>39879166.666666664</v>
      </c>
      <c r="J22" s="1">
        <f>'CAPEX - BLOCOS PAN S- MULT.'!J22*$C$56</f>
        <v>39879166.666666664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f t="shared" si="0"/>
        <v>119637500</v>
      </c>
      <c r="AN22" s="71">
        <v>0</v>
      </c>
      <c r="AO22" s="3">
        <v>2</v>
      </c>
      <c r="AP22" s="3" t="s">
        <v>171</v>
      </c>
      <c r="AQ22" s="3" t="s">
        <v>171</v>
      </c>
      <c r="AR22" s="3">
        <v>2025</v>
      </c>
      <c r="AS22" s="3" t="s">
        <v>171</v>
      </c>
      <c r="AT22" s="3" t="s">
        <v>171</v>
      </c>
      <c r="AU22" s="3">
        <v>3</v>
      </c>
      <c r="AV22" t="str">
        <f>VLOOKUP(C22,'FLUXO DE CAIXA DESC.-BLOCOS PAN'!$D$3:$AO$52,38,FALSE)</f>
        <v>RO - 1 - AL</v>
      </c>
      <c r="AW22" t="s">
        <v>39</v>
      </c>
    </row>
    <row r="23" spans="1:49" x14ac:dyDescent="0.35">
      <c r="A23" t="s">
        <v>116</v>
      </c>
      <c r="B23" t="s">
        <v>117</v>
      </c>
      <c r="C23" t="s">
        <v>118</v>
      </c>
      <c r="D23" t="s">
        <v>117</v>
      </c>
      <c r="E23" t="s">
        <v>37</v>
      </c>
      <c r="F23" t="s">
        <v>33</v>
      </c>
      <c r="G23" t="s">
        <v>34</v>
      </c>
      <c r="H23" s="1">
        <f>'CAPEX - BLOCOS PAN S- MULT.'!H23*$C$55</f>
        <v>20622500</v>
      </c>
      <c r="I23" s="1">
        <f>'CAPEX - BLOCOS PAN S- MULT.'!I23*$C$55</f>
        <v>20622500</v>
      </c>
      <c r="J23" s="1">
        <f>'CAPEX - BLOCOS PAN S- MULT.'!J23*$C$55</f>
        <v>20622500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f t="shared" si="0"/>
        <v>61867500</v>
      </c>
      <c r="AN23" s="71">
        <v>0</v>
      </c>
      <c r="AO23" s="3">
        <v>1</v>
      </c>
      <c r="AP23" s="3" t="s">
        <v>171</v>
      </c>
      <c r="AQ23" s="3" t="s">
        <v>171</v>
      </c>
      <c r="AR23" s="3" t="s">
        <v>171</v>
      </c>
      <c r="AS23" s="3" t="s">
        <v>171</v>
      </c>
      <c r="AT23" s="3" t="s">
        <v>171</v>
      </c>
      <c r="AU23" s="3" t="s">
        <v>171</v>
      </c>
      <c r="AV23" t="str">
        <f>VLOOKUP(C23,'FLUXO DE CAIXA DESC.-BLOCOS PAN'!$D$3:$AO$52,38,FALSE)</f>
        <v>MT - 1 - AL</v>
      </c>
      <c r="AW23" t="s">
        <v>362</v>
      </c>
    </row>
    <row r="24" spans="1:49" x14ac:dyDescent="0.35">
      <c r="A24" t="s">
        <v>119</v>
      </c>
      <c r="B24" t="s">
        <v>120</v>
      </c>
      <c r="C24" t="s">
        <v>121</v>
      </c>
      <c r="D24" t="s">
        <v>120</v>
      </c>
      <c r="E24" t="s">
        <v>35</v>
      </c>
      <c r="F24" t="s">
        <v>33</v>
      </c>
      <c r="G24" t="s">
        <v>34</v>
      </c>
      <c r="H24" s="1">
        <f>'CAPEX - BLOCOS PAN S- MULT.'!H24*$C$56</f>
        <v>18025666.666666668</v>
      </c>
      <c r="I24" s="1">
        <f>'CAPEX - BLOCOS PAN S- MULT.'!I24*$C$56</f>
        <v>18025666.666666668</v>
      </c>
      <c r="J24" s="1">
        <f>'CAPEX - BLOCOS PAN S- MULT.'!J24*$C$56</f>
        <v>18025666.666666668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f t="shared" si="0"/>
        <v>54077000</v>
      </c>
      <c r="AN24" s="71">
        <v>0</v>
      </c>
      <c r="AO24" s="3">
        <v>1</v>
      </c>
      <c r="AP24" s="3" t="s">
        <v>171</v>
      </c>
      <c r="AQ24" s="3" t="s">
        <v>171</v>
      </c>
      <c r="AR24" s="3" t="s">
        <v>171</v>
      </c>
      <c r="AS24" s="3" t="s">
        <v>171</v>
      </c>
      <c r="AT24" s="3" t="s">
        <v>171</v>
      </c>
      <c r="AU24" s="3" t="s">
        <v>171</v>
      </c>
      <c r="AV24" t="str">
        <f>VLOOKUP(C24,'FLUXO DE CAIXA DESC.-BLOCOS PAN'!$D$3:$AO$52,38,FALSE)</f>
        <v>AM - 3 - AL</v>
      </c>
      <c r="AW24" t="s">
        <v>39</v>
      </c>
    </row>
    <row r="25" spans="1:49" x14ac:dyDescent="0.35">
      <c r="A25" t="s">
        <v>122</v>
      </c>
      <c r="B25" t="s">
        <v>123</v>
      </c>
      <c r="C25" t="s">
        <v>124</v>
      </c>
      <c r="D25" t="s">
        <v>123</v>
      </c>
      <c r="E25" t="s">
        <v>35</v>
      </c>
      <c r="F25" t="s">
        <v>33</v>
      </c>
      <c r="G25" t="s">
        <v>34</v>
      </c>
      <c r="H25" s="1">
        <f>'CAPEX - BLOCOS PAN S- MULT.'!H25*$C$56</f>
        <v>21907333.333333332</v>
      </c>
      <c r="I25" s="1">
        <f>'CAPEX - BLOCOS PAN S- MULT.'!I25*$C$56</f>
        <v>21907333.333333332</v>
      </c>
      <c r="J25" s="1">
        <f>'CAPEX - BLOCOS PAN S- MULT.'!J25*$C$56</f>
        <v>21907333.333333332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f t="shared" si="0"/>
        <v>65722000</v>
      </c>
      <c r="AN25" s="71">
        <f>VLOOKUP(A25,'[5]CAPEX - rubrica'!$B$2:$I$9,8,FALSE)</f>
        <v>26567394.271932494</v>
      </c>
      <c r="AO25" s="3">
        <v>1</v>
      </c>
      <c r="AP25" s="3" t="s">
        <v>171</v>
      </c>
      <c r="AQ25" s="3" t="s">
        <v>171</v>
      </c>
      <c r="AR25" s="3">
        <v>2029</v>
      </c>
      <c r="AS25" s="3" t="s">
        <v>171</v>
      </c>
      <c r="AT25" s="3" t="s">
        <v>171</v>
      </c>
      <c r="AU25" s="3">
        <v>2</v>
      </c>
      <c r="AV25" t="str">
        <f>VLOOKUP(C25,'FLUXO DE CAIXA DESC.-BLOCOS PAN'!$D$3:$AO$52,38,FALSE)</f>
        <v>AC + AM - 1 - AL</v>
      </c>
      <c r="AW25" t="s">
        <v>39</v>
      </c>
    </row>
    <row r="26" spans="1:49" x14ac:dyDescent="0.35">
      <c r="A26" t="s">
        <v>126</v>
      </c>
      <c r="B26" t="s">
        <v>127</v>
      </c>
      <c r="C26" t="s">
        <v>128</v>
      </c>
      <c r="D26" t="s">
        <v>127</v>
      </c>
      <c r="E26" t="s">
        <v>35</v>
      </c>
      <c r="F26" t="s">
        <v>33</v>
      </c>
      <c r="G26" t="s">
        <v>34</v>
      </c>
      <c r="H26" s="1">
        <f>'CAPEX - BLOCOS PAN S- MULT.'!H26*$C$56</f>
        <v>12367500</v>
      </c>
      <c r="I26" s="1">
        <f>'CAPEX - BLOCOS PAN S- MULT.'!I26*$C$56</f>
        <v>12367500</v>
      </c>
      <c r="J26" s="1">
        <f>'CAPEX - BLOCOS PAN S- MULT.'!J26*$C$56</f>
        <v>12367500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f t="shared" si="0"/>
        <v>37102500</v>
      </c>
      <c r="AN26" s="71">
        <f>VLOOKUP(A26,'[5]CAPEX - rubrica'!$B$2:$I$9,8,FALSE)</f>
        <v>156373167.87992024</v>
      </c>
      <c r="AO26" s="3">
        <v>1</v>
      </c>
      <c r="AP26" s="3" t="s">
        <v>171</v>
      </c>
      <c r="AQ26" s="3" t="s">
        <v>171</v>
      </c>
      <c r="AR26" s="3">
        <v>2051</v>
      </c>
      <c r="AS26" s="3" t="s">
        <v>171</v>
      </c>
      <c r="AT26" s="3" t="s">
        <v>171</v>
      </c>
      <c r="AU26" s="3">
        <v>2</v>
      </c>
      <c r="AV26" t="str">
        <f>VLOOKUP(C26,'FLUXO DE CAIXA DESC.-BLOCOS PAN'!$D$3:$AO$52,38,FALSE)</f>
        <v>AC + AM - 1 - AL</v>
      </c>
      <c r="AW26" t="s">
        <v>39</v>
      </c>
    </row>
    <row r="27" spans="1:49" x14ac:dyDescent="0.35">
      <c r="A27" t="s">
        <v>129</v>
      </c>
      <c r="B27" t="s">
        <v>42</v>
      </c>
      <c r="C27" t="s">
        <v>130</v>
      </c>
      <c r="D27" t="s">
        <v>42</v>
      </c>
      <c r="E27" t="s">
        <v>37</v>
      </c>
      <c r="F27" t="s">
        <v>33</v>
      </c>
      <c r="G27" t="s">
        <v>34</v>
      </c>
      <c r="H27" s="1">
        <f>'CAPEX - BLOCOS PAN S- MULT.'!H27*$C$55</f>
        <v>29264563.02</v>
      </c>
      <c r="I27" s="1">
        <f>'CAPEX - BLOCOS PAN S- MULT.'!I27*$C$55</f>
        <v>29264563.02</v>
      </c>
      <c r="J27" s="1">
        <f>'CAPEX - BLOCOS PAN S- MULT.'!J27*$C$55</f>
        <v>29264563.02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f t="shared" si="0"/>
        <v>87793689.060000002</v>
      </c>
      <c r="AN27" s="71">
        <v>0</v>
      </c>
      <c r="AO27" s="3">
        <v>1</v>
      </c>
      <c r="AP27" s="3" t="s">
        <v>171</v>
      </c>
      <c r="AQ27" s="3" t="s">
        <v>171</v>
      </c>
      <c r="AR27" s="3">
        <v>2030</v>
      </c>
      <c r="AS27" s="3" t="s">
        <v>171</v>
      </c>
      <c r="AT27" s="3" t="s">
        <v>171</v>
      </c>
      <c r="AU27" s="3">
        <v>2</v>
      </c>
      <c r="AV27" t="str">
        <f>VLOOKUP(C27,'FLUXO DE CAIXA DESC.-BLOCOS PAN'!$D$3:$AO$52,38,FALSE)</f>
        <v>MT - 2 - AL</v>
      </c>
      <c r="AW27" t="s">
        <v>362</v>
      </c>
    </row>
    <row r="28" spans="1:49" x14ac:dyDescent="0.35">
      <c r="A28" t="s">
        <v>131</v>
      </c>
      <c r="B28" t="s">
        <v>132</v>
      </c>
      <c r="C28" t="s">
        <v>133</v>
      </c>
      <c r="D28" t="s">
        <v>132</v>
      </c>
      <c r="E28" t="s">
        <v>32</v>
      </c>
      <c r="F28" t="s">
        <v>33</v>
      </c>
      <c r="G28" t="s">
        <v>34</v>
      </c>
      <c r="H28" s="1">
        <f>'CAPEX - BLOCOS PAN S- MULT.'!H28*$C$55</f>
        <v>32387500</v>
      </c>
      <c r="I28" s="1">
        <f>'CAPEX - BLOCOS PAN S- MULT.'!I28*$C$55</f>
        <v>32387500</v>
      </c>
      <c r="J28" s="1">
        <f>'CAPEX - BLOCOS PAN S- MULT.'!J28*$C$55</f>
        <v>32387500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f t="shared" si="0"/>
        <v>97162500</v>
      </c>
      <c r="AN28" s="71">
        <v>0</v>
      </c>
      <c r="AO28" s="3">
        <v>1</v>
      </c>
      <c r="AP28" s="3" t="s">
        <v>171</v>
      </c>
      <c r="AQ28" s="3">
        <v>2038</v>
      </c>
      <c r="AR28" s="3">
        <v>2024</v>
      </c>
      <c r="AS28" s="3" t="s">
        <v>171</v>
      </c>
      <c r="AT28" s="3">
        <v>3</v>
      </c>
      <c r="AU28" s="3">
        <v>2</v>
      </c>
      <c r="AV28" t="str">
        <f>VLOOKUP(C28,'FLUXO DE CAIXA DESC.-BLOCOS PAN'!$D$3:$AO$52,38,FALSE)</f>
        <v>MA + TO - AL</v>
      </c>
      <c r="AW28" t="s">
        <v>362</v>
      </c>
    </row>
    <row r="29" spans="1:49" x14ac:dyDescent="0.35">
      <c r="A29" t="s">
        <v>135</v>
      </c>
      <c r="B29" t="s">
        <v>136</v>
      </c>
      <c r="C29" t="s">
        <v>137</v>
      </c>
      <c r="D29" t="s">
        <v>136</v>
      </c>
      <c r="E29" t="s">
        <v>37</v>
      </c>
      <c r="F29" t="s">
        <v>33</v>
      </c>
      <c r="G29" t="s">
        <v>34</v>
      </c>
      <c r="H29" s="1">
        <f>'CAPEX - BLOCOS PAN S- MULT.'!H29*$C$55</f>
        <v>3517500</v>
      </c>
      <c r="I29" s="1">
        <f>'CAPEX - BLOCOS PAN S- MULT.'!I29*$C$55</f>
        <v>3517500</v>
      </c>
      <c r="J29" s="1">
        <f>'CAPEX - BLOCOS PAN S- MULT.'!J29*$C$55</f>
        <v>3517500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f t="shared" si="0"/>
        <v>10552500</v>
      </c>
      <c r="AN29" s="71">
        <v>0</v>
      </c>
      <c r="AO29" s="3">
        <v>0</v>
      </c>
      <c r="AP29" s="3" t="s">
        <v>171</v>
      </c>
      <c r="AQ29" s="3" t="s">
        <v>171</v>
      </c>
      <c r="AR29" s="3" t="s">
        <v>171</v>
      </c>
      <c r="AS29" s="3" t="s">
        <v>171</v>
      </c>
      <c r="AT29" s="3" t="s">
        <v>171</v>
      </c>
      <c r="AU29" s="3" t="s">
        <v>171</v>
      </c>
      <c r="AV29" t="str">
        <f>VLOOKUP(C29,'FLUXO DE CAIXA DESC.-BLOCOS PAN'!$D$3:$AO$52,38,FALSE)</f>
        <v>MT - 1 - AL</v>
      </c>
      <c r="AW29" t="s">
        <v>362</v>
      </c>
    </row>
    <row r="30" spans="1:49" x14ac:dyDescent="0.35">
      <c r="A30" t="s">
        <v>138</v>
      </c>
      <c r="B30" t="s">
        <v>139</v>
      </c>
      <c r="C30" t="s">
        <v>140</v>
      </c>
      <c r="D30" t="s">
        <v>139</v>
      </c>
      <c r="E30" t="s">
        <v>37</v>
      </c>
      <c r="F30" t="s">
        <v>33</v>
      </c>
      <c r="G30" t="s">
        <v>34</v>
      </c>
      <c r="H30" s="1">
        <f>'CAPEX - BLOCOS PAN S- MULT.'!H30*$C$55</f>
        <v>9862500</v>
      </c>
      <c r="I30" s="1">
        <f>'CAPEX - BLOCOS PAN S- MULT.'!I30*$C$55</f>
        <v>9862500</v>
      </c>
      <c r="J30" s="1">
        <f>'CAPEX - BLOCOS PAN S- MULT.'!J30*$C$55</f>
        <v>9862500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f t="shared" si="0"/>
        <v>29587500</v>
      </c>
      <c r="AN30" s="71">
        <v>0</v>
      </c>
      <c r="AO30" s="3">
        <v>1</v>
      </c>
      <c r="AP30" s="3" t="s">
        <v>171</v>
      </c>
      <c r="AQ30" s="3" t="s">
        <v>171</v>
      </c>
      <c r="AR30" s="3" t="s">
        <v>171</v>
      </c>
      <c r="AS30" s="3" t="s">
        <v>171</v>
      </c>
      <c r="AT30" s="3" t="s">
        <v>171</v>
      </c>
      <c r="AU30" s="3" t="s">
        <v>171</v>
      </c>
      <c r="AV30" t="str">
        <f>VLOOKUP(C30,'FLUXO DE CAIXA DESC.-BLOCOS PAN'!$D$3:$AO$52,38,FALSE)</f>
        <v>MT - 1 - AL</v>
      </c>
      <c r="AW30" t="s">
        <v>362</v>
      </c>
    </row>
    <row r="31" spans="1:49" x14ac:dyDescent="0.35">
      <c r="A31" t="s">
        <v>141</v>
      </c>
      <c r="B31" t="s">
        <v>142</v>
      </c>
      <c r="C31" t="s">
        <v>143</v>
      </c>
      <c r="D31" t="s">
        <v>144</v>
      </c>
      <c r="E31" t="s">
        <v>38</v>
      </c>
      <c r="F31" t="s">
        <v>33</v>
      </c>
      <c r="G31" t="s">
        <v>34</v>
      </c>
      <c r="H31" s="1">
        <f>'CAPEX - BLOCOS PAN S- MULT.'!H31*$C$55</f>
        <v>4842500</v>
      </c>
      <c r="I31" s="1">
        <f>'CAPEX - BLOCOS PAN S- MULT.'!I31*$C$55</f>
        <v>4842500</v>
      </c>
      <c r="J31" s="1">
        <f>'CAPEX - BLOCOS PAN S- MULT.'!J31*$C$55</f>
        <v>4842500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f t="shared" si="0"/>
        <v>14527500</v>
      </c>
      <c r="AN31" s="71">
        <v>0</v>
      </c>
      <c r="AO31" s="3">
        <v>1</v>
      </c>
      <c r="AP31" s="3" t="s">
        <v>171</v>
      </c>
      <c r="AQ31" s="3" t="s">
        <v>171</v>
      </c>
      <c r="AR31" s="3">
        <v>2029</v>
      </c>
      <c r="AS31" s="3" t="s">
        <v>171</v>
      </c>
      <c r="AT31" s="3" t="s">
        <v>171</v>
      </c>
      <c r="AU31" s="3">
        <v>2</v>
      </c>
      <c r="AV31" t="str">
        <f>VLOOKUP(C31,'FLUXO DE CAIXA DESC.-BLOCOS PAN'!$D$3:$AO$52,38,FALSE)</f>
        <v>Bloco Nordeste</v>
      </c>
      <c r="AW31" t="s">
        <v>362</v>
      </c>
    </row>
    <row r="32" spans="1:49" x14ac:dyDescent="0.35">
      <c r="A32" t="s">
        <v>145</v>
      </c>
      <c r="B32" t="s">
        <v>146</v>
      </c>
      <c r="C32" t="s">
        <v>147</v>
      </c>
      <c r="D32" t="s">
        <v>146</v>
      </c>
      <c r="E32" t="s">
        <v>35</v>
      </c>
      <c r="F32" t="s">
        <v>33</v>
      </c>
      <c r="G32" t="s">
        <v>34</v>
      </c>
      <c r="H32" s="1">
        <f>'CAPEX - BLOCOS PAN S- MULT.'!H32*$C$56</f>
        <v>18762333.333333332</v>
      </c>
      <c r="I32" s="1">
        <f>'CAPEX - BLOCOS PAN S- MULT.'!I32*$C$56</f>
        <v>18762333.333333332</v>
      </c>
      <c r="J32" s="1">
        <f>'CAPEX - BLOCOS PAN S- MULT.'!J32*$C$56</f>
        <v>18762333.333333332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f t="shared" si="0"/>
        <v>56287000</v>
      </c>
      <c r="AN32" s="71">
        <f>VLOOKUP(A32,'[5]CAPEX - rubrica'!$B$2:$I$9,8,FALSE)</f>
        <v>31456829.614623293</v>
      </c>
      <c r="AO32" s="3">
        <v>1</v>
      </c>
      <c r="AP32" s="3" t="s">
        <v>171</v>
      </c>
      <c r="AQ32" s="3" t="s">
        <v>171</v>
      </c>
      <c r="AR32" s="3" t="s">
        <v>171</v>
      </c>
      <c r="AS32" s="3" t="s">
        <v>171</v>
      </c>
      <c r="AT32" s="3" t="s">
        <v>171</v>
      </c>
      <c r="AU32" s="3" t="s">
        <v>171</v>
      </c>
      <c r="AV32" t="str">
        <f>VLOOKUP(C32,'FLUXO DE CAIXA DESC.-BLOCOS PAN'!$D$3:$AO$52,38,FALSE)</f>
        <v>AC + AM - 1 - AL</v>
      </c>
      <c r="AW32" t="s">
        <v>39</v>
      </c>
    </row>
    <row r="33" spans="1:49" x14ac:dyDescent="0.35">
      <c r="A33" t="s">
        <v>148</v>
      </c>
      <c r="B33" t="s">
        <v>149</v>
      </c>
      <c r="C33" t="s">
        <v>150</v>
      </c>
      <c r="D33" t="s">
        <v>149</v>
      </c>
      <c r="E33" t="s">
        <v>35</v>
      </c>
      <c r="F33" t="s">
        <v>33</v>
      </c>
      <c r="G33" t="s">
        <v>34</v>
      </c>
      <c r="H33" s="1">
        <f>'CAPEX - BLOCOS PAN S- MULT.'!H33*$C$56</f>
        <v>4737333.333333333</v>
      </c>
      <c r="I33" s="1">
        <f>'CAPEX - BLOCOS PAN S- MULT.'!I33*$C$56</f>
        <v>4737333.333333333</v>
      </c>
      <c r="J33" s="1">
        <f>'CAPEX - BLOCOS PAN S- MULT.'!J33*$C$56</f>
        <v>4737333.333333333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f t="shared" si="0"/>
        <v>14212000</v>
      </c>
      <c r="AN33" s="71">
        <f>VLOOKUP(A33,'[5]CAPEX - rubrica'!$B$2:$I$9,8,FALSE)</f>
        <v>43903430.335553125</v>
      </c>
      <c r="AO33" s="3">
        <v>0</v>
      </c>
      <c r="AP33" s="3" t="s">
        <v>171</v>
      </c>
      <c r="AQ33" s="3" t="s">
        <v>171</v>
      </c>
      <c r="AR33" s="3" t="s">
        <v>171</v>
      </c>
      <c r="AS33" s="3" t="s">
        <v>171</v>
      </c>
      <c r="AT33" s="3" t="s">
        <v>171</v>
      </c>
      <c r="AU33" s="3" t="s">
        <v>171</v>
      </c>
      <c r="AV33" t="str">
        <f>VLOOKUP(C33,'FLUXO DE CAIXA DESC.-BLOCOS PAN'!$D$3:$AO$52,38,FALSE)</f>
        <v>AM - 3 - AL</v>
      </c>
      <c r="AW33" t="s">
        <v>39</v>
      </c>
    </row>
    <row r="34" spans="1:49" x14ac:dyDescent="0.35">
      <c r="A34" t="s">
        <v>152</v>
      </c>
      <c r="B34" t="s">
        <v>153</v>
      </c>
      <c r="C34" t="s">
        <v>154</v>
      </c>
      <c r="D34" t="s">
        <v>153</v>
      </c>
      <c r="E34" t="s">
        <v>35</v>
      </c>
      <c r="F34" t="s">
        <v>33</v>
      </c>
      <c r="G34" t="s">
        <v>34</v>
      </c>
      <c r="H34" s="1">
        <f>'CAPEX - BLOCOS PAN S- MULT.'!H34*$C$56</f>
        <v>38207500</v>
      </c>
      <c r="I34" s="1">
        <f>'CAPEX - BLOCOS PAN S- MULT.'!I34*$C$56</f>
        <v>38207500</v>
      </c>
      <c r="J34" s="1">
        <f>'CAPEX - BLOCOS PAN S- MULT.'!J34*$C$56</f>
        <v>38207500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f t="shared" si="0"/>
        <v>114622500</v>
      </c>
      <c r="AN34" s="71">
        <f>VLOOKUP(A34,'[5]CAPEX - rubrica'!$B$2:$I$9,8,FALSE)</f>
        <v>39645760.760205723</v>
      </c>
      <c r="AO34" s="3">
        <v>3</v>
      </c>
      <c r="AP34" s="3" t="s">
        <v>171</v>
      </c>
      <c r="AQ34" s="3" t="s">
        <v>171</v>
      </c>
      <c r="AR34" s="3" t="s">
        <v>171</v>
      </c>
      <c r="AS34" s="3" t="s">
        <v>171</v>
      </c>
      <c r="AT34" s="3" t="s">
        <v>171</v>
      </c>
      <c r="AU34" s="3" t="s">
        <v>171</v>
      </c>
      <c r="AV34" t="str">
        <f>VLOOKUP(C34,'FLUXO DE CAIXA DESC.-BLOCOS PAN'!$D$3:$AO$52,38,FALSE)</f>
        <v>AM - 3 - AL</v>
      </c>
      <c r="AW34" t="s">
        <v>39</v>
      </c>
    </row>
    <row r="35" spans="1:49" x14ac:dyDescent="0.35">
      <c r="A35" t="s">
        <v>157</v>
      </c>
      <c r="B35" t="s">
        <v>158</v>
      </c>
      <c r="C35" t="s">
        <v>159</v>
      </c>
      <c r="D35" t="s">
        <v>158</v>
      </c>
      <c r="E35" t="s">
        <v>37</v>
      </c>
      <c r="F35" t="s">
        <v>33</v>
      </c>
      <c r="G35" t="s">
        <v>34</v>
      </c>
      <c r="H35" s="1">
        <f>'CAPEX - BLOCOS PAN S- MULT.'!H35*$C$55</f>
        <v>18640000</v>
      </c>
      <c r="I35" s="1">
        <f>'CAPEX - BLOCOS PAN S- MULT.'!I35*$C$55</f>
        <v>18640000</v>
      </c>
      <c r="J35" s="1">
        <f>'CAPEX - BLOCOS PAN S- MULT.'!J35*$C$55</f>
        <v>18640000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f t="shared" si="0"/>
        <v>55920000</v>
      </c>
      <c r="AN35" s="71">
        <v>0</v>
      </c>
      <c r="AO35" s="3">
        <v>1</v>
      </c>
      <c r="AP35" s="3" t="s">
        <v>171</v>
      </c>
      <c r="AQ35" s="3" t="s">
        <v>171</v>
      </c>
      <c r="AR35" s="3">
        <v>2032</v>
      </c>
      <c r="AS35" s="3" t="s">
        <v>171</v>
      </c>
      <c r="AT35" s="3" t="s">
        <v>171</v>
      </c>
      <c r="AU35" s="3">
        <v>2</v>
      </c>
      <c r="AV35" t="str">
        <f>VLOOKUP(C35,'FLUXO DE CAIXA DESC.-BLOCOS PAN'!$D$3:$AO$52,38,FALSE)</f>
        <v>MT - 1 - AL</v>
      </c>
      <c r="AW35" t="s">
        <v>362</v>
      </c>
    </row>
    <row r="36" spans="1:49" x14ac:dyDescent="0.35">
      <c r="A36" t="s">
        <v>260</v>
      </c>
      <c r="B36" t="s">
        <v>261</v>
      </c>
      <c r="C36" t="s">
        <v>286</v>
      </c>
      <c r="D36" t="s">
        <v>261</v>
      </c>
      <c r="E36" t="s">
        <v>29</v>
      </c>
      <c r="F36" t="s">
        <v>33</v>
      </c>
      <c r="G36" t="s">
        <v>34</v>
      </c>
      <c r="H36" s="67">
        <f>'CAPEX - BLOCOS PAN S- MULT.'!H36*$C$56</f>
        <v>51626166.666666664</v>
      </c>
      <c r="I36" s="67">
        <f>'CAPEX - BLOCOS PAN S- MULT.'!I36*$C$56</f>
        <v>51626166.666666664</v>
      </c>
      <c r="J36" s="67">
        <f>'CAPEX - BLOCOS PAN S- MULT.'!J36*$C$56</f>
        <v>51626166.666666664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f t="shared" si="0"/>
        <v>154878500</v>
      </c>
      <c r="AN36" s="71">
        <v>0</v>
      </c>
      <c r="AO36" s="3">
        <v>2</v>
      </c>
      <c r="AP36" s="3" t="s">
        <v>171</v>
      </c>
      <c r="AQ36" s="3" t="s">
        <v>171</v>
      </c>
      <c r="AR36" s="3">
        <v>2025</v>
      </c>
      <c r="AS36" s="3" t="s">
        <v>171</v>
      </c>
      <c r="AT36" s="3" t="s">
        <v>171</v>
      </c>
      <c r="AU36" s="3">
        <v>3</v>
      </c>
      <c r="AV36" t="str">
        <f>VLOOKUP(C36,'FLUXO DE CAIXA DESC.-BLOCOS PAN'!$D$3:$AO$52,38,FALSE)</f>
        <v>PA 3 - AL</v>
      </c>
      <c r="AW36" t="s">
        <v>39</v>
      </c>
    </row>
    <row r="37" spans="1:49" x14ac:dyDescent="0.35">
      <c r="A37" t="s">
        <v>262</v>
      </c>
      <c r="B37" t="s">
        <v>263</v>
      </c>
      <c r="C37" t="s">
        <v>287</v>
      </c>
      <c r="D37" t="s">
        <v>263</v>
      </c>
      <c r="E37" t="s">
        <v>31</v>
      </c>
      <c r="F37" t="s">
        <v>33</v>
      </c>
      <c r="G37" t="s">
        <v>34</v>
      </c>
      <c r="H37" s="1">
        <f>'CAPEX - BLOCOS PAN S- MULT.'!H37*$C$55</f>
        <v>26945000</v>
      </c>
      <c r="I37" s="1">
        <f>'CAPEX - BLOCOS PAN S- MULT.'!I37*$C$55</f>
        <v>26945000</v>
      </c>
      <c r="J37" s="1">
        <f>'CAPEX - BLOCOS PAN S- MULT.'!J37*$C$55</f>
        <v>26945000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f t="shared" si="0"/>
        <v>80835000</v>
      </c>
      <c r="AN37" s="71">
        <v>0</v>
      </c>
      <c r="AO37" s="3">
        <v>3</v>
      </c>
      <c r="AP37" s="3" t="s">
        <v>171</v>
      </c>
      <c r="AQ37" s="3" t="s">
        <v>171</v>
      </c>
      <c r="AR37" s="3" t="s">
        <v>171</v>
      </c>
      <c r="AS37" s="3" t="s">
        <v>171</v>
      </c>
      <c r="AT37" s="3" t="s">
        <v>171</v>
      </c>
      <c r="AU37" s="3" t="s">
        <v>171</v>
      </c>
      <c r="AV37" t="str">
        <f>VLOOKUP(C37,'FLUXO DE CAIXA DESC.-BLOCOS PAN'!$D$3:$AO$52,38,FALSE)</f>
        <v>Bloco Nordeste</v>
      </c>
      <c r="AW37" t="s">
        <v>362</v>
      </c>
    </row>
    <row r="38" spans="1:49" x14ac:dyDescent="0.35">
      <c r="A38" t="s">
        <v>53</v>
      </c>
      <c r="B38" t="str">
        <f>VLOOKUP(A38,'FLUXO DE CAIXA DESC.-BLOCOS PAN'!$A$38:$B$52,2,FALSE)</f>
        <v>JACAREACANGA</v>
      </c>
      <c r="C38" t="s">
        <v>289</v>
      </c>
      <c r="D38" t="str">
        <f>VLOOKUP(A38,'CAPEX Manut. Estr_Naveg. Aérea'!$A$2:$B$38,2,FALSE)</f>
        <v>Jacareacanga</v>
      </c>
      <c r="E38" t="s">
        <v>29</v>
      </c>
      <c r="F38" t="s">
        <v>33</v>
      </c>
      <c r="G38" t="s">
        <v>34</v>
      </c>
      <c r="H38" s="1">
        <f>'CAPEX - BLOCOS PAN S- MULT.'!H38*$C$56</f>
        <v>15768954.419660168</v>
      </c>
      <c r="I38" s="1">
        <f>'CAPEX - BLOCOS PAN S- MULT.'!I38*$C$56</f>
        <v>15768954.419660168</v>
      </c>
      <c r="J38" s="1">
        <f>'CAPEX - BLOCOS PAN S- MULT.'!J38*$C$56</f>
        <v>15768954.419660168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f t="shared" si="0"/>
        <v>47306863.258980505</v>
      </c>
      <c r="AN38" s="71">
        <v>0</v>
      </c>
      <c r="AO38" s="3">
        <v>0</v>
      </c>
      <c r="AP38" s="3" t="s">
        <v>171</v>
      </c>
      <c r="AQ38" s="3" t="s">
        <v>171</v>
      </c>
      <c r="AR38" s="3" t="s">
        <v>171</v>
      </c>
      <c r="AS38" s="3" t="s">
        <v>171</v>
      </c>
      <c r="AT38" s="3" t="s">
        <v>171</v>
      </c>
      <c r="AU38" s="3" t="s">
        <v>171</v>
      </c>
      <c r="AV38" t="str">
        <f>VLOOKUP(C38,'FLUXO DE CAIXA DESC.-BLOCOS PAN'!$D$3:$AO$52,38,FALSE)</f>
        <v>PA - 1 - AL</v>
      </c>
      <c r="AW38" t="s">
        <v>39</v>
      </c>
    </row>
    <row r="39" spans="1:49" x14ac:dyDescent="0.35">
      <c r="A39" t="s">
        <v>86</v>
      </c>
      <c r="B39" t="str">
        <f>VLOOKUP(A39,'FLUXO DE CAIXA DESC.-BLOCOS PAN'!$A$38:$B$52,2,FALSE)</f>
        <v>SENADORA EUNICE MICHILES</v>
      </c>
      <c r="C39" t="s">
        <v>290</v>
      </c>
      <c r="D39" t="str">
        <f>VLOOKUP(A39,'CAPEX Manut. Estr_Naveg. Aérea'!$A$2:$B$38,2,FALSE)</f>
        <v>São Paulo de Olivença</v>
      </c>
      <c r="E39" t="s">
        <v>35</v>
      </c>
      <c r="F39" t="s">
        <v>33</v>
      </c>
      <c r="G39" t="s">
        <v>34</v>
      </c>
      <c r="H39" s="1">
        <f>'CAPEX - BLOCOS PAN S- MULT.'!H39*$C$56</f>
        <v>8658015.3578212559</v>
      </c>
      <c r="I39" s="1">
        <f>'CAPEX - BLOCOS PAN S- MULT.'!I39*$C$56</f>
        <v>8658015.3578212559</v>
      </c>
      <c r="J39" s="1">
        <f>'CAPEX - BLOCOS PAN S- MULT.'!J39*$C$56</f>
        <v>8658015.3578212559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f t="shared" si="0"/>
        <v>25974046.073463768</v>
      </c>
      <c r="AN39" s="71">
        <v>0</v>
      </c>
      <c r="AO39" s="3">
        <v>0</v>
      </c>
      <c r="AP39" s="3" t="s">
        <v>171</v>
      </c>
      <c r="AQ39" s="3" t="s">
        <v>171</v>
      </c>
      <c r="AR39" s="3" t="s">
        <v>171</v>
      </c>
      <c r="AS39" s="3" t="s">
        <v>171</v>
      </c>
      <c r="AT39" s="3" t="s">
        <v>171</v>
      </c>
      <c r="AU39" s="3" t="s">
        <v>171</v>
      </c>
      <c r="AV39" t="str">
        <f>VLOOKUP(C39,'FLUXO DE CAIXA DESC.-BLOCOS PAN'!$D$3:$AO$52,38,FALSE)</f>
        <v>AC + AM - 1 - AL</v>
      </c>
      <c r="AW39" t="s">
        <v>39</v>
      </c>
    </row>
    <row r="40" spans="1:49" x14ac:dyDescent="0.35">
      <c r="A40" t="s">
        <v>161</v>
      </c>
      <c r="B40" t="str">
        <f>VLOOKUP(A40,'FLUXO DE CAIXA DESC.-BLOCOS PAN'!$A$38:$B$52,2,FALSE)</f>
        <v>PORTO ALEGRE DO NORTE</v>
      </c>
      <c r="C40" t="s">
        <v>301</v>
      </c>
      <c r="D40" t="str">
        <f>VLOOKUP(A40,'CAPEX Manut. Estr_Naveg. Aérea'!$A$2:$B$38,2,FALSE)</f>
        <v>Porto Alegre do Norte</v>
      </c>
      <c r="E40" t="s">
        <v>37</v>
      </c>
      <c r="F40" t="s">
        <v>33</v>
      </c>
      <c r="G40" t="s">
        <v>34</v>
      </c>
      <c r="H40" s="1">
        <f>'CAPEX - BLOCOS PAN S- MULT.'!H40*$C$55</f>
        <v>8093097.0999957174</v>
      </c>
      <c r="I40" s="1">
        <f>'CAPEX - BLOCOS PAN S- MULT.'!I40*$C$55</f>
        <v>8093097.0999957174</v>
      </c>
      <c r="J40" s="1">
        <f>'CAPEX - BLOCOS PAN S- MULT.'!J40*$C$55</f>
        <v>8093097.0999957174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f t="shared" si="0"/>
        <v>24279291.299987152</v>
      </c>
      <c r="AN40" s="71">
        <v>0</v>
      </c>
      <c r="AO40" s="3">
        <v>0</v>
      </c>
      <c r="AP40" s="3" t="s">
        <v>171</v>
      </c>
      <c r="AQ40" s="3" t="s">
        <v>171</v>
      </c>
      <c r="AR40" s="3" t="s">
        <v>171</v>
      </c>
      <c r="AS40" s="3" t="s">
        <v>171</v>
      </c>
      <c r="AT40" s="3" t="s">
        <v>171</v>
      </c>
      <c r="AU40" s="3" t="s">
        <v>171</v>
      </c>
      <c r="AV40" t="str">
        <f>VLOOKUP(C40,'FLUXO DE CAIXA DESC.-BLOCOS PAN'!$D$3:$AO$52,38,FALSE)</f>
        <v>MT - 2 - AL</v>
      </c>
      <c r="AW40" t="s">
        <v>362</v>
      </c>
    </row>
    <row r="41" spans="1:49" x14ac:dyDescent="0.35">
      <c r="A41" t="s">
        <v>114</v>
      </c>
      <c r="B41" t="str">
        <f>VLOOKUP(A41,'FLUXO DE CAIXA DESC.-BLOCOS PAN'!$A$38:$B$52,2,FALSE)</f>
        <v>MARECHAL THAUMATURGO</v>
      </c>
      <c r="C41" t="s">
        <v>294</v>
      </c>
      <c r="D41" t="str">
        <f>VLOOKUP(A41,'CAPEX Manut. Estr_Naveg. Aérea'!$A$2:$B$38,2,FALSE)</f>
        <v>Marechal Thaumaturgo</v>
      </c>
      <c r="E41" t="s">
        <v>41</v>
      </c>
      <c r="F41" t="s">
        <v>33</v>
      </c>
      <c r="G41" t="s">
        <v>34</v>
      </c>
      <c r="H41" s="1">
        <f>'CAPEX - BLOCOS PAN S- MULT.'!H41*$C$56</f>
        <v>7049628.1529999999</v>
      </c>
      <c r="I41" s="1">
        <f>'CAPEX - BLOCOS PAN S- MULT.'!I41*$C$56</f>
        <v>7049628.1529999999</v>
      </c>
      <c r="J41" s="1">
        <f>'CAPEX - BLOCOS PAN S- MULT.'!J41*$C$56</f>
        <v>7049628.1529999999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f t="shared" si="0"/>
        <v>21148884.458999999</v>
      </c>
      <c r="AN41" s="71">
        <v>0</v>
      </c>
      <c r="AO41" s="3">
        <v>0</v>
      </c>
      <c r="AP41" s="3" t="s">
        <v>171</v>
      </c>
      <c r="AQ41" s="3" t="s">
        <v>171</v>
      </c>
      <c r="AR41" s="3" t="s">
        <v>171</v>
      </c>
      <c r="AS41" s="3" t="s">
        <v>171</v>
      </c>
      <c r="AT41" s="3" t="s">
        <v>171</v>
      </c>
      <c r="AU41" s="3" t="s">
        <v>171</v>
      </c>
      <c r="AV41" t="str">
        <f>VLOOKUP(C41,'FLUXO DE CAIXA DESC.-BLOCOS PAN'!$D$3:$AO$52,38,FALSE)</f>
        <v>AC + AM - 1 - AL</v>
      </c>
      <c r="AW41" t="s">
        <v>39</v>
      </c>
    </row>
    <row r="42" spans="1:49" x14ac:dyDescent="0.35">
      <c r="A42" t="s">
        <v>87</v>
      </c>
      <c r="B42" t="str">
        <f>VLOOKUP(A42,'FLUXO DE CAIXA DESC.-BLOCOS PAN'!$A$38:$B$52,2,FALSE)</f>
        <v>NOVO PROGRESSO</v>
      </c>
      <c r="C42" t="s">
        <v>291</v>
      </c>
      <c r="D42" t="str">
        <f>VLOOKUP(A42,'CAPEX Manut. Estr_Naveg. Aérea'!$A$2:$B$38,2,FALSE)</f>
        <v>Novo Progresso</v>
      </c>
      <c r="E42" t="s">
        <v>29</v>
      </c>
      <c r="F42" t="s">
        <v>33</v>
      </c>
      <c r="G42" t="s">
        <v>34</v>
      </c>
      <c r="H42" s="1">
        <f>'CAPEX - BLOCOS PAN S- MULT.'!H42*$C$56</f>
        <v>14261496.532715702</v>
      </c>
      <c r="I42" s="1">
        <f>'CAPEX - BLOCOS PAN S- MULT.'!I42*$C$56</f>
        <v>14261496.532715702</v>
      </c>
      <c r="J42" s="1">
        <f>'CAPEX - BLOCOS PAN S- MULT.'!J42*$C$56</f>
        <v>14261496.532715702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f t="shared" si="0"/>
        <v>42784489.598147109</v>
      </c>
      <c r="AN42" s="71">
        <v>0</v>
      </c>
      <c r="AO42" s="3">
        <v>0</v>
      </c>
      <c r="AP42" s="3" t="s">
        <v>171</v>
      </c>
      <c r="AQ42" s="3" t="s">
        <v>171</v>
      </c>
      <c r="AR42" s="3" t="s">
        <v>171</v>
      </c>
      <c r="AS42" s="3" t="s">
        <v>171</v>
      </c>
      <c r="AT42" s="3" t="s">
        <v>171</v>
      </c>
      <c r="AU42" s="3" t="s">
        <v>171</v>
      </c>
      <c r="AV42" t="str">
        <f>VLOOKUP(C42,'FLUXO DE CAIXA DESC.-BLOCOS PAN'!$D$3:$AO$52,38,FALSE)</f>
        <v>PA - 1 - AL</v>
      </c>
      <c r="AW42" t="s">
        <v>39</v>
      </c>
    </row>
    <row r="43" spans="1:49" s="49" customFormat="1" x14ac:dyDescent="0.35">
      <c r="A43" s="49" t="s">
        <v>369</v>
      </c>
      <c r="B43" s="76" t="s">
        <v>370</v>
      </c>
      <c r="C43" s="49" t="s">
        <v>371</v>
      </c>
      <c r="D43" s="49" t="s">
        <v>370</v>
      </c>
      <c r="E43" s="49" t="s">
        <v>36</v>
      </c>
      <c r="F43" s="49" t="s">
        <v>33</v>
      </c>
      <c r="G43" s="49" t="s">
        <v>34</v>
      </c>
      <c r="H43" s="72">
        <f>'CAPEX - BLOCOS PAN S- MULT.'!H43*$C$55</f>
        <v>8477489.6469364166</v>
      </c>
      <c r="I43" s="72">
        <f>'CAPEX - BLOCOS PAN S- MULT.'!I43*$C$55</f>
        <v>8477489.6469364166</v>
      </c>
      <c r="J43" s="72">
        <f>'CAPEX - BLOCOS PAN S- MULT.'!J43*$C$55</f>
        <v>8477489.6469364166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2">
        <v>0</v>
      </c>
      <c r="AD43" s="72">
        <v>0</v>
      </c>
      <c r="AE43" s="72">
        <v>0</v>
      </c>
      <c r="AF43" s="72">
        <v>0</v>
      </c>
      <c r="AG43" s="72">
        <v>0</v>
      </c>
      <c r="AH43" s="72">
        <v>0</v>
      </c>
      <c r="AI43" s="72">
        <v>0</v>
      </c>
      <c r="AJ43" s="72">
        <v>0</v>
      </c>
      <c r="AK43" s="72">
        <v>0</v>
      </c>
      <c r="AL43" s="72">
        <v>0</v>
      </c>
      <c r="AM43" s="72">
        <f t="shared" ref="AM43" si="1">SUM(H43:AL43)</f>
        <v>25432468.94080925</v>
      </c>
      <c r="AN43" s="87">
        <v>0</v>
      </c>
      <c r="AO43" s="73">
        <v>0</v>
      </c>
      <c r="AP43" s="73" t="s">
        <v>171</v>
      </c>
      <c r="AQ43" s="73" t="s">
        <v>171</v>
      </c>
      <c r="AR43" s="73" t="s">
        <v>171</v>
      </c>
      <c r="AS43" s="73" t="s">
        <v>171</v>
      </c>
      <c r="AT43" s="73" t="s">
        <v>171</v>
      </c>
      <c r="AU43" s="73" t="s">
        <v>171</v>
      </c>
      <c r="AV43" s="49" t="str">
        <f>VLOOKUP(C43,'FLUXO DE CAIXA DESC.-BLOCOS PAN'!$D$3:$AO$52,38,FALSE)</f>
        <v>Bloco Nordeste</v>
      </c>
      <c r="AW43" s="49" t="s">
        <v>362</v>
      </c>
    </row>
    <row r="44" spans="1:49" s="49" customFormat="1" x14ac:dyDescent="0.35">
      <c r="A44" s="49" t="s">
        <v>88</v>
      </c>
      <c r="B44" s="49" t="str">
        <f>VLOOKUP(A44,'FLUXO DE CAIXA DESC.-BLOCOS PAN'!$A$38:$B$52,2,FALSE)</f>
        <v>BACABAL</v>
      </c>
      <c r="C44" s="49" t="s">
        <v>292</v>
      </c>
      <c r="D44" s="49" t="str">
        <f>VLOOKUP(A44,'CAPEX Manut. Estr_Naveg. Aérea'!$A$2:$B$38,2,FALSE)</f>
        <v>Bacabal</v>
      </c>
      <c r="E44" s="49" t="s">
        <v>31</v>
      </c>
      <c r="F44" s="49" t="s">
        <v>33</v>
      </c>
      <c r="G44" s="49" t="s">
        <v>34</v>
      </c>
      <c r="H44" s="72">
        <f>'CAPEX - BLOCOS PAN S- MULT.'!H44*$C$55</f>
        <v>13311873.64624523</v>
      </c>
      <c r="I44" s="72">
        <f>'CAPEX - BLOCOS PAN S- MULT.'!I44*$C$55</f>
        <v>13311873.64624523</v>
      </c>
      <c r="J44" s="72">
        <f>'CAPEX - BLOCOS PAN S- MULT.'!J44*$C$55</f>
        <v>13311873.64624523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2">
        <v>0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  <c r="AI44" s="72">
        <v>0</v>
      </c>
      <c r="AJ44" s="72">
        <v>0</v>
      </c>
      <c r="AK44" s="72">
        <v>0</v>
      </c>
      <c r="AL44" s="72">
        <v>0</v>
      </c>
      <c r="AM44" s="72">
        <f t="shared" si="0"/>
        <v>39935620.938735694</v>
      </c>
      <c r="AN44" s="87">
        <v>0</v>
      </c>
      <c r="AO44" s="73">
        <v>0</v>
      </c>
      <c r="AP44" s="73" t="s">
        <v>171</v>
      </c>
      <c r="AQ44" s="73" t="s">
        <v>171</v>
      </c>
      <c r="AR44" s="73" t="s">
        <v>171</v>
      </c>
      <c r="AS44" s="73" t="s">
        <v>171</v>
      </c>
      <c r="AT44" s="73" t="s">
        <v>171</v>
      </c>
      <c r="AU44" s="73" t="s">
        <v>171</v>
      </c>
      <c r="AV44" s="49" t="str">
        <f>VLOOKUP(C44,'FLUXO DE CAIXA DESC.-BLOCOS PAN'!$D$3:$AO$52,38,FALSE)</f>
        <v>MA + TO - AL</v>
      </c>
      <c r="AW44" s="49" t="s">
        <v>362</v>
      </c>
    </row>
    <row r="45" spans="1:49" s="49" customFormat="1" x14ac:dyDescent="0.35">
      <c r="A45" s="49" t="s">
        <v>89</v>
      </c>
      <c r="B45" s="49" t="str">
        <f>VLOOKUP(A45,'FLUXO DE CAIXA DESC.-BLOCOS PAN'!$A$38:$B$52,2,FALSE)</f>
        <v>BALSAS</v>
      </c>
      <c r="C45" s="49" t="s">
        <v>293</v>
      </c>
      <c r="D45" s="49" t="str">
        <f>VLOOKUP(A45,'CAPEX Manut. Estr_Naveg. Aérea'!$A$2:$B$38,2,FALSE)</f>
        <v>Balsas</v>
      </c>
      <c r="E45" s="49" t="s">
        <v>31</v>
      </c>
      <c r="F45" s="49" t="s">
        <v>33</v>
      </c>
      <c r="G45" s="49" t="s">
        <v>34</v>
      </c>
      <c r="H45" s="72">
        <f>'CAPEX - BLOCOS PAN S- MULT.'!H45*$C$55</f>
        <v>9720393.1727319174</v>
      </c>
      <c r="I45" s="72">
        <f>'CAPEX - BLOCOS PAN S- MULT.'!I45*$C$55</f>
        <v>9720393.1727319174</v>
      </c>
      <c r="J45" s="72">
        <f>'CAPEX - BLOCOS PAN S- MULT.'!J45*$C$55</f>
        <v>9720393.1727319174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2">
        <v>0</v>
      </c>
      <c r="AD45" s="72">
        <v>0</v>
      </c>
      <c r="AE45" s="72">
        <v>0</v>
      </c>
      <c r="AF45" s="72">
        <v>0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  <c r="AL45" s="72">
        <v>0</v>
      </c>
      <c r="AM45" s="72">
        <f t="shared" si="0"/>
        <v>29161179.518195752</v>
      </c>
      <c r="AN45" s="87">
        <v>0</v>
      </c>
      <c r="AO45" s="73">
        <v>0</v>
      </c>
      <c r="AP45" s="73" t="s">
        <v>171</v>
      </c>
      <c r="AQ45" s="73" t="s">
        <v>171</v>
      </c>
      <c r="AR45" s="73" t="s">
        <v>171</v>
      </c>
      <c r="AS45" s="73" t="s">
        <v>171</v>
      </c>
      <c r="AT45" s="73" t="s">
        <v>171</v>
      </c>
      <c r="AU45" s="73" t="s">
        <v>171</v>
      </c>
      <c r="AV45" s="49" t="str">
        <f>VLOOKUP(C45,'FLUXO DE CAIXA DESC.-BLOCOS PAN'!$D$3:$AO$52,38,FALSE)</f>
        <v>MA + TO - AL</v>
      </c>
      <c r="AW45" s="49" t="s">
        <v>362</v>
      </c>
    </row>
    <row r="46" spans="1:49" s="49" customFormat="1" x14ac:dyDescent="0.35">
      <c r="A46" s="49" t="s">
        <v>373</v>
      </c>
      <c r="B46" s="49" t="s">
        <v>374</v>
      </c>
      <c r="C46" s="49" t="s">
        <v>375</v>
      </c>
      <c r="D46" s="49" t="s">
        <v>374</v>
      </c>
      <c r="E46" s="49" t="s">
        <v>36</v>
      </c>
      <c r="F46" s="49" t="s">
        <v>33</v>
      </c>
      <c r="G46" s="49" t="s">
        <v>34</v>
      </c>
      <c r="H46" s="72">
        <f>'CAPEX - BLOCOS PAN S- MULT.'!H46*$C$55</f>
        <v>8890881.0359826591</v>
      </c>
      <c r="I46" s="72">
        <f>'CAPEX - BLOCOS PAN S- MULT.'!I46*$C$55</f>
        <v>8890881.0359826591</v>
      </c>
      <c r="J46" s="72">
        <f>'CAPEX - BLOCOS PAN S- MULT.'!J46*$C$55</f>
        <v>8890881.0359826591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2">
        <v>0</v>
      </c>
      <c r="AD46" s="72">
        <v>0</v>
      </c>
      <c r="AE46" s="72">
        <v>0</v>
      </c>
      <c r="AF46" s="72">
        <v>0</v>
      </c>
      <c r="AG46" s="72">
        <v>0</v>
      </c>
      <c r="AH46" s="72">
        <v>0</v>
      </c>
      <c r="AI46" s="72">
        <v>0</v>
      </c>
      <c r="AJ46" s="72">
        <v>0</v>
      </c>
      <c r="AK46" s="72">
        <v>0</v>
      </c>
      <c r="AL46" s="72">
        <v>0</v>
      </c>
      <c r="AM46" s="72">
        <f t="shared" ref="AM46" si="2">SUM(H46:AL46)</f>
        <v>26672643.107947975</v>
      </c>
      <c r="AN46" s="87">
        <v>0</v>
      </c>
      <c r="AO46" s="73">
        <v>0</v>
      </c>
      <c r="AP46" s="73" t="s">
        <v>171</v>
      </c>
      <c r="AQ46" s="73" t="s">
        <v>171</v>
      </c>
      <c r="AR46" s="73" t="s">
        <v>171</v>
      </c>
      <c r="AS46" s="73" t="s">
        <v>171</v>
      </c>
      <c r="AT46" s="73" t="s">
        <v>171</v>
      </c>
      <c r="AU46" s="73" t="s">
        <v>171</v>
      </c>
      <c r="AV46" s="49" t="str">
        <f>VLOOKUP(C46,'FLUXO DE CAIXA DESC.-BLOCOS PAN'!$D$3:$AO$52,38,FALSE)</f>
        <v>Bloco Nordeste</v>
      </c>
      <c r="AW46" s="49" t="s">
        <v>362</v>
      </c>
    </row>
    <row r="47" spans="1:49" x14ac:dyDescent="0.35">
      <c r="A47" t="s">
        <v>125</v>
      </c>
      <c r="B47" t="str">
        <f>VLOOKUP(A47,'FLUXO DE CAIXA DESC.-BLOCOS PAN'!$A$38:$B$52,2,FALSE)</f>
        <v>COSTA MARQUES</v>
      </c>
      <c r="C47" t="s">
        <v>295</v>
      </c>
      <c r="D47" t="str">
        <f>VLOOKUP(A47,'CAPEX Manut. Estr_Naveg. Aérea'!$A$2:$B$38,2,FALSE)</f>
        <v>Costa Marques</v>
      </c>
      <c r="E47" t="s">
        <v>30</v>
      </c>
      <c r="F47" t="s">
        <v>33</v>
      </c>
      <c r="G47" t="s">
        <v>34</v>
      </c>
      <c r="H47" s="1">
        <f>'CAPEX - BLOCOS PAN S- MULT.'!H47*$C$56</f>
        <v>10254326.840265812</v>
      </c>
      <c r="I47" s="1">
        <f>'CAPEX - BLOCOS PAN S- MULT.'!I47*$C$56</f>
        <v>10254326.840265812</v>
      </c>
      <c r="J47" s="1">
        <f>'CAPEX - BLOCOS PAN S- MULT.'!J47*$C$56</f>
        <v>10254326.840265812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f t="shared" si="0"/>
        <v>30762980.520797439</v>
      </c>
      <c r="AN47" s="71">
        <v>0</v>
      </c>
      <c r="AO47" s="3">
        <v>0</v>
      </c>
      <c r="AP47" s="3" t="s">
        <v>171</v>
      </c>
      <c r="AQ47" s="3" t="s">
        <v>171</v>
      </c>
      <c r="AR47" s="3" t="s">
        <v>171</v>
      </c>
      <c r="AS47" s="3" t="s">
        <v>171</v>
      </c>
      <c r="AT47" s="3" t="s">
        <v>171</v>
      </c>
      <c r="AU47" s="3" t="s">
        <v>171</v>
      </c>
      <c r="AV47" t="str">
        <f>VLOOKUP(C47,'FLUXO DE CAIXA DESC.-BLOCOS PAN'!$D$3:$AO$52,38,FALSE)</f>
        <v>RO - 1 - AL</v>
      </c>
      <c r="AW47" t="s">
        <v>39</v>
      </c>
    </row>
    <row r="48" spans="1:49" x14ac:dyDescent="0.35">
      <c r="A48" t="s">
        <v>134</v>
      </c>
      <c r="B48" t="str">
        <f>VLOOKUP(A48,'FLUXO DE CAIXA DESC.-BLOCOS PAN'!$A$38:$B$52,2,FALSE)</f>
        <v>IPIRANGA</v>
      </c>
      <c r="C48" t="s">
        <v>296</v>
      </c>
      <c r="D48" t="str">
        <f>VLOOKUP(A48,'CAPEX Manut. Estr_Naveg. Aérea'!$A$2:$B$38,2,FALSE)</f>
        <v>Santo Antônio do Içá</v>
      </c>
      <c r="E48" t="s">
        <v>35</v>
      </c>
      <c r="F48" t="s">
        <v>33</v>
      </c>
      <c r="G48" t="s">
        <v>34</v>
      </c>
      <c r="H48" s="1">
        <f>'CAPEX - BLOCOS PAN S- MULT.'!H48*$C$56</f>
        <v>13450406.419648483</v>
      </c>
      <c r="I48" s="1">
        <f>'CAPEX - BLOCOS PAN S- MULT.'!I48*$C$56</f>
        <v>13450406.419648483</v>
      </c>
      <c r="J48" s="1">
        <f>'CAPEX - BLOCOS PAN S- MULT.'!J48*$C$56</f>
        <v>13450406.419648483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f t="shared" si="0"/>
        <v>40351219.25894545</v>
      </c>
      <c r="AN48" s="71">
        <v>0</v>
      </c>
      <c r="AO48" s="3">
        <v>0</v>
      </c>
      <c r="AP48" s="3" t="s">
        <v>171</v>
      </c>
      <c r="AQ48" s="3" t="s">
        <v>171</v>
      </c>
      <c r="AR48" s="3" t="s">
        <v>171</v>
      </c>
      <c r="AS48" s="3" t="s">
        <v>171</v>
      </c>
      <c r="AT48" s="3" t="s">
        <v>171</v>
      </c>
      <c r="AU48" s="3" t="s">
        <v>171</v>
      </c>
      <c r="AV48" t="str">
        <f>VLOOKUP(C48,'FLUXO DE CAIXA DESC.-BLOCOS PAN'!$D$3:$AO$52,38,FALSE)</f>
        <v>AC + AM - 1 - AL</v>
      </c>
      <c r="AW48" t="s">
        <v>39</v>
      </c>
    </row>
    <row r="49" spans="1:49" x14ac:dyDescent="0.35">
      <c r="A49" t="s">
        <v>151</v>
      </c>
      <c r="B49" t="str">
        <f>VLOOKUP(A49,'FLUXO DE CAIXA DESC.-BLOCOS PAN'!$A$38:$B$52,2,FALSE)</f>
        <v>FONTE BOA</v>
      </c>
      <c r="C49" t="s">
        <v>297</v>
      </c>
      <c r="D49" t="str">
        <f>VLOOKUP(A49,'CAPEX Manut. Estr_Naveg. Aérea'!$A$2:$B$38,2,FALSE)</f>
        <v>Fonte Boa</v>
      </c>
      <c r="E49" t="s">
        <v>35</v>
      </c>
      <c r="F49" t="s">
        <v>33</v>
      </c>
      <c r="G49" t="s">
        <v>34</v>
      </c>
      <c r="H49" s="1">
        <f>'CAPEX - BLOCOS PAN S- MULT.'!H49*$C$56</f>
        <v>11065141.542894688</v>
      </c>
      <c r="I49" s="1">
        <f>'CAPEX - BLOCOS PAN S- MULT.'!I49*$C$56</f>
        <v>11065141.542894688</v>
      </c>
      <c r="J49" s="1">
        <f>'CAPEX - BLOCOS PAN S- MULT.'!J49*$C$56</f>
        <v>11065141.542894688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f t="shared" si="0"/>
        <v>33195424.628684063</v>
      </c>
      <c r="AN49" s="71">
        <v>0</v>
      </c>
      <c r="AO49" s="3">
        <v>0</v>
      </c>
      <c r="AP49" s="3" t="s">
        <v>171</v>
      </c>
      <c r="AQ49" s="3" t="s">
        <v>171</v>
      </c>
      <c r="AR49" s="3" t="s">
        <v>171</v>
      </c>
      <c r="AS49" s="3" t="s">
        <v>171</v>
      </c>
      <c r="AT49" s="3" t="s">
        <v>171</v>
      </c>
      <c r="AU49" s="3" t="s">
        <v>171</v>
      </c>
      <c r="AV49" t="str">
        <f>VLOOKUP(C49,'FLUXO DE CAIXA DESC.-BLOCOS PAN'!$D$3:$AO$52,38,FALSE)</f>
        <v>AM - 2 - AL</v>
      </c>
      <c r="AW49" t="s">
        <v>39</v>
      </c>
    </row>
    <row r="50" spans="1:49" x14ac:dyDescent="0.35">
      <c r="A50" t="s">
        <v>155</v>
      </c>
      <c r="B50" t="str">
        <f>VLOOKUP(A50,'FLUXO DE CAIXA DESC.-BLOCOS PAN'!$A$38:$B$52,2,FALSE)</f>
        <v>PRIMAVERA DO LESTE</v>
      </c>
      <c r="C50" t="s">
        <v>298</v>
      </c>
      <c r="D50" t="str">
        <f>VLOOKUP(A50,'CAPEX Manut. Estr_Naveg. Aérea'!$A$2:$B$38,2,FALSE)</f>
        <v>Primavera do Leste</v>
      </c>
      <c r="E50" t="s">
        <v>37</v>
      </c>
      <c r="F50" t="s">
        <v>33</v>
      </c>
      <c r="G50" t="s">
        <v>34</v>
      </c>
      <c r="H50" s="1">
        <f>'CAPEX - BLOCOS PAN S- MULT.'!H50*$C$55</f>
        <v>8651636.8099062257</v>
      </c>
      <c r="I50" s="1">
        <f>'CAPEX - BLOCOS PAN S- MULT.'!I50*$C$55</f>
        <v>8651636.8099062257</v>
      </c>
      <c r="J50" s="1">
        <f>'CAPEX - BLOCOS PAN S- MULT.'!J50*$C$55</f>
        <v>8651636.8099062257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f t="shared" si="0"/>
        <v>25954910.429718677</v>
      </c>
      <c r="AN50" s="71">
        <v>0</v>
      </c>
      <c r="AO50" s="3">
        <v>0</v>
      </c>
      <c r="AP50" s="3" t="s">
        <v>171</v>
      </c>
      <c r="AQ50" s="3" t="s">
        <v>171</v>
      </c>
      <c r="AR50" s="3" t="s">
        <v>171</v>
      </c>
      <c r="AS50" s="3" t="s">
        <v>171</v>
      </c>
      <c r="AT50" s="3" t="s">
        <v>171</v>
      </c>
      <c r="AU50" s="3" t="s">
        <v>171</v>
      </c>
      <c r="AV50" t="str">
        <f>VLOOKUP(C50,'FLUXO DE CAIXA DESC.-BLOCOS PAN'!$D$3:$AO$52,38,FALSE)</f>
        <v>MT - 2 - AL</v>
      </c>
      <c r="AW50" t="s">
        <v>362</v>
      </c>
    </row>
    <row r="51" spans="1:49" x14ac:dyDescent="0.35">
      <c r="A51" t="s">
        <v>156</v>
      </c>
      <c r="B51" t="str">
        <f>VLOOKUP(A51,'FLUXO DE CAIXA DESC.-BLOCOS PAN'!$A$38:$B$52,2,FALSE)</f>
        <v>SANTA ISABEL DO RIO NEGRO</v>
      </c>
      <c r="C51" t="s">
        <v>299</v>
      </c>
      <c r="D51" t="str">
        <f>VLOOKUP(A51,'CAPEX Manut. Estr_Naveg. Aérea'!$A$2:$B$38,2,FALSE)</f>
        <v>Santa Isabel do Rio Negro</v>
      </c>
      <c r="E51" t="s">
        <v>35</v>
      </c>
      <c r="F51" t="s">
        <v>33</v>
      </c>
      <c r="G51" t="s">
        <v>34</v>
      </c>
      <c r="H51" s="1">
        <f>'CAPEX - BLOCOS PAN S- MULT.'!H51*$C$56</f>
        <v>11379870.415774809</v>
      </c>
      <c r="I51" s="1">
        <f>'CAPEX - BLOCOS PAN S- MULT.'!I51*$C$56</f>
        <v>11379870.415774809</v>
      </c>
      <c r="J51" s="1">
        <f>'CAPEX - BLOCOS PAN S- MULT.'!J51*$C$56</f>
        <v>11379870.415774809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f t="shared" si="0"/>
        <v>34139611.247324429</v>
      </c>
      <c r="AN51" s="71">
        <v>0</v>
      </c>
      <c r="AO51" s="3">
        <v>0</v>
      </c>
      <c r="AP51" s="3" t="s">
        <v>171</v>
      </c>
      <c r="AQ51" s="3" t="s">
        <v>171</v>
      </c>
      <c r="AR51" s="3" t="s">
        <v>171</v>
      </c>
      <c r="AS51" s="3" t="s">
        <v>171</v>
      </c>
      <c r="AT51" s="3" t="s">
        <v>171</v>
      </c>
      <c r="AU51" s="3" t="s">
        <v>171</v>
      </c>
      <c r="AV51" t="str">
        <f>VLOOKUP(C51,'FLUXO DE CAIXA DESC.-BLOCOS PAN'!$D$3:$AO$52,38,FALSE)</f>
        <v>AM - 2 - AL</v>
      </c>
      <c r="AW51" t="s">
        <v>39</v>
      </c>
    </row>
    <row r="52" spans="1:49" x14ac:dyDescent="0.35">
      <c r="A52" t="s">
        <v>160</v>
      </c>
      <c r="B52" t="str">
        <f>VLOOKUP(A52,'FLUXO DE CAIXA DESC.-BLOCOS PAN'!$A$38:$B$52,2,FALSE)</f>
        <v>APUÍ</v>
      </c>
      <c r="C52" t="s">
        <v>300</v>
      </c>
      <c r="D52" t="str">
        <f>VLOOKUP(A52,'CAPEX Manut. Estr_Naveg. Aérea'!$A$2:$B$38,2,FALSE)</f>
        <v>Apuí</v>
      </c>
      <c r="E52" t="s">
        <v>35</v>
      </c>
      <c r="F52" t="s">
        <v>33</v>
      </c>
      <c r="G52" t="s">
        <v>34</v>
      </c>
      <c r="H52" s="1">
        <f>'CAPEX - BLOCOS PAN S- MULT.'!H52*$C$56</f>
        <v>10137504.257142484</v>
      </c>
      <c r="I52" s="1">
        <f>'CAPEX - BLOCOS PAN S- MULT.'!I52*$C$56</f>
        <v>10137504.257142484</v>
      </c>
      <c r="J52" s="1">
        <f>'CAPEX - BLOCOS PAN S- MULT.'!J52*$C$56</f>
        <v>10137504.257142484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f t="shared" si="0"/>
        <v>30412512.771427453</v>
      </c>
      <c r="AN52" s="71">
        <v>0</v>
      </c>
      <c r="AO52" s="3">
        <v>0</v>
      </c>
      <c r="AP52" s="3" t="s">
        <v>171</v>
      </c>
      <c r="AQ52" s="3" t="s">
        <v>171</v>
      </c>
      <c r="AR52" s="3" t="s">
        <v>171</v>
      </c>
      <c r="AS52" s="3" t="s">
        <v>171</v>
      </c>
      <c r="AT52" s="3" t="s">
        <v>171</v>
      </c>
      <c r="AU52" s="3" t="s">
        <v>171</v>
      </c>
      <c r="AV52" t="str">
        <f>VLOOKUP(C52,'FLUXO DE CAIXA DESC.-BLOCOS PAN'!$D$3:$AO$52,38,FALSE)</f>
        <v>AM - 3 - AL</v>
      </c>
      <c r="AW52" t="s">
        <v>39</v>
      </c>
    </row>
    <row r="53" spans="1:49" x14ac:dyDescent="0.35">
      <c r="H53" s="69">
        <f>SUBTOTAL(109,H3:H52)</f>
        <v>1130029945.0373881</v>
      </c>
      <c r="I53" s="69">
        <f>SUBTOTAL(109,I3:I52)</f>
        <v>1130029945.0373881</v>
      </c>
      <c r="J53" s="69">
        <f>SUBTOTAL(109,J3:J52)</f>
        <v>1130029945.0373881</v>
      </c>
      <c r="AM53" s="69">
        <f>SUBTOTAL(109,AM3:AM52)</f>
        <v>3390089835.112164</v>
      </c>
      <c r="AN53" s="69">
        <f>SUBTOTAL(109,AN3:AN52)</f>
        <v>485861585.34079164</v>
      </c>
      <c r="AP53" s="3"/>
      <c r="AQ53" s="3"/>
      <c r="AR53" s="3"/>
      <c r="AS53" s="3"/>
      <c r="AT53" s="3"/>
      <c r="AU53" s="3"/>
    </row>
    <row r="54" spans="1:49" x14ac:dyDescent="0.35">
      <c r="AP54" s="3"/>
      <c r="AQ54" s="3"/>
      <c r="AR54" s="3"/>
      <c r="AS54" s="3"/>
      <c r="AT54" s="3"/>
      <c r="AU54" s="3"/>
    </row>
    <row r="55" spans="1:49" x14ac:dyDescent="0.35">
      <c r="B55" s="2" t="s">
        <v>365</v>
      </c>
      <c r="C55" s="2">
        <v>1.5</v>
      </c>
    </row>
    <row r="56" spans="1:49" x14ac:dyDescent="0.35">
      <c r="B56" s="2" t="s">
        <v>366</v>
      </c>
      <c r="C56" s="2">
        <v>1.7</v>
      </c>
    </row>
    <row r="59" spans="1:49" x14ac:dyDescent="0.35">
      <c r="A59" s="63" t="s">
        <v>354</v>
      </c>
    </row>
  </sheetData>
  <autoFilter ref="A2:AW57" xr:uid="{DB2C9C07-6709-46B2-80CF-1F4B955233A0}"/>
  <conditionalFormatting sqref="C47:C52 C38">
    <cfRule type="duplicateValues" dxfId="21" priority="1"/>
  </conditionalFormatting>
  <conditionalFormatting sqref="C3:C37">
    <cfRule type="duplicateValues" dxfId="20" priority="289"/>
  </conditionalFormatting>
  <hyperlinks>
    <hyperlink ref="A59" location="Introdução!A1" display="Introdução!A1" xr:uid="{BC93DC41-5CBF-4317-BBA3-8CD8DE8DBCDE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9F90-93CF-48CA-B784-D48786497B7D}">
  <sheetPr>
    <tabColor rgb="FF00B0F0"/>
  </sheetPr>
  <dimension ref="A1:AV59"/>
  <sheetViews>
    <sheetView topLeftCell="AH1" workbookViewId="0">
      <selection activeCell="A36" sqref="A36:XFD36"/>
    </sheetView>
  </sheetViews>
  <sheetFormatPr defaultRowHeight="14.5" x14ac:dyDescent="0.35"/>
  <cols>
    <col min="1" max="1" width="7" bestFit="1" customWidth="1"/>
    <col min="2" max="2" width="19" customWidth="1"/>
    <col min="3" max="3" width="13.1796875" bestFit="1" customWidth="1"/>
    <col min="4" max="4" width="16.54296875" customWidth="1"/>
    <col min="5" max="5" width="3.81640625" bestFit="1" customWidth="1"/>
    <col min="6" max="7" width="11.81640625" customWidth="1"/>
    <col min="8" max="8" width="18" bestFit="1" customWidth="1"/>
    <col min="9" max="9" width="19.54296875" bestFit="1" customWidth="1"/>
    <col min="10" max="38" width="19.7265625" bestFit="1" customWidth="1"/>
    <col min="39" max="39" width="19.54296875" bestFit="1" customWidth="1"/>
    <col min="40" max="40" width="22.81640625" bestFit="1" customWidth="1"/>
    <col min="41" max="41" width="10.7265625" bestFit="1" customWidth="1"/>
    <col min="42" max="42" width="11.54296875" customWidth="1"/>
    <col min="43" max="43" width="11.1796875" customWidth="1"/>
    <col min="44" max="44" width="11.1796875" bestFit="1" customWidth="1"/>
    <col min="45" max="45" width="11.26953125" customWidth="1"/>
    <col min="46" max="47" width="11.1796875" bestFit="1" customWidth="1"/>
    <col min="48" max="48" width="28.7265625" bestFit="1" customWidth="1"/>
  </cols>
  <sheetData>
    <row r="1" spans="1:4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249</v>
      </c>
      <c r="I1" s="2" t="s">
        <v>249</v>
      </c>
      <c r="J1" s="2" t="s">
        <v>249</v>
      </c>
      <c r="K1" s="2" t="s">
        <v>249</v>
      </c>
      <c r="L1" s="2" t="s">
        <v>249</v>
      </c>
      <c r="M1" s="2" t="s">
        <v>249</v>
      </c>
      <c r="N1" s="2" t="s">
        <v>249</v>
      </c>
      <c r="O1" s="2" t="s">
        <v>249</v>
      </c>
      <c r="P1" s="2" t="s">
        <v>249</v>
      </c>
      <c r="Q1" s="2" t="s">
        <v>249</v>
      </c>
      <c r="R1" s="2" t="s">
        <v>249</v>
      </c>
      <c r="S1" s="2" t="s">
        <v>249</v>
      </c>
      <c r="T1" s="2" t="s">
        <v>249</v>
      </c>
      <c r="U1" s="2" t="s">
        <v>249</v>
      </c>
      <c r="V1" s="2" t="s">
        <v>249</v>
      </c>
      <c r="W1" s="2" t="s">
        <v>249</v>
      </c>
      <c r="X1" s="2" t="s">
        <v>249</v>
      </c>
      <c r="Y1" s="2" t="s">
        <v>249</v>
      </c>
      <c r="Z1" s="2" t="s">
        <v>249</v>
      </c>
      <c r="AA1" s="2" t="s">
        <v>249</v>
      </c>
      <c r="AB1" s="2" t="s">
        <v>249</v>
      </c>
      <c r="AC1" s="2" t="s">
        <v>249</v>
      </c>
      <c r="AD1" s="2" t="s">
        <v>249</v>
      </c>
      <c r="AE1" s="2" t="s">
        <v>249</v>
      </c>
      <c r="AF1" s="2" t="s">
        <v>249</v>
      </c>
      <c r="AG1" s="2" t="s">
        <v>249</v>
      </c>
      <c r="AH1" s="2" t="s">
        <v>249</v>
      </c>
      <c r="AI1" s="2" t="s">
        <v>249</v>
      </c>
      <c r="AJ1" s="2" t="s">
        <v>249</v>
      </c>
      <c r="AK1" s="2" t="s">
        <v>249</v>
      </c>
      <c r="AL1" s="2" t="s">
        <v>249</v>
      </c>
      <c r="AM1" s="2" t="s">
        <v>249</v>
      </c>
      <c r="AN1" s="2" t="s">
        <v>364</v>
      </c>
      <c r="AO1" s="2" t="s">
        <v>11</v>
      </c>
      <c r="AP1" s="2" t="s">
        <v>12</v>
      </c>
      <c r="AQ1" s="2"/>
      <c r="AR1" s="2"/>
      <c r="AS1" s="2" t="s">
        <v>13</v>
      </c>
      <c r="AT1" s="2"/>
      <c r="AU1" s="2"/>
    </row>
    <row r="2" spans="1:48" x14ac:dyDescent="0.35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2" t="s">
        <v>14</v>
      </c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43">
        <v>31</v>
      </c>
      <c r="AM2" s="2" t="s">
        <v>250</v>
      </c>
      <c r="AN2" s="68" t="s">
        <v>361</v>
      </c>
      <c r="AO2" s="2"/>
      <c r="AP2" s="2" t="s">
        <v>26</v>
      </c>
      <c r="AQ2" s="2" t="s">
        <v>27</v>
      </c>
      <c r="AR2" s="2" t="s">
        <v>28</v>
      </c>
      <c r="AS2" s="2" t="s">
        <v>26</v>
      </c>
      <c r="AT2" s="2" t="s">
        <v>27</v>
      </c>
      <c r="AU2" s="2" t="s">
        <v>28</v>
      </c>
      <c r="AV2" s="43" t="s">
        <v>303</v>
      </c>
    </row>
    <row r="3" spans="1:48" x14ac:dyDescent="0.35">
      <c r="A3" t="s">
        <v>43</v>
      </c>
      <c r="B3" t="s">
        <v>44</v>
      </c>
      <c r="C3" t="s">
        <v>45</v>
      </c>
      <c r="D3" t="s">
        <v>44</v>
      </c>
      <c r="E3" t="s">
        <v>29</v>
      </c>
      <c r="F3" t="s">
        <v>33</v>
      </c>
      <c r="G3" t="s">
        <v>34</v>
      </c>
      <c r="H3" s="72">
        <f>('BASE PAN - CAPEX'!$R3+'BASE PAN - CAPEX'!$AD3+'BASE PAN - CAPEX'!$AP3+'BASE PAN - CAPEX'!$BB3+'BASE PAN - CAPEX'!$BC3+VLOOKUP($C3,'BASE PAN - CAPEX - 1º ANO'!$C$3:$BE$35,55,FALSE)+VLOOKUP($C3,'BASE PAN - CAPEX - 1º ANO'!$C$3:$BF$35,56,FALSE)+VLOOKUP($C3,'BASE PAN - CAPEX - 1º ANO'!$C$3:$BG$35,57,FALSE))/3</f>
        <v>26533333.333333332</v>
      </c>
      <c r="I3" s="72">
        <f>('BASE PAN - CAPEX'!$R3+'BASE PAN - CAPEX'!$AD3+'BASE PAN - CAPEX'!$AP3+'BASE PAN - CAPEX'!$BB3+'BASE PAN - CAPEX'!$BC3+VLOOKUP($C3,'BASE PAN - CAPEX - 1º ANO'!$C$3:$BE$35,55,FALSE)+VLOOKUP($C3,'BASE PAN - CAPEX - 1º ANO'!$C$3:$BF$35,56,FALSE)+VLOOKUP($C3,'BASE PAN - CAPEX - 1º ANO'!$C$3:$BG$35,57,FALSE))/3</f>
        <v>26533333.333333332</v>
      </c>
      <c r="J3" s="72">
        <f>('BASE PAN - CAPEX'!$R3+'BASE PAN - CAPEX'!$AD3+'BASE PAN - CAPEX'!$AP3+'BASE PAN - CAPEX'!$BB3+'BASE PAN - CAPEX'!$BC3+VLOOKUP($C3,'BASE PAN - CAPEX - 1º ANO'!$C$3:$BE$35,55,FALSE)+VLOOKUP($C3,'BASE PAN - CAPEX - 1º ANO'!$C$3:$BF$35,56,FALSE)+VLOOKUP($C3,'BASE PAN - CAPEX - 1º ANO'!$C$3:$BG$35,57,FALSE))/3</f>
        <v>26533333.333333332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f>SUM(H3:AL3)</f>
        <v>79600000</v>
      </c>
      <c r="AN3" t="str">
        <f>VLOOKUP(C3,'[6]CAPEX - BLOCOS PAN'!$C$3:$AN$249,38,FALSE)</f>
        <v>N</v>
      </c>
      <c r="AO3" s="3">
        <v>1</v>
      </c>
      <c r="AP3" s="3" t="s">
        <v>171</v>
      </c>
      <c r="AQ3" s="3">
        <v>2045</v>
      </c>
      <c r="AR3" s="3">
        <v>2025</v>
      </c>
      <c r="AS3" s="3" t="s">
        <v>171</v>
      </c>
      <c r="AT3" s="3">
        <v>3</v>
      </c>
      <c r="AU3" s="3">
        <v>2</v>
      </c>
      <c r="AV3" t="str">
        <f>VLOOKUP(C3,'FLUXO DE CAIXA DESC.-BLOCOS PAN'!$D$3:$AO$52,38,FALSE)</f>
        <v>PA - 1 - AL</v>
      </c>
    </row>
    <row r="4" spans="1:48" x14ac:dyDescent="0.35">
      <c r="A4" t="s">
        <v>46</v>
      </c>
      <c r="B4" t="s">
        <v>47</v>
      </c>
      <c r="C4" t="s">
        <v>48</v>
      </c>
      <c r="D4" t="s">
        <v>49</v>
      </c>
      <c r="E4" t="s">
        <v>40</v>
      </c>
      <c r="F4" t="s">
        <v>33</v>
      </c>
      <c r="G4" t="s">
        <v>34</v>
      </c>
      <c r="H4" s="72">
        <f>('BASE PAN - CAPEX'!$R4+'BASE PAN - CAPEX'!$AD4+'BASE PAN - CAPEX'!$AP4+'BASE PAN - CAPEX'!$BB4+'BASE PAN - CAPEX'!$BC4+VLOOKUP($C4,'BASE PAN - CAPEX - 1º ANO'!$C$3:$BE$35,55,FALSE)+VLOOKUP($C4,'BASE PAN - CAPEX - 1º ANO'!$C$3:$BF$35,56,FALSE)+VLOOKUP($C4,'BASE PAN - CAPEX - 1º ANO'!$C$3:$BG$35,57,FALSE))/3</f>
        <v>18728333.333333332</v>
      </c>
      <c r="I4" s="72">
        <f>('BASE PAN - CAPEX'!$R4+'BASE PAN - CAPEX'!$AD4+'BASE PAN - CAPEX'!$AP4+'BASE PAN - CAPEX'!$BB4+'BASE PAN - CAPEX'!$BC4+VLOOKUP($C4,'BASE PAN - CAPEX - 1º ANO'!$C$3:$BE$35,55,FALSE)+VLOOKUP($C4,'BASE PAN - CAPEX - 1º ANO'!$C$3:$BF$35,56,FALSE)+VLOOKUP($C4,'BASE PAN - CAPEX - 1º ANO'!$C$3:$BG$35,57,FALSE))/3</f>
        <v>18728333.333333332</v>
      </c>
      <c r="J4" s="72">
        <f>('BASE PAN - CAPEX'!$R4+'BASE PAN - CAPEX'!$AD4+'BASE PAN - CAPEX'!$AP4+'BASE PAN - CAPEX'!$BB4+'BASE PAN - CAPEX'!$BC4+VLOOKUP($C4,'BASE PAN - CAPEX - 1º ANO'!$C$3:$BE$35,55,FALSE)+VLOOKUP($C4,'BASE PAN - CAPEX - 1º ANO'!$C$3:$BF$35,56,FALSE)+VLOOKUP($C4,'BASE PAN - CAPEX - 1º ANO'!$C$3:$BG$35,57,FALSE))/3</f>
        <v>18728333.333333332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f t="shared" ref="AM4:AM52" si="0">SUM(H4:AL4)</f>
        <v>56185000</v>
      </c>
      <c r="AN4" t="str">
        <f>VLOOKUP(C4,'[6]CAPEX - BLOCOS PAN'!$C$3:$AN$249,38,FALSE)</f>
        <v>NE e CO</v>
      </c>
      <c r="AO4" s="3">
        <v>1</v>
      </c>
      <c r="AP4" s="3" t="s">
        <v>171</v>
      </c>
      <c r="AQ4" s="3">
        <v>2039</v>
      </c>
      <c r="AR4" s="3">
        <v>2025</v>
      </c>
      <c r="AS4" s="3" t="s">
        <v>171</v>
      </c>
      <c r="AT4" s="3">
        <v>3</v>
      </c>
      <c r="AU4" s="3">
        <v>2</v>
      </c>
      <c r="AV4" t="str">
        <f>VLOOKUP(C4,'FLUXO DE CAIXA DESC.-BLOCOS PAN'!$D$3:$AO$52,38,FALSE)</f>
        <v>Bloco Nordeste</v>
      </c>
    </row>
    <row r="5" spans="1:48" x14ac:dyDescent="0.35">
      <c r="A5" t="s">
        <v>50</v>
      </c>
      <c r="B5" t="s">
        <v>51</v>
      </c>
      <c r="C5" t="s">
        <v>52</v>
      </c>
      <c r="D5" t="s">
        <v>51</v>
      </c>
      <c r="E5" t="s">
        <v>35</v>
      </c>
      <c r="F5" t="s">
        <v>33</v>
      </c>
      <c r="G5" t="s">
        <v>34</v>
      </c>
      <c r="H5" s="72">
        <f>('BASE PAN - CAPEX'!$R5+'BASE PAN - CAPEX'!$AD5+'BASE PAN - CAPEX'!$AP5+'BASE PAN - CAPEX'!$BB5+'BASE PAN - CAPEX'!$BC5+VLOOKUP($C5,'BASE PAN - CAPEX - 1º ANO'!$C$3:$BE$35,55,FALSE)+VLOOKUP($C5,'BASE PAN - CAPEX - 1º ANO'!$C$3:$BF$35,56,FALSE)+VLOOKUP($C5,'BASE PAN - CAPEX - 1º ANO'!$C$3:$BG$35,57,FALSE))/3</f>
        <v>12630000</v>
      </c>
      <c r="I5" s="72">
        <f>('BASE PAN - CAPEX'!$R5+'BASE PAN - CAPEX'!$AD5+'BASE PAN - CAPEX'!$AP5+'BASE PAN - CAPEX'!$BB5+'BASE PAN - CAPEX'!$BC5+VLOOKUP($C5,'BASE PAN - CAPEX - 1º ANO'!$C$3:$BE$35,55,FALSE)+VLOOKUP($C5,'BASE PAN - CAPEX - 1º ANO'!$C$3:$BF$35,56,FALSE)+VLOOKUP($C5,'BASE PAN - CAPEX - 1º ANO'!$C$3:$BG$35,57,FALSE))/3</f>
        <v>12630000</v>
      </c>
      <c r="J5" s="72">
        <f>('BASE PAN - CAPEX'!$R5+'BASE PAN - CAPEX'!$AD5+'BASE PAN - CAPEX'!$AP5+'BASE PAN - CAPEX'!$BB5+'BASE PAN - CAPEX'!$BC5+VLOOKUP($C5,'BASE PAN - CAPEX - 1º ANO'!$C$3:$BE$35,55,FALSE)+VLOOKUP($C5,'BASE PAN - CAPEX - 1º ANO'!$C$3:$BF$35,56,FALSE)+VLOOKUP($C5,'BASE PAN - CAPEX - 1º ANO'!$C$3:$BG$35,57,FALSE))/3</f>
        <v>12630000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f t="shared" si="0"/>
        <v>37890000</v>
      </c>
      <c r="AN5" t="str">
        <f>VLOOKUP(C5,'[6]CAPEX - BLOCOS PAN'!$C$3:$AN$249,38,FALSE)</f>
        <v>N</v>
      </c>
      <c r="AO5" s="3">
        <v>0</v>
      </c>
      <c r="AP5" s="3" t="s">
        <v>171</v>
      </c>
      <c r="AQ5" s="3" t="s">
        <v>171</v>
      </c>
      <c r="AR5" s="3">
        <v>2026</v>
      </c>
      <c r="AS5" s="3" t="s">
        <v>171</v>
      </c>
      <c r="AT5" s="3" t="s">
        <v>171</v>
      </c>
      <c r="AU5" s="3">
        <v>1</v>
      </c>
      <c r="AV5" t="str">
        <f>VLOOKUP(C5,'FLUXO DE CAIXA DESC.-BLOCOS PAN'!$D$3:$AO$52,38,FALSE)</f>
        <v>AM - 2 - AL</v>
      </c>
    </row>
    <row r="6" spans="1:48" x14ac:dyDescent="0.35">
      <c r="A6" t="s">
        <v>54</v>
      </c>
      <c r="B6" t="s">
        <v>55</v>
      </c>
      <c r="C6" t="s">
        <v>56</v>
      </c>
      <c r="D6" t="s">
        <v>55</v>
      </c>
      <c r="E6" t="s">
        <v>30</v>
      </c>
      <c r="F6" t="s">
        <v>33</v>
      </c>
      <c r="G6" t="s">
        <v>34</v>
      </c>
      <c r="H6" s="72">
        <f>('BASE PAN - CAPEX'!$R6+'BASE PAN - CAPEX'!$AD6+'BASE PAN - CAPEX'!$AP6+'BASE PAN - CAPEX'!$BB6+'BASE PAN - CAPEX'!$BC6+VLOOKUP($C6,'BASE PAN - CAPEX - 1º ANO'!$C$3:$BE$35,55,FALSE)+VLOOKUP($C6,'BASE PAN - CAPEX - 1º ANO'!$C$3:$BF$35,56,FALSE)+VLOOKUP($C6,'BASE PAN - CAPEX - 1º ANO'!$C$3:$BG$35,57,FALSE))/3</f>
        <v>13930000</v>
      </c>
      <c r="I6" s="72">
        <f>('BASE PAN - CAPEX'!$R6+'BASE PAN - CAPEX'!$AD6+'BASE PAN - CAPEX'!$AP6+'BASE PAN - CAPEX'!$BB6+'BASE PAN - CAPEX'!$BC6+VLOOKUP($C6,'BASE PAN - CAPEX - 1º ANO'!$C$3:$BE$35,55,FALSE)+VLOOKUP($C6,'BASE PAN - CAPEX - 1º ANO'!$C$3:$BF$35,56,FALSE)+VLOOKUP($C6,'BASE PAN - CAPEX - 1º ANO'!$C$3:$BG$35,57,FALSE))/3</f>
        <v>13930000</v>
      </c>
      <c r="J6" s="72">
        <f>('BASE PAN - CAPEX'!$R6+'BASE PAN - CAPEX'!$AD6+'BASE PAN - CAPEX'!$AP6+'BASE PAN - CAPEX'!$BB6+'BASE PAN - CAPEX'!$BC6+VLOOKUP($C6,'BASE PAN - CAPEX - 1º ANO'!$C$3:$BE$35,55,FALSE)+VLOOKUP($C6,'BASE PAN - CAPEX - 1º ANO'!$C$3:$BF$35,56,FALSE)+VLOOKUP($C6,'BASE PAN - CAPEX - 1º ANO'!$C$3:$BG$35,57,FALSE))/3</f>
        <v>13930000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f t="shared" si="0"/>
        <v>41790000</v>
      </c>
      <c r="AN6" t="str">
        <f>VLOOKUP(C6,'[6]CAPEX - BLOCOS PAN'!$C$3:$AN$249,38,FALSE)</f>
        <v>N</v>
      </c>
      <c r="AO6" s="3">
        <v>1</v>
      </c>
      <c r="AP6" s="3" t="s">
        <v>171</v>
      </c>
      <c r="AQ6" s="3" t="s">
        <v>171</v>
      </c>
      <c r="AR6" s="3">
        <v>2038</v>
      </c>
      <c r="AS6" s="3" t="s">
        <v>171</v>
      </c>
      <c r="AT6" s="3" t="s">
        <v>171</v>
      </c>
      <c r="AU6" s="3">
        <v>2</v>
      </c>
      <c r="AV6" t="str">
        <f>VLOOKUP(C6,'FLUXO DE CAIXA DESC.-BLOCOS PAN'!$D$3:$AO$52,38,FALSE)</f>
        <v>RO - 1 - AL</v>
      </c>
    </row>
    <row r="7" spans="1:48" x14ac:dyDescent="0.35">
      <c r="A7" t="s">
        <v>57</v>
      </c>
      <c r="B7" t="s">
        <v>58</v>
      </c>
      <c r="C7" t="s">
        <v>59</v>
      </c>
      <c r="D7" t="s">
        <v>58</v>
      </c>
      <c r="E7" t="s">
        <v>35</v>
      </c>
      <c r="F7" t="s">
        <v>33</v>
      </c>
      <c r="G7" t="s">
        <v>34</v>
      </c>
      <c r="H7" s="72">
        <f>('BASE PAN - CAPEX'!$R7+'BASE PAN - CAPEX'!$AD7+'BASE PAN - CAPEX'!$AP7+'BASE PAN - CAPEX'!$BB7+'BASE PAN - CAPEX'!$BC7+VLOOKUP($C7,'BASE PAN - CAPEX - 1º ANO'!$C$3:$BE$35,55,FALSE)+VLOOKUP($C7,'BASE PAN - CAPEX - 1º ANO'!$C$3:$BF$35,56,FALSE)+VLOOKUP($C7,'BASE PAN - CAPEX - 1º ANO'!$C$3:$BG$35,57,FALSE))/3</f>
        <v>25250000</v>
      </c>
      <c r="I7" s="72">
        <f>('BASE PAN - CAPEX'!$R7+'BASE PAN - CAPEX'!$AD7+'BASE PAN - CAPEX'!$AP7+'BASE PAN - CAPEX'!$BB7+'BASE PAN - CAPEX'!$BC7+VLOOKUP($C7,'BASE PAN - CAPEX - 1º ANO'!$C$3:$BE$35,55,FALSE)+VLOOKUP($C7,'BASE PAN - CAPEX - 1º ANO'!$C$3:$BF$35,56,FALSE)+VLOOKUP($C7,'BASE PAN - CAPEX - 1º ANO'!$C$3:$BG$35,57,FALSE))/3</f>
        <v>25250000</v>
      </c>
      <c r="J7" s="72">
        <f>('BASE PAN - CAPEX'!$R7+'BASE PAN - CAPEX'!$AD7+'BASE PAN - CAPEX'!$AP7+'BASE PAN - CAPEX'!$BB7+'BASE PAN - CAPEX'!$BC7+VLOOKUP($C7,'BASE PAN - CAPEX - 1º ANO'!$C$3:$BE$35,55,FALSE)+VLOOKUP($C7,'BASE PAN - CAPEX - 1º ANO'!$C$3:$BF$35,56,FALSE)+VLOOKUP($C7,'BASE PAN - CAPEX - 1º ANO'!$C$3:$BG$35,57,FALSE))/3</f>
        <v>25250000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f t="shared" si="0"/>
        <v>75750000</v>
      </c>
      <c r="AN7" t="str">
        <f>VLOOKUP(C7,'[6]CAPEX - BLOCOS PAN'!$C$3:$AN$249,38,FALSE)</f>
        <v>N</v>
      </c>
      <c r="AO7" s="3">
        <v>3</v>
      </c>
      <c r="AP7" s="3" t="s">
        <v>171</v>
      </c>
      <c r="AQ7" s="3" t="s">
        <v>171</v>
      </c>
      <c r="AR7" s="3" t="s">
        <v>171</v>
      </c>
      <c r="AS7" s="3" t="s">
        <v>171</v>
      </c>
      <c r="AT7" s="3" t="s">
        <v>171</v>
      </c>
      <c r="AU7" s="3" t="s">
        <v>171</v>
      </c>
      <c r="AV7" t="str">
        <f>VLOOKUP(C7,'FLUXO DE CAIXA DESC.-BLOCOS PAN'!$D$3:$AO$52,38,FALSE)</f>
        <v>AM - 3 - AL</v>
      </c>
    </row>
    <row r="8" spans="1:48" x14ac:dyDescent="0.35">
      <c r="A8" t="s">
        <v>60</v>
      </c>
      <c r="B8" t="s">
        <v>61</v>
      </c>
      <c r="C8" t="s">
        <v>62</v>
      </c>
      <c r="D8" t="s">
        <v>63</v>
      </c>
      <c r="E8" t="s">
        <v>29</v>
      </c>
      <c r="F8" t="s">
        <v>33</v>
      </c>
      <c r="G8" t="s">
        <v>34</v>
      </c>
      <c r="H8" s="72">
        <f>('BASE PAN - CAPEX'!$R8+'BASE PAN - CAPEX'!$AD8+'BASE PAN - CAPEX'!$AP8+'BASE PAN - CAPEX'!$BB8+'BASE PAN - CAPEX'!$BC8+VLOOKUP($C8,'BASE PAN - CAPEX - 1º ANO'!$C$3:$BE$35,55,FALSE)+VLOOKUP($C8,'BASE PAN - CAPEX - 1º ANO'!$C$3:$BF$35,56,FALSE)+VLOOKUP($C8,'BASE PAN - CAPEX - 1º ANO'!$C$3:$BG$35,57,FALSE))/3</f>
        <v>27536666.666666668</v>
      </c>
      <c r="I8" s="72">
        <f>('BASE PAN - CAPEX'!$R8+'BASE PAN - CAPEX'!$AD8+'BASE PAN - CAPEX'!$AP8+'BASE PAN - CAPEX'!$BB8+'BASE PAN - CAPEX'!$BC8+VLOOKUP($C8,'BASE PAN - CAPEX - 1º ANO'!$C$3:$BE$35,55,FALSE)+VLOOKUP($C8,'BASE PAN - CAPEX - 1º ANO'!$C$3:$BF$35,56,FALSE)+VLOOKUP($C8,'BASE PAN - CAPEX - 1º ANO'!$C$3:$BG$35,57,FALSE))/3</f>
        <v>27536666.666666668</v>
      </c>
      <c r="J8" s="72">
        <f>('BASE PAN - CAPEX'!$R8+'BASE PAN - CAPEX'!$AD8+'BASE PAN - CAPEX'!$AP8+'BASE PAN - CAPEX'!$BB8+'BASE PAN - CAPEX'!$BC8+VLOOKUP($C8,'BASE PAN - CAPEX - 1º ANO'!$C$3:$BE$35,55,FALSE)+VLOOKUP($C8,'BASE PAN - CAPEX - 1º ANO'!$C$3:$BF$35,56,FALSE)+VLOOKUP($C8,'BASE PAN - CAPEX - 1º ANO'!$C$3:$BG$35,57,FALSE))/3</f>
        <v>27536666.666666668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f t="shared" si="0"/>
        <v>82610000</v>
      </c>
      <c r="AN8" t="str">
        <f>VLOOKUP(C8,'[6]CAPEX - BLOCOS PAN'!$C$3:$AN$249,38,FALSE)</f>
        <v>N</v>
      </c>
      <c r="AO8" s="3">
        <v>1</v>
      </c>
      <c r="AP8" s="3" t="s">
        <v>171</v>
      </c>
      <c r="AQ8" s="3">
        <v>2042</v>
      </c>
      <c r="AR8" s="3">
        <v>2029</v>
      </c>
      <c r="AS8" s="3" t="s">
        <v>171</v>
      </c>
      <c r="AT8" s="3">
        <v>3</v>
      </c>
      <c r="AU8" s="3">
        <v>2</v>
      </c>
      <c r="AV8" t="str">
        <f>VLOOKUP(C8,'FLUXO DE CAIXA DESC.-BLOCOS PAN'!$D$3:$AO$52,38,FALSE)</f>
        <v>PA 3 - AL</v>
      </c>
    </row>
    <row r="9" spans="1:48" x14ac:dyDescent="0.35">
      <c r="A9" t="s">
        <v>64</v>
      </c>
      <c r="B9" t="s">
        <v>65</v>
      </c>
      <c r="C9" t="s">
        <v>66</v>
      </c>
      <c r="D9" t="s">
        <v>65</v>
      </c>
      <c r="E9" t="s">
        <v>35</v>
      </c>
      <c r="F9" t="s">
        <v>33</v>
      </c>
      <c r="G9" t="s">
        <v>34</v>
      </c>
      <c r="H9" s="72">
        <f>('BASE PAN - CAPEX'!$R9+'BASE PAN - CAPEX'!$AD9+'BASE PAN - CAPEX'!$AP9+'BASE PAN - CAPEX'!$BB9+'BASE PAN - CAPEX'!$BC9+VLOOKUP($C9,'BASE PAN - CAPEX - 1º ANO'!$C$3:$BE$35,55,FALSE)+VLOOKUP($C9,'BASE PAN - CAPEX - 1º ANO'!$C$3:$BF$35,56,FALSE)+VLOOKUP($C9,'BASE PAN - CAPEX - 1º ANO'!$C$3:$BG$35,57,FALSE))/3</f>
        <v>6840000</v>
      </c>
      <c r="I9" s="72">
        <f>('BASE PAN - CAPEX'!$R9+'BASE PAN - CAPEX'!$AD9+'BASE PAN - CAPEX'!$AP9+'BASE PAN - CAPEX'!$BB9+'BASE PAN - CAPEX'!$BC9+VLOOKUP($C9,'BASE PAN - CAPEX - 1º ANO'!$C$3:$BE$35,55,FALSE)+VLOOKUP($C9,'BASE PAN - CAPEX - 1º ANO'!$C$3:$BF$35,56,FALSE)+VLOOKUP($C9,'BASE PAN - CAPEX - 1º ANO'!$C$3:$BG$35,57,FALSE))/3</f>
        <v>6840000</v>
      </c>
      <c r="J9" s="72">
        <f>('BASE PAN - CAPEX'!$R9+'BASE PAN - CAPEX'!$AD9+'BASE PAN - CAPEX'!$AP9+'BASE PAN - CAPEX'!$BB9+'BASE PAN - CAPEX'!$BC9+VLOOKUP($C9,'BASE PAN - CAPEX - 1º ANO'!$C$3:$BE$35,55,FALSE)+VLOOKUP($C9,'BASE PAN - CAPEX - 1º ANO'!$C$3:$BF$35,56,FALSE)+VLOOKUP($C9,'BASE PAN - CAPEX - 1º ANO'!$C$3:$BG$35,57,FALSE))/3</f>
        <v>6840000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f t="shared" si="0"/>
        <v>20520000</v>
      </c>
      <c r="AN9" t="str">
        <f>VLOOKUP(C9,'[6]CAPEX - BLOCOS PAN'!$C$3:$AN$249,38,FALSE)</f>
        <v>N</v>
      </c>
      <c r="AO9" s="3">
        <v>1</v>
      </c>
      <c r="AP9" s="3" t="s">
        <v>171</v>
      </c>
      <c r="AQ9" s="3" t="s">
        <v>171</v>
      </c>
      <c r="AR9" s="3">
        <v>2045</v>
      </c>
      <c r="AS9" s="3" t="s">
        <v>171</v>
      </c>
      <c r="AT9" s="3" t="s">
        <v>171</v>
      </c>
      <c r="AU9" s="3">
        <v>2</v>
      </c>
      <c r="AV9" t="str">
        <f>VLOOKUP(C9,'FLUXO DE CAIXA DESC.-BLOCOS PAN'!$D$3:$AO$52,38,FALSE)</f>
        <v>AM - 2 - AL</v>
      </c>
    </row>
    <row r="10" spans="1:48" x14ac:dyDescent="0.35">
      <c r="A10" t="s">
        <v>67</v>
      </c>
      <c r="B10" t="s">
        <v>68</v>
      </c>
      <c r="C10" t="s">
        <v>69</v>
      </c>
      <c r="D10" t="s">
        <v>70</v>
      </c>
      <c r="E10" t="s">
        <v>29</v>
      </c>
      <c r="F10" t="s">
        <v>33</v>
      </c>
      <c r="G10" t="s">
        <v>34</v>
      </c>
      <c r="H10" s="72">
        <f>('BASE PAN - CAPEX'!$R10+'BASE PAN - CAPEX'!$AD10+'BASE PAN - CAPEX'!$AP10+'BASE PAN - CAPEX'!$BB10+'BASE PAN - CAPEX'!$BC10+VLOOKUP($C10,'BASE PAN - CAPEX - 1º ANO'!$C$3:$BE$35,55,FALSE)+VLOOKUP($C10,'BASE PAN - CAPEX - 1º ANO'!$C$3:$BF$35,56,FALSE)+VLOOKUP($C10,'BASE PAN - CAPEX - 1º ANO'!$C$3:$BG$35,57,FALSE))/3</f>
        <v>24976666.666666668</v>
      </c>
      <c r="I10" s="72">
        <f>('BASE PAN - CAPEX'!$R10+'BASE PAN - CAPEX'!$AD10+'BASE PAN - CAPEX'!$AP10+'BASE PAN - CAPEX'!$BB10+'BASE PAN - CAPEX'!$BC10+VLOOKUP($C10,'BASE PAN - CAPEX - 1º ANO'!$C$3:$BE$35,55,FALSE)+VLOOKUP($C10,'BASE PAN - CAPEX - 1º ANO'!$C$3:$BF$35,56,FALSE)+VLOOKUP($C10,'BASE PAN - CAPEX - 1º ANO'!$C$3:$BG$35,57,FALSE))/3</f>
        <v>24976666.666666668</v>
      </c>
      <c r="J10" s="72">
        <f>('BASE PAN - CAPEX'!$R10+'BASE PAN - CAPEX'!$AD10+'BASE PAN - CAPEX'!$AP10+'BASE PAN - CAPEX'!$BB10+'BASE PAN - CAPEX'!$BC10+VLOOKUP($C10,'BASE PAN - CAPEX - 1º ANO'!$C$3:$BE$35,55,FALSE)+VLOOKUP($C10,'BASE PAN - CAPEX - 1º ANO'!$C$3:$BF$35,56,FALSE)+VLOOKUP($C10,'BASE PAN - CAPEX - 1º ANO'!$C$3:$BG$35,57,FALSE))/3</f>
        <v>24976666.666666668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f t="shared" si="0"/>
        <v>74930000</v>
      </c>
      <c r="AN10" t="str">
        <f>VLOOKUP(C10,'[6]CAPEX - BLOCOS PAN'!$C$3:$AN$249,38,FALSE)</f>
        <v>N</v>
      </c>
      <c r="AO10" s="3">
        <v>1</v>
      </c>
      <c r="AP10" s="3" t="s">
        <v>171</v>
      </c>
      <c r="AQ10" s="3">
        <v>2049</v>
      </c>
      <c r="AR10" s="3">
        <v>2034</v>
      </c>
      <c r="AS10" s="3" t="s">
        <v>171</v>
      </c>
      <c r="AT10" s="3">
        <v>3</v>
      </c>
      <c r="AU10" s="3">
        <v>2</v>
      </c>
      <c r="AV10" t="str">
        <f>VLOOKUP(C10,'FLUXO DE CAIXA DESC.-BLOCOS PAN'!$D$3:$AO$52,38,FALSE)</f>
        <v>PA - 1 - AL</v>
      </c>
    </row>
    <row r="11" spans="1:48" x14ac:dyDescent="0.35">
      <c r="A11" t="s">
        <v>71</v>
      </c>
      <c r="B11" t="s">
        <v>72</v>
      </c>
      <c r="C11" t="s">
        <v>73</v>
      </c>
      <c r="D11" t="s">
        <v>72</v>
      </c>
      <c r="E11" t="s">
        <v>41</v>
      </c>
      <c r="F11" t="s">
        <v>33</v>
      </c>
      <c r="G11" t="s">
        <v>34</v>
      </c>
      <c r="H11" s="72">
        <f>('BASE PAN - CAPEX'!$R11+'BASE PAN - CAPEX'!$AD11+'BASE PAN - CAPEX'!$AP11+'BASE PAN - CAPEX'!$BB11+'BASE PAN - CAPEX'!$BC11+VLOOKUP($C11,'BASE PAN - CAPEX - 1º ANO'!$C$3:$BE$35,55,FALSE)+VLOOKUP($C11,'BASE PAN - CAPEX - 1º ANO'!$C$3:$BF$35,56,FALSE)+VLOOKUP($C11,'BASE PAN - CAPEX - 1º ANO'!$C$3:$BG$35,57,FALSE))/3</f>
        <v>12591666.666666666</v>
      </c>
      <c r="I11" s="72">
        <f>('BASE PAN - CAPEX'!$R11+'BASE PAN - CAPEX'!$AD11+'BASE PAN - CAPEX'!$AP11+'BASE PAN - CAPEX'!$BB11+'BASE PAN - CAPEX'!$BC11+VLOOKUP($C11,'BASE PAN - CAPEX - 1º ANO'!$C$3:$BE$35,55,FALSE)+VLOOKUP($C11,'BASE PAN - CAPEX - 1º ANO'!$C$3:$BF$35,56,FALSE)+VLOOKUP($C11,'BASE PAN - CAPEX - 1º ANO'!$C$3:$BG$35,57,FALSE))/3</f>
        <v>12591666.666666666</v>
      </c>
      <c r="J11" s="72">
        <f>('BASE PAN - CAPEX'!$R11+'BASE PAN - CAPEX'!$AD11+'BASE PAN - CAPEX'!$AP11+'BASE PAN - CAPEX'!$BB11+'BASE PAN - CAPEX'!$BC11+VLOOKUP($C11,'BASE PAN - CAPEX - 1º ANO'!$C$3:$BE$35,55,FALSE)+VLOOKUP($C11,'BASE PAN - CAPEX - 1º ANO'!$C$3:$BF$35,56,FALSE)+VLOOKUP($C11,'BASE PAN - CAPEX - 1º ANO'!$C$3:$BG$35,57,FALSE))/3</f>
        <v>12591666.666666666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f t="shared" si="0"/>
        <v>37775000</v>
      </c>
      <c r="AN11" t="str">
        <f>VLOOKUP(C11,'[6]CAPEX - BLOCOS PAN'!$C$3:$AN$249,38,FALSE)</f>
        <v>N</v>
      </c>
      <c r="AO11" s="3">
        <v>1</v>
      </c>
      <c r="AP11" s="3" t="s">
        <v>171</v>
      </c>
      <c r="AQ11" s="3" t="s">
        <v>171</v>
      </c>
      <c r="AR11" s="3" t="s">
        <v>171</v>
      </c>
      <c r="AS11" s="3" t="s">
        <v>171</v>
      </c>
      <c r="AT11" s="3" t="s">
        <v>171</v>
      </c>
      <c r="AU11" s="3" t="s">
        <v>171</v>
      </c>
      <c r="AV11" t="str">
        <f>VLOOKUP(C11,'FLUXO DE CAIXA DESC.-BLOCOS PAN'!$D$3:$AO$52,38,FALSE)</f>
        <v>AC + AM - 1 - AL</v>
      </c>
    </row>
    <row r="12" spans="1:48" x14ac:dyDescent="0.35">
      <c r="A12" t="s">
        <v>74</v>
      </c>
      <c r="B12" t="s">
        <v>75</v>
      </c>
      <c r="C12" t="s">
        <v>76</v>
      </c>
      <c r="D12" t="s">
        <v>75</v>
      </c>
      <c r="E12" t="s">
        <v>29</v>
      </c>
      <c r="F12" t="s">
        <v>33</v>
      </c>
      <c r="G12" t="s">
        <v>34</v>
      </c>
      <c r="H12" s="72">
        <f>('BASE PAN - CAPEX'!$R12+'BASE PAN - CAPEX'!$AD12+'BASE PAN - CAPEX'!$AP12+'BASE PAN - CAPEX'!$BB12+'BASE PAN - CAPEX'!$BC12+VLOOKUP($C12,'BASE PAN - CAPEX - 1º ANO'!$C$3:$BE$35,55,FALSE)+VLOOKUP($C12,'BASE PAN - CAPEX - 1º ANO'!$C$3:$BF$35,56,FALSE)+VLOOKUP($C12,'BASE PAN - CAPEX - 1º ANO'!$C$3:$BG$35,57,FALSE))/3</f>
        <v>32238333.333333332</v>
      </c>
      <c r="I12" s="72">
        <f>('BASE PAN - CAPEX'!$R12+'BASE PAN - CAPEX'!$AD12+'BASE PAN - CAPEX'!$AP12+'BASE PAN - CAPEX'!$BB12+'BASE PAN - CAPEX'!$BC12+VLOOKUP($C12,'BASE PAN - CAPEX - 1º ANO'!$C$3:$BE$35,55,FALSE)+VLOOKUP($C12,'BASE PAN - CAPEX - 1º ANO'!$C$3:$BF$35,56,FALSE)+VLOOKUP($C12,'BASE PAN - CAPEX - 1º ANO'!$C$3:$BG$35,57,FALSE))/3</f>
        <v>32238333.333333332</v>
      </c>
      <c r="J12" s="72">
        <f>('BASE PAN - CAPEX'!$R12+'BASE PAN - CAPEX'!$AD12+'BASE PAN - CAPEX'!$AP12+'BASE PAN - CAPEX'!$BB12+'BASE PAN - CAPEX'!$BC12+VLOOKUP($C12,'BASE PAN - CAPEX - 1º ANO'!$C$3:$BE$35,55,FALSE)+VLOOKUP($C12,'BASE PAN - CAPEX - 1º ANO'!$C$3:$BF$35,56,FALSE)+VLOOKUP($C12,'BASE PAN - CAPEX - 1º ANO'!$C$3:$BG$35,57,FALSE))/3</f>
        <v>32238333.333333332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f t="shared" si="0"/>
        <v>96715000</v>
      </c>
      <c r="AN12" t="str">
        <f>VLOOKUP(C12,'[6]CAPEX - BLOCOS PAN'!$C$3:$AN$249,38,FALSE)</f>
        <v>N</v>
      </c>
      <c r="AO12" s="3">
        <v>1</v>
      </c>
      <c r="AP12" s="3" t="s">
        <v>171</v>
      </c>
      <c r="AQ12" s="3">
        <v>2049</v>
      </c>
      <c r="AR12" s="3">
        <v>2026</v>
      </c>
      <c r="AS12" s="3" t="s">
        <v>171</v>
      </c>
      <c r="AT12" s="3">
        <v>3</v>
      </c>
      <c r="AU12" s="3">
        <v>2</v>
      </c>
      <c r="AV12" t="str">
        <f>VLOOKUP(C12,'FLUXO DE CAIXA DESC.-BLOCOS PAN'!$D$3:$AO$52,38,FALSE)</f>
        <v>PA - 2 - AL</v>
      </c>
    </row>
    <row r="13" spans="1:48" x14ac:dyDescent="0.35">
      <c r="A13" t="s">
        <v>77</v>
      </c>
      <c r="B13" t="s">
        <v>78</v>
      </c>
      <c r="C13" t="s">
        <v>79</v>
      </c>
      <c r="D13" t="s">
        <v>78</v>
      </c>
      <c r="E13" t="s">
        <v>35</v>
      </c>
      <c r="F13" t="s">
        <v>33</v>
      </c>
      <c r="G13" t="s">
        <v>34</v>
      </c>
      <c r="H13" s="72">
        <f>('BASE PAN - CAPEX'!$R13+'BASE PAN - CAPEX'!$AD13+'BASE PAN - CAPEX'!$AP13+'BASE PAN - CAPEX'!$BB13+'BASE PAN - CAPEX'!$BC13+VLOOKUP($C13,'BASE PAN - CAPEX - 1º ANO'!$C$3:$BE$35,55,FALSE)+VLOOKUP($C13,'BASE PAN - CAPEX - 1º ANO'!$C$3:$BF$35,56,FALSE)+VLOOKUP($C13,'BASE PAN - CAPEX - 1º ANO'!$C$3:$BG$35,57,FALSE))/3</f>
        <v>27955000</v>
      </c>
      <c r="I13" s="72">
        <f>('BASE PAN - CAPEX'!$R13+'BASE PAN - CAPEX'!$AD13+'BASE PAN - CAPEX'!$AP13+'BASE PAN - CAPEX'!$BB13+'BASE PAN - CAPEX'!$BC13+VLOOKUP($C13,'BASE PAN - CAPEX - 1º ANO'!$C$3:$BE$35,55,FALSE)+VLOOKUP($C13,'BASE PAN - CAPEX - 1º ANO'!$C$3:$BF$35,56,FALSE)+VLOOKUP($C13,'BASE PAN - CAPEX - 1º ANO'!$C$3:$BG$35,57,FALSE))/3</f>
        <v>27955000</v>
      </c>
      <c r="J13" s="72">
        <f>('BASE PAN - CAPEX'!$R13+'BASE PAN - CAPEX'!$AD13+'BASE PAN - CAPEX'!$AP13+'BASE PAN - CAPEX'!$BB13+'BASE PAN - CAPEX'!$BC13+VLOOKUP($C13,'BASE PAN - CAPEX - 1º ANO'!$C$3:$BE$35,55,FALSE)+VLOOKUP($C13,'BASE PAN - CAPEX - 1º ANO'!$C$3:$BF$35,56,FALSE)+VLOOKUP($C13,'BASE PAN - CAPEX - 1º ANO'!$C$3:$BG$35,57,FALSE))/3</f>
        <v>27955000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f t="shared" si="0"/>
        <v>83865000</v>
      </c>
      <c r="AN13" t="str">
        <f>VLOOKUP(C13,'[6]CAPEX - BLOCOS PAN'!$C$3:$AN$249,38,FALSE)</f>
        <v>N</v>
      </c>
      <c r="AO13" s="3">
        <v>1</v>
      </c>
      <c r="AP13" s="3" t="s">
        <v>171</v>
      </c>
      <c r="AQ13" s="3">
        <v>2052</v>
      </c>
      <c r="AR13" s="3">
        <v>2024</v>
      </c>
      <c r="AS13" s="3" t="s">
        <v>171</v>
      </c>
      <c r="AT13" s="3">
        <v>3</v>
      </c>
      <c r="AU13" s="3">
        <v>2</v>
      </c>
      <c r="AV13" t="str">
        <f>VLOOKUP(C13,'FLUXO DE CAIXA DESC.-BLOCOS PAN'!$D$3:$AO$52,38,FALSE)</f>
        <v>AM - 2 - AL</v>
      </c>
    </row>
    <row r="14" spans="1:48" x14ac:dyDescent="0.35">
      <c r="A14" t="s">
        <v>80</v>
      </c>
      <c r="B14" t="s">
        <v>81</v>
      </c>
      <c r="C14" t="s">
        <v>82</v>
      </c>
      <c r="D14" t="s">
        <v>81</v>
      </c>
      <c r="E14" t="s">
        <v>40</v>
      </c>
      <c r="F14" t="s">
        <v>33</v>
      </c>
      <c r="G14" t="s">
        <v>34</v>
      </c>
      <c r="H14" s="72">
        <f>('BASE PAN - CAPEX'!$R14+'BASE PAN - CAPEX'!$AD14+'BASE PAN - CAPEX'!$AP14+'BASE PAN - CAPEX'!$BB14+'BASE PAN - CAPEX'!$BC14+VLOOKUP($C14,'BASE PAN - CAPEX - 1º ANO'!$C$3:$BE$35,55,FALSE)+VLOOKUP($C14,'BASE PAN - CAPEX - 1º ANO'!$C$3:$BF$35,56,FALSE)+VLOOKUP($C14,'BASE PAN - CAPEX - 1º ANO'!$C$3:$BG$35,57,FALSE))/3</f>
        <v>15020000</v>
      </c>
      <c r="I14" s="72">
        <f>('BASE PAN - CAPEX'!$R14+'BASE PAN - CAPEX'!$AD14+'BASE PAN - CAPEX'!$AP14+'BASE PAN - CAPEX'!$BB14+'BASE PAN - CAPEX'!$BC14+VLOOKUP($C14,'BASE PAN - CAPEX - 1º ANO'!$C$3:$BE$35,55,FALSE)+VLOOKUP($C14,'BASE PAN - CAPEX - 1º ANO'!$C$3:$BF$35,56,FALSE)+VLOOKUP($C14,'BASE PAN - CAPEX - 1º ANO'!$C$3:$BG$35,57,FALSE))/3</f>
        <v>15020000</v>
      </c>
      <c r="J14" s="72">
        <f>('BASE PAN - CAPEX'!$R14+'BASE PAN - CAPEX'!$AD14+'BASE PAN - CAPEX'!$AP14+'BASE PAN - CAPEX'!$BB14+'BASE PAN - CAPEX'!$BC14+VLOOKUP($C14,'BASE PAN - CAPEX - 1º ANO'!$C$3:$BE$35,55,FALSE)+VLOOKUP($C14,'BASE PAN - CAPEX - 1º ANO'!$C$3:$BF$35,56,FALSE)+VLOOKUP($C14,'BASE PAN - CAPEX - 1º ANO'!$C$3:$BG$35,57,FALSE))/3</f>
        <v>15020000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f t="shared" si="0"/>
        <v>45060000</v>
      </c>
      <c r="AN14" t="str">
        <f>VLOOKUP(C14,'[6]CAPEX - BLOCOS PAN'!$C$3:$AN$249,38,FALSE)</f>
        <v>NE e CO</v>
      </c>
      <c r="AO14" s="3">
        <v>1</v>
      </c>
      <c r="AP14" s="3" t="s">
        <v>171</v>
      </c>
      <c r="AQ14" s="3">
        <v>2048</v>
      </c>
      <c r="AR14" s="3">
        <v>2032</v>
      </c>
      <c r="AS14" s="3" t="s">
        <v>171</v>
      </c>
      <c r="AT14" s="3">
        <v>3</v>
      </c>
      <c r="AU14" s="3">
        <v>2</v>
      </c>
      <c r="AV14" t="str">
        <f>VLOOKUP(C14,'FLUXO DE CAIXA DESC.-BLOCOS PAN'!$D$3:$AO$52,38,FALSE)</f>
        <v>Bloco Nordeste</v>
      </c>
    </row>
    <row r="15" spans="1:48" x14ac:dyDescent="0.35">
      <c r="A15" t="s">
        <v>83</v>
      </c>
      <c r="B15" t="s">
        <v>84</v>
      </c>
      <c r="C15" t="s">
        <v>85</v>
      </c>
      <c r="D15" t="s">
        <v>84</v>
      </c>
      <c r="E15" t="s">
        <v>30</v>
      </c>
      <c r="F15" t="s">
        <v>33</v>
      </c>
      <c r="G15" t="s">
        <v>34</v>
      </c>
      <c r="H15" s="72">
        <f>('BASE PAN - CAPEX'!$R15+'BASE PAN - CAPEX'!$AD15+'BASE PAN - CAPEX'!$AP15+'BASE PAN - CAPEX'!$BB15+'BASE PAN - CAPEX'!$BC15+VLOOKUP($C15,'BASE PAN - CAPEX - 1º ANO'!$C$3:$BE$35,55,FALSE)+VLOOKUP($C15,'BASE PAN - CAPEX - 1º ANO'!$C$3:$BF$35,56,FALSE)+VLOOKUP($C15,'BASE PAN - CAPEX - 1º ANO'!$C$3:$BG$35,57,FALSE))/3</f>
        <v>32001666.666666668</v>
      </c>
      <c r="I15" s="72">
        <f>('BASE PAN - CAPEX'!$R15+'BASE PAN - CAPEX'!$AD15+'BASE PAN - CAPEX'!$AP15+'BASE PAN - CAPEX'!$BB15+'BASE PAN - CAPEX'!$BC15+VLOOKUP($C15,'BASE PAN - CAPEX - 1º ANO'!$C$3:$BE$35,55,FALSE)+VLOOKUP($C15,'BASE PAN - CAPEX - 1º ANO'!$C$3:$BF$35,56,FALSE)+VLOOKUP($C15,'BASE PAN - CAPEX - 1º ANO'!$C$3:$BG$35,57,FALSE))/3</f>
        <v>32001666.666666668</v>
      </c>
      <c r="J15" s="72">
        <f>('BASE PAN - CAPEX'!$R15+'BASE PAN - CAPEX'!$AD15+'BASE PAN - CAPEX'!$AP15+'BASE PAN - CAPEX'!$BB15+'BASE PAN - CAPEX'!$BC15+VLOOKUP($C15,'BASE PAN - CAPEX - 1º ANO'!$C$3:$BE$35,55,FALSE)+VLOOKUP($C15,'BASE PAN - CAPEX - 1º ANO'!$C$3:$BF$35,56,FALSE)+VLOOKUP($C15,'BASE PAN - CAPEX - 1º ANO'!$C$3:$BG$35,57,FALSE))/3</f>
        <v>32001666.666666668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f t="shared" si="0"/>
        <v>96005000</v>
      </c>
      <c r="AN15" t="str">
        <f>VLOOKUP(C15,'[6]CAPEX - BLOCOS PAN'!$C$3:$AN$249,38,FALSE)</f>
        <v>N</v>
      </c>
      <c r="AO15" s="3">
        <v>2</v>
      </c>
      <c r="AP15" s="3" t="s">
        <v>171</v>
      </c>
      <c r="AQ15" s="3" t="s">
        <v>171</v>
      </c>
      <c r="AR15" s="3">
        <v>2027</v>
      </c>
      <c r="AS15" s="3" t="s">
        <v>171</v>
      </c>
      <c r="AT15" s="3" t="s">
        <v>171</v>
      </c>
      <c r="AU15" s="3">
        <v>3</v>
      </c>
      <c r="AV15" t="str">
        <f>VLOOKUP(C15,'FLUXO DE CAIXA DESC.-BLOCOS PAN'!$D$3:$AO$52,38,FALSE)</f>
        <v>RO - 1 - AL</v>
      </c>
    </row>
    <row r="16" spans="1:48" x14ac:dyDescent="0.35">
      <c r="A16" t="s">
        <v>90</v>
      </c>
      <c r="B16" t="s">
        <v>91</v>
      </c>
      <c r="C16" t="s">
        <v>92</v>
      </c>
      <c r="D16" t="s">
        <v>91</v>
      </c>
      <c r="E16" t="s">
        <v>29</v>
      </c>
      <c r="F16" t="s">
        <v>33</v>
      </c>
      <c r="G16" t="s">
        <v>34</v>
      </c>
      <c r="H16" s="72">
        <f>('BASE PAN - CAPEX'!$R16+'BASE PAN - CAPEX'!$AD16+'BASE PAN - CAPEX'!$AP16+'BASE PAN - CAPEX'!$BB16+'BASE PAN - CAPEX'!$BC16+VLOOKUP($C16,'BASE PAN - CAPEX - 1º ANO'!$C$3:$BE$35,55,FALSE)+VLOOKUP($C16,'BASE PAN - CAPEX - 1º ANO'!$C$3:$BF$35,56,FALSE)+VLOOKUP($C16,'BASE PAN - CAPEX - 1º ANO'!$C$3:$BG$35,57,FALSE))/3</f>
        <v>8670000</v>
      </c>
      <c r="I16" s="72">
        <f>('BASE PAN - CAPEX'!$R16+'BASE PAN - CAPEX'!$AD16+'BASE PAN - CAPEX'!$AP16+'BASE PAN - CAPEX'!$BB16+'BASE PAN - CAPEX'!$BC16+VLOOKUP($C16,'BASE PAN - CAPEX - 1º ANO'!$C$3:$BE$35,55,FALSE)+VLOOKUP($C16,'BASE PAN - CAPEX - 1º ANO'!$C$3:$BF$35,56,FALSE)+VLOOKUP($C16,'BASE PAN - CAPEX - 1º ANO'!$C$3:$BG$35,57,FALSE))/3</f>
        <v>8670000</v>
      </c>
      <c r="J16" s="72">
        <f>('BASE PAN - CAPEX'!$R16+'BASE PAN - CAPEX'!$AD16+'BASE PAN - CAPEX'!$AP16+'BASE PAN - CAPEX'!$BB16+'BASE PAN - CAPEX'!$BC16+VLOOKUP($C16,'BASE PAN - CAPEX - 1º ANO'!$C$3:$BE$35,55,FALSE)+VLOOKUP($C16,'BASE PAN - CAPEX - 1º ANO'!$C$3:$BF$35,56,FALSE)+VLOOKUP($C16,'BASE PAN - CAPEX - 1º ANO'!$C$3:$BG$35,57,FALSE))/3</f>
        <v>8670000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f t="shared" si="0"/>
        <v>26010000</v>
      </c>
      <c r="AN16" t="str">
        <f>VLOOKUP(C16,'[6]CAPEX - BLOCOS PAN'!$C$3:$AN$249,38,FALSE)</f>
        <v>N</v>
      </c>
      <c r="AO16" s="3">
        <v>1</v>
      </c>
      <c r="AP16" s="3" t="s">
        <v>171</v>
      </c>
      <c r="AQ16" s="3" t="s">
        <v>171</v>
      </c>
      <c r="AR16" s="3" t="s">
        <v>171</v>
      </c>
      <c r="AS16" s="3" t="s">
        <v>171</v>
      </c>
      <c r="AT16" s="3" t="s">
        <v>171</v>
      </c>
      <c r="AU16" s="3" t="s">
        <v>171</v>
      </c>
      <c r="AV16" t="str">
        <f>VLOOKUP(C16,'FLUXO DE CAIXA DESC.-BLOCOS PAN'!$D$3:$AO$52,38,FALSE)</f>
        <v>PA - 2 - AL</v>
      </c>
    </row>
    <row r="17" spans="1:48" x14ac:dyDescent="0.35">
      <c r="A17" t="s">
        <v>93</v>
      </c>
      <c r="B17" t="s">
        <v>94</v>
      </c>
      <c r="C17" t="s">
        <v>95</v>
      </c>
      <c r="D17" t="s">
        <v>96</v>
      </c>
      <c r="E17" t="s">
        <v>29</v>
      </c>
      <c r="F17" t="s">
        <v>33</v>
      </c>
      <c r="G17" t="s">
        <v>34</v>
      </c>
      <c r="H17" s="72">
        <f>('BASE PAN - CAPEX'!$R17+'BASE PAN - CAPEX'!$AD17+'BASE PAN - CAPEX'!$AP17+'BASE PAN - CAPEX'!$BB17+'BASE PAN - CAPEX'!$BC17+VLOOKUP($C17,'BASE PAN - CAPEX - 1º ANO'!$C$3:$BE$35,55,FALSE)+VLOOKUP($C17,'BASE PAN - CAPEX - 1º ANO'!$C$3:$BF$35,56,FALSE)+VLOOKUP($C17,'BASE PAN - CAPEX - 1º ANO'!$C$3:$BG$35,57,FALSE))/3</f>
        <v>35291666.666666664</v>
      </c>
      <c r="I17" s="72">
        <f>('BASE PAN - CAPEX'!$R17+'BASE PAN - CAPEX'!$AD17+'BASE PAN - CAPEX'!$AP17+'BASE PAN - CAPEX'!$BB17+'BASE PAN - CAPEX'!$BC17+VLOOKUP($C17,'BASE PAN - CAPEX - 1º ANO'!$C$3:$BE$35,55,FALSE)+VLOOKUP($C17,'BASE PAN - CAPEX - 1º ANO'!$C$3:$BF$35,56,FALSE)+VLOOKUP($C17,'BASE PAN - CAPEX - 1º ANO'!$C$3:$BG$35,57,FALSE))/3</f>
        <v>35291666.666666664</v>
      </c>
      <c r="J17" s="72">
        <f>('BASE PAN - CAPEX'!$R17+'BASE PAN - CAPEX'!$AD17+'BASE PAN - CAPEX'!$AP17+'BASE PAN - CAPEX'!$BB17+'BASE PAN - CAPEX'!$BC17+VLOOKUP($C17,'BASE PAN - CAPEX - 1º ANO'!$C$3:$BE$35,55,FALSE)+VLOOKUP($C17,'BASE PAN - CAPEX - 1º ANO'!$C$3:$BF$35,56,FALSE)+VLOOKUP($C17,'BASE PAN - CAPEX - 1º ANO'!$C$3:$BG$35,57,FALSE))/3</f>
        <v>35291666.666666664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f t="shared" si="0"/>
        <v>105875000</v>
      </c>
      <c r="AN17" t="str">
        <f>VLOOKUP(C17,'[6]CAPEX - BLOCOS PAN'!$C$3:$AN$249,38,FALSE)</f>
        <v>N</v>
      </c>
      <c r="AO17" s="3">
        <v>1</v>
      </c>
      <c r="AP17" s="3" t="s">
        <v>171</v>
      </c>
      <c r="AQ17" s="3">
        <v>2049</v>
      </c>
      <c r="AR17" s="3">
        <v>2034</v>
      </c>
      <c r="AS17" s="3" t="s">
        <v>171</v>
      </c>
      <c r="AT17" s="3">
        <v>3</v>
      </c>
      <c r="AU17" s="3">
        <v>2</v>
      </c>
      <c r="AV17" t="str">
        <f>VLOOKUP(C17,'FLUXO DE CAIXA DESC.-BLOCOS PAN'!$D$3:$AO$52,38,FALSE)</f>
        <v>PA - 2 - AL</v>
      </c>
    </row>
    <row r="18" spans="1:48" x14ac:dyDescent="0.35">
      <c r="A18" t="s">
        <v>97</v>
      </c>
      <c r="B18" t="s">
        <v>98</v>
      </c>
      <c r="C18" t="s">
        <v>99</v>
      </c>
      <c r="D18" t="s">
        <v>98</v>
      </c>
      <c r="E18" t="s">
        <v>29</v>
      </c>
      <c r="F18" t="s">
        <v>33</v>
      </c>
      <c r="G18" t="s">
        <v>34</v>
      </c>
      <c r="H18" s="72">
        <f>('BASE PAN - CAPEX'!$R18+'BASE PAN - CAPEX'!$AD18+'BASE PAN - CAPEX'!$AP18+'BASE PAN - CAPEX'!$BB18+'BASE PAN - CAPEX'!$BC18+VLOOKUP($C18,'BASE PAN - CAPEX - 1º ANO'!$C$3:$BE$35,55,FALSE)+VLOOKUP($C18,'BASE PAN - CAPEX - 1º ANO'!$C$3:$BF$35,56,FALSE)+VLOOKUP($C18,'BASE PAN - CAPEX - 1º ANO'!$C$3:$BG$35,57,FALSE))/3</f>
        <v>9205000</v>
      </c>
      <c r="I18" s="72">
        <f>('BASE PAN - CAPEX'!$R18+'BASE PAN - CAPEX'!$AD18+'BASE PAN - CAPEX'!$AP18+'BASE PAN - CAPEX'!$BB18+'BASE PAN - CAPEX'!$BC18+VLOOKUP($C18,'BASE PAN - CAPEX - 1º ANO'!$C$3:$BE$35,55,FALSE)+VLOOKUP($C18,'BASE PAN - CAPEX - 1º ANO'!$C$3:$BF$35,56,FALSE)+VLOOKUP($C18,'BASE PAN - CAPEX - 1º ANO'!$C$3:$BG$35,57,FALSE))/3</f>
        <v>9205000</v>
      </c>
      <c r="J18" s="72">
        <f>('BASE PAN - CAPEX'!$R18+'BASE PAN - CAPEX'!$AD18+'BASE PAN - CAPEX'!$AP18+'BASE PAN - CAPEX'!$BB18+'BASE PAN - CAPEX'!$BC18+VLOOKUP($C18,'BASE PAN - CAPEX - 1º ANO'!$C$3:$BE$35,55,FALSE)+VLOOKUP($C18,'BASE PAN - CAPEX - 1º ANO'!$C$3:$BF$35,56,FALSE)+VLOOKUP($C18,'BASE PAN - CAPEX - 1º ANO'!$C$3:$BG$35,57,FALSE))/3</f>
        <v>9205000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f t="shared" si="0"/>
        <v>27615000</v>
      </c>
      <c r="AN18" t="str">
        <f>VLOOKUP(C18,'[6]CAPEX - BLOCOS PAN'!$C$3:$AN$249,38,FALSE)</f>
        <v>N</v>
      </c>
      <c r="AO18" s="3">
        <v>1</v>
      </c>
      <c r="AP18" s="3" t="s">
        <v>171</v>
      </c>
      <c r="AQ18" s="3" t="s">
        <v>171</v>
      </c>
      <c r="AR18" s="3" t="s">
        <v>171</v>
      </c>
      <c r="AS18" s="3" t="s">
        <v>171</v>
      </c>
      <c r="AT18" s="3" t="s">
        <v>171</v>
      </c>
      <c r="AU18" s="3" t="s">
        <v>171</v>
      </c>
      <c r="AV18" t="str">
        <f>VLOOKUP(C18,'FLUXO DE CAIXA DESC.-BLOCOS PAN'!$D$3:$AO$52,38,FALSE)</f>
        <v>PA - 2 - AL</v>
      </c>
    </row>
    <row r="19" spans="1:48" x14ac:dyDescent="0.35">
      <c r="A19" t="s">
        <v>100</v>
      </c>
      <c r="B19" t="s">
        <v>101</v>
      </c>
      <c r="C19" t="s">
        <v>102</v>
      </c>
      <c r="D19" t="s">
        <v>103</v>
      </c>
      <c r="E19" t="s">
        <v>40</v>
      </c>
      <c r="F19" t="s">
        <v>33</v>
      </c>
      <c r="G19" t="s">
        <v>34</v>
      </c>
      <c r="H19" s="72">
        <f>('BASE PAN - CAPEX'!$R19+'BASE PAN - CAPEX'!$AD19+'BASE PAN - CAPEX'!$AP19+'BASE PAN - CAPEX'!$BB19+'BASE PAN - CAPEX'!$BC19+VLOOKUP($C19,'BASE PAN - CAPEX - 1º ANO'!$C$3:$BE$35,55,FALSE)+VLOOKUP($C19,'BASE PAN - CAPEX - 1º ANO'!$C$3:$BF$35,56,FALSE)+VLOOKUP($C19,'BASE PAN - CAPEX - 1º ANO'!$C$3:$BG$35,57,FALSE))/3</f>
        <v>23308333.333333332</v>
      </c>
      <c r="I19" s="72">
        <f>('BASE PAN - CAPEX'!$R19+'BASE PAN - CAPEX'!$AD19+'BASE PAN - CAPEX'!$AP19+'BASE PAN - CAPEX'!$BB19+'BASE PAN - CAPEX'!$BC19+VLOOKUP($C19,'BASE PAN - CAPEX - 1º ANO'!$C$3:$BE$35,55,FALSE)+VLOOKUP($C19,'BASE PAN - CAPEX - 1º ANO'!$C$3:$BF$35,56,FALSE)+VLOOKUP($C19,'BASE PAN - CAPEX - 1º ANO'!$C$3:$BG$35,57,FALSE))/3</f>
        <v>23308333.333333332</v>
      </c>
      <c r="J19" s="72">
        <f>('BASE PAN - CAPEX'!$R19+'BASE PAN - CAPEX'!$AD19+'BASE PAN - CAPEX'!$AP19+'BASE PAN - CAPEX'!$BB19+'BASE PAN - CAPEX'!$BC19+VLOOKUP($C19,'BASE PAN - CAPEX - 1º ANO'!$C$3:$BE$35,55,FALSE)+VLOOKUP($C19,'BASE PAN - CAPEX - 1º ANO'!$C$3:$BF$35,56,FALSE)+VLOOKUP($C19,'BASE PAN - CAPEX - 1º ANO'!$C$3:$BG$35,57,FALSE))/3</f>
        <v>23308333.333333332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f t="shared" si="0"/>
        <v>69925000</v>
      </c>
      <c r="AN19" t="str">
        <f>VLOOKUP(C19,'[6]CAPEX - BLOCOS PAN'!$C$3:$AN$249,38,FALSE)</f>
        <v>NE e CO</v>
      </c>
      <c r="AO19" s="3">
        <v>2</v>
      </c>
      <c r="AP19" s="3" t="s">
        <v>171</v>
      </c>
      <c r="AQ19" s="3" t="s">
        <v>171</v>
      </c>
      <c r="AR19" s="3">
        <v>2027</v>
      </c>
      <c r="AS19" s="3" t="s">
        <v>171</v>
      </c>
      <c r="AT19" s="3" t="s">
        <v>171</v>
      </c>
      <c r="AU19" s="3">
        <v>3</v>
      </c>
      <c r="AV19" t="str">
        <f>VLOOKUP(C19,'FLUXO DE CAIXA DESC.-BLOCOS PAN'!$D$3:$AO$52,38,FALSE)</f>
        <v>Bloco Nordeste</v>
      </c>
    </row>
    <row r="20" spans="1:48" x14ac:dyDescent="0.35">
      <c r="A20" t="s">
        <v>104</v>
      </c>
      <c r="B20" t="s">
        <v>105</v>
      </c>
      <c r="C20" t="s">
        <v>106</v>
      </c>
      <c r="D20" t="s">
        <v>107</v>
      </c>
      <c r="E20" t="s">
        <v>36</v>
      </c>
      <c r="F20" t="s">
        <v>33</v>
      </c>
      <c r="G20" t="s">
        <v>34</v>
      </c>
      <c r="H20" s="72">
        <f>('BASE PAN - CAPEX'!$R20+'BASE PAN - CAPEX'!$AD20+'BASE PAN - CAPEX'!$AP20+'BASE PAN - CAPEX'!$BB20+'BASE PAN - CAPEX'!$BC20+VLOOKUP($C20,'BASE PAN - CAPEX - 1º ANO'!$C$3:$BE$35,55,FALSE)+VLOOKUP($C20,'BASE PAN - CAPEX - 1º ANO'!$C$3:$BF$35,56,FALSE)+VLOOKUP($C20,'BASE PAN - CAPEX - 1º ANO'!$C$3:$BG$35,57,FALSE))/3</f>
        <v>9203333.333333334</v>
      </c>
      <c r="I20" s="72">
        <f>('BASE PAN - CAPEX'!$R20+'BASE PAN - CAPEX'!$AD20+'BASE PAN - CAPEX'!$AP20+'BASE PAN - CAPEX'!$BB20+'BASE PAN - CAPEX'!$BC20+VLOOKUP($C20,'BASE PAN - CAPEX - 1º ANO'!$C$3:$BE$35,55,FALSE)+VLOOKUP($C20,'BASE PAN - CAPEX - 1º ANO'!$C$3:$BF$35,56,FALSE)+VLOOKUP($C20,'BASE PAN - CAPEX - 1º ANO'!$C$3:$BG$35,57,FALSE))/3</f>
        <v>9203333.333333334</v>
      </c>
      <c r="J20" s="72">
        <f>('BASE PAN - CAPEX'!$R20+'BASE PAN - CAPEX'!$AD20+'BASE PAN - CAPEX'!$AP20+'BASE PAN - CAPEX'!$BB20+'BASE PAN - CAPEX'!$BC20+VLOOKUP($C20,'BASE PAN - CAPEX - 1º ANO'!$C$3:$BE$35,55,FALSE)+VLOOKUP($C20,'BASE PAN - CAPEX - 1º ANO'!$C$3:$BF$35,56,FALSE)+VLOOKUP($C20,'BASE PAN - CAPEX - 1º ANO'!$C$3:$BG$35,57,FALSE))/3</f>
        <v>9203333.333333334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f t="shared" si="0"/>
        <v>27610000</v>
      </c>
      <c r="AN20" t="str">
        <f>VLOOKUP(C20,'[6]CAPEX - BLOCOS PAN'!$C$3:$AN$249,38,FALSE)</f>
        <v>NE e CO</v>
      </c>
      <c r="AO20" s="3">
        <v>1</v>
      </c>
      <c r="AP20" s="3" t="s">
        <v>171</v>
      </c>
      <c r="AQ20" s="3" t="s">
        <v>171</v>
      </c>
      <c r="AR20" s="3" t="s">
        <v>171</v>
      </c>
      <c r="AS20" s="3" t="s">
        <v>171</v>
      </c>
      <c r="AT20" s="3" t="s">
        <v>171</v>
      </c>
      <c r="AU20" s="3" t="s">
        <v>171</v>
      </c>
      <c r="AV20" t="str">
        <f>VLOOKUP(C20,'FLUXO DE CAIXA DESC.-BLOCOS PAN'!$D$3:$AO$52,38,FALSE)</f>
        <v>Bloco Nordeste</v>
      </c>
    </row>
    <row r="21" spans="1:48" x14ac:dyDescent="0.35">
      <c r="A21" t="s">
        <v>108</v>
      </c>
      <c r="B21" t="s">
        <v>109</v>
      </c>
      <c r="C21" t="s">
        <v>110</v>
      </c>
      <c r="D21" t="s">
        <v>109</v>
      </c>
      <c r="E21" t="s">
        <v>29</v>
      </c>
      <c r="F21" t="s">
        <v>33</v>
      </c>
      <c r="G21" t="s">
        <v>34</v>
      </c>
      <c r="H21" s="72">
        <f>('BASE PAN - CAPEX'!$R21+'BASE PAN - CAPEX'!$AD21+'BASE PAN - CAPEX'!$AP21+'BASE PAN - CAPEX'!$BB21+'BASE PAN - CAPEX'!$BC21+VLOOKUP($C21,'BASE PAN - CAPEX - 1º ANO'!$C$3:$BE$35,55,FALSE)+VLOOKUP($C21,'BASE PAN - CAPEX - 1º ANO'!$C$3:$BF$35,56,FALSE)+VLOOKUP($C21,'BASE PAN - CAPEX - 1º ANO'!$C$3:$BG$35,57,FALSE))/3</f>
        <v>10158333.333333334</v>
      </c>
      <c r="I21" s="72">
        <f>('BASE PAN - CAPEX'!$R21+'BASE PAN - CAPEX'!$AD21+'BASE PAN - CAPEX'!$AP21+'BASE PAN - CAPEX'!$BB21+'BASE PAN - CAPEX'!$BC21+VLOOKUP($C21,'BASE PAN - CAPEX - 1º ANO'!$C$3:$BE$35,55,FALSE)+VLOOKUP($C21,'BASE PAN - CAPEX - 1º ANO'!$C$3:$BF$35,56,FALSE)+VLOOKUP($C21,'BASE PAN - CAPEX - 1º ANO'!$C$3:$BG$35,57,FALSE))/3</f>
        <v>10158333.333333334</v>
      </c>
      <c r="J21" s="72">
        <f>('BASE PAN - CAPEX'!$R21+'BASE PAN - CAPEX'!$AD21+'BASE PAN - CAPEX'!$AP21+'BASE PAN - CAPEX'!$BB21+'BASE PAN - CAPEX'!$BC21+VLOOKUP($C21,'BASE PAN - CAPEX - 1º ANO'!$C$3:$BE$35,55,FALSE)+VLOOKUP($C21,'BASE PAN - CAPEX - 1º ANO'!$C$3:$BF$35,56,FALSE)+VLOOKUP($C21,'BASE PAN - CAPEX - 1º ANO'!$C$3:$BG$35,57,FALSE))/3</f>
        <v>10158333.333333334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f t="shared" si="0"/>
        <v>30475000</v>
      </c>
      <c r="AN21" t="str">
        <f>VLOOKUP(C21,'[6]CAPEX - BLOCOS PAN'!$C$3:$AN$249,38,FALSE)</f>
        <v>N</v>
      </c>
      <c r="AO21" s="3">
        <v>1</v>
      </c>
      <c r="AP21" s="3" t="s">
        <v>171</v>
      </c>
      <c r="AQ21" s="3" t="s">
        <v>171</v>
      </c>
      <c r="AR21" s="3">
        <v>2032</v>
      </c>
      <c r="AS21" s="3" t="s">
        <v>171</v>
      </c>
      <c r="AT21" s="3" t="s">
        <v>171</v>
      </c>
      <c r="AU21" s="3">
        <v>2</v>
      </c>
      <c r="AV21" t="str">
        <f>VLOOKUP(C21,'FLUXO DE CAIXA DESC.-BLOCOS PAN'!$D$3:$AO$52,38,FALSE)</f>
        <v>PA 3 - AL</v>
      </c>
    </row>
    <row r="22" spans="1:48" x14ac:dyDescent="0.35">
      <c r="A22" t="s">
        <v>111</v>
      </c>
      <c r="B22" t="s">
        <v>112</v>
      </c>
      <c r="C22" t="s">
        <v>113</v>
      </c>
      <c r="D22" t="s">
        <v>112</v>
      </c>
      <c r="E22" t="s">
        <v>30</v>
      </c>
      <c r="F22" t="s">
        <v>33</v>
      </c>
      <c r="G22" t="s">
        <v>34</v>
      </c>
      <c r="H22" s="72">
        <f>('BASE PAN - CAPEX'!$R22+'BASE PAN - CAPEX'!$AD22+'BASE PAN - CAPEX'!$AP22+'BASE PAN - CAPEX'!$BB22+'BASE PAN - CAPEX'!$BC22+VLOOKUP($C22,'BASE PAN - CAPEX - 1º ANO'!$C$3:$BE$35,55,FALSE)+VLOOKUP($C22,'BASE PAN - CAPEX - 1º ANO'!$C$3:$BF$35,56,FALSE)+VLOOKUP($C22,'BASE PAN - CAPEX - 1º ANO'!$C$3:$BG$35,57,FALSE))/3</f>
        <v>23458333.333333332</v>
      </c>
      <c r="I22" s="72">
        <f>('BASE PAN - CAPEX'!$R22+'BASE PAN - CAPEX'!$AD22+'BASE PAN - CAPEX'!$AP22+'BASE PAN - CAPEX'!$BB22+'BASE PAN - CAPEX'!$BC22+VLOOKUP($C22,'BASE PAN - CAPEX - 1º ANO'!$C$3:$BE$35,55,FALSE)+VLOOKUP($C22,'BASE PAN - CAPEX - 1º ANO'!$C$3:$BF$35,56,FALSE)+VLOOKUP($C22,'BASE PAN - CAPEX - 1º ANO'!$C$3:$BG$35,57,FALSE))/3</f>
        <v>23458333.333333332</v>
      </c>
      <c r="J22" s="72">
        <f>('BASE PAN - CAPEX'!$R22+'BASE PAN - CAPEX'!$AD22+'BASE PAN - CAPEX'!$AP22+'BASE PAN - CAPEX'!$BB22+'BASE PAN - CAPEX'!$BC22+VLOOKUP($C22,'BASE PAN - CAPEX - 1º ANO'!$C$3:$BE$35,55,FALSE)+VLOOKUP($C22,'BASE PAN - CAPEX - 1º ANO'!$C$3:$BF$35,56,FALSE)+VLOOKUP($C22,'BASE PAN - CAPEX - 1º ANO'!$C$3:$BG$35,57,FALSE))/3</f>
        <v>23458333.333333332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f t="shared" si="0"/>
        <v>70375000</v>
      </c>
      <c r="AN22" t="str">
        <f>VLOOKUP(C22,'[6]CAPEX - BLOCOS PAN'!$C$3:$AN$249,38,FALSE)</f>
        <v>N</v>
      </c>
      <c r="AO22" s="3">
        <v>2</v>
      </c>
      <c r="AP22" s="3" t="s">
        <v>171</v>
      </c>
      <c r="AQ22" s="3" t="s">
        <v>171</v>
      </c>
      <c r="AR22" s="3">
        <v>2025</v>
      </c>
      <c r="AS22" s="3" t="s">
        <v>171</v>
      </c>
      <c r="AT22" s="3" t="s">
        <v>171</v>
      </c>
      <c r="AU22" s="3">
        <v>3</v>
      </c>
      <c r="AV22" t="str">
        <f>VLOOKUP(C22,'FLUXO DE CAIXA DESC.-BLOCOS PAN'!$D$3:$AO$52,38,FALSE)</f>
        <v>RO - 1 - AL</v>
      </c>
    </row>
    <row r="23" spans="1:48" x14ac:dyDescent="0.35">
      <c r="A23" t="s">
        <v>116</v>
      </c>
      <c r="B23" t="s">
        <v>117</v>
      </c>
      <c r="C23" t="s">
        <v>118</v>
      </c>
      <c r="D23" t="s">
        <v>117</v>
      </c>
      <c r="E23" t="s">
        <v>37</v>
      </c>
      <c r="F23" t="s">
        <v>33</v>
      </c>
      <c r="G23" t="s">
        <v>34</v>
      </c>
      <c r="H23" s="72">
        <f>('BASE PAN - CAPEX'!$R23+'BASE PAN - CAPEX'!$AD23+'BASE PAN - CAPEX'!$AP23+'BASE PAN - CAPEX'!$BB23+'BASE PAN - CAPEX'!$BC23+VLOOKUP($C23,'BASE PAN - CAPEX - 1º ANO'!$C$3:$BE$35,55,FALSE)+VLOOKUP($C23,'BASE PAN - CAPEX - 1º ANO'!$C$3:$BF$35,56,FALSE)+VLOOKUP($C23,'BASE PAN - CAPEX - 1º ANO'!$C$3:$BG$35,57,FALSE))/3</f>
        <v>13748333.333333334</v>
      </c>
      <c r="I23" s="72">
        <f>('BASE PAN - CAPEX'!$R23+'BASE PAN - CAPEX'!$AD23+'BASE PAN - CAPEX'!$AP23+'BASE PAN - CAPEX'!$BB23+'BASE PAN - CAPEX'!$BC23+VLOOKUP($C23,'BASE PAN - CAPEX - 1º ANO'!$C$3:$BE$35,55,FALSE)+VLOOKUP($C23,'BASE PAN - CAPEX - 1º ANO'!$C$3:$BF$35,56,FALSE)+VLOOKUP($C23,'BASE PAN - CAPEX - 1º ANO'!$C$3:$BG$35,57,FALSE))/3</f>
        <v>13748333.333333334</v>
      </c>
      <c r="J23" s="72">
        <f>('BASE PAN - CAPEX'!$R23+'BASE PAN - CAPEX'!$AD23+'BASE PAN - CAPEX'!$AP23+'BASE PAN - CAPEX'!$BB23+'BASE PAN - CAPEX'!$BC23+VLOOKUP($C23,'BASE PAN - CAPEX - 1º ANO'!$C$3:$BE$35,55,FALSE)+VLOOKUP($C23,'BASE PAN - CAPEX - 1º ANO'!$C$3:$BF$35,56,FALSE)+VLOOKUP($C23,'BASE PAN - CAPEX - 1º ANO'!$C$3:$BG$35,57,FALSE))/3</f>
        <v>13748333.333333334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f t="shared" si="0"/>
        <v>41245000</v>
      </c>
      <c r="AN23" t="str">
        <f>VLOOKUP(C23,'[6]CAPEX - BLOCOS PAN'!$C$3:$AN$249,38,FALSE)</f>
        <v>NE e CO</v>
      </c>
      <c r="AO23" s="3">
        <v>1</v>
      </c>
      <c r="AP23" s="3" t="s">
        <v>171</v>
      </c>
      <c r="AQ23" s="3" t="s">
        <v>171</v>
      </c>
      <c r="AR23" s="3" t="s">
        <v>171</v>
      </c>
      <c r="AS23" s="3" t="s">
        <v>171</v>
      </c>
      <c r="AT23" s="3" t="s">
        <v>171</v>
      </c>
      <c r="AU23" s="3" t="s">
        <v>171</v>
      </c>
      <c r="AV23" t="str">
        <f>VLOOKUP(C23,'FLUXO DE CAIXA DESC.-BLOCOS PAN'!$D$3:$AO$52,38,FALSE)</f>
        <v>MT - 1 - AL</v>
      </c>
    </row>
    <row r="24" spans="1:48" x14ac:dyDescent="0.35">
      <c r="A24" t="s">
        <v>119</v>
      </c>
      <c r="B24" t="s">
        <v>120</v>
      </c>
      <c r="C24" t="s">
        <v>121</v>
      </c>
      <c r="D24" t="s">
        <v>120</v>
      </c>
      <c r="E24" t="s">
        <v>35</v>
      </c>
      <c r="F24" t="s">
        <v>33</v>
      </c>
      <c r="G24" t="s">
        <v>34</v>
      </c>
      <c r="H24" s="72">
        <f>('BASE PAN - CAPEX'!$R24+'BASE PAN - CAPEX'!$AD24+'BASE PAN - CAPEX'!$AP24+'BASE PAN - CAPEX'!$BB24+'BASE PAN - CAPEX'!$BC24+VLOOKUP($C24,'BASE PAN - CAPEX - 1º ANO'!$C$3:$BE$35,55,FALSE)+VLOOKUP($C24,'BASE PAN - CAPEX - 1º ANO'!$C$3:$BF$35,56,FALSE)+VLOOKUP($C24,'BASE PAN - CAPEX - 1º ANO'!$C$3:$BG$35,57,FALSE))/3</f>
        <v>10603333.333333334</v>
      </c>
      <c r="I24" s="72">
        <f>('BASE PAN - CAPEX'!$R24+'BASE PAN - CAPEX'!$AD24+'BASE PAN - CAPEX'!$AP24+'BASE PAN - CAPEX'!$BB24+'BASE PAN - CAPEX'!$BC24+VLOOKUP($C24,'BASE PAN - CAPEX - 1º ANO'!$C$3:$BE$35,55,FALSE)+VLOOKUP($C24,'BASE PAN - CAPEX - 1º ANO'!$C$3:$BF$35,56,FALSE)+VLOOKUP($C24,'BASE PAN - CAPEX - 1º ANO'!$C$3:$BG$35,57,FALSE))/3</f>
        <v>10603333.333333334</v>
      </c>
      <c r="J24" s="72">
        <f>('BASE PAN - CAPEX'!$R24+'BASE PAN - CAPEX'!$AD24+'BASE PAN - CAPEX'!$AP24+'BASE PAN - CAPEX'!$BB24+'BASE PAN - CAPEX'!$BC24+VLOOKUP($C24,'BASE PAN - CAPEX - 1º ANO'!$C$3:$BE$35,55,FALSE)+VLOOKUP($C24,'BASE PAN - CAPEX - 1º ANO'!$C$3:$BF$35,56,FALSE)+VLOOKUP($C24,'BASE PAN - CAPEX - 1º ANO'!$C$3:$BG$35,57,FALSE))/3</f>
        <v>10603333.333333334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f t="shared" si="0"/>
        <v>31810000</v>
      </c>
      <c r="AN24" t="str">
        <f>VLOOKUP(C24,'[6]CAPEX - BLOCOS PAN'!$C$3:$AN$249,38,FALSE)</f>
        <v>N</v>
      </c>
      <c r="AO24" s="3">
        <v>1</v>
      </c>
      <c r="AP24" s="3" t="s">
        <v>171</v>
      </c>
      <c r="AQ24" s="3" t="s">
        <v>171</v>
      </c>
      <c r="AR24" s="3" t="s">
        <v>171</v>
      </c>
      <c r="AS24" s="3" t="s">
        <v>171</v>
      </c>
      <c r="AT24" s="3" t="s">
        <v>171</v>
      </c>
      <c r="AU24" s="3" t="s">
        <v>171</v>
      </c>
      <c r="AV24" t="str">
        <f>VLOOKUP(C24,'FLUXO DE CAIXA DESC.-BLOCOS PAN'!$D$3:$AO$52,38,FALSE)</f>
        <v>AM - 3 - AL</v>
      </c>
    </row>
    <row r="25" spans="1:48" x14ac:dyDescent="0.35">
      <c r="A25" t="s">
        <v>122</v>
      </c>
      <c r="B25" t="s">
        <v>123</v>
      </c>
      <c r="C25" t="s">
        <v>124</v>
      </c>
      <c r="D25" t="s">
        <v>123</v>
      </c>
      <c r="E25" t="s">
        <v>35</v>
      </c>
      <c r="F25" t="s">
        <v>33</v>
      </c>
      <c r="G25" t="s">
        <v>34</v>
      </c>
      <c r="H25" s="72">
        <f>('BASE PAN - CAPEX'!$R25+'BASE PAN - CAPEX'!$AD25+'BASE PAN - CAPEX'!$AP25+'BASE PAN - CAPEX'!$BB25+'BASE PAN - CAPEX'!$BC25+VLOOKUP($C25,'BASE PAN - CAPEX - 1º ANO'!$C$3:$BE$35,55,FALSE)+VLOOKUP($C25,'BASE PAN - CAPEX - 1º ANO'!$C$3:$BF$35,56,FALSE)+VLOOKUP($C25,'BASE PAN - CAPEX - 1º ANO'!$C$3:$BG$35,57,FALSE))/3</f>
        <v>12886666.666666666</v>
      </c>
      <c r="I25" s="72">
        <f>('BASE PAN - CAPEX'!$R25+'BASE PAN - CAPEX'!$AD25+'BASE PAN - CAPEX'!$AP25+'BASE PAN - CAPEX'!$BB25+'BASE PAN - CAPEX'!$BC25+VLOOKUP($C25,'BASE PAN - CAPEX - 1º ANO'!$C$3:$BE$35,55,FALSE)+VLOOKUP($C25,'BASE PAN - CAPEX - 1º ANO'!$C$3:$BF$35,56,FALSE)+VLOOKUP($C25,'BASE PAN - CAPEX - 1º ANO'!$C$3:$BG$35,57,FALSE))/3</f>
        <v>12886666.666666666</v>
      </c>
      <c r="J25" s="72">
        <f>('BASE PAN - CAPEX'!$R25+'BASE PAN - CAPEX'!$AD25+'BASE PAN - CAPEX'!$AP25+'BASE PAN - CAPEX'!$BB25+'BASE PAN - CAPEX'!$BC25+VLOOKUP($C25,'BASE PAN - CAPEX - 1º ANO'!$C$3:$BE$35,55,FALSE)+VLOOKUP($C25,'BASE PAN - CAPEX - 1º ANO'!$C$3:$BF$35,56,FALSE)+VLOOKUP($C25,'BASE PAN - CAPEX - 1º ANO'!$C$3:$BG$35,57,FALSE))/3</f>
        <v>12886666.666666666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f t="shared" si="0"/>
        <v>38660000</v>
      </c>
      <c r="AN25" t="str">
        <f>VLOOKUP(C25,'[6]CAPEX - BLOCOS PAN'!$C$3:$AN$249,38,FALSE)</f>
        <v>N</v>
      </c>
      <c r="AO25" s="3">
        <v>1</v>
      </c>
      <c r="AP25" s="3" t="s">
        <v>171</v>
      </c>
      <c r="AQ25" s="3" t="s">
        <v>171</v>
      </c>
      <c r="AR25" s="3">
        <v>2029</v>
      </c>
      <c r="AS25" s="3" t="s">
        <v>171</v>
      </c>
      <c r="AT25" s="3" t="s">
        <v>171</v>
      </c>
      <c r="AU25" s="3">
        <v>2</v>
      </c>
      <c r="AV25" t="str">
        <f>VLOOKUP(C25,'FLUXO DE CAIXA DESC.-BLOCOS PAN'!$D$3:$AO$52,38,FALSE)</f>
        <v>AC + AM - 1 - AL</v>
      </c>
    </row>
    <row r="26" spans="1:48" x14ac:dyDescent="0.35">
      <c r="A26" t="s">
        <v>126</v>
      </c>
      <c r="B26" t="s">
        <v>127</v>
      </c>
      <c r="C26" t="s">
        <v>128</v>
      </c>
      <c r="D26" t="s">
        <v>127</v>
      </c>
      <c r="E26" t="s">
        <v>35</v>
      </c>
      <c r="F26" t="s">
        <v>33</v>
      </c>
      <c r="G26" t="s">
        <v>34</v>
      </c>
      <c r="H26" s="72">
        <f>('BASE PAN - CAPEX'!$R26+'BASE PAN - CAPEX'!$AD26+'BASE PAN - CAPEX'!$AP26+'BASE PAN - CAPEX'!$BB26+'BASE PAN - CAPEX'!$BC26+VLOOKUP($C26,'BASE PAN - CAPEX - 1º ANO'!$C$3:$BE$35,55,FALSE)+VLOOKUP($C26,'BASE PAN - CAPEX - 1º ANO'!$C$3:$BF$35,56,FALSE)+VLOOKUP($C26,'BASE PAN - CAPEX - 1º ANO'!$C$3:$BG$35,57,FALSE))/3</f>
        <v>7275000</v>
      </c>
      <c r="I26" s="72">
        <f>('BASE PAN - CAPEX'!$R26+'BASE PAN - CAPEX'!$AD26+'BASE PAN - CAPEX'!$AP26+'BASE PAN - CAPEX'!$BB26+'BASE PAN - CAPEX'!$BC26+VLOOKUP($C26,'BASE PAN - CAPEX - 1º ANO'!$C$3:$BE$35,55,FALSE)+VLOOKUP($C26,'BASE PAN - CAPEX - 1º ANO'!$C$3:$BF$35,56,FALSE)+VLOOKUP($C26,'BASE PAN - CAPEX - 1º ANO'!$C$3:$BG$35,57,FALSE))/3</f>
        <v>7275000</v>
      </c>
      <c r="J26" s="72">
        <f>('BASE PAN - CAPEX'!$R26+'BASE PAN - CAPEX'!$AD26+'BASE PAN - CAPEX'!$AP26+'BASE PAN - CAPEX'!$BB26+'BASE PAN - CAPEX'!$BC26+VLOOKUP($C26,'BASE PAN - CAPEX - 1º ANO'!$C$3:$BE$35,55,FALSE)+VLOOKUP($C26,'BASE PAN - CAPEX - 1º ANO'!$C$3:$BF$35,56,FALSE)+VLOOKUP($C26,'BASE PAN - CAPEX - 1º ANO'!$C$3:$BG$35,57,FALSE))/3</f>
        <v>7275000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f t="shared" si="0"/>
        <v>21825000</v>
      </c>
      <c r="AN26" t="str">
        <f>VLOOKUP(C26,'[6]CAPEX - BLOCOS PAN'!$C$3:$AN$249,38,FALSE)</f>
        <v>N</v>
      </c>
      <c r="AO26" s="3">
        <v>1</v>
      </c>
      <c r="AP26" s="3" t="s">
        <v>171</v>
      </c>
      <c r="AQ26" s="3" t="s">
        <v>171</v>
      </c>
      <c r="AR26" s="3">
        <v>2051</v>
      </c>
      <c r="AS26" s="3" t="s">
        <v>171</v>
      </c>
      <c r="AT26" s="3" t="s">
        <v>171</v>
      </c>
      <c r="AU26" s="3">
        <v>2</v>
      </c>
      <c r="AV26" t="str">
        <f>VLOOKUP(C26,'FLUXO DE CAIXA DESC.-BLOCOS PAN'!$D$3:$AO$52,38,FALSE)</f>
        <v>AC + AM - 1 - AL</v>
      </c>
    </row>
    <row r="27" spans="1:48" x14ac:dyDescent="0.35">
      <c r="A27" t="s">
        <v>129</v>
      </c>
      <c r="B27" t="s">
        <v>42</v>
      </c>
      <c r="C27" t="s">
        <v>130</v>
      </c>
      <c r="D27" t="s">
        <v>42</v>
      </c>
      <c r="E27" t="s">
        <v>37</v>
      </c>
      <c r="F27" t="s">
        <v>33</v>
      </c>
      <c r="G27" t="s">
        <v>34</v>
      </c>
      <c r="H27" s="72">
        <f>('BASE PAN - CAPEX'!$R27+'BASE PAN - CAPEX'!$AD27+'BASE PAN - CAPEX'!$AP27+'BASE PAN - CAPEX'!$BB27+'BASE PAN - CAPEX'!$BC27+VLOOKUP($C27,'BASE PAN - CAPEX - 1º ANO'!$C$3:$BE$35,55,FALSE)+VLOOKUP($C27,'BASE PAN - CAPEX - 1º ANO'!$C$3:$BF$35,56,FALSE)+VLOOKUP($C27,'BASE PAN - CAPEX - 1º ANO'!$C$3:$BG$35,57,FALSE))/3</f>
        <v>19509708.68</v>
      </c>
      <c r="I27" s="72">
        <f>('BASE PAN - CAPEX'!$R27+'BASE PAN - CAPEX'!$AD27+'BASE PAN - CAPEX'!$AP27+'BASE PAN - CAPEX'!$BB27+'BASE PAN - CAPEX'!$BC27+VLOOKUP($C27,'BASE PAN - CAPEX - 1º ANO'!$C$3:$BE$35,55,FALSE)+VLOOKUP($C27,'BASE PAN - CAPEX - 1º ANO'!$C$3:$BF$35,56,FALSE)+VLOOKUP($C27,'BASE PAN - CAPEX - 1º ANO'!$C$3:$BG$35,57,FALSE))/3</f>
        <v>19509708.68</v>
      </c>
      <c r="J27" s="72">
        <f>('BASE PAN - CAPEX'!$R27+'BASE PAN - CAPEX'!$AD27+'BASE PAN - CAPEX'!$AP27+'BASE PAN - CAPEX'!$BB27+'BASE PAN - CAPEX'!$BC27+VLOOKUP($C27,'BASE PAN - CAPEX - 1º ANO'!$C$3:$BE$35,55,FALSE)+VLOOKUP($C27,'BASE PAN - CAPEX - 1º ANO'!$C$3:$BF$35,56,FALSE)+VLOOKUP($C27,'BASE PAN - CAPEX - 1º ANO'!$C$3:$BG$35,57,FALSE))/3</f>
        <v>19509708.68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f t="shared" si="0"/>
        <v>58529126.039999999</v>
      </c>
      <c r="AN27" t="str">
        <f>VLOOKUP(C27,'[6]CAPEX - BLOCOS PAN'!$C$3:$AN$249,38,FALSE)</f>
        <v>NE e CO</v>
      </c>
      <c r="AO27" s="3">
        <v>1</v>
      </c>
      <c r="AP27" s="3" t="s">
        <v>171</v>
      </c>
      <c r="AQ27" s="3" t="s">
        <v>171</v>
      </c>
      <c r="AR27" s="3">
        <v>2030</v>
      </c>
      <c r="AS27" s="3" t="s">
        <v>171</v>
      </c>
      <c r="AT27" s="3" t="s">
        <v>171</v>
      </c>
      <c r="AU27" s="3">
        <v>2</v>
      </c>
      <c r="AV27" t="str">
        <f>VLOOKUP(C27,'FLUXO DE CAIXA DESC.-BLOCOS PAN'!$D$3:$AO$52,38,FALSE)</f>
        <v>MT - 2 - AL</v>
      </c>
    </row>
    <row r="28" spans="1:48" x14ac:dyDescent="0.35">
      <c r="A28" t="s">
        <v>131</v>
      </c>
      <c r="B28" t="s">
        <v>132</v>
      </c>
      <c r="C28" t="s">
        <v>133</v>
      </c>
      <c r="D28" t="s">
        <v>132</v>
      </c>
      <c r="E28" t="s">
        <v>32</v>
      </c>
      <c r="F28" t="s">
        <v>33</v>
      </c>
      <c r="G28" t="s">
        <v>34</v>
      </c>
      <c r="H28" s="72">
        <f>('BASE PAN - CAPEX'!$R28+'BASE PAN - CAPEX'!$AD28+'BASE PAN - CAPEX'!$AP28+'BASE PAN - CAPEX'!$BB28+'BASE PAN - CAPEX'!$BC28+VLOOKUP($C28,'BASE PAN - CAPEX - 1º ANO'!$C$3:$BE$35,55,FALSE)+VLOOKUP($C28,'BASE PAN - CAPEX - 1º ANO'!$C$3:$BF$35,56,FALSE)+VLOOKUP($C28,'BASE PAN - CAPEX - 1º ANO'!$C$3:$BG$35,57,FALSE))/3</f>
        <v>21591666.666666668</v>
      </c>
      <c r="I28" s="72">
        <f>('BASE PAN - CAPEX'!$R28+'BASE PAN - CAPEX'!$AD28+'BASE PAN - CAPEX'!$AP28+'BASE PAN - CAPEX'!$BB28+'BASE PAN - CAPEX'!$BC28+VLOOKUP($C28,'BASE PAN - CAPEX - 1º ANO'!$C$3:$BE$35,55,FALSE)+VLOOKUP($C28,'BASE PAN - CAPEX - 1º ANO'!$C$3:$BF$35,56,FALSE)+VLOOKUP($C28,'BASE PAN - CAPEX - 1º ANO'!$C$3:$BG$35,57,FALSE))/3</f>
        <v>21591666.666666668</v>
      </c>
      <c r="J28" s="72">
        <f>('BASE PAN - CAPEX'!$R28+'BASE PAN - CAPEX'!$AD28+'BASE PAN - CAPEX'!$AP28+'BASE PAN - CAPEX'!$BB28+'BASE PAN - CAPEX'!$BC28+VLOOKUP($C28,'BASE PAN - CAPEX - 1º ANO'!$C$3:$BE$35,55,FALSE)+VLOOKUP($C28,'BASE PAN - CAPEX - 1º ANO'!$C$3:$BF$35,56,FALSE)+VLOOKUP($C28,'BASE PAN - CAPEX - 1º ANO'!$C$3:$BG$35,57,FALSE))/3</f>
        <v>21591666.666666668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f t="shared" si="0"/>
        <v>64775000</v>
      </c>
      <c r="AN28" t="str">
        <f>VLOOKUP(C28,'[6]CAPEX - BLOCOS PAN'!$C$3:$AN$249,38,FALSE)</f>
        <v>NE e CO</v>
      </c>
      <c r="AO28" s="3">
        <v>1</v>
      </c>
      <c r="AP28" s="3" t="s">
        <v>171</v>
      </c>
      <c r="AQ28" s="3">
        <v>2038</v>
      </c>
      <c r="AR28" s="3">
        <v>2024</v>
      </c>
      <c r="AS28" s="3" t="s">
        <v>171</v>
      </c>
      <c r="AT28" s="3">
        <v>3</v>
      </c>
      <c r="AU28" s="3">
        <v>2</v>
      </c>
      <c r="AV28" t="str">
        <f>VLOOKUP(C28,'FLUXO DE CAIXA DESC.-BLOCOS PAN'!$D$3:$AO$52,38,FALSE)</f>
        <v>MA + TO - AL</v>
      </c>
    </row>
    <row r="29" spans="1:48" x14ac:dyDescent="0.35">
      <c r="A29" t="s">
        <v>135</v>
      </c>
      <c r="B29" t="s">
        <v>136</v>
      </c>
      <c r="C29" t="s">
        <v>137</v>
      </c>
      <c r="D29" t="s">
        <v>136</v>
      </c>
      <c r="E29" t="s">
        <v>37</v>
      </c>
      <c r="F29" t="s">
        <v>33</v>
      </c>
      <c r="G29" t="s">
        <v>34</v>
      </c>
      <c r="H29" s="72">
        <f>('BASE PAN - CAPEX'!$R29+'BASE PAN - CAPEX'!$AD29+'BASE PAN - CAPEX'!$AP29+'BASE PAN - CAPEX'!$BB29+'BASE PAN - CAPEX'!$BC29+VLOOKUP($C29,'BASE PAN - CAPEX - 1º ANO'!$C$3:$BE$35,55,FALSE)+VLOOKUP($C29,'BASE PAN - CAPEX - 1º ANO'!$C$3:$BF$35,56,FALSE)+VLOOKUP($C29,'BASE PAN - CAPEX - 1º ANO'!$C$3:$BG$35,57,FALSE))/3</f>
        <v>2345000</v>
      </c>
      <c r="I29" s="72">
        <f>('BASE PAN - CAPEX'!$R29+'BASE PAN - CAPEX'!$AD29+'BASE PAN - CAPEX'!$AP29+'BASE PAN - CAPEX'!$BB29+'BASE PAN - CAPEX'!$BC29+VLOOKUP($C29,'BASE PAN - CAPEX - 1º ANO'!$C$3:$BE$35,55,FALSE)+VLOOKUP($C29,'BASE PAN - CAPEX - 1º ANO'!$C$3:$BF$35,56,FALSE)+VLOOKUP($C29,'BASE PAN - CAPEX - 1º ANO'!$C$3:$BG$35,57,FALSE))/3</f>
        <v>2345000</v>
      </c>
      <c r="J29" s="72">
        <f>('BASE PAN - CAPEX'!$R29+'BASE PAN - CAPEX'!$AD29+'BASE PAN - CAPEX'!$AP29+'BASE PAN - CAPEX'!$BB29+'BASE PAN - CAPEX'!$BC29+VLOOKUP($C29,'BASE PAN - CAPEX - 1º ANO'!$C$3:$BE$35,55,FALSE)+VLOOKUP($C29,'BASE PAN - CAPEX - 1º ANO'!$C$3:$BF$35,56,FALSE)+VLOOKUP($C29,'BASE PAN - CAPEX - 1º ANO'!$C$3:$BG$35,57,FALSE))/3</f>
        <v>2345000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f t="shared" si="0"/>
        <v>7035000</v>
      </c>
      <c r="AN29" t="str">
        <f>VLOOKUP(C29,'[6]CAPEX - BLOCOS PAN'!$C$3:$AN$249,38,FALSE)</f>
        <v>NE e CO</v>
      </c>
      <c r="AO29" s="3">
        <v>0</v>
      </c>
      <c r="AP29" s="3" t="s">
        <v>171</v>
      </c>
      <c r="AQ29" s="3" t="s">
        <v>171</v>
      </c>
      <c r="AR29" s="3" t="s">
        <v>171</v>
      </c>
      <c r="AS29" s="3" t="s">
        <v>171</v>
      </c>
      <c r="AT29" s="3" t="s">
        <v>171</v>
      </c>
      <c r="AU29" s="3" t="s">
        <v>171</v>
      </c>
      <c r="AV29" t="str">
        <f>VLOOKUP(C29,'FLUXO DE CAIXA DESC.-BLOCOS PAN'!$D$3:$AO$52,38,FALSE)</f>
        <v>MT - 1 - AL</v>
      </c>
    </row>
    <row r="30" spans="1:48" x14ac:dyDescent="0.35">
      <c r="A30" t="s">
        <v>138</v>
      </c>
      <c r="B30" t="s">
        <v>139</v>
      </c>
      <c r="C30" t="s">
        <v>140</v>
      </c>
      <c r="D30" t="s">
        <v>139</v>
      </c>
      <c r="E30" t="s">
        <v>37</v>
      </c>
      <c r="F30" t="s">
        <v>33</v>
      </c>
      <c r="G30" t="s">
        <v>34</v>
      </c>
      <c r="H30" s="72">
        <f>('BASE PAN - CAPEX'!$R30+'BASE PAN - CAPEX'!$AD30+'BASE PAN - CAPEX'!$AP30+'BASE PAN - CAPEX'!$BB30+'BASE PAN - CAPEX'!$BC30+VLOOKUP($C30,'BASE PAN - CAPEX - 1º ANO'!$C$3:$BE$35,55,FALSE)+VLOOKUP($C30,'BASE PAN - CAPEX - 1º ANO'!$C$3:$BF$35,56,FALSE)+VLOOKUP($C30,'BASE PAN - CAPEX - 1º ANO'!$C$3:$BG$35,57,FALSE))/3</f>
        <v>6575000</v>
      </c>
      <c r="I30" s="72">
        <f>('BASE PAN - CAPEX'!$R30+'BASE PAN - CAPEX'!$AD30+'BASE PAN - CAPEX'!$AP30+'BASE PAN - CAPEX'!$BB30+'BASE PAN - CAPEX'!$BC30+VLOOKUP($C30,'BASE PAN - CAPEX - 1º ANO'!$C$3:$BE$35,55,FALSE)+VLOOKUP($C30,'BASE PAN - CAPEX - 1º ANO'!$C$3:$BF$35,56,FALSE)+VLOOKUP($C30,'BASE PAN - CAPEX - 1º ANO'!$C$3:$BG$35,57,FALSE))/3</f>
        <v>6575000</v>
      </c>
      <c r="J30" s="72">
        <f>('BASE PAN - CAPEX'!$R30+'BASE PAN - CAPEX'!$AD30+'BASE PAN - CAPEX'!$AP30+'BASE PAN - CAPEX'!$BB30+'BASE PAN - CAPEX'!$BC30+VLOOKUP($C30,'BASE PAN - CAPEX - 1º ANO'!$C$3:$BE$35,55,FALSE)+VLOOKUP($C30,'BASE PAN - CAPEX - 1º ANO'!$C$3:$BF$35,56,FALSE)+VLOOKUP($C30,'BASE PAN - CAPEX - 1º ANO'!$C$3:$BG$35,57,FALSE))/3</f>
        <v>6575000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f t="shared" si="0"/>
        <v>19725000</v>
      </c>
      <c r="AN30" t="str">
        <f>VLOOKUP(C30,'[6]CAPEX - BLOCOS PAN'!$C$3:$AN$249,38,FALSE)</f>
        <v>NE e CO</v>
      </c>
      <c r="AO30" s="3">
        <v>1</v>
      </c>
      <c r="AP30" s="3" t="s">
        <v>171</v>
      </c>
      <c r="AQ30" s="3" t="s">
        <v>171</v>
      </c>
      <c r="AR30" s="3" t="s">
        <v>171</v>
      </c>
      <c r="AS30" s="3" t="s">
        <v>171</v>
      </c>
      <c r="AT30" s="3" t="s">
        <v>171</v>
      </c>
      <c r="AU30" s="3" t="s">
        <v>171</v>
      </c>
      <c r="AV30" t="str">
        <f>VLOOKUP(C30,'FLUXO DE CAIXA DESC.-BLOCOS PAN'!$D$3:$AO$52,38,FALSE)</f>
        <v>MT - 1 - AL</v>
      </c>
    </row>
    <row r="31" spans="1:48" x14ac:dyDescent="0.35">
      <c r="A31" t="s">
        <v>141</v>
      </c>
      <c r="B31" t="s">
        <v>142</v>
      </c>
      <c r="C31" t="s">
        <v>143</v>
      </c>
      <c r="D31" t="s">
        <v>144</v>
      </c>
      <c r="E31" t="s">
        <v>38</v>
      </c>
      <c r="F31" t="s">
        <v>33</v>
      </c>
      <c r="G31" t="s">
        <v>34</v>
      </c>
      <c r="H31" s="72">
        <f>('BASE PAN - CAPEX'!$R31+'BASE PAN - CAPEX'!$AD31+'BASE PAN - CAPEX'!$AP31+'BASE PAN - CAPEX'!$BB31+'BASE PAN - CAPEX'!$BC31+VLOOKUP($C31,'BASE PAN - CAPEX - 1º ANO'!$C$3:$BE$35,55,FALSE)+VLOOKUP($C31,'BASE PAN - CAPEX - 1º ANO'!$C$3:$BF$35,56,FALSE)+VLOOKUP($C31,'BASE PAN - CAPEX - 1º ANO'!$C$3:$BG$35,57,FALSE))/3</f>
        <v>3228333.3333333335</v>
      </c>
      <c r="I31" s="72">
        <f>('BASE PAN - CAPEX'!$R31+'BASE PAN - CAPEX'!$AD31+'BASE PAN - CAPEX'!$AP31+'BASE PAN - CAPEX'!$BB31+'BASE PAN - CAPEX'!$BC31+VLOOKUP($C31,'BASE PAN - CAPEX - 1º ANO'!$C$3:$BE$35,55,FALSE)+VLOOKUP($C31,'BASE PAN - CAPEX - 1º ANO'!$C$3:$BF$35,56,FALSE)+VLOOKUP($C31,'BASE PAN - CAPEX - 1º ANO'!$C$3:$BG$35,57,FALSE))/3</f>
        <v>3228333.3333333335</v>
      </c>
      <c r="J31" s="72">
        <f>('BASE PAN - CAPEX'!$R31+'BASE PAN - CAPEX'!$AD31+'BASE PAN - CAPEX'!$AP31+'BASE PAN - CAPEX'!$BB31+'BASE PAN - CAPEX'!$BC31+VLOOKUP($C31,'BASE PAN - CAPEX - 1º ANO'!$C$3:$BE$35,55,FALSE)+VLOOKUP($C31,'BASE PAN - CAPEX - 1º ANO'!$C$3:$BF$35,56,FALSE)+VLOOKUP($C31,'BASE PAN - CAPEX - 1º ANO'!$C$3:$BG$35,57,FALSE))/3</f>
        <v>3228333.3333333335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f t="shared" si="0"/>
        <v>9685000</v>
      </c>
      <c r="AN31" t="str">
        <f>VLOOKUP(C31,'[6]CAPEX - BLOCOS PAN'!$C$3:$AN$249,38,FALSE)</f>
        <v>NE e CO</v>
      </c>
      <c r="AO31" s="3">
        <v>1</v>
      </c>
      <c r="AP31" s="3" t="s">
        <v>171</v>
      </c>
      <c r="AQ31" s="3" t="s">
        <v>171</v>
      </c>
      <c r="AR31" s="3">
        <v>2029</v>
      </c>
      <c r="AS31" s="3" t="s">
        <v>171</v>
      </c>
      <c r="AT31" s="3" t="s">
        <v>171</v>
      </c>
      <c r="AU31" s="3">
        <v>2</v>
      </c>
      <c r="AV31" t="str">
        <f>VLOOKUP(C31,'FLUXO DE CAIXA DESC.-BLOCOS PAN'!$D$3:$AO$52,38,FALSE)</f>
        <v>Bloco Nordeste</v>
      </c>
    </row>
    <row r="32" spans="1:48" x14ac:dyDescent="0.35">
      <c r="A32" t="s">
        <v>145</v>
      </c>
      <c r="B32" t="s">
        <v>146</v>
      </c>
      <c r="C32" t="s">
        <v>147</v>
      </c>
      <c r="D32" t="s">
        <v>146</v>
      </c>
      <c r="E32" t="s">
        <v>35</v>
      </c>
      <c r="F32" t="s">
        <v>33</v>
      </c>
      <c r="G32" t="s">
        <v>34</v>
      </c>
      <c r="H32" s="72">
        <f>('BASE PAN - CAPEX'!$R32+'BASE PAN - CAPEX'!$AD32+'BASE PAN - CAPEX'!$AP32+'BASE PAN - CAPEX'!$BB32+'BASE PAN - CAPEX'!$BC32+VLOOKUP($C32,'BASE PAN - CAPEX - 1º ANO'!$C$3:$BE$35,55,FALSE)+VLOOKUP($C32,'BASE PAN - CAPEX - 1º ANO'!$C$3:$BF$35,56,FALSE)+VLOOKUP($C32,'BASE PAN - CAPEX - 1º ANO'!$C$3:$BG$35,57,FALSE))/3</f>
        <v>11036666.666666666</v>
      </c>
      <c r="I32" s="72">
        <f>('BASE PAN - CAPEX'!$R32+'BASE PAN - CAPEX'!$AD32+'BASE PAN - CAPEX'!$AP32+'BASE PAN - CAPEX'!$BB32+'BASE PAN - CAPEX'!$BC32+VLOOKUP($C32,'BASE PAN - CAPEX - 1º ANO'!$C$3:$BE$35,55,FALSE)+VLOOKUP($C32,'BASE PAN - CAPEX - 1º ANO'!$C$3:$BF$35,56,FALSE)+VLOOKUP($C32,'BASE PAN - CAPEX - 1º ANO'!$C$3:$BG$35,57,FALSE))/3</f>
        <v>11036666.666666666</v>
      </c>
      <c r="J32" s="72">
        <f>('BASE PAN - CAPEX'!$R32+'BASE PAN - CAPEX'!$AD32+'BASE PAN - CAPEX'!$AP32+'BASE PAN - CAPEX'!$BB32+'BASE PAN - CAPEX'!$BC32+VLOOKUP($C32,'BASE PAN - CAPEX - 1º ANO'!$C$3:$BE$35,55,FALSE)+VLOOKUP($C32,'BASE PAN - CAPEX - 1º ANO'!$C$3:$BF$35,56,FALSE)+VLOOKUP($C32,'BASE PAN - CAPEX - 1º ANO'!$C$3:$BG$35,57,FALSE))/3</f>
        <v>11036666.666666666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f t="shared" si="0"/>
        <v>33110000</v>
      </c>
      <c r="AN32" t="str">
        <f>VLOOKUP(C32,'[6]CAPEX - BLOCOS PAN'!$C$3:$AN$249,38,FALSE)</f>
        <v>N</v>
      </c>
      <c r="AO32" s="3">
        <v>1</v>
      </c>
      <c r="AP32" s="3" t="s">
        <v>171</v>
      </c>
      <c r="AQ32" s="3" t="s">
        <v>171</v>
      </c>
      <c r="AR32" s="3" t="s">
        <v>171</v>
      </c>
      <c r="AS32" s="3" t="s">
        <v>171</v>
      </c>
      <c r="AT32" s="3" t="s">
        <v>171</v>
      </c>
      <c r="AU32" s="3" t="s">
        <v>171</v>
      </c>
      <c r="AV32" t="str">
        <f>VLOOKUP(C32,'FLUXO DE CAIXA DESC.-BLOCOS PAN'!$D$3:$AO$52,38,FALSE)</f>
        <v>AC + AM - 1 - AL</v>
      </c>
    </row>
    <row r="33" spans="1:48" x14ac:dyDescent="0.35">
      <c r="A33" t="s">
        <v>148</v>
      </c>
      <c r="B33" t="s">
        <v>149</v>
      </c>
      <c r="C33" t="s">
        <v>150</v>
      </c>
      <c r="D33" t="s">
        <v>149</v>
      </c>
      <c r="E33" t="s">
        <v>35</v>
      </c>
      <c r="F33" t="s">
        <v>33</v>
      </c>
      <c r="G33" t="s">
        <v>34</v>
      </c>
      <c r="H33" s="72">
        <f>('BASE PAN - CAPEX'!$R33+'BASE PAN - CAPEX'!$AD33+'BASE PAN - CAPEX'!$AP33+'BASE PAN - CAPEX'!$BB33+'BASE PAN - CAPEX'!$BC33+VLOOKUP($C33,'BASE PAN - CAPEX - 1º ANO'!$C$3:$BE$35,55,FALSE)+VLOOKUP($C33,'BASE PAN - CAPEX - 1º ANO'!$C$3:$BF$35,56,FALSE)+VLOOKUP($C33,'BASE PAN - CAPEX - 1º ANO'!$C$3:$BG$35,57,FALSE))/3</f>
        <v>2786666.6666666665</v>
      </c>
      <c r="I33" s="72">
        <f>('BASE PAN - CAPEX'!$R33+'BASE PAN - CAPEX'!$AD33+'BASE PAN - CAPEX'!$AP33+'BASE PAN - CAPEX'!$BB33+'BASE PAN - CAPEX'!$BC33+VLOOKUP($C33,'BASE PAN - CAPEX - 1º ANO'!$C$3:$BE$35,55,FALSE)+VLOOKUP($C33,'BASE PAN - CAPEX - 1º ANO'!$C$3:$BF$35,56,FALSE)+VLOOKUP($C33,'BASE PAN - CAPEX - 1º ANO'!$C$3:$BG$35,57,FALSE))/3</f>
        <v>2786666.6666666665</v>
      </c>
      <c r="J33" s="72">
        <f>('BASE PAN - CAPEX'!$R33+'BASE PAN - CAPEX'!$AD33+'BASE PAN - CAPEX'!$AP33+'BASE PAN - CAPEX'!$BB33+'BASE PAN - CAPEX'!$BC33+VLOOKUP($C33,'BASE PAN - CAPEX - 1º ANO'!$C$3:$BE$35,55,FALSE)+VLOOKUP($C33,'BASE PAN - CAPEX - 1º ANO'!$C$3:$BF$35,56,FALSE)+VLOOKUP($C33,'BASE PAN - CAPEX - 1º ANO'!$C$3:$BG$35,57,FALSE))/3</f>
        <v>2786666.6666666665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f t="shared" si="0"/>
        <v>8360000</v>
      </c>
      <c r="AN33" t="str">
        <f>VLOOKUP(C33,'[6]CAPEX - BLOCOS PAN'!$C$3:$AN$249,38,FALSE)</f>
        <v>N</v>
      </c>
      <c r="AO33" s="3">
        <v>0</v>
      </c>
      <c r="AP33" s="3" t="s">
        <v>171</v>
      </c>
      <c r="AQ33" s="3" t="s">
        <v>171</v>
      </c>
      <c r="AR33" s="3" t="s">
        <v>171</v>
      </c>
      <c r="AS33" s="3" t="s">
        <v>171</v>
      </c>
      <c r="AT33" s="3" t="s">
        <v>171</v>
      </c>
      <c r="AU33" s="3" t="s">
        <v>171</v>
      </c>
      <c r="AV33" t="str">
        <f>VLOOKUP(C33,'FLUXO DE CAIXA DESC.-BLOCOS PAN'!$D$3:$AO$52,38,FALSE)</f>
        <v>AM - 3 - AL</v>
      </c>
    </row>
    <row r="34" spans="1:48" x14ac:dyDescent="0.35">
      <c r="A34" t="s">
        <v>152</v>
      </c>
      <c r="B34" t="s">
        <v>153</v>
      </c>
      <c r="C34" t="s">
        <v>154</v>
      </c>
      <c r="D34" t="s">
        <v>153</v>
      </c>
      <c r="E34" t="s">
        <v>35</v>
      </c>
      <c r="F34" t="s">
        <v>33</v>
      </c>
      <c r="G34" t="s">
        <v>34</v>
      </c>
      <c r="H34" s="72">
        <f>('BASE PAN - CAPEX'!$R34+'BASE PAN - CAPEX'!$AD34+'BASE PAN - CAPEX'!$AP34+'BASE PAN - CAPEX'!$BB34+'BASE PAN - CAPEX'!$BC34+VLOOKUP($C34,'BASE PAN - CAPEX - 1º ANO'!$C$3:$BE$35,55,FALSE)+VLOOKUP($C34,'BASE PAN - CAPEX - 1º ANO'!$C$3:$BF$35,56,FALSE)+VLOOKUP($C34,'BASE PAN - CAPEX - 1º ANO'!$C$3:$BG$35,57,FALSE))/3</f>
        <v>22475000</v>
      </c>
      <c r="I34" s="72">
        <f>('BASE PAN - CAPEX'!$R34+'BASE PAN - CAPEX'!$AD34+'BASE PAN - CAPEX'!$AP34+'BASE PAN - CAPEX'!$BB34+'BASE PAN - CAPEX'!$BC34+VLOOKUP($C34,'BASE PAN - CAPEX - 1º ANO'!$C$3:$BE$35,55,FALSE)+VLOOKUP($C34,'BASE PAN - CAPEX - 1º ANO'!$C$3:$BF$35,56,FALSE)+VLOOKUP($C34,'BASE PAN - CAPEX - 1º ANO'!$C$3:$BG$35,57,FALSE))/3</f>
        <v>22475000</v>
      </c>
      <c r="J34" s="72">
        <f>('BASE PAN - CAPEX'!$R34+'BASE PAN - CAPEX'!$AD34+'BASE PAN - CAPEX'!$AP34+'BASE PAN - CAPEX'!$BB34+'BASE PAN - CAPEX'!$BC34+VLOOKUP($C34,'BASE PAN - CAPEX - 1º ANO'!$C$3:$BE$35,55,FALSE)+VLOOKUP($C34,'BASE PAN - CAPEX - 1º ANO'!$C$3:$BF$35,56,FALSE)+VLOOKUP($C34,'BASE PAN - CAPEX - 1º ANO'!$C$3:$BG$35,57,FALSE))/3</f>
        <v>22475000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f t="shared" si="0"/>
        <v>67425000</v>
      </c>
      <c r="AN34" t="str">
        <f>VLOOKUP(C34,'[6]CAPEX - BLOCOS PAN'!$C$3:$AN$249,38,FALSE)</f>
        <v>N</v>
      </c>
      <c r="AO34" s="3">
        <v>3</v>
      </c>
      <c r="AP34" s="3" t="s">
        <v>171</v>
      </c>
      <c r="AQ34" s="3" t="s">
        <v>171</v>
      </c>
      <c r="AR34" s="3" t="s">
        <v>171</v>
      </c>
      <c r="AS34" s="3" t="s">
        <v>171</v>
      </c>
      <c r="AT34" s="3" t="s">
        <v>171</v>
      </c>
      <c r="AU34" s="3" t="s">
        <v>171</v>
      </c>
      <c r="AV34" t="str">
        <f>VLOOKUP(C34,'FLUXO DE CAIXA DESC.-BLOCOS PAN'!$D$3:$AO$52,38,FALSE)</f>
        <v>AM - 3 - AL</v>
      </c>
    </row>
    <row r="35" spans="1:48" x14ac:dyDescent="0.35">
      <c r="A35" t="s">
        <v>157</v>
      </c>
      <c r="B35" t="s">
        <v>158</v>
      </c>
      <c r="C35" t="s">
        <v>159</v>
      </c>
      <c r="D35" t="s">
        <v>158</v>
      </c>
      <c r="E35" t="s">
        <v>37</v>
      </c>
      <c r="F35" t="s">
        <v>33</v>
      </c>
      <c r="G35" t="s">
        <v>34</v>
      </c>
      <c r="H35" s="72">
        <f>('BASE PAN - CAPEX'!$R35+'BASE PAN - CAPEX'!$AD35+'BASE PAN - CAPEX'!$AP35+'BASE PAN - CAPEX'!$BB35+'BASE PAN - CAPEX'!$BC35+VLOOKUP($C35,'BASE PAN - CAPEX - 1º ANO'!$C$3:$BE$35,55,FALSE)+VLOOKUP($C35,'BASE PAN - CAPEX - 1º ANO'!$C$3:$BF$35,56,FALSE)+VLOOKUP($C35,'BASE PAN - CAPEX - 1º ANO'!$C$3:$BG$35,57,FALSE))/3</f>
        <v>12426666.666666666</v>
      </c>
      <c r="I35" s="72">
        <f>('BASE PAN - CAPEX'!$R35+'BASE PAN - CAPEX'!$AD35+'BASE PAN - CAPEX'!$AP35+'BASE PAN - CAPEX'!$BB35+'BASE PAN - CAPEX'!$BC35+VLOOKUP($C35,'BASE PAN - CAPEX - 1º ANO'!$C$3:$BE$35,55,FALSE)+VLOOKUP($C35,'BASE PAN - CAPEX - 1º ANO'!$C$3:$BF$35,56,FALSE)+VLOOKUP($C35,'BASE PAN - CAPEX - 1º ANO'!$C$3:$BG$35,57,FALSE))/3</f>
        <v>12426666.666666666</v>
      </c>
      <c r="J35" s="72">
        <f>('BASE PAN - CAPEX'!$R35+'BASE PAN - CAPEX'!$AD35+'BASE PAN - CAPEX'!$AP35+'BASE PAN - CAPEX'!$BB35+'BASE PAN - CAPEX'!$BC35+VLOOKUP($C35,'BASE PAN - CAPEX - 1º ANO'!$C$3:$BE$35,55,FALSE)+VLOOKUP($C35,'BASE PAN - CAPEX - 1º ANO'!$C$3:$BF$35,56,FALSE)+VLOOKUP($C35,'BASE PAN - CAPEX - 1º ANO'!$C$3:$BG$35,57,FALSE))/3</f>
        <v>12426666.666666666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f t="shared" si="0"/>
        <v>37280000</v>
      </c>
      <c r="AN35" t="str">
        <f>VLOOKUP(C35,'[6]CAPEX - BLOCOS PAN'!$C$3:$AN$249,38,FALSE)</f>
        <v>NE e CO</v>
      </c>
      <c r="AO35" s="3">
        <v>1</v>
      </c>
      <c r="AP35" s="3" t="s">
        <v>171</v>
      </c>
      <c r="AQ35" s="3" t="s">
        <v>171</v>
      </c>
      <c r="AR35" s="3">
        <v>2032</v>
      </c>
      <c r="AS35" s="3" t="s">
        <v>171</v>
      </c>
      <c r="AT35" s="3" t="s">
        <v>171</v>
      </c>
      <c r="AU35" s="3">
        <v>2</v>
      </c>
      <c r="AV35" t="str">
        <f>VLOOKUP(C35,'FLUXO DE CAIXA DESC.-BLOCOS PAN'!$D$3:$AO$52,38,FALSE)</f>
        <v>MT - 1 - AL</v>
      </c>
    </row>
    <row r="36" spans="1:48" s="49" customFormat="1" x14ac:dyDescent="0.35">
      <c r="A36" s="49" t="s">
        <v>260</v>
      </c>
      <c r="B36" s="49" t="s">
        <v>261</v>
      </c>
      <c r="C36" s="49" t="s">
        <v>286</v>
      </c>
      <c r="D36" s="49" t="s">
        <v>261</v>
      </c>
      <c r="E36" s="49" t="s">
        <v>29</v>
      </c>
      <c r="F36" s="49" t="s">
        <v>33</v>
      </c>
      <c r="G36" s="49" t="s">
        <v>34</v>
      </c>
      <c r="H36" s="72">
        <f>('BASE PAN - CAPEX'!$R36+'BASE PAN - CAPEX'!$AD36+'BASE PAN - CAPEX'!$AP36+'BASE PAN - CAPEX'!$BB36)/3</f>
        <v>30368333.333333332</v>
      </c>
      <c r="I36" s="72">
        <f>('BASE PAN - CAPEX'!$R36+'BASE PAN - CAPEX'!$AD36+'BASE PAN - CAPEX'!$AP36+'BASE PAN - CAPEX'!$BB36)/3</f>
        <v>30368333.333333332</v>
      </c>
      <c r="J36" s="72">
        <f>('BASE PAN - CAPEX'!$R36+'BASE PAN - CAPEX'!$AD36+'BASE PAN - CAPEX'!$AP36+'BASE PAN - CAPEX'!$BB36)/3</f>
        <v>30368333.333333332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  <c r="AD36" s="72">
        <v>0</v>
      </c>
      <c r="AE36" s="72">
        <v>0</v>
      </c>
      <c r="AF36" s="72">
        <v>0</v>
      </c>
      <c r="AG36" s="72">
        <v>0</v>
      </c>
      <c r="AH36" s="72">
        <v>0</v>
      </c>
      <c r="AI36" s="72">
        <v>0</v>
      </c>
      <c r="AJ36" s="72">
        <v>0</v>
      </c>
      <c r="AK36" s="72">
        <v>0</v>
      </c>
      <c r="AL36" s="72">
        <v>0</v>
      </c>
      <c r="AM36" s="72">
        <f t="shared" si="0"/>
        <v>91105000</v>
      </c>
      <c r="AN36" s="49" t="str">
        <f>VLOOKUP(C36,'[6]CAPEX - BLOCOS PAN'!$C$3:$AN$249,38,FALSE)</f>
        <v>N</v>
      </c>
      <c r="AO36" s="73">
        <v>2</v>
      </c>
      <c r="AP36" s="73" t="s">
        <v>171</v>
      </c>
      <c r="AQ36" s="73" t="s">
        <v>171</v>
      </c>
      <c r="AR36" s="73">
        <v>2025</v>
      </c>
      <c r="AS36" s="73" t="s">
        <v>171</v>
      </c>
      <c r="AT36" s="73" t="s">
        <v>171</v>
      </c>
      <c r="AU36" s="73">
        <v>3</v>
      </c>
      <c r="AV36" s="49" t="str">
        <f>VLOOKUP(C36,'FLUXO DE CAIXA DESC.-BLOCOS PAN'!$D$3:$AO$52,38,FALSE)</f>
        <v>PA 3 - AL</v>
      </c>
    </row>
    <row r="37" spans="1:48" x14ac:dyDescent="0.35">
      <c r="A37" t="s">
        <v>262</v>
      </c>
      <c r="B37" t="s">
        <v>263</v>
      </c>
      <c r="C37" t="s">
        <v>287</v>
      </c>
      <c r="D37" t="s">
        <v>263</v>
      </c>
      <c r="E37" t="s">
        <v>31</v>
      </c>
      <c r="F37" t="s">
        <v>33</v>
      </c>
      <c r="G37" t="s">
        <v>34</v>
      </c>
      <c r="H37" s="72">
        <f>('BASE PAN - CAPEX'!$R37+'BASE PAN - CAPEX'!$AD37+'BASE PAN - CAPEX'!$AP37+'BASE PAN - CAPEX'!$BB37+'BASE PAN - CAPEX'!$BC37)/3</f>
        <v>17963333.333333332</v>
      </c>
      <c r="I37" s="72">
        <f>('BASE PAN - CAPEX'!$R37+'BASE PAN - CAPEX'!$AD37+'BASE PAN - CAPEX'!$AP37+'BASE PAN - CAPEX'!$BB37+'BASE PAN - CAPEX'!$BC37)/3</f>
        <v>17963333.333333332</v>
      </c>
      <c r="J37" s="72">
        <f>('BASE PAN - CAPEX'!$R37+'BASE PAN - CAPEX'!$AD37+'BASE PAN - CAPEX'!$AP37+'BASE PAN - CAPEX'!$BB37+'BASE PAN - CAPEX'!$BC37)/3</f>
        <v>17963333.333333332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f t="shared" si="0"/>
        <v>53890000</v>
      </c>
      <c r="AN37" t="str">
        <f>VLOOKUP(C37,'[6]CAPEX - BLOCOS PAN'!$C$3:$AN$249,38,FALSE)</f>
        <v>NE e CO</v>
      </c>
      <c r="AO37" s="3">
        <v>3</v>
      </c>
      <c r="AP37" s="3" t="s">
        <v>171</v>
      </c>
      <c r="AQ37" s="3" t="s">
        <v>171</v>
      </c>
      <c r="AR37" s="3" t="s">
        <v>171</v>
      </c>
      <c r="AS37" s="3" t="s">
        <v>171</v>
      </c>
      <c r="AT37" s="3" t="s">
        <v>171</v>
      </c>
      <c r="AU37" s="3" t="s">
        <v>171</v>
      </c>
      <c r="AV37" t="str">
        <f>VLOOKUP(C37,'FLUXO DE CAIXA DESC.-BLOCOS PAN'!$D$3:$AO$52,38,FALSE)</f>
        <v>Bloco Nordeste</v>
      </c>
    </row>
    <row r="38" spans="1:48" x14ac:dyDescent="0.35">
      <c r="A38" t="s">
        <v>53</v>
      </c>
      <c r="B38" t="str">
        <f>VLOOKUP(A38,'FLUXO DE CAIXA DESC.-BLOCOS PAN'!$A$38:$B$52,2,FALSE)</f>
        <v>JACAREACANGA</v>
      </c>
      <c r="C38" t="s">
        <v>289</v>
      </c>
      <c r="D38" t="str">
        <f>VLOOKUP(A38,'CAPEX Manut. Estr_Naveg. Aérea'!$A$2:$B$38,2,FALSE)</f>
        <v>Jacareacanga</v>
      </c>
      <c r="E38" t="s">
        <v>29</v>
      </c>
      <c r="F38" t="s">
        <v>33</v>
      </c>
      <c r="G38" t="s">
        <v>34</v>
      </c>
      <c r="H38" s="1">
        <f>(VLOOKUP($A38,'CAPEX Manut. Estr_PPD e Taxiway'!$A$4:$O$18,15,FALSE)+VLOOKUP($A38,'CAPEX Manut. Estratégicos_Pátio'!$A$6:$O$20,15,FALSE)+VLOOKUP($A38,'CAPEX Manut. Estr_Naveg. Aérea'!$A$2:$AB$16,28,FALSE)+VLOOKUP($A38,'CAPEX Manut. Estr_Cerca Operac.'!$A$2:$F$16,6,FALSE))/3</f>
        <v>9275855.5409765691</v>
      </c>
      <c r="I38" s="1">
        <f>(VLOOKUP($A38,'CAPEX Manut. Estr_PPD e Taxiway'!$A$4:$O$18,15,FALSE)+VLOOKUP($A38,'CAPEX Manut. Estratégicos_Pátio'!$A$6:$O$20,15,FALSE)+VLOOKUP($A38,'CAPEX Manut. Estr_Naveg. Aérea'!$A$2:$AB$16,28,FALSE)+VLOOKUP($A38,'CAPEX Manut. Estr_Cerca Operac.'!$A$2:$F$16,6,FALSE))/3</f>
        <v>9275855.5409765691</v>
      </c>
      <c r="J38" s="1">
        <f>(VLOOKUP($A38,'CAPEX Manut. Estr_PPD e Taxiway'!$A$4:$O$18,15,FALSE)+VLOOKUP($A38,'CAPEX Manut. Estratégicos_Pátio'!$A$6:$O$20,15,FALSE)+VLOOKUP($A38,'CAPEX Manut. Estr_Naveg. Aérea'!$A$2:$AB$16,28,FALSE)+VLOOKUP($A38,'CAPEX Manut. Estr_Cerca Operac.'!$A$2:$F$16,6,FALSE))/3</f>
        <v>9275855.5409765691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f t="shared" si="0"/>
        <v>27827566.622929707</v>
      </c>
      <c r="AN38" t="str">
        <f>VLOOKUP(C38,'[6]CAPEX - BLOCOS PAN'!$C$3:$AN$249,38,FALSE)</f>
        <v>N</v>
      </c>
      <c r="AO38" s="3" t="s">
        <v>171</v>
      </c>
      <c r="AP38" s="3" t="s">
        <v>171</v>
      </c>
      <c r="AQ38" s="3" t="s">
        <v>171</v>
      </c>
      <c r="AR38" s="3" t="s">
        <v>171</v>
      </c>
      <c r="AS38" s="3" t="s">
        <v>171</v>
      </c>
      <c r="AT38" s="3" t="s">
        <v>171</v>
      </c>
      <c r="AU38" s="3" t="s">
        <v>171</v>
      </c>
      <c r="AV38" t="str">
        <f>VLOOKUP(C38,'FLUXO DE CAIXA DESC.-BLOCOS PAN'!$D$3:$AO$52,38,FALSE)</f>
        <v>PA - 1 - AL</v>
      </c>
    </row>
    <row r="39" spans="1:48" x14ac:dyDescent="0.35">
      <c r="A39" t="s">
        <v>86</v>
      </c>
      <c r="B39" t="str">
        <f>VLOOKUP(A39,'FLUXO DE CAIXA DESC.-BLOCOS PAN'!$A$38:$B$52,2,FALSE)</f>
        <v>SENADORA EUNICE MICHILES</v>
      </c>
      <c r="C39" t="s">
        <v>290</v>
      </c>
      <c r="D39" t="str">
        <f>VLOOKUP(A39,'CAPEX Manut. Estr_Naveg. Aérea'!$A$2:$B$38,2,FALSE)</f>
        <v>São Paulo de Olivença</v>
      </c>
      <c r="E39" t="s">
        <v>35</v>
      </c>
      <c r="F39" t="s">
        <v>33</v>
      </c>
      <c r="G39" t="s">
        <v>34</v>
      </c>
      <c r="H39" s="1">
        <f>(VLOOKUP($A39,'CAPEX Manut. Estr_PPD e Taxiway'!$A$4:$O$18,15,FALSE)+VLOOKUP($A39,'CAPEX Manut. Estratégicos_Pátio'!$A$6:$O$20,15,FALSE)+VLOOKUP($A39,'CAPEX Manut. Estr_Naveg. Aérea'!$A$2:$AB$16,28,FALSE)+VLOOKUP($A39,'CAPEX Manut. Estr_Cerca Operac.'!$A$2:$F$16,6,FALSE))/3</f>
        <v>5092950.2104830919</v>
      </c>
      <c r="I39" s="1">
        <f>(VLOOKUP($A39,'CAPEX Manut. Estr_PPD e Taxiway'!$A$4:$O$18,15,FALSE)+VLOOKUP($A39,'CAPEX Manut. Estratégicos_Pátio'!$A$6:$O$20,15,FALSE)+VLOOKUP($A39,'CAPEX Manut. Estr_Naveg. Aérea'!$A$2:$AB$16,28,FALSE)+VLOOKUP($A39,'CAPEX Manut. Estr_Cerca Operac.'!$A$2:$F$16,6,FALSE))/3</f>
        <v>5092950.2104830919</v>
      </c>
      <c r="J39" s="1">
        <f>(VLOOKUP($A39,'CAPEX Manut. Estr_PPD e Taxiway'!$A$4:$O$18,15,FALSE)+VLOOKUP($A39,'CAPEX Manut. Estratégicos_Pátio'!$A$6:$O$20,15,FALSE)+VLOOKUP($A39,'CAPEX Manut. Estr_Naveg. Aérea'!$A$2:$AB$16,28,FALSE)+VLOOKUP($A39,'CAPEX Manut. Estr_Cerca Operac.'!$A$2:$F$16,6,FALSE))/3</f>
        <v>5092950.2104830919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f t="shared" si="0"/>
        <v>15278850.631449275</v>
      </c>
      <c r="AN39" t="str">
        <f>VLOOKUP(C39,'[6]CAPEX - BLOCOS PAN'!$C$3:$AN$249,38,FALSE)</f>
        <v>N</v>
      </c>
      <c r="AO39" s="3" t="s">
        <v>171</v>
      </c>
      <c r="AP39" s="3" t="s">
        <v>171</v>
      </c>
      <c r="AQ39" s="3" t="s">
        <v>171</v>
      </c>
      <c r="AR39" s="3" t="s">
        <v>171</v>
      </c>
      <c r="AS39" s="3" t="s">
        <v>171</v>
      </c>
      <c r="AT39" s="3" t="s">
        <v>171</v>
      </c>
      <c r="AU39" s="3" t="s">
        <v>171</v>
      </c>
      <c r="AV39" t="str">
        <f>VLOOKUP(C39,'FLUXO DE CAIXA DESC.-BLOCOS PAN'!$D$3:$AO$52,38,FALSE)</f>
        <v>AC + AM - 1 - AL</v>
      </c>
    </row>
    <row r="40" spans="1:48" x14ac:dyDescent="0.35">
      <c r="A40" t="s">
        <v>161</v>
      </c>
      <c r="B40" t="str">
        <f>VLOOKUP(A40,'FLUXO DE CAIXA DESC.-BLOCOS PAN'!$A$38:$B$52,2,FALSE)</f>
        <v>PORTO ALEGRE DO NORTE</v>
      </c>
      <c r="C40" t="s">
        <v>301</v>
      </c>
      <c r="D40" t="str">
        <f>VLOOKUP(A40,'CAPEX Manut. Estr_Naveg. Aérea'!$A$2:$B$38,2,FALSE)</f>
        <v>Porto Alegre do Norte</v>
      </c>
      <c r="E40" t="s">
        <v>37</v>
      </c>
      <c r="F40" t="s">
        <v>33</v>
      </c>
      <c r="G40" t="s">
        <v>34</v>
      </c>
      <c r="H40" s="1">
        <f>(VLOOKUP($A40,'CAPEX Manut. Estr_PPD e Taxiway'!$A$4:$O$18,15,FALSE)+VLOOKUP($A40,'CAPEX Manut. Estratégicos_Pátio'!$A$6:$O$20,15,FALSE)+VLOOKUP($A40,'CAPEX Manut. Estr_Naveg. Aérea'!$A$2:$AB$16,28,FALSE)+VLOOKUP($A40,'CAPEX Manut. Estr_Cerca Operac.'!$A$2:$F$16,6,FALSE))/3</f>
        <v>5395398.0666638119</v>
      </c>
      <c r="I40" s="1">
        <f>(VLOOKUP($A40,'CAPEX Manut. Estr_PPD e Taxiway'!$A$4:$O$18,15,FALSE)+VLOOKUP($A40,'CAPEX Manut. Estratégicos_Pátio'!$A$6:$O$20,15,FALSE)+VLOOKUP($A40,'CAPEX Manut. Estr_Naveg. Aérea'!$A$2:$AB$16,28,FALSE)+VLOOKUP($A40,'CAPEX Manut. Estr_Cerca Operac.'!$A$2:$F$16,6,FALSE))/3</f>
        <v>5395398.0666638119</v>
      </c>
      <c r="J40" s="1">
        <f>(VLOOKUP($A40,'CAPEX Manut. Estr_PPD e Taxiway'!$A$4:$O$18,15,FALSE)+VLOOKUP($A40,'CAPEX Manut. Estratégicos_Pátio'!$A$6:$O$20,15,FALSE)+VLOOKUP($A40,'CAPEX Manut. Estr_Naveg. Aérea'!$A$2:$AB$16,28,FALSE)+VLOOKUP($A40,'CAPEX Manut. Estr_Cerca Operac.'!$A$2:$F$16,6,FALSE))/3</f>
        <v>5395398.0666638119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f t="shared" si="0"/>
        <v>16186194.199991435</v>
      </c>
      <c r="AN40" t="str">
        <f>VLOOKUP(C40,'[6]CAPEX - BLOCOS PAN'!$C$3:$AN$249,38,FALSE)</f>
        <v>NE e CO</v>
      </c>
      <c r="AO40" s="3" t="s">
        <v>171</v>
      </c>
      <c r="AP40" s="3" t="s">
        <v>171</v>
      </c>
      <c r="AQ40" s="3" t="s">
        <v>171</v>
      </c>
      <c r="AR40" s="3" t="s">
        <v>171</v>
      </c>
      <c r="AS40" s="3" t="s">
        <v>171</v>
      </c>
      <c r="AT40" s="3" t="s">
        <v>171</v>
      </c>
      <c r="AU40" s="3" t="s">
        <v>171</v>
      </c>
      <c r="AV40" t="str">
        <f>VLOOKUP(C40,'FLUXO DE CAIXA DESC.-BLOCOS PAN'!$D$3:$AO$52,38,FALSE)</f>
        <v>MT - 2 - AL</v>
      </c>
    </row>
    <row r="41" spans="1:48" x14ac:dyDescent="0.35">
      <c r="A41" t="s">
        <v>114</v>
      </c>
      <c r="B41" t="str">
        <f>VLOOKUP(A41,'FLUXO DE CAIXA DESC.-BLOCOS PAN'!$A$38:$B$52,2,FALSE)</f>
        <v>MARECHAL THAUMATURGO</v>
      </c>
      <c r="C41" t="s">
        <v>294</v>
      </c>
      <c r="D41" t="str">
        <f>VLOOKUP(A41,'CAPEX Manut. Estr_Naveg. Aérea'!$A$2:$B$38,2,FALSE)</f>
        <v>Marechal Thaumaturgo</v>
      </c>
      <c r="E41" t="s">
        <v>41</v>
      </c>
      <c r="F41" t="s">
        <v>33</v>
      </c>
      <c r="G41" t="s">
        <v>34</v>
      </c>
      <c r="H41" s="1">
        <f>(VLOOKUP($A41,'CAPEX Manut. Estr_PPD e Taxiway'!$A$4:$O$18,15,FALSE)+VLOOKUP($A41,'CAPEX Manut. Estratégicos_Pátio'!$A$6:$O$20,15,FALSE)+VLOOKUP($A41,'CAPEX Manut. Estr_Naveg. Aérea'!$A$2:$AB$16,28,FALSE)+VLOOKUP($A41,'CAPEX Manut. Estr_Cerca Operac.'!$A$2:$F$16,6,FALSE))/3</f>
        <v>4146840.0900000003</v>
      </c>
      <c r="I41" s="1">
        <f>(VLOOKUP($A41,'CAPEX Manut. Estr_PPD e Taxiway'!$A$4:$O$18,15,FALSE)+VLOOKUP($A41,'CAPEX Manut. Estratégicos_Pátio'!$A$6:$O$20,15,FALSE)+VLOOKUP($A41,'CAPEX Manut. Estr_Naveg. Aérea'!$A$2:$AB$16,28,FALSE)+VLOOKUP($A41,'CAPEX Manut. Estr_Cerca Operac.'!$A$2:$F$16,6,FALSE))/3</f>
        <v>4146840.0900000003</v>
      </c>
      <c r="J41" s="1">
        <f>(VLOOKUP($A41,'CAPEX Manut. Estr_PPD e Taxiway'!$A$4:$O$18,15,FALSE)+VLOOKUP($A41,'CAPEX Manut. Estratégicos_Pátio'!$A$6:$O$20,15,FALSE)+VLOOKUP($A41,'CAPEX Manut. Estr_Naveg. Aérea'!$A$2:$AB$16,28,FALSE)+VLOOKUP($A41,'CAPEX Manut. Estr_Cerca Operac.'!$A$2:$F$16,6,FALSE))/3</f>
        <v>4146840.0900000003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f t="shared" si="0"/>
        <v>12440520.270000001</v>
      </c>
      <c r="AN41" t="str">
        <f>VLOOKUP(C41,'[6]CAPEX - BLOCOS PAN'!$C$3:$AN$249,38,FALSE)</f>
        <v>N</v>
      </c>
      <c r="AO41" s="3" t="s">
        <v>171</v>
      </c>
      <c r="AP41" s="3" t="s">
        <v>171</v>
      </c>
      <c r="AQ41" s="3" t="s">
        <v>171</v>
      </c>
      <c r="AR41" s="3" t="s">
        <v>171</v>
      </c>
      <c r="AS41" s="3" t="s">
        <v>171</v>
      </c>
      <c r="AT41" s="3" t="s">
        <v>171</v>
      </c>
      <c r="AU41" s="3" t="s">
        <v>171</v>
      </c>
      <c r="AV41" t="str">
        <f>VLOOKUP(C41,'FLUXO DE CAIXA DESC.-BLOCOS PAN'!$D$3:$AO$52,38,FALSE)</f>
        <v>AC + AM - 1 - AL</v>
      </c>
    </row>
    <row r="42" spans="1:48" x14ac:dyDescent="0.35">
      <c r="A42" t="s">
        <v>87</v>
      </c>
      <c r="B42" t="str">
        <f>VLOOKUP(A42,'FLUXO DE CAIXA DESC.-BLOCOS PAN'!$A$38:$B$52,2,FALSE)</f>
        <v>NOVO PROGRESSO</v>
      </c>
      <c r="C42" t="s">
        <v>291</v>
      </c>
      <c r="D42" t="str">
        <f>VLOOKUP(A42,'CAPEX Manut. Estr_Naveg. Aérea'!$A$2:$B$38,2,FALSE)</f>
        <v>Novo Progresso</v>
      </c>
      <c r="E42" t="s">
        <v>29</v>
      </c>
      <c r="F42" t="s">
        <v>33</v>
      </c>
      <c r="G42" t="s">
        <v>34</v>
      </c>
      <c r="H42" s="1">
        <f>(VLOOKUP($A42,'CAPEX Manut. Estr_PPD e Taxiway'!$A$4:$O$18,15,FALSE)+VLOOKUP($A42,'CAPEX Manut. Estratégicos_Pátio'!$A$6:$O$20,15,FALSE)+VLOOKUP($A42,'CAPEX Manut. Estr_Naveg. Aérea'!$A$2:$AB$16,28,FALSE)+VLOOKUP($A42,'CAPEX Manut. Estr_Cerca Operac.'!$A$2:$F$16,6,FALSE))/3</f>
        <v>8389115.6074798256</v>
      </c>
      <c r="I42" s="1">
        <f>(VLOOKUP($A42,'CAPEX Manut. Estr_PPD e Taxiway'!$A$4:$O$18,15,FALSE)+VLOOKUP($A42,'CAPEX Manut. Estratégicos_Pátio'!$A$6:$O$20,15,FALSE)+VLOOKUP($A42,'CAPEX Manut. Estr_Naveg. Aérea'!$A$2:$AB$16,28,FALSE)+VLOOKUP($A42,'CAPEX Manut. Estr_Cerca Operac.'!$A$2:$F$16,6,FALSE))/3</f>
        <v>8389115.6074798256</v>
      </c>
      <c r="J42" s="1">
        <f>(VLOOKUP($A42,'CAPEX Manut. Estr_PPD e Taxiway'!$A$4:$O$18,15,FALSE)+VLOOKUP($A42,'CAPEX Manut. Estratégicos_Pátio'!$A$6:$O$20,15,FALSE)+VLOOKUP($A42,'CAPEX Manut. Estr_Naveg. Aérea'!$A$2:$AB$16,28,FALSE)+VLOOKUP($A42,'CAPEX Manut. Estr_Cerca Operac.'!$A$2:$F$16,6,FALSE))/3</f>
        <v>8389115.6074798256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f t="shared" si="0"/>
        <v>25167346.822439477</v>
      </c>
      <c r="AN42" t="str">
        <f>VLOOKUP(C42,'[6]CAPEX - BLOCOS PAN'!$C$3:$AN$249,38,FALSE)</f>
        <v>N</v>
      </c>
      <c r="AO42" s="3" t="s">
        <v>171</v>
      </c>
      <c r="AP42" s="3" t="s">
        <v>171</v>
      </c>
      <c r="AQ42" s="3" t="s">
        <v>171</v>
      </c>
      <c r="AR42" s="3" t="s">
        <v>171</v>
      </c>
      <c r="AS42" s="3" t="s">
        <v>171</v>
      </c>
      <c r="AT42" s="3" t="s">
        <v>171</v>
      </c>
      <c r="AU42" s="3" t="s">
        <v>171</v>
      </c>
      <c r="AV42" t="str">
        <f>VLOOKUP(C42,'FLUXO DE CAIXA DESC.-BLOCOS PAN'!$D$3:$AO$52,38,FALSE)</f>
        <v>PA - 1 - AL</v>
      </c>
    </row>
    <row r="43" spans="1:48" s="49" customFormat="1" x14ac:dyDescent="0.35">
      <c r="A43" s="49" t="s">
        <v>369</v>
      </c>
      <c r="B43" s="76" t="s">
        <v>370</v>
      </c>
      <c r="C43" s="49" t="s">
        <v>371</v>
      </c>
      <c r="D43" s="49" t="s">
        <v>370</v>
      </c>
      <c r="E43" s="49" t="s">
        <v>36</v>
      </c>
      <c r="F43" s="49" t="s">
        <v>33</v>
      </c>
      <c r="G43" s="49" t="s">
        <v>34</v>
      </c>
      <c r="H43" s="72">
        <f>(VLOOKUP($A43,'CAPEX Manut. Estr_PPD e Taxiway'!$A$4:$O$18,15,FALSE)+VLOOKUP($A43,'CAPEX Manut. Estratégicos_Pátio'!$A$6:$O$20,15,FALSE)+VLOOKUP($A43,'CAPEX Manut. Estr_Naveg. Aérea'!$A$2:$AB$16,28,FALSE)+VLOOKUP($A43,'CAPEX Manut. Estr_Cerca Operac.'!$A$2:$F$16,6,FALSE))/3</f>
        <v>5651659.7646242781</v>
      </c>
      <c r="I43" s="72">
        <f>(VLOOKUP($A43,'CAPEX Manut. Estr_PPD e Taxiway'!$A$4:$O$18,15,FALSE)+VLOOKUP($A43,'CAPEX Manut. Estratégicos_Pátio'!$A$6:$O$20,15,FALSE)+VLOOKUP($A43,'CAPEX Manut. Estr_Naveg. Aérea'!$A$2:$AB$16,28,FALSE)+VLOOKUP($A43,'CAPEX Manut. Estr_Cerca Operac.'!$A$2:$F$16,6,FALSE))/3</f>
        <v>5651659.7646242781</v>
      </c>
      <c r="J43" s="72">
        <f>(VLOOKUP($A43,'CAPEX Manut. Estr_PPD e Taxiway'!$A$4:$O$18,15,FALSE)+VLOOKUP($A43,'CAPEX Manut. Estratégicos_Pátio'!$A$6:$O$20,15,FALSE)+VLOOKUP($A43,'CAPEX Manut. Estr_Naveg. Aérea'!$A$2:$AB$16,28,FALSE)+VLOOKUP($A43,'CAPEX Manut. Estr_Cerca Operac.'!$A$2:$F$16,6,FALSE))/3</f>
        <v>5651659.7646242781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2">
        <v>0</v>
      </c>
      <c r="AD43" s="72">
        <v>0</v>
      </c>
      <c r="AE43" s="72">
        <v>0</v>
      </c>
      <c r="AF43" s="72">
        <v>0</v>
      </c>
      <c r="AG43" s="72">
        <v>0</v>
      </c>
      <c r="AH43" s="72">
        <v>0</v>
      </c>
      <c r="AI43" s="72">
        <v>0</v>
      </c>
      <c r="AJ43" s="72">
        <v>0</v>
      </c>
      <c r="AK43" s="72">
        <v>0</v>
      </c>
      <c r="AL43" s="72">
        <v>0</v>
      </c>
      <c r="AM43" s="72">
        <f t="shared" ref="AM43" si="1">SUM(H43:AL43)</f>
        <v>16954979.293872833</v>
      </c>
      <c r="AN43" s="49" t="str">
        <f>VLOOKUP(C43,'[6]CAPEX - BLOCOS PAN'!$C$3:$AN$249,38,FALSE)</f>
        <v>NE e CO</v>
      </c>
      <c r="AO43" s="73" t="s">
        <v>171</v>
      </c>
      <c r="AP43" s="73" t="s">
        <v>171</v>
      </c>
      <c r="AQ43" s="73" t="s">
        <v>171</v>
      </c>
      <c r="AR43" s="73" t="s">
        <v>171</v>
      </c>
      <c r="AS43" s="73" t="s">
        <v>171</v>
      </c>
      <c r="AT43" s="73" t="s">
        <v>171</v>
      </c>
      <c r="AU43" s="73" t="s">
        <v>171</v>
      </c>
      <c r="AV43" s="49" t="str">
        <f>VLOOKUP(C43,'FLUXO DE CAIXA DESC.-BLOCOS PAN'!$D$3:$AO$52,38,FALSE)</f>
        <v>Bloco Nordeste</v>
      </c>
    </row>
    <row r="44" spans="1:48" s="49" customFormat="1" x14ac:dyDescent="0.35">
      <c r="A44" s="49" t="s">
        <v>88</v>
      </c>
      <c r="B44" s="49" t="str">
        <f>VLOOKUP(A44,'FLUXO DE CAIXA DESC.-BLOCOS PAN'!$A$38:$B$52,2,FALSE)</f>
        <v>BACABAL</v>
      </c>
      <c r="C44" s="49" t="s">
        <v>292</v>
      </c>
      <c r="D44" s="49" t="str">
        <f>VLOOKUP(A44,'CAPEX Manut. Estr_Naveg. Aérea'!$A$2:$B$38,2,FALSE)</f>
        <v>Bacabal</v>
      </c>
      <c r="E44" s="49" t="s">
        <v>31</v>
      </c>
      <c r="F44" s="49" t="s">
        <v>33</v>
      </c>
      <c r="G44" s="49" t="s">
        <v>34</v>
      </c>
      <c r="H44" s="72">
        <f>(VLOOKUP($A44,'CAPEX Manut. Estr_PPD e Taxiway'!$A$4:$O$18,15,FALSE)+VLOOKUP($A44,'CAPEX Manut. Estratégicos_Pátio'!$A$6:$O$20,15,FALSE)+VLOOKUP($A44,'CAPEX Manut. Estr_Naveg. Aérea'!$A$2:$AB$16,28,FALSE)+VLOOKUP($A44,'CAPEX Manut. Estr_Cerca Operac.'!$A$2:$F$16,6,FALSE))/3</f>
        <v>8874582.4308301527</v>
      </c>
      <c r="I44" s="72">
        <f>(VLOOKUP($A44,'CAPEX Manut. Estr_PPD e Taxiway'!$A$4:$O$18,15,FALSE)+VLOOKUP($A44,'CAPEX Manut. Estratégicos_Pátio'!$A$6:$O$20,15,FALSE)+VLOOKUP($A44,'CAPEX Manut. Estr_Naveg. Aérea'!$A$2:$AB$16,28,FALSE)+VLOOKUP($A44,'CAPEX Manut. Estr_Cerca Operac.'!$A$2:$F$16,6,FALSE))/3</f>
        <v>8874582.4308301527</v>
      </c>
      <c r="J44" s="72">
        <f>(VLOOKUP($A44,'CAPEX Manut. Estr_PPD e Taxiway'!$A$4:$O$18,15,FALSE)+VLOOKUP($A44,'CAPEX Manut. Estratégicos_Pátio'!$A$6:$O$20,15,FALSE)+VLOOKUP($A44,'CAPEX Manut. Estr_Naveg. Aérea'!$A$2:$AB$16,28,FALSE)+VLOOKUP($A44,'CAPEX Manut. Estr_Cerca Operac.'!$A$2:$F$16,6,FALSE))/3</f>
        <v>8874582.4308301527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2">
        <v>0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  <c r="AI44" s="72">
        <v>0</v>
      </c>
      <c r="AJ44" s="72">
        <v>0</v>
      </c>
      <c r="AK44" s="72">
        <v>0</v>
      </c>
      <c r="AL44" s="72">
        <v>0</v>
      </c>
      <c r="AM44" s="72">
        <f t="shared" si="0"/>
        <v>26623747.29249046</v>
      </c>
      <c r="AN44" s="49" t="str">
        <f>VLOOKUP(C44,'[6]CAPEX - BLOCOS PAN'!$C$3:$AN$249,38,FALSE)</f>
        <v>NE e CO</v>
      </c>
      <c r="AO44" s="73" t="s">
        <v>171</v>
      </c>
      <c r="AP44" s="73" t="s">
        <v>171</v>
      </c>
      <c r="AQ44" s="73" t="s">
        <v>171</v>
      </c>
      <c r="AR44" s="73" t="s">
        <v>171</v>
      </c>
      <c r="AS44" s="73" t="s">
        <v>171</v>
      </c>
      <c r="AT44" s="73" t="s">
        <v>171</v>
      </c>
      <c r="AU44" s="73" t="s">
        <v>171</v>
      </c>
      <c r="AV44" s="49" t="str">
        <f>VLOOKUP(C44,'FLUXO DE CAIXA DESC.-BLOCOS PAN'!$D$3:$AO$52,38,FALSE)</f>
        <v>MA + TO - AL</v>
      </c>
    </row>
    <row r="45" spans="1:48" s="49" customFormat="1" x14ac:dyDescent="0.35">
      <c r="A45" s="49" t="s">
        <v>89</v>
      </c>
      <c r="B45" s="49" t="str">
        <f>VLOOKUP(A45,'FLUXO DE CAIXA DESC.-BLOCOS PAN'!$A$38:$B$52,2,FALSE)</f>
        <v>BALSAS</v>
      </c>
      <c r="C45" s="49" t="s">
        <v>293</v>
      </c>
      <c r="D45" s="49" t="str">
        <f>VLOOKUP(A45,'CAPEX Manut. Estr_Naveg. Aérea'!$A$2:$B$38,2,FALSE)</f>
        <v>Balsas</v>
      </c>
      <c r="E45" s="49" t="s">
        <v>31</v>
      </c>
      <c r="F45" s="49" t="s">
        <v>33</v>
      </c>
      <c r="G45" s="49" t="s">
        <v>34</v>
      </c>
      <c r="H45" s="72">
        <f>(VLOOKUP($A45,'CAPEX Manut. Estr_PPD e Taxiway'!$A$4:$O$18,15,FALSE)+VLOOKUP($A45,'CAPEX Manut. Estratégicos_Pátio'!$A$6:$O$20,15,FALSE)+VLOOKUP($A45,'CAPEX Manut. Estr_Naveg. Aérea'!$A$2:$AB$16,28,FALSE)+VLOOKUP($A45,'CAPEX Manut. Estr_Cerca Operac.'!$A$2:$F$16,6,FALSE))/3</f>
        <v>6480262.1151546119</v>
      </c>
      <c r="I45" s="72">
        <f>(VLOOKUP($A45,'CAPEX Manut. Estr_PPD e Taxiway'!$A$4:$O$18,15,FALSE)+VLOOKUP($A45,'CAPEX Manut. Estratégicos_Pátio'!$A$6:$O$20,15,FALSE)+VLOOKUP($A45,'CAPEX Manut. Estr_Naveg. Aérea'!$A$2:$AB$16,28,FALSE)+VLOOKUP($A45,'CAPEX Manut. Estr_Cerca Operac.'!$A$2:$F$16,6,FALSE))/3</f>
        <v>6480262.1151546119</v>
      </c>
      <c r="J45" s="72">
        <f>(VLOOKUP($A45,'CAPEX Manut. Estr_PPD e Taxiway'!$A$4:$O$18,15,FALSE)+VLOOKUP($A45,'CAPEX Manut. Estratégicos_Pátio'!$A$6:$O$20,15,FALSE)+VLOOKUP($A45,'CAPEX Manut. Estr_Naveg. Aérea'!$A$2:$AB$16,28,FALSE)+VLOOKUP($A45,'CAPEX Manut. Estr_Cerca Operac.'!$A$2:$F$16,6,FALSE))/3</f>
        <v>6480262.1151546119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2">
        <v>0</v>
      </c>
      <c r="AD45" s="72">
        <v>0</v>
      </c>
      <c r="AE45" s="72">
        <v>0</v>
      </c>
      <c r="AF45" s="72">
        <v>0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  <c r="AL45" s="72">
        <v>0</v>
      </c>
      <c r="AM45" s="72">
        <f t="shared" si="0"/>
        <v>19440786.345463835</v>
      </c>
      <c r="AN45" s="49" t="str">
        <f>VLOOKUP(C45,'[6]CAPEX - BLOCOS PAN'!$C$3:$AN$249,38,FALSE)</f>
        <v>NE e CO</v>
      </c>
      <c r="AO45" s="73" t="s">
        <v>171</v>
      </c>
      <c r="AP45" s="73" t="s">
        <v>171</v>
      </c>
      <c r="AQ45" s="73" t="s">
        <v>171</v>
      </c>
      <c r="AR45" s="73" t="s">
        <v>171</v>
      </c>
      <c r="AS45" s="73" t="s">
        <v>171</v>
      </c>
      <c r="AT45" s="73" t="s">
        <v>171</v>
      </c>
      <c r="AU45" s="73" t="s">
        <v>171</v>
      </c>
      <c r="AV45" s="49" t="str">
        <f>VLOOKUP(C45,'FLUXO DE CAIXA DESC.-BLOCOS PAN'!$D$3:$AO$52,38,FALSE)</f>
        <v>MA + TO - AL</v>
      </c>
    </row>
    <row r="46" spans="1:48" s="49" customFormat="1" x14ac:dyDescent="0.35">
      <c r="A46" s="49" t="s">
        <v>373</v>
      </c>
      <c r="B46" s="49" t="s">
        <v>374</v>
      </c>
      <c r="C46" s="49" t="s">
        <v>375</v>
      </c>
      <c r="D46" s="49" t="s">
        <v>374</v>
      </c>
      <c r="E46" s="49" t="s">
        <v>36</v>
      </c>
      <c r="F46" s="49" t="s">
        <v>33</v>
      </c>
      <c r="G46" s="49" t="s">
        <v>34</v>
      </c>
      <c r="H46" s="72">
        <f>(VLOOKUP($A46,'CAPEX Manut. Estr_PPD e Taxiway'!$A$4:$O$18,15,FALSE)+VLOOKUP($A46,'CAPEX Manut. Estratégicos_Pátio'!$A$6:$O$20,15,FALSE)+VLOOKUP($A46,'CAPEX Manut. Estr_Naveg. Aérea'!$A$2:$AB$16,28,FALSE)+VLOOKUP($A46,'CAPEX Manut. Estr_Cerca Operac.'!$A$2:$F$16,6,FALSE))/3</f>
        <v>5927254.0239884397</v>
      </c>
      <c r="I46" s="72">
        <f>(VLOOKUP($A46,'CAPEX Manut. Estr_PPD e Taxiway'!$A$4:$O$18,15,FALSE)+VLOOKUP($A46,'CAPEX Manut. Estratégicos_Pátio'!$A$6:$O$20,15,FALSE)+VLOOKUP($A46,'CAPEX Manut. Estr_Naveg. Aérea'!$A$2:$AB$16,28,FALSE)+VLOOKUP($A46,'CAPEX Manut. Estr_Cerca Operac.'!$A$2:$F$16,6,FALSE))/3</f>
        <v>5927254.0239884397</v>
      </c>
      <c r="J46" s="72">
        <f>(VLOOKUP($A46,'CAPEX Manut. Estr_PPD e Taxiway'!$A$4:$O$18,15,FALSE)+VLOOKUP($A46,'CAPEX Manut. Estratégicos_Pátio'!$A$6:$O$20,15,FALSE)+VLOOKUP($A46,'CAPEX Manut. Estr_Naveg. Aérea'!$A$2:$AB$16,28,FALSE)+VLOOKUP($A46,'CAPEX Manut. Estr_Cerca Operac.'!$A$2:$F$16,6,FALSE))/3</f>
        <v>5927254.0239884397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2">
        <v>0</v>
      </c>
      <c r="AD46" s="72">
        <v>0</v>
      </c>
      <c r="AE46" s="72">
        <v>0</v>
      </c>
      <c r="AF46" s="72">
        <v>0</v>
      </c>
      <c r="AG46" s="72">
        <v>0</v>
      </c>
      <c r="AH46" s="72">
        <v>0</v>
      </c>
      <c r="AI46" s="72">
        <v>0</v>
      </c>
      <c r="AJ46" s="72">
        <v>0</v>
      </c>
      <c r="AK46" s="72">
        <v>0</v>
      </c>
      <c r="AL46" s="72">
        <v>0</v>
      </c>
      <c r="AM46" s="72">
        <f t="shared" ref="AM46" si="2">SUM(H46:AL46)</f>
        <v>17781762.071965318</v>
      </c>
      <c r="AN46" s="49" t="str">
        <f>VLOOKUP(C46,'[6]CAPEX - BLOCOS PAN'!$C$3:$AN$249,38,FALSE)</f>
        <v>NE e CO</v>
      </c>
      <c r="AO46" s="73" t="s">
        <v>171</v>
      </c>
      <c r="AP46" s="73" t="s">
        <v>171</v>
      </c>
      <c r="AQ46" s="73" t="s">
        <v>171</v>
      </c>
      <c r="AR46" s="73" t="s">
        <v>171</v>
      </c>
      <c r="AS46" s="73" t="s">
        <v>171</v>
      </c>
      <c r="AT46" s="73" t="s">
        <v>171</v>
      </c>
      <c r="AU46" s="73" t="s">
        <v>171</v>
      </c>
      <c r="AV46" s="49" t="str">
        <f>VLOOKUP(C46,'FLUXO DE CAIXA DESC.-BLOCOS PAN'!$D$3:$AO$52,38,FALSE)</f>
        <v>Bloco Nordeste</v>
      </c>
    </row>
    <row r="47" spans="1:48" x14ac:dyDescent="0.35">
      <c r="A47" t="s">
        <v>125</v>
      </c>
      <c r="B47" t="str">
        <f>VLOOKUP(A47,'FLUXO DE CAIXA DESC.-BLOCOS PAN'!$A$38:$B$52,2,FALSE)</f>
        <v>COSTA MARQUES</v>
      </c>
      <c r="C47" t="s">
        <v>295</v>
      </c>
      <c r="D47" t="str">
        <f>VLOOKUP(A47,'CAPEX Manut. Estr_Naveg. Aérea'!$A$2:$B$38,2,FALSE)</f>
        <v>Costa Marques</v>
      </c>
      <c r="E47" t="s">
        <v>30</v>
      </c>
      <c r="F47" t="s">
        <v>33</v>
      </c>
      <c r="G47" t="s">
        <v>34</v>
      </c>
      <c r="H47" s="1">
        <f>(VLOOKUP($A47,'CAPEX Manut. Estr_PPD e Taxiway'!$A$4:$O$18,15,FALSE)+VLOOKUP($A47,'CAPEX Manut. Estratégicos_Pátio'!$A$6:$O$20,15,FALSE)+VLOOKUP($A47,'CAPEX Manut. Estr_Naveg. Aérea'!$A$2:$AB$16,28,FALSE)+VLOOKUP($A47,'CAPEX Manut. Estr_Cerca Operac.'!$A$2:$F$16,6,FALSE))/3</f>
        <v>6031956.9648622423</v>
      </c>
      <c r="I47" s="1">
        <f>(VLOOKUP($A47,'CAPEX Manut. Estr_PPD e Taxiway'!$A$4:$O$18,15,FALSE)+VLOOKUP($A47,'CAPEX Manut. Estratégicos_Pátio'!$A$6:$O$20,15,FALSE)+VLOOKUP($A47,'CAPEX Manut. Estr_Naveg. Aérea'!$A$2:$AB$16,28,FALSE)+VLOOKUP($A47,'CAPEX Manut. Estr_Cerca Operac.'!$A$2:$F$16,6,FALSE))/3</f>
        <v>6031956.9648622423</v>
      </c>
      <c r="J47" s="1">
        <f>(VLOOKUP($A47,'CAPEX Manut. Estr_PPD e Taxiway'!$A$4:$O$18,15,FALSE)+VLOOKUP($A47,'CAPEX Manut. Estratégicos_Pátio'!$A$6:$O$20,15,FALSE)+VLOOKUP($A47,'CAPEX Manut. Estr_Naveg. Aérea'!$A$2:$AB$16,28,FALSE)+VLOOKUP($A47,'CAPEX Manut. Estr_Cerca Operac.'!$A$2:$F$16,6,FALSE))/3</f>
        <v>6031956.9648622423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f t="shared" si="0"/>
        <v>18095870.894586727</v>
      </c>
      <c r="AN47" t="str">
        <f>VLOOKUP(C47,'[6]CAPEX - BLOCOS PAN'!$C$3:$AN$249,38,FALSE)</f>
        <v>N</v>
      </c>
      <c r="AO47" s="3" t="s">
        <v>171</v>
      </c>
      <c r="AP47" s="3" t="s">
        <v>171</v>
      </c>
      <c r="AQ47" s="3" t="s">
        <v>171</v>
      </c>
      <c r="AR47" s="3" t="s">
        <v>171</v>
      </c>
      <c r="AS47" s="3" t="s">
        <v>171</v>
      </c>
      <c r="AT47" s="3" t="s">
        <v>171</v>
      </c>
      <c r="AU47" s="3" t="s">
        <v>171</v>
      </c>
      <c r="AV47" t="str">
        <f>VLOOKUP(C47,'FLUXO DE CAIXA DESC.-BLOCOS PAN'!$D$3:$AO$52,38,FALSE)</f>
        <v>RO - 1 - AL</v>
      </c>
    </row>
    <row r="48" spans="1:48" x14ac:dyDescent="0.35">
      <c r="A48" t="s">
        <v>134</v>
      </c>
      <c r="B48" t="str">
        <f>VLOOKUP(A48,'FLUXO DE CAIXA DESC.-BLOCOS PAN'!$A$38:$B$52,2,FALSE)</f>
        <v>IPIRANGA</v>
      </c>
      <c r="C48" t="s">
        <v>296</v>
      </c>
      <c r="D48" t="str">
        <f>VLOOKUP(A48,'CAPEX Manut. Estr_Naveg. Aérea'!$A$2:$B$38,2,FALSE)</f>
        <v>Santo Antônio do Içá</v>
      </c>
      <c r="E48" t="s">
        <v>35</v>
      </c>
      <c r="F48" t="s">
        <v>33</v>
      </c>
      <c r="G48" t="s">
        <v>34</v>
      </c>
      <c r="H48" s="1">
        <f>(VLOOKUP($A48,'CAPEX Manut. Estr_PPD e Taxiway'!$A$4:$O$18,15,FALSE)+VLOOKUP($A48,'CAPEX Manut. Estratégicos_Pátio'!$A$6:$O$20,15,FALSE)+VLOOKUP($A48,'CAPEX Manut. Estr_Naveg. Aérea'!$A$2:$AB$16,28,FALSE)+VLOOKUP($A48,'CAPEX Manut. Estr_Cerca Operac.'!$A$2:$F$16,6,FALSE))/3</f>
        <v>7912003.7762638144</v>
      </c>
      <c r="I48" s="1">
        <f>(VLOOKUP($A48,'CAPEX Manut. Estr_PPD e Taxiway'!$A$4:$O$18,15,FALSE)+VLOOKUP($A48,'CAPEX Manut. Estratégicos_Pátio'!$A$6:$O$20,15,FALSE)+VLOOKUP($A48,'CAPEX Manut. Estr_Naveg. Aérea'!$A$2:$AB$16,28,FALSE)+VLOOKUP($A48,'CAPEX Manut. Estr_Cerca Operac.'!$A$2:$F$16,6,FALSE))/3</f>
        <v>7912003.7762638144</v>
      </c>
      <c r="J48" s="1">
        <f>(VLOOKUP($A48,'CAPEX Manut. Estr_PPD e Taxiway'!$A$4:$O$18,15,FALSE)+VLOOKUP($A48,'CAPEX Manut. Estratégicos_Pátio'!$A$6:$O$20,15,FALSE)+VLOOKUP($A48,'CAPEX Manut. Estr_Naveg. Aérea'!$A$2:$AB$16,28,FALSE)+VLOOKUP($A48,'CAPEX Manut. Estr_Cerca Operac.'!$A$2:$F$16,6,FALSE))/3</f>
        <v>7912003.7762638144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f t="shared" si="0"/>
        <v>23736011.328791443</v>
      </c>
      <c r="AN48" t="str">
        <f>VLOOKUP(C48,'[6]CAPEX - BLOCOS PAN'!$C$3:$AN$249,38,FALSE)</f>
        <v>N</v>
      </c>
      <c r="AO48" s="3" t="s">
        <v>171</v>
      </c>
      <c r="AP48" s="3" t="s">
        <v>171</v>
      </c>
      <c r="AQ48" s="3" t="s">
        <v>171</v>
      </c>
      <c r="AR48" s="3" t="s">
        <v>171</v>
      </c>
      <c r="AS48" s="3" t="s">
        <v>171</v>
      </c>
      <c r="AT48" s="3" t="s">
        <v>171</v>
      </c>
      <c r="AU48" s="3" t="s">
        <v>171</v>
      </c>
      <c r="AV48" t="str">
        <f>VLOOKUP(C48,'FLUXO DE CAIXA DESC.-BLOCOS PAN'!$D$3:$AO$52,38,FALSE)</f>
        <v>AC + AM - 1 - AL</v>
      </c>
    </row>
    <row r="49" spans="1:48" x14ac:dyDescent="0.35">
      <c r="A49" t="s">
        <v>151</v>
      </c>
      <c r="B49" t="str">
        <f>VLOOKUP(A49,'FLUXO DE CAIXA DESC.-BLOCOS PAN'!$A$38:$B$52,2,FALSE)</f>
        <v>FONTE BOA</v>
      </c>
      <c r="C49" t="s">
        <v>297</v>
      </c>
      <c r="D49" t="str">
        <f>VLOOKUP(A49,'CAPEX Manut. Estr_Naveg. Aérea'!$A$2:$B$38,2,FALSE)</f>
        <v>Fonte Boa</v>
      </c>
      <c r="E49" t="s">
        <v>35</v>
      </c>
      <c r="F49" t="s">
        <v>33</v>
      </c>
      <c r="G49" t="s">
        <v>34</v>
      </c>
      <c r="H49" s="1">
        <f>(VLOOKUP($A49,'CAPEX Manut. Estr_PPD e Taxiway'!$A$4:$O$18,15,FALSE)+VLOOKUP($A49,'CAPEX Manut. Estratégicos_Pátio'!$A$6:$O$20,15,FALSE)+VLOOKUP($A49,'CAPEX Manut. Estr_Naveg. Aérea'!$A$2:$AB$16,28,FALSE)+VLOOKUP($A49,'CAPEX Manut. Estr_Cerca Operac.'!$A$2:$F$16,6,FALSE))/3</f>
        <v>6508906.7899380522</v>
      </c>
      <c r="I49" s="1">
        <f>(VLOOKUP($A49,'CAPEX Manut. Estr_PPD e Taxiway'!$A$4:$O$18,15,FALSE)+VLOOKUP($A49,'CAPEX Manut. Estratégicos_Pátio'!$A$6:$O$20,15,FALSE)+VLOOKUP($A49,'CAPEX Manut. Estr_Naveg. Aérea'!$A$2:$AB$16,28,FALSE)+VLOOKUP($A49,'CAPEX Manut. Estr_Cerca Operac.'!$A$2:$F$16,6,FALSE))/3</f>
        <v>6508906.7899380522</v>
      </c>
      <c r="J49" s="1">
        <f>(VLOOKUP($A49,'CAPEX Manut. Estr_PPD e Taxiway'!$A$4:$O$18,15,FALSE)+VLOOKUP($A49,'CAPEX Manut. Estratégicos_Pátio'!$A$6:$O$20,15,FALSE)+VLOOKUP($A49,'CAPEX Manut. Estr_Naveg. Aérea'!$A$2:$AB$16,28,FALSE)+VLOOKUP($A49,'CAPEX Manut. Estr_Cerca Operac.'!$A$2:$F$16,6,FALSE))/3</f>
        <v>6508906.7899380522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f t="shared" si="0"/>
        <v>19526720.369814157</v>
      </c>
      <c r="AN49" t="str">
        <f>VLOOKUP(C49,'[6]CAPEX - BLOCOS PAN'!$C$3:$AN$249,38,FALSE)</f>
        <v>N</v>
      </c>
      <c r="AO49" s="3" t="s">
        <v>171</v>
      </c>
      <c r="AP49" s="3" t="s">
        <v>171</v>
      </c>
      <c r="AQ49" s="3" t="s">
        <v>171</v>
      </c>
      <c r="AR49" s="3" t="s">
        <v>171</v>
      </c>
      <c r="AS49" s="3" t="s">
        <v>171</v>
      </c>
      <c r="AT49" s="3" t="s">
        <v>171</v>
      </c>
      <c r="AU49" s="3" t="s">
        <v>171</v>
      </c>
      <c r="AV49" t="str">
        <f>VLOOKUP(C49,'FLUXO DE CAIXA DESC.-BLOCOS PAN'!$D$3:$AO$52,38,FALSE)</f>
        <v>AM - 2 - AL</v>
      </c>
    </row>
    <row r="50" spans="1:48" x14ac:dyDescent="0.35">
      <c r="A50" t="s">
        <v>155</v>
      </c>
      <c r="B50" t="str">
        <f>VLOOKUP(A50,'FLUXO DE CAIXA DESC.-BLOCOS PAN'!$A$38:$B$52,2,FALSE)</f>
        <v>PRIMAVERA DO LESTE</v>
      </c>
      <c r="C50" t="s">
        <v>298</v>
      </c>
      <c r="D50" t="str">
        <f>VLOOKUP(A50,'CAPEX Manut. Estr_Naveg. Aérea'!$A$2:$B$38,2,FALSE)</f>
        <v>Primavera do Leste</v>
      </c>
      <c r="E50" t="s">
        <v>37</v>
      </c>
      <c r="F50" t="s">
        <v>33</v>
      </c>
      <c r="G50" t="s">
        <v>34</v>
      </c>
      <c r="H50" s="1">
        <f>(VLOOKUP($A50,'CAPEX Manut. Estr_PPD e Taxiway'!$A$4:$O$18,15,FALSE)+VLOOKUP($A50,'CAPEX Manut. Estratégicos_Pátio'!$A$6:$O$20,15,FALSE)+VLOOKUP($A50,'CAPEX Manut. Estr_Naveg. Aérea'!$A$2:$AB$16,28,FALSE)+VLOOKUP($A50,'CAPEX Manut. Estr_Cerca Operac.'!$A$2:$F$16,6,FALSE))/3</f>
        <v>5767757.8732708171</v>
      </c>
      <c r="I50" s="1">
        <f>(VLOOKUP($A50,'CAPEX Manut. Estr_PPD e Taxiway'!$A$4:$O$18,15,FALSE)+VLOOKUP($A50,'CAPEX Manut. Estratégicos_Pátio'!$A$6:$O$20,15,FALSE)+VLOOKUP($A50,'CAPEX Manut. Estr_Naveg. Aérea'!$A$2:$AB$16,28,FALSE)+VLOOKUP($A50,'CAPEX Manut. Estr_Cerca Operac.'!$A$2:$F$16,6,FALSE))/3</f>
        <v>5767757.8732708171</v>
      </c>
      <c r="J50" s="1">
        <f>(VLOOKUP($A50,'CAPEX Manut. Estr_PPD e Taxiway'!$A$4:$O$18,15,FALSE)+VLOOKUP($A50,'CAPEX Manut. Estratégicos_Pátio'!$A$6:$O$20,15,FALSE)+VLOOKUP($A50,'CAPEX Manut. Estr_Naveg. Aérea'!$A$2:$AB$16,28,FALSE)+VLOOKUP($A50,'CAPEX Manut. Estr_Cerca Operac.'!$A$2:$F$16,6,FALSE))/3</f>
        <v>5767757.8732708171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f t="shared" si="0"/>
        <v>17303273.619812451</v>
      </c>
      <c r="AN50" t="str">
        <f>VLOOKUP(C50,'[6]CAPEX - BLOCOS PAN'!$C$3:$AN$249,38,FALSE)</f>
        <v>NE e CO</v>
      </c>
      <c r="AO50" s="3" t="s">
        <v>171</v>
      </c>
      <c r="AP50" s="3" t="s">
        <v>171</v>
      </c>
      <c r="AQ50" s="3" t="s">
        <v>171</v>
      </c>
      <c r="AR50" s="3" t="s">
        <v>171</v>
      </c>
      <c r="AS50" s="3" t="s">
        <v>171</v>
      </c>
      <c r="AT50" s="3" t="s">
        <v>171</v>
      </c>
      <c r="AU50" s="3" t="s">
        <v>171</v>
      </c>
      <c r="AV50" t="str">
        <f>VLOOKUP(C50,'FLUXO DE CAIXA DESC.-BLOCOS PAN'!$D$3:$AO$52,38,FALSE)</f>
        <v>MT - 2 - AL</v>
      </c>
    </row>
    <row r="51" spans="1:48" x14ac:dyDescent="0.35">
      <c r="A51" t="s">
        <v>156</v>
      </c>
      <c r="B51" t="str">
        <f>VLOOKUP(A51,'FLUXO DE CAIXA DESC.-BLOCOS PAN'!$A$38:$B$52,2,FALSE)</f>
        <v>SANTA ISABEL DO RIO NEGRO</v>
      </c>
      <c r="C51" t="s">
        <v>299</v>
      </c>
      <c r="D51" t="str">
        <f>VLOOKUP(A51,'CAPEX Manut. Estr_Naveg. Aérea'!$A$2:$B$38,2,FALSE)</f>
        <v>Santa Isabel do Rio Negro</v>
      </c>
      <c r="E51" t="s">
        <v>35</v>
      </c>
      <c r="F51" t="s">
        <v>33</v>
      </c>
      <c r="G51" t="s">
        <v>34</v>
      </c>
      <c r="H51" s="1">
        <f>(VLOOKUP($A51,'CAPEX Manut. Estr_PPD e Taxiway'!$A$4:$O$18,15,FALSE)+VLOOKUP($A51,'CAPEX Manut. Estratégicos_Pátio'!$A$6:$O$20,15,FALSE)+VLOOKUP($A51,'CAPEX Manut. Estr_Naveg. Aérea'!$A$2:$AB$16,28,FALSE)+VLOOKUP($A51,'CAPEX Manut. Estr_Cerca Operac.'!$A$2:$F$16,6,FALSE))/3</f>
        <v>6694041.421044006</v>
      </c>
      <c r="I51" s="1">
        <f>(VLOOKUP($A51,'CAPEX Manut. Estr_PPD e Taxiway'!$A$4:$O$18,15,FALSE)+VLOOKUP($A51,'CAPEX Manut. Estratégicos_Pátio'!$A$6:$O$20,15,FALSE)+VLOOKUP($A51,'CAPEX Manut. Estr_Naveg. Aérea'!$A$2:$AB$16,28,FALSE)+VLOOKUP($A51,'CAPEX Manut. Estr_Cerca Operac.'!$A$2:$F$16,6,FALSE))/3</f>
        <v>6694041.421044006</v>
      </c>
      <c r="J51" s="1">
        <f>(VLOOKUP($A51,'CAPEX Manut. Estr_PPD e Taxiway'!$A$4:$O$18,15,FALSE)+VLOOKUP($A51,'CAPEX Manut. Estratégicos_Pátio'!$A$6:$O$20,15,FALSE)+VLOOKUP($A51,'CAPEX Manut. Estr_Naveg. Aérea'!$A$2:$AB$16,28,FALSE)+VLOOKUP($A51,'CAPEX Manut. Estr_Cerca Operac.'!$A$2:$F$16,6,FALSE))/3</f>
        <v>6694041.421044006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f t="shared" si="0"/>
        <v>20082124.263132017</v>
      </c>
      <c r="AN51" t="str">
        <f>VLOOKUP(C51,'[6]CAPEX - BLOCOS PAN'!$C$3:$AN$249,38,FALSE)</f>
        <v>N</v>
      </c>
      <c r="AO51" s="3" t="s">
        <v>171</v>
      </c>
      <c r="AP51" s="3" t="s">
        <v>171</v>
      </c>
      <c r="AQ51" s="3" t="s">
        <v>171</v>
      </c>
      <c r="AR51" s="3" t="s">
        <v>171</v>
      </c>
      <c r="AS51" s="3" t="s">
        <v>171</v>
      </c>
      <c r="AT51" s="3" t="s">
        <v>171</v>
      </c>
      <c r="AU51" s="3" t="s">
        <v>171</v>
      </c>
      <c r="AV51" t="str">
        <f>VLOOKUP(C51,'FLUXO DE CAIXA DESC.-BLOCOS PAN'!$D$3:$AO$52,38,FALSE)</f>
        <v>AM - 2 - AL</v>
      </c>
    </row>
    <row r="52" spans="1:48" x14ac:dyDescent="0.35">
      <c r="A52" t="s">
        <v>160</v>
      </c>
      <c r="B52" t="str">
        <f>VLOOKUP(A52,'FLUXO DE CAIXA DESC.-BLOCOS PAN'!$A$38:$B$52,2,FALSE)</f>
        <v>APUÍ</v>
      </c>
      <c r="C52" t="s">
        <v>300</v>
      </c>
      <c r="D52" t="str">
        <f>VLOOKUP(A52,'CAPEX Manut. Estr_Naveg. Aérea'!$A$2:$B$38,2,FALSE)</f>
        <v>Apuí</v>
      </c>
      <c r="E52" t="s">
        <v>35</v>
      </c>
      <c r="F52" t="s">
        <v>33</v>
      </c>
      <c r="G52" t="s">
        <v>34</v>
      </c>
      <c r="H52" s="1">
        <f>(VLOOKUP($A52,'CAPEX Manut. Estr_PPD e Taxiway'!$A$4:$O$18,15,FALSE)+VLOOKUP($A52,'CAPEX Manut. Estratégicos_Pátio'!$A$6:$O$20,15,FALSE)+VLOOKUP($A52,'CAPEX Manut. Estr_Naveg. Aérea'!$A$2:$AB$16,28,FALSE)+VLOOKUP($A52,'CAPEX Manut. Estr_Cerca Operac.'!$A$2:$F$16,6,FALSE))/3</f>
        <v>5963237.7983191088</v>
      </c>
      <c r="I52" s="1">
        <f>(VLOOKUP($A52,'CAPEX Manut. Estr_PPD e Taxiway'!$A$4:$O$18,15,FALSE)+VLOOKUP($A52,'CAPEX Manut. Estratégicos_Pátio'!$A$6:$O$20,15,FALSE)+VLOOKUP($A52,'CAPEX Manut. Estr_Naveg. Aérea'!$A$2:$AB$16,28,FALSE)+VLOOKUP($A52,'CAPEX Manut. Estr_Cerca Operac.'!$A$2:$F$16,6,FALSE))/3</f>
        <v>5963237.7983191088</v>
      </c>
      <c r="J52" s="1">
        <f>(VLOOKUP($A52,'CAPEX Manut. Estr_PPD e Taxiway'!$A$4:$O$18,15,FALSE)+VLOOKUP($A52,'CAPEX Manut. Estratégicos_Pátio'!$A$6:$O$20,15,FALSE)+VLOOKUP($A52,'CAPEX Manut. Estr_Naveg. Aérea'!$A$2:$AB$16,28,FALSE)+VLOOKUP($A52,'CAPEX Manut. Estr_Cerca Operac.'!$A$2:$F$16,6,FALSE))/3</f>
        <v>5963237.7983191088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f t="shared" si="0"/>
        <v>17889713.394957326</v>
      </c>
      <c r="AN52" t="str">
        <f>VLOOKUP(C52,'[6]CAPEX - BLOCOS PAN'!$C$3:$AN$249,38,FALSE)</f>
        <v>N</v>
      </c>
      <c r="AO52" s="3" t="s">
        <v>171</v>
      </c>
      <c r="AP52" s="3" t="s">
        <v>171</v>
      </c>
      <c r="AQ52" s="3" t="s">
        <v>171</v>
      </c>
      <c r="AR52" s="3" t="s">
        <v>171</v>
      </c>
      <c r="AS52" s="3" t="s">
        <v>171</v>
      </c>
      <c r="AT52" s="3" t="s">
        <v>171</v>
      </c>
      <c r="AU52" s="3" t="s">
        <v>171</v>
      </c>
      <c r="AV52" t="str">
        <f>VLOOKUP(C52,'FLUXO DE CAIXA DESC.-BLOCOS PAN'!$D$3:$AO$52,38,FALSE)</f>
        <v>AM - 3 - AL</v>
      </c>
    </row>
    <row r="53" spans="1:48" x14ac:dyDescent="0.35">
      <c r="H53" s="69">
        <f>SUBTOTAL(109,H3:H52)</f>
        <v>688458197.82056558</v>
      </c>
      <c r="I53" s="69">
        <f>SUBTOTAL(109,I3:I52)</f>
        <v>688458197.82056558</v>
      </c>
      <c r="J53" s="69">
        <f>SUBTOTAL(109,J3:J52)</f>
        <v>688458197.82056558</v>
      </c>
      <c r="K53" s="69">
        <f>SUBTOTAL(109,K3:K52)</f>
        <v>0</v>
      </c>
      <c r="L53" s="69">
        <f>SUBTOTAL(109,L3:L52)</f>
        <v>0</v>
      </c>
      <c r="M53" s="69">
        <f>SUBTOTAL(109,M3:M52)</f>
        <v>0</v>
      </c>
      <c r="N53" s="69">
        <f>SUBTOTAL(109,N3:N52)</f>
        <v>0</v>
      </c>
      <c r="O53" s="69">
        <f>SUBTOTAL(109,O3:O52)</f>
        <v>0</v>
      </c>
      <c r="P53" s="69">
        <f>SUBTOTAL(109,P3:P52)</f>
        <v>0</v>
      </c>
      <c r="Q53" s="69">
        <f>SUBTOTAL(109,Q3:Q52)</f>
        <v>0</v>
      </c>
      <c r="R53" s="69">
        <f>SUBTOTAL(109,R3:R52)</f>
        <v>0</v>
      </c>
      <c r="S53" s="69">
        <f>SUBTOTAL(109,S3:S52)</f>
        <v>0</v>
      </c>
      <c r="T53" s="69">
        <f>SUBTOTAL(109,T3:T52)</f>
        <v>0</v>
      </c>
      <c r="U53" s="69">
        <f>SUBTOTAL(109,U3:U52)</f>
        <v>0</v>
      </c>
      <c r="V53" s="69">
        <f>SUBTOTAL(109,V3:V52)</f>
        <v>0</v>
      </c>
      <c r="W53" s="69">
        <f>SUBTOTAL(109,W3:W52)</f>
        <v>0</v>
      </c>
      <c r="X53" s="69">
        <f>SUBTOTAL(109,X3:X52)</f>
        <v>0</v>
      </c>
      <c r="Y53" s="69">
        <f>SUBTOTAL(109,Y3:Y52)</f>
        <v>0</v>
      </c>
      <c r="Z53" s="69">
        <f>SUBTOTAL(109,Z3:Z52)</f>
        <v>0</v>
      </c>
      <c r="AA53" s="69">
        <f>SUBTOTAL(109,AA3:AA52)</f>
        <v>0</v>
      </c>
      <c r="AB53" s="69">
        <f>SUBTOTAL(109,AB3:AB52)</f>
        <v>0</v>
      </c>
      <c r="AC53" s="69">
        <f>SUBTOTAL(109,AC3:AC52)</f>
        <v>0</v>
      </c>
      <c r="AD53" s="69">
        <f>SUBTOTAL(109,AD3:AD52)</f>
        <v>0</v>
      </c>
      <c r="AE53" s="69">
        <f>SUBTOTAL(109,AE3:AE52)</f>
        <v>0</v>
      </c>
      <c r="AF53" s="69">
        <f>SUBTOTAL(109,AF3:AF52)</f>
        <v>0</v>
      </c>
      <c r="AG53" s="69">
        <f>SUBTOTAL(109,AG3:AG52)</f>
        <v>0</v>
      </c>
      <c r="AH53" s="69">
        <f>SUBTOTAL(109,AH3:AH52)</f>
        <v>0</v>
      </c>
      <c r="AI53" s="69">
        <f>SUBTOTAL(109,AI3:AI52)</f>
        <v>0</v>
      </c>
      <c r="AJ53" s="69">
        <f>SUBTOTAL(109,AJ3:AJ52)</f>
        <v>0</v>
      </c>
      <c r="AK53" s="69">
        <f>SUBTOTAL(109,AK3:AK52)</f>
        <v>0</v>
      </c>
      <c r="AL53" s="69">
        <f>SUBTOTAL(109,AL3:AL52)</f>
        <v>0</v>
      </c>
      <c r="AM53" s="69">
        <f>SUBTOTAL(109,AM3:AM52)</f>
        <v>2065374593.4616964</v>
      </c>
    </row>
    <row r="54" spans="1:48" x14ac:dyDescent="0.35">
      <c r="H54" s="69">
        <f>H53</f>
        <v>688458197.82056558</v>
      </c>
      <c r="I54" s="69">
        <f>H54+I53</f>
        <v>1376916395.6411312</v>
      </c>
      <c r="J54" s="69">
        <f t="shared" ref="J54:AL54" si="3">I54+J53</f>
        <v>2065374593.4616966</v>
      </c>
      <c r="K54" s="69">
        <f t="shared" si="3"/>
        <v>2065374593.4616966</v>
      </c>
      <c r="L54" s="69">
        <f t="shared" si="3"/>
        <v>2065374593.4616966</v>
      </c>
      <c r="M54" s="69">
        <f t="shared" si="3"/>
        <v>2065374593.4616966</v>
      </c>
      <c r="N54" s="69">
        <f t="shared" si="3"/>
        <v>2065374593.4616966</v>
      </c>
      <c r="O54" s="69">
        <f t="shared" si="3"/>
        <v>2065374593.4616966</v>
      </c>
      <c r="P54" s="69">
        <f t="shared" si="3"/>
        <v>2065374593.4616966</v>
      </c>
      <c r="Q54" s="69">
        <f t="shared" si="3"/>
        <v>2065374593.4616966</v>
      </c>
      <c r="R54" s="69">
        <f t="shared" si="3"/>
        <v>2065374593.4616966</v>
      </c>
      <c r="S54" s="69">
        <f t="shared" si="3"/>
        <v>2065374593.4616966</v>
      </c>
      <c r="T54" s="69">
        <f t="shared" si="3"/>
        <v>2065374593.4616966</v>
      </c>
      <c r="U54" s="69">
        <f t="shared" si="3"/>
        <v>2065374593.4616966</v>
      </c>
      <c r="V54" s="69">
        <f t="shared" si="3"/>
        <v>2065374593.4616966</v>
      </c>
      <c r="W54" s="69">
        <f t="shared" si="3"/>
        <v>2065374593.4616966</v>
      </c>
      <c r="X54" s="69">
        <f t="shared" si="3"/>
        <v>2065374593.4616966</v>
      </c>
      <c r="Y54" s="69">
        <f t="shared" si="3"/>
        <v>2065374593.4616966</v>
      </c>
      <c r="Z54" s="69">
        <f t="shared" si="3"/>
        <v>2065374593.4616966</v>
      </c>
      <c r="AA54" s="69">
        <f t="shared" si="3"/>
        <v>2065374593.4616966</v>
      </c>
      <c r="AB54" s="69">
        <f t="shared" si="3"/>
        <v>2065374593.4616966</v>
      </c>
      <c r="AC54" s="69">
        <f t="shared" si="3"/>
        <v>2065374593.4616966</v>
      </c>
      <c r="AD54" s="69">
        <f t="shared" si="3"/>
        <v>2065374593.4616966</v>
      </c>
      <c r="AE54" s="69">
        <f t="shared" si="3"/>
        <v>2065374593.4616966</v>
      </c>
      <c r="AF54" s="69">
        <f t="shared" si="3"/>
        <v>2065374593.4616966</v>
      </c>
      <c r="AG54" s="69">
        <f t="shared" si="3"/>
        <v>2065374593.4616966</v>
      </c>
      <c r="AH54" s="69">
        <f t="shared" si="3"/>
        <v>2065374593.4616966</v>
      </c>
      <c r="AI54" s="69">
        <f t="shared" si="3"/>
        <v>2065374593.4616966</v>
      </c>
      <c r="AJ54" s="69">
        <f t="shared" si="3"/>
        <v>2065374593.4616966</v>
      </c>
      <c r="AK54" s="69">
        <f t="shared" si="3"/>
        <v>2065374593.4616966</v>
      </c>
      <c r="AL54" s="69">
        <f t="shared" si="3"/>
        <v>2065374593.4616966</v>
      </c>
    </row>
    <row r="59" spans="1:48" x14ac:dyDescent="0.35">
      <c r="A59" s="63" t="s">
        <v>354</v>
      </c>
    </row>
  </sheetData>
  <autoFilter ref="A2:AV54" xr:uid="{B8509F90-93CF-48CA-B784-D48786497B7D}"/>
  <conditionalFormatting sqref="C47:C52 C38">
    <cfRule type="duplicateValues" dxfId="19" priority="1"/>
  </conditionalFormatting>
  <conditionalFormatting sqref="C3:C37">
    <cfRule type="duplicateValues" dxfId="18" priority="288"/>
  </conditionalFormatting>
  <hyperlinks>
    <hyperlink ref="A59" location="Introdução!A1" display="Introdução!A1" xr:uid="{C94AD04E-617A-42D9-84A3-2943DAF28A68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6034-B2F3-4DF4-8B49-A70A2BCB5D68}">
  <sheetPr>
    <tabColor rgb="FF00B0F0"/>
  </sheetPr>
  <dimension ref="A1:AW59"/>
  <sheetViews>
    <sheetView topLeftCell="AI1" workbookViewId="0">
      <selection activeCell="A43" sqref="A43:XFD46"/>
    </sheetView>
  </sheetViews>
  <sheetFormatPr defaultRowHeight="14.5" x14ac:dyDescent="0.35"/>
  <cols>
    <col min="1" max="1" width="7" bestFit="1" customWidth="1"/>
    <col min="2" max="2" width="22.7265625" customWidth="1"/>
    <col min="3" max="3" width="13.1796875" bestFit="1" customWidth="1"/>
    <col min="4" max="4" width="16.54296875" customWidth="1"/>
    <col min="5" max="5" width="3.81640625" bestFit="1" customWidth="1"/>
    <col min="6" max="7" width="11.81640625" customWidth="1"/>
    <col min="8" max="8" width="19.7265625" bestFit="1" customWidth="1"/>
    <col min="9" max="9" width="19.54296875" bestFit="1" customWidth="1"/>
    <col min="10" max="38" width="19.7265625" bestFit="1" customWidth="1"/>
    <col min="39" max="39" width="19.54296875" bestFit="1" customWidth="1"/>
    <col min="40" max="40" width="22.81640625" bestFit="1" customWidth="1"/>
    <col min="41" max="41" width="10.7265625" bestFit="1" customWidth="1"/>
    <col min="42" max="42" width="11.54296875" customWidth="1"/>
    <col min="43" max="43" width="11.1796875" customWidth="1"/>
    <col min="44" max="44" width="11.1796875" bestFit="1" customWidth="1"/>
    <col min="45" max="45" width="11.26953125" customWidth="1"/>
    <col min="46" max="47" width="11.1796875" bestFit="1" customWidth="1"/>
    <col min="48" max="48" width="24.7265625" bestFit="1" customWidth="1"/>
    <col min="49" max="49" width="28.7265625" bestFit="1" customWidth="1"/>
  </cols>
  <sheetData>
    <row r="1" spans="1:4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249</v>
      </c>
      <c r="I1" s="2" t="s">
        <v>249</v>
      </c>
      <c r="J1" s="2" t="s">
        <v>249</v>
      </c>
      <c r="K1" s="2" t="s">
        <v>249</v>
      </c>
      <c r="L1" s="2" t="s">
        <v>249</v>
      </c>
      <c r="M1" s="2" t="s">
        <v>249</v>
      </c>
      <c r="N1" s="2" t="s">
        <v>249</v>
      </c>
      <c r="O1" s="2" t="s">
        <v>249</v>
      </c>
      <c r="P1" s="2" t="s">
        <v>249</v>
      </c>
      <c r="Q1" s="2" t="s">
        <v>249</v>
      </c>
      <c r="R1" s="2" t="s">
        <v>249</v>
      </c>
      <c r="S1" s="2" t="s">
        <v>249</v>
      </c>
      <c r="T1" s="2" t="s">
        <v>249</v>
      </c>
      <c r="U1" s="2" t="s">
        <v>249</v>
      </c>
      <c r="V1" s="2" t="s">
        <v>249</v>
      </c>
      <c r="W1" s="2" t="s">
        <v>249</v>
      </c>
      <c r="X1" s="2" t="s">
        <v>249</v>
      </c>
      <c r="Y1" s="2" t="s">
        <v>249</v>
      </c>
      <c r="Z1" s="2" t="s">
        <v>249</v>
      </c>
      <c r="AA1" s="2" t="s">
        <v>249</v>
      </c>
      <c r="AB1" s="2" t="s">
        <v>249</v>
      </c>
      <c r="AC1" s="2" t="s">
        <v>249</v>
      </c>
      <c r="AD1" s="2" t="s">
        <v>249</v>
      </c>
      <c r="AE1" s="2" t="s">
        <v>249</v>
      </c>
      <c r="AF1" s="2" t="s">
        <v>249</v>
      </c>
      <c r="AG1" s="2" t="s">
        <v>249</v>
      </c>
      <c r="AH1" s="2" t="s">
        <v>249</v>
      </c>
      <c r="AI1" s="2" t="s">
        <v>249</v>
      </c>
      <c r="AJ1" s="2" t="s">
        <v>249</v>
      </c>
      <c r="AK1" s="2" t="s">
        <v>249</v>
      </c>
      <c r="AL1" s="2" t="s">
        <v>249</v>
      </c>
      <c r="AM1" s="2" t="s">
        <v>249</v>
      </c>
      <c r="AN1" s="2" t="s">
        <v>364</v>
      </c>
      <c r="AO1" s="2" t="s">
        <v>11</v>
      </c>
      <c r="AP1" s="2" t="s">
        <v>12</v>
      </c>
      <c r="AQ1" s="2"/>
      <c r="AR1" s="2"/>
      <c r="AS1" s="2" t="s">
        <v>13</v>
      </c>
      <c r="AT1" s="2"/>
      <c r="AU1" s="2"/>
      <c r="AV1" s="43" t="s">
        <v>360</v>
      </c>
      <c r="AW1" s="2" t="s">
        <v>355</v>
      </c>
    </row>
    <row r="2" spans="1:49" x14ac:dyDescent="0.35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2" t="s">
        <v>14</v>
      </c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43">
        <v>31</v>
      </c>
      <c r="AM2" s="2" t="s">
        <v>250</v>
      </c>
      <c r="AN2" s="68" t="s">
        <v>361</v>
      </c>
      <c r="AO2" s="2"/>
      <c r="AP2" s="2" t="s">
        <v>26</v>
      </c>
      <c r="AQ2" s="2" t="s">
        <v>27</v>
      </c>
      <c r="AR2" s="2" t="s">
        <v>28</v>
      </c>
      <c r="AS2" s="2" t="s">
        <v>26</v>
      </c>
      <c r="AT2" s="2" t="s">
        <v>27</v>
      </c>
      <c r="AU2" s="2" t="s">
        <v>28</v>
      </c>
      <c r="AV2" s="70" t="s">
        <v>360</v>
      </c>
      <c r="AW2" s="43" t="s">
        <v>303</v>
      </c>
    </row>
    <row r="3" spans="1:49" x14ac:dyDescent="0.35">
      <c r="A3" t="s">
        <v>43</v>
      </c>
      <c r="B3" t="s">
        <v>44</v>
      </c>
      <c r="C3" t="s">
        <v>45</v>
      </c>
      <c r="D3" t="s">
        <v>44</v>
      </c>
      <c r="E3" t="s">
        <v>29</v>
      </c>
      <c r="F3" t="s">
        <v>33</v>
      </c>
      <c r="G3" t="s">
        <v>34</v>
      </c>
      <c r="H3" s="1">
        <f>(VLOOKUP(C3,'BASE PAN - CAPEX'!$C$3:$R$37,16,FALSE)+'BASE PAN - CAPEX'!BC3)*1.7</f>
        <v>26316000</v>
      </c>
      <c r="I3" s="1">
        <f>(IF('BASE PAN - CAPEX'!$S3=2024,'BASE PAN - CAPEX'!$AD3,IF('BASE PAN - CAPEX'!$AE3=2024,'BASE PAN - CAPEX'!$AP3,IF('BASE PAN - CAPEX'!$AQ3=2024,'BASE PAN - CAPEX'!$BB3,0))))*1.7</f>
        <v>0</v>
      </c>
      <c r="J3" s="1">
        <f>(IF('BASE PAN - CAPEX'!$S3=2025,'BASE PAN - CAPEX'!$AD3,IF('BASE PAN - CAPEX'!$AE3=2025,'BASE PAN - CAPEX'!$AP3,IF('BASE PAN - CAPEX'!$AQ3=2025,'BASE PAN - CAPEX'!$BB3,0))))*1.7</f>
        <v>0</v>
      </c>
      <c r="K3" s="1">
        <f>(IF('BASE PAN - CAPEX'!$S3=2026,'BASE PAN - CAPEX'!$AD3,IF('BASE PAN - CAPEX'!$AE3=2026,'BASE PAN - CAPEX'!$AP3,IF('BASE PAN - CAPEX'!$AQ3=2026,'BASE PAN - CAPEX'!$BB3,0))))*1.7</f>
        <v>0</v>
      </c>
      <c r="L3" s="1">
        <f>((IF('BASE PAN - CAPEX'!$S3=2027,'BASE PAN - CAPEX'!$AD3,IF('BASE PAN - CAPEX'!$AE3=2027,'BASE PAN - CAPEX'!$AP3,IF('BASE PAN - CAPEX'!$AQ3=2027,'BASE PAN - CAPEX'!$BB3,0))))+VLOOKUP(C3,'BASE PAN - CAPEX - 1º ANO'!$C$3:$BE$35,55,FALSE))*1.7</f>
        <v>0</v>
      </c>
      <c r="M3" s="1">
        <f>(IF('BASE PAN - CAPEX'!$S3=2028,'BASE PAN - CAPEX'!$AD3,IF('BASE PAN - CAPEX'!$AE3=2028,'BASE PAN - CAPEX'!$AP3,IF('BASE PAN - CAPEX'!$AQ3=2028,'BASE PAN - CAPEX'!$BB3,0))))*1.7</f>
        <v>0</v>
      </c>
      <c r="N3" s="1">
        <f>(IF('BASE PAN - CAPEX'!$S3=2029,'BASE PAN - CAPEX'!$AD3,IF('BASE PAN - CAPEX'!$AE3=2029,'BASE PAN - CAPEX'!$AP3,IF('BASE PAN - CAPEX'!$AQ3=2029,'BASE PAN - CAPEX'!$BB3,0))))*1.7</f>
        <v>0</v>
      </c>
      <c r="O3" s="1">
        <f>(IF('BASE PAN - CAPEX'!$S3=2030,'BASE PAN - CAPEX'!$AD3,IF('BASE PAN - CAPEX'!$AE3=2030,'BASE PAN - CAPEX'!$AP3,IF('BASE PAN - CAPEX'!$AQ3=2030,'BASE PAN - CAPEX'!$BB3,0))))*1.7</f>
        <v>0</v>
      </c>
      <c r="P3" s="1">
        <f>(IF('BASE PAN - CAPEX'!$S3=2031,'BASE PAN - CAPEX'!$AD3,IF('BASE PAN - CAPEX'!$AE3=2031,'BASE PAN - CAPEX'!$AP3,IF('BASE PAN - CAPEX'!$AQ3=2031,'BASE PAN - CAPEX'!$BB3,0))))*1.7</f>
        <v>0</v>
      </c>
      <c r="Q3" s="1">
        <f>(IF('BASE PAN - CAPEX'!$S3=2032,'BASE PAN - CAPEX'!$AD3,IF('BASE PAN - CAPEX'!$AE3=2032,'BASE PAN - CAPEX'!$AP3,IF('BASE PAN - CAPEX'!$AQ3=2032,'BASE PAN - CAPEX'!$BB3,0))))*1.7</f>
        <v>0</v>
      </c>
      <c r="R3" s="1">
        <f>(IF('BASE PAN - CAPEX'!$S3=2033,'BASE PAN - CAPEX'!$AD3,IF('BASE PAN - CAPEX'!$AE3=2033,'BASE PAN - CAPEX'!$AP3,IF('BASE PAN - CAPEX'!$AQ3=2033,'BASE PAN - CAPEX'!$BB3,0))))*1.7</f>
        <v>0</v>
      </c>
      <c r="S3" s="1">
        <f>(IF('BASE PAN - CAPEX'!$S3=2034,'BASE PAN - CAPEX'!$AD3,IF('BASE PAN - CAPEX'!$AE3=2034,'BASE PAN - CAPEX'!$AP3,IF('BASE PAN - CAPEX'!$AQ3=2034,'BASE PAN - CAPEX'!$BB3,0))))*1.7</f>
        <v>0</v>
      </c>
      <c r="T3" s="1">
        <f>(IF('BASE PAN - CAPEX'!$S3=2035,'BASE PAN - CAPEX'!$AD3,IF('BASE PAN - CAPEX'!$AE3=2035,'BASE PAN - CAPEX'!$AP3,IF('BASE PAN - CAPEX'!$AQ3=2035,'BASE PAN - CAPEX'!$BB3,0))))*1.7</f>
        <v>0</v>
      </c>
      <c r="U3" s="1">
        <f>(IF('BASE PAN - CAPEX'!$S3=2036,'BASE PAN - CAPEX'!$AD3,IF('BASE PAN - CAPEX'!$AE3=2036,'BASE PAN - CAPEX'!$AP3,IF('BASE PAN - CAPEX'!$AQ3=2036,'BASE PAN - CAPEX'!$BB3,0))))*1.7</f>
        <v>0</v>
      </c>
      <c r="V3" s="1">
        <f>((IF('BASE PAN - CAPEX'!$S3=2037,'BASE PAN - CAPEX'!$AD3,IF('BASE PAN - CAPEX'!$AE3=2037,'BASE PAN - CAPEX'!$AP3,IF('BASE PAN - CAPEX'!$AQ3=2037,'BASE PAN - CAPEX'!$BB3,0))))+VLOOKUP(C3,'BASE PAN - CAPEX - 1º ANO'!$C$3:$BG$35,57,FALSE))*1.7</f>
        <v>0</v>
      </c>
      <c r="W3" s="1">
        <f>(IF('BASE PAN - CAPEX'!$S3=2038,'BASE PAN - CAPEX'!$AD3,IF('BASE PAN - CAPEX'!$AE3=2038,'BASE PAN - CAPEX'!$AP3,IF('BASE PAN - CAPEX'!$AQ3=2038,'BASE PAN - CAPEX'!$BB3,0))))*1.7</f>
        <v>0</v>
      </c>
      <c r="X3" s="1">
        <f>(IF('BASE PAN - CAPEX'!$S3=2039,'BASE PAN - CAPEX'!$AD3,IF('BASE PAN - CAPEX'!$AE3=2039,'BASE PAN - CAPEX'!$AP3,IF('BASE PAN - CAPEX'!$AQ3=2039,'BASE PAN - CAPEX'!$BB3,0))))*1.7</f>
        <v>0</v>
      </c>
      <c r="Y3" s="1">
        <f>(IF('BASE PAN - CAPEX'!$S3=2040,'BASE PAN - CAPEX'!$AD3,IF('BASE PAN - CAPEX'!$AE3=2040,'BASE PAN - CAPEX'!$AP3,IF('BASE PAN - CAPEX'!$AQ3=2040,'BASE PAN - CAPEX'!$BB3,0))))*1.7</f>
        <v>0</v>
      </c>
      <c r="Z3" s="1">
        <f>(IF('BASE PAN - CAPEX'!$S3=2041,'BASE PAN - CAPEX'!$AD3,IF('BASE PAN - CAPEX'!$AE3=2041,'BASE PAN - CAPEX'!$AP3,IF('BASE PAN - CAPEX'!$AQ3=2041,'BASE PAN - CAPEX'!$BB3,0))))*1.7</f>
        <v>0</v>
      </c>
      <c r="AA3" s="1">
        <f>(IF('BASE PAN - CAPEX'!$S3=2042,'BASE PAN - CAPEX'!$AD3,IF('BASE PAN - CAPEX'!$AE3=2042,'BASE PAN - CAPEX'!$AP3,IF('BASE PAN - CAPEX'!$AQ3=2042,'BASE PAN - CAPEX'!$BB3,0))))*1.7</f>
        <v>0</v>
      </c>
      <c r="AB3" s="1">
        <f>(IF('BASE PAN - CAPEX'!$S3=2043,'BASE PAN - CAPEX'!$AD3,IF('BASE PAN - CAPEX'!$AE3=2043,'BASE PAN - CAPEX'!$AP3,IF('BASE PAN - CAPEX'!$AQ3=2043,'BASE PAN - CAPEX'!$BB3,0))))*1.7</f>
        <v>0</v>
      </c>
      <c r="AC3" s="1">
        <f>(IF('BASE PAN - CAPEX'!$S3=2044,'BASE PAN - CAPEX'!$AD3,IF('BASE PAN - CAPEX'!$AE3=2044,'BASE PAN - CAPEX'!$AP3,IF('BASE PAN - CAPEX'!$AQ3=2044,'BASE PAN - CAPEX'!$BB3,0))))*1.7</f>
        <v>0</v>
      </c>
      <c r="AD3" s="1">
        <f>(IF('BASE PAN - CAPEX'!$S3=2045,'BASE PAN - CAPEX'!$AD3,IF('BASE PAN - CAPEX'!$AE3=2045,'BASE PAN - CAPEX'!$AP3,IF('BASE PAN - CAPEX'!$AQ3=2045,'BASE PAN - CAPEX'!$BB3,0))))*1.7</f>
        <v>109004000</v>
      </c>
      <c r="AE3" s="1">
        <f>(IF('BASE PAN - CAPEX'!$S3=2046,'BASE PAN - CAPEX'!$AD3,IF('BASE PAN - CAPEX'!$AE3=2046,'BASE PAN - CAPEX'!$AP3,IF('BASE PAN - CAPEX'!$AQ3=2046,'BASE PAN - CAPEX'!$BB3,0))))*1.7</f>
        <v>0</v>
      </c>
      <c r="AF3" s="1">
        <f>(IF('BASE PAN - CAPEX'!$S3=2047,'BASE PAN - CAPEX'!$AD3,IF('BASE PAN - CAPEX'!$AE3=2047,'BASE PAN - CAPEX'!$AP3,IF('BASE PAN - CAPEX'!$AQ3=2047,'BASE PAN - CAPEX'!$BB3,0))))*1.7</f>
        <v>0</v>
      </c>
      <c r="AG3" s="1">
        <f>(IF('BASE PAN - CAPEX'!$S3=2048,'BASE PAN - CAPEX'!$AD3,IF('BASE PAN - CAPEX'!$AE3=2048,'BASE PAN - CAPEX'!$AP3,IF('BASE PAN - CAPEX'!$AQ3=2048,'BASE PAN - CAPEX'!$BB3,0))))*1.7</f>
        <v>0</v>
      </c>
      <c r="AH3" s="1">
        <f>(IF('BASE PAN - CAPEX'!$S3=2049,'BASE PAN - CAPEX'!$AD3,IF('BASE PAN - CAPEX'!$AE3=2049,'BASE PAN - CAPEX'!$AP3,IF('BASE PAN - CAPEX'!$AQ3=2049,'BASE PAN - CAPEX'!$BB3,0))))*1.7</f>
        <v>0</v>
      </c>
      <c r="AI3" s="1">
        <f>(IF('BASE PAN - CAPEX'!$S3=2050,'BASE PAN - CAPEX'!$AD3,IF('BASE PAN - CAPEX'!$AE3=2050,'BASE PAN - CAPEX'!$AP3,IF('BASE PAN - CAPEX'!$AQ3=2050,'BASE PAN - CAPEX'!$BB3,0))))*1.7</f>
        <v>0</v>
      </c>
      <c r="AJ3" s="1">
        <f>(IF('BASE PAN - CAPEX'!$S3=2051,'BASE PAN - CAPEX'!$AD3,IF('BASE PAN - CAPEX'!$AE3=2051,'BASE PAN - CAPEX'!$AP3,IF('BASE PAN - CAPEX'!$AQ3=2051,'BASE PAN - CAPEX'!$BB3,0))))*1.7</f>
        <v>0</v>
      </c>
      <c r="AK3" s="1">
        <f>(IF('BASE PAN - CAPEX'!$S3=2052,'BASE PAN - CAPEX'!$AD3,IF('BASE PAN - CAPEX'!$AE3=2052,'BASE PAN - CAPEX'!$AP3,IF('BASE PAN - CAPEX'!$AQ3=2052,'BASE PAN - CAPEX'!$BB3,0))))*1.7</f>
        <v>0</v>
      </c>
      <c r="AL3" s="1">
        <f>(IF('BASE PAN - CAPEX'!$S3=2053,'BASE PAN - CAPEX'!$AD3,IF('BASE PAN - CAPEX'!$AE3=2053,'BASE PAN - CAPEX'!$AP3,IF('BASE PAN - CAPEX'!$AQ3=2053,'BASE PAN - CAPEX'!$BB3,0))))*1.7</f>
        <v>0</v>
      </c>
      <c r="AM3" s="1">
        <f t="shared" ref="AM3:AM51" si="0">SUM(H3:AL3)</f>
        <v>135320000</v>
      </c>
      <c r="AN3" t="str">
        <f>VLOOKUP(C3,'[6]CAPEX - BLOCOS PAN'!$C$3:$AN$249,38,FALSE)</f>
        <v>N</v>
      </c>
      <c r="AO3" s="3">
        <v>1</v>
      </c>
      <c r="AP3" s="3" t="s">
        <v>171</v>
      </c>
      <c r="AQ3" s="3">
        <v>2045</v>
      </c>
      <c r="AR3" s="3">
        <v>2025</v>
      </c>
      <c r="AS3" s="3" t="s">
        <v>171</v>
      </c>
      <c r="AT3" s="3">
        <v>3</v>
      </c>
      <c r="AU3" s="3">
        <v>2</v>
      </c>
      <c r="AV3" t="str">
        <f>VLOOKUP(C3,'[6]CAPEX - BLOCOS PAN'!$C$3:$AV$249,46,FALSE)</f>
        <v>Privada</v>
      </c>
      <c r="AW3" t="str">
        <f>VLOOKUP(C3,'FLUXO DE CAIXA DESC.-BLOCOS PAN'!$D$3:$AO$52,38,FALSE)</f>
        <v>PA - 1 - AL</v>
      </c>
    </row>
    <row r="4" spans="1:49" x14ac:dyDescent="0.35">
      <c r="A4" t="s">
        <v>46</v>
      </c>
      <c r="B4" t="s">
        <v>47</v>
      </c>
      <c r="C4" t="s">
        <v>48</v>
      </c>
      <c r="D4" t="s">
        <v>49</v>
      </c>
      <c r="E4" t="s">
        <v>40</v>
      </c>
      <c r="F4" t="s">
        <v>33</v>
      </c>
      <c r="G4" t="s">
        <v>34</v>
      </c>
      <c r="H4" s="1">
        <f>(VLOOKUP(C4,'BASE PAN - CAPEX'!$C$3:$R$37,16,FALSE)+'BASE PAN - CAPEX'!BC4)*1.5</f>
        <v>11970000</v>
      </c>
      <c r="I4" s="1">
        <f>(IF('BASE PAN - CAPEX'!$S4=2024,'BASE PAN - CAPEX'!$AD4,IF('BASE PAN - CAPEX'!$AE4=2024,'BASE PAN - CAPEX'!$AP4,IF('BASE PAN - CAPEX'!$AQ4=2024,'BASE PAN - CAPEX'!$BB4,0))))*1.5</f>
        <v>0</v>
      </c>
      <c r="J4" s="1">
        <f>(IF('BASE PAN - CAPEX'!$S4=2025,'BASE PAN - CAPEX'!$AD4,IF('BASE PAN - CAPEX'!$AE4=2025,'BASE PAN - CAPEX'!$AP4,IF('BASE PAN - CAPEX'!$AQ4=2025,'BASE PAN - CAPEX'!$BB4,0))))*1.5</f>
        <v>0</v>
      </c>
      <c r="K4" s="1">
        <f>(IF('BASE PAN - CAPEX'!$S4=2026,'BASE PAN - CAPEX'!$AD4,IF('BASE PAN - CAPEX'!$AE4=2026,'BASE PAN - CAPEX'!$AP4,IF('BASE PAN - CAPEX'!$AQ4=2026,'BASE PAN - CAPEX'!$BB4,0))))*1.5</f>
        <v>0</v>
      </c>
      <c r="L4" s="1">
        <f>((IF('BASE PAN - CAPEX'!$S4=2027,'BASE PAN - CAPEX'!$AD4,IF('BASE PAN - CAPEX'!$AE4=2027,'BASE PAN - CAPEX'!$AP4,IF('BASE PAN - CAPEX'!$AQ4=2027,'BASE PAN - CAPEX'!$BB4,0))))+VLOOKUP(C4,'BASE PAN - CAPEX - 1º ANO'!$C$3:$BE$35,55,FALSE))*1.5</f>
        <v>562500</v>
      </c>
      <c r="M4" s="1">
        <f>(IF('BASE PAN - CAPEX'!$S4=2028,'BASE PAN - CAPEX'!$AD4,IF('BASE PAN - CAPEX'!$AE4=2028,'BASE PAN - CAPEX'!$AP4,IF('BASE PAN - CAPEX'!$AQ4=2028,'BASE PAN - CAPEX'!$BB4,0))))*1.5</f>
        <v>0</v>
      </c>
      <c r="N4" s="1">
        <f>(IF('BASE PAN - CAPEX'!$S4=2029,'BASE PAN - CAPEX'!$AD4,IF('BASE PAN - CAPEX'!$AE4=2029,'BASE PAN - CAPEX'!$AP4,IF('BASE PAN - CAPEX'!$AQ4=2029,'BASE PAN - CAPEX'!$BB4,0))))*1.5</f>
        <v>0</v>
      </c>
      <c r="O4" s="1">
        <f>(IF('BASE PAN - CAPEX'!$S4=2030,'BASE PAN - CAPEX'!$AD4,IF('BASE PAN - CAPEX'!$AE4=2030,'BASE PAN - CAPEX'!$AP4,IF('BASE PAN - CAPEX'!$AQ4=2030,'BASE PAN - CAPEX'!$BB4,0))))*1.5</f>
        <v>0</v>
      </c>
      <c r="P4" s="1">
        <f>(IF('BASE PAN - CAPEX'!$S4=2031,'BASE PAN - CAPEX'!$AD4,IF('BASE PAN - CAPEX'!$AE4=2031,'BASE PAN - CAPEX'!$AP4,IF('BASE PAN - CAPEX'!$AQ4=2031,'BASE PAN - CAPEX'!$BB4,0))))*1.5</f>
        <v>0</v>
      </c>
      <c r="Q4" s="1">
        <f>(IF('BASE PAN - CAPEX'!$S4=2032,'BASE PAN - CAPEX'!$AD4,IF('BASE PAN - CAPEX'!$AE4=2032,'BASE PAN - CAPEX'!$AP4,IF('BASE PAN - CAPEX'!$AQ4=2032,'BASE PAN - CAPEX'!$BB4,0))))*1.5</f>
        <v>0</v>
      </c>
      <c r="R4" s="1">
        <f>(IF('BASE PAN - CAPEX'!$S4=2033,'BASE PAN - CAPEX'!$AD4,IF('BASE PAN - CAPEX'!$AE4=2033,'BASE PAN - CAPEX'!$AP4,IF('BASE PAN - CAPEX'!$AQ4=2033,'BASE PAN - CAPEX'!$BB4,0))))*1.5</f>
        <v>0</v>
      </c>
      <c r="S4" s="1">
        <f>(IF('BASE PAN - CAPEX'!$S4=2034,'BASE PAN - CAPEX'!$AD4,IF('BASE PAN - CAPEX'!$AE4=2034,'BASE PAN - CAPEX'!$AP4,IF('BASE PAN - CAPEX'!$AQ4=2034,'BASE PAN - CAPEX'!$BB4,0))))*1.5</f>
        <v>0</v>
      </c>
      <c r="T4" s="1">
        <f>(IF('BASE PAN - CAPEX'!$S4=2035,'BASE PAN - CAPEX'!$AD4,IF('BASE PAN - CAPEX'!$AE4=2035,'BASE PAN - CAPEX'!$AP4,IF('BASE PAN - CAPEX'!$AQ4=2035,'BASE PAN - CAPEX'!$BB4,0))))*1.5</f>
        <v>0</v>
      </c>
      <c r="U4" s="1">
        <f>(IF('BASE PAN - CAPEX'!$S4=2036,'BASE PAN - CAPEX'!$AD4,IF('BASE PAN - CAPEX'!$AE4=2036,'BASE PAN - CAPEX'!$AP4,IF('BASE PAN - CAPEX'!$AQ4=2036,'BASE PAN - CAPEX'!$BB4,0))))*1.5</f>
        <v>0</v>
      </c>
      <c r="V4" s="1">
        <f>((IF('BASE PAN - CAPEX'!$S4=2037,'BASE PAN - CAPEX'!$AD4,IF('BASE PAN - CAPEX'!$AE4=2037,'BASE PAN - CAPEX'!$AP4,IF('BASE PAN - CAPEX'!$AQ4=2037,'BASE PAN - CAPEX'!$BB4,0))))+VLOOKUP(C3,'BASE PAN - CAPEX - 1º ANO'!$C$3:$BG$35,57,FALSE))*1.5</f>
        <v>0</v>
      </c>
      <c r="W4" s="1">
        <f>(IF('BASE PAN - CAPEX'!$S4=2038,'BASE PAN - CAPEX'!$AD4,IF('BASE PAN - CAPEX'!$AE4=2038,'BASE PAN - CAPEX'!$AP4,IF('BASE PAN - CAPEX'!$AQ4=2038,'BASE PAN - CAPEX'!$BB4,0))))*1.5</f>
        <v>0</v>
      </c>
      <c r="X4" s="1">
        <f>(IF('BASE PAN - CAPEX'!$S4=2039,'BASE PAN - CAPEX'!$AD4,IF('BASE PAN - CAPEX'!$AE4=2039,'BASE PAN - CAPEX'!$AP4,IF('BASE PAN - CAPEX'!$AQ4=2039,'BASE PAN - CAPEX'!$BB4,0))))*1.5</f>
        <v>71745000</v>
      </c>
      <c r="Y4" s="1">
        <f>(IF('BASE PAN - CAPEX'!$S4=2040,'BASE PAN - CAPEX'!$AD4,IF('BASE PAN - CAPEX'!$AE4=2040,'BASE PAN - CAPEX'!$AP4,IF('BASE PAN - CAPEX'!$AQ4=2040,'BASE PAN - CAPEX'!$BB4,0))))*1.5</f>
        <v>0</v>
      </c>
      <c r="Z4" s="1">
        <f>(IF('BASE PAN - CAPEX'!$S4=2041,'BASE PAN - CAPEX'!$AD4,IF('BASE PAN - CAPEX'!$AE4=2041,'BASE PAN - CAPEX'!$AP4,IF('BASE PAN - CAPEX'!$AQ4=2041,'BASE PAN - CAPEX'!$BB4,0))))*1.5</f>
        <v>0</v>
      </c>
      <c r="AA4" s="1">
        <f>(IF('BASE PAN - CAPEX'!$S4=2042,'BASE PAN - CAPEX'!$AD4,IF('BASE PAN - CAPEX'!$AE4=2042,'BASE PAN - CAPEX'!$AP4,IF('BASE PAN - CAPEX'!$AQ4=2042,'BASE PAN - CAPEX'!$BB4,0))))*1.5</f>
        <v>0</v>
      </c>
      <c r="AB4" s="1">
        <f>(IF('BASE PAN - CAPEX'!$S4=2043,'BASE PAN - CAPEX'!$AD4,IF('BASE PAN - CAPEX'!$AE4=2043,'BASE PAN - CAPEX'!$AP4,IF('BASE PAN - CAPEX'!$AQ4=2043,'BASE PAN - CAPEX'!$BB4,0))))*1.5</f>
        <v>0</v>
      </c>
      <c r="AC4" s="1">
        <f>(IF('BASE PAN - CAPEX'!$S4=2044,'BASE PAN - CAPEX'!$AD4,IF('BASE PAN - CAPEX'!$AE4=2044,'BASE PAN - CAPEX'!$AP4,IF('BASE PAN - CAPEX'!$AQ4=2044,'BASE PAN - CAPEX'!$BB4,0))))*1.5</f>
        <v>0</v>
      </c>
      <c r="AD4" s="1">
        <f>(IF('BASE PAN - CAPEX'!$S4=2045,'BASE PAN - CAPEX'!$AD4,IF('BASE PAN - CAPEX'!$AE4=2045,'BASE PAN - CAPEX'!$AP4,IF('BASE PAN - CAPEX'!$AQ4=2045,'BASE PAN - CAPEX'!$BB4,0))))*1.5</f>
        <v>0</v>
      </c>
      <c r="AE4" s="1">
        <f>(IF('BASE PAN - CAPEX'!$S4=2046,'BASE PAN - CAPEX'!$AD4,IF('BASE PAN - CAPEX'!$AE4=2046,'BASE PAN - CAPEX'!$AP4,IF('BASE PAN - CAPEX'!$AQ4=2046,'BASE PAN - CAPEX'!$BB4,0))))*1.5</f>
        <v>0</v>
      </c>
      <c r="AF4" s="1">
        <f>(IF('BASE PAN - CAPEX'!$S4=2047,'BASE PAN - CAPEX'!$AD4,IF('BASE PAN - CAPEX'!$AE4=2047,'BASE PAN - CAPEX'!$AP4,IF('BASE PAN - CAPEX'!$AQ4=2047,'BASE PAN - CAPEX'!$BB4,0))))*1.5</f>
        <v>0</v>
      </c>
      <c r="AG4" s="1">
        <f>(IF('BASE PAN - CAPEX'!$S4=2048,'BASE PAN - CAPEX'!$AD4,IF('BASE PAN - CAPEX'!$AE4=2048,'BASE PAN - CAPEX'!$AP4,IF('BASE PAN - CAPEX'!$AQ4=2048,'BASE PAN - CAPEX'!$BB4,0))))*1.5</f>
        <v>0</v>
      </c>
      <c r="AH4" s="1">
        <f>(IF('BASE PAN - CAPEX'!$S4=2049,'BASE PAN - CAPEX'!$AD4,IF('BASE PAN - CAPEX'!$AE4=2049,'BASE PAN - CAPEX'!$AP4,IF('BASE PAN - CAPEX'!$AQ4=2049,'BASE PAN - CAPEX'!$BB4,0))))*1.5</f>
        <v>0</v>
      </c>
      <c r="AI4" s="1">
        <f>(IF('BASE PAN - CAPEX'!$S4=2050,'BASE PAN - CAPEX'!$AD4,IF('BASE PAN - CAPEX'!$AE4=2050,'BASE PAN - CAPEX'!$AP4,IF('BASE PAN - CAPEX'!$AQ4=2050,'BASE PAN - CAPEX'!$BB4,0))))*1.5</f>
        <v>0</v>
      </c>
      <c r="AJ4" s="1">
        <f>(IF('BASE PAN - CAPEX'!$S4=2051,'BASE PAN - CAPEX'!$AD4,IF('BASE PAN - CAPEX'!$AE4=2051,'BASE PAN - CAPEX'!$AP4,IF('BASE PAN - CAPEX'!$AQ4=2051,'BASE PAN - CAPEX'!$BB4,0))))*1.5</f>
        <v>0</v>
      </c>
      <c r="AK4" s="1">
        <f>(IF('BASE PAN - CAPEX'!$S4=2052,'BASE PAN - CAPEX'!$AD4,IF('BASE PAN - CAPEX'!$AE4=2052,'BASE PAN - CAPEX'!$AP4,IF('BASE PAN - CAPEX'!$AQ4=2052,'BASE PAN - CAPEX'!$BB4,0))))*1.5</f>
        <v>0</v>
      </c>
      <c r="AL4" s="1">
        <f>(IF('BASE PAN - CAPEX'!$S4=2053,'BASE PAN - CAPEX'!$AD4,IF('BASE PAN - CAPEX'!$AE4=2053,'BASE PAN - CAPEX'!$AP4,IF('BASE PAN - CAPEX'!$AQ4=2053,'BASE PAN - CAPEX'!$BB4,0))))*1.5</f>
        <v>0</v>
      </c>
      <c r="AM4" s="1">
        <f t="shared" si="0"/>
        <v>84277500</v>
      </c>
      <c r="AN4" t="str">
        <f>VLOOKUP(C4,'[6]CAPEX - BLOCOS PAN'!$C$3:$AN$249,38,FALSE)</f>
        <v>NE e CO</v>
      </c>
      <c r="AO4" s="3">
        <v>1</v>
      </c>
      <c r="AP4" s="3" t="s">
        <v>171</v>
      </c>
      <c r="AQ4" s="3">
        <v>2039</v>
      </c>
      <c r="AR4" s="3">
        <v>2025</v>
      </c>
      <c r="AS4" s="3" t="s">
        <v>171</v>
      </c>
      <c r="AT4" s="3">
        <v>3</v>
      </c>
      <c r="AU4" s="3">
        <v>2</v>
      </c>
      <c r="AV4" t="str">
        <f>VLOOKUP(C4,'[6]CAPEX - BLOCOS PAN'!$C$3:$AV$249,46,FALSE)</f>
        <v>Privada</v>
      </c>
      <c r="AW4" t="str">
        <f>VLOOKUP(C4,'FLUXO DE CAIXA DESC.-BLOCOS PAN'!$D$3:$AO$52,38,FALSE)</f>
        <v>Bloco Nordeste</v>
      </c>
    </row>
    <row r="5" spans="1:49" x14ac:dyDescent="0.35">
      <c r="A5" t="s">
        <v>50</v>
      </c>
      <c r="B5" t="s">
        <v>51</v>
      </c>
      <c r="C5" t="s">
        <v>52</v>
      </c>
      <c r="D5" t="s">
        <v>51</v>
      </c>
      <c r="E5" t="s">
        <v>35</v>
      </c>
      <c r="F5" t="s">
        <v>33</v>
      </c>
      <c r="G5" t="s">
        <v>34</v>
      </c>
      <c r="H5" s="1">
        <f>(VLOOKUP(C5,'BASE PAN - CAPEX'!$C$3:$R$37,16,FALSE)+'BASE PAN - CAPEX'!BC5)*1.7</f>
        <v>9749500</v>
      </c>
      <c r="I5" s="1">
        <f>(IF('BASE PAN - CAPEX'!$S5=2024,'BASE PAN - CAPEX'!$AD5,IF('BASE PAN - CAPEX'!$AE5=2024,'BASE PAN - CAPEX'!$AP5,IF('BASE PAN - CAPEX'!$AQ5=2024,'BASE PAN - CAPEX'!$BB5,0))))*1.7</f>
        <v>0</v>
      </c>
      <c r="J5" s="1">
        <f>(IF('BASE PAN - CAPEX'!$S5=2025,'BASE PAN - CAPEX'!$AD5,IF('BASE PAN - CAPEX'!$AE5=2025,'BASE PAN - CAPEX'!$AP5,IF('BASE PAN - CAPEX'!$AQ5=2025,'BASE PAN - CAPEX'!$BB5,0))))*1.7</f>
        <v>0</v>
      </c>
      <c r="K5" s="1">
        <f>(IF('BASE PAN - CAPEX'!$S5=2026,'BASE PAN - CAPEX'!$AD5,IF('BASE PAN - CAPEX'!$AE5=2026,'BASE PAN - CAPEX'!$AP5,IF('BASE PAN - CAPEX'!$AQ5=2026,'BASE PAN - CAPEX'!$BB5,0))))*1.7</f>
        <v>54663500</v>
      </c>
      <c r="L5" s="1">
        <f>((IF('BASE PAN - CAPEX'!$S5=2027,'BASE PAN - CAPEX'!$AD5,IF('BASE PAN - CAPEX'!$AE5=2027,'BASE PAN - CAPEX'!$AP5,IF('BASE PAN - CAPEX'!$AQ5=2027,'BASE PAN - CAPEX'!$BB5,0))))+VLOOKUP(C5,'BASE PAN - CAPEX - 1º ANO'!$C$3:$BE$35,55,FALSE))*1.7</f>
        <v>0</v>
      </c>
      <c r="M5" s="1">
        <f>(IF('BASE PAN - CAPEX'!$S5=2028,'BASE PAN - CAPEX'!$AD5,IF('BASE PAN - CAPEX'!$AE5=2028,'BASE PAN - CAPEX'!$AP5,IF('BASE PAN - CAPEX'!$AQ5=2028,'BASE PAN - CAPEX'!$BB5,0))))*1.7</f>
        <v>0</v>
      </c>
      <c r="N5" s="1">
        <f>(IF('BASE PAN - CAPEX'!$S5=2029,'BASE PAN - CAPEX'!$AD5,IF('BASE PAN - CAPEX'!$AE5=2029,'BASE PAN - CAPEX'!$AP5,IF('BASE PAN - CAPEX'!$AQ5=2029,'BASE PAN - CAPEX'!$BB5,0))))*1.7</f>
        <v>0</v>
      </c>
      <c r="O5" s="1">
        <f>(IF('BASE PAN - CAPEX'!$S5=2030,'BASE PAN - CAPEX'!$AD5,IF('BASE PAN - CAPEX'!$AE5=2030,'BASE PAN - CAPEX'!$AP5,IF('BASE PAN - CAPEX'!$AQ5=2030,'BASE PAN - CAPEX'!$BB5,0))))*1.7</f>
        <v>0</v>
      </c>
      <c r="P5" s="1">
        <f>(IF('BASE PAN - CAPEX'!$S5=2031,'BASE PAN - CAPEX'!$AD5,IF('BASE PAN - CAPEX'!$AE5=2031,'BASE PAN - CAPEX'!$AP5,IF('BASE PAN - CAPEX'!$AQ5=2031,'BASE PAN - CAPEX'!$BB5,0))))*1.7</f>
        <v>0</v>
      </c>
      <c r="Q5" s="1">
        <f>(IF('BASE PAN - CAPEX'!$S5=2032,'BASE PAN - CAPEX'!$AD5,IF('BASE PAN - CAPEX'!$AE5=2032,'BASE PAN - CAPEX'!$AP5,IF('BASE PAN - CAPEX'!$AQ5=2032,'BASE PAN - CAPEX'!$BB5,0))))*1.7</f>
        <v>0</v>
      </c>
      <c r="R5" s="1">
        <f>(IF('BASE PAN - CAPEX'!$S5=2033,'BASE PAN - CAPEX'!$AD5,IF('BASE PAN - CAPEX'!$AE5=2033,'BASE PAN - CAPEX'!$AP5,IF('BASE PAN - CAPEX'!$AQ5=2033,'BASE PAN - CAPEX'!$BB5,0))))*1.7</f>
        <v>0</v>
      </c>
      <c r="S5" s="1">
        <f>(IF('BASE PAN - CAPEX'!$S5=2034,'BASE PAN - CAPEX'!$AD5,IF('BASE PAN - CAPEX'!$AE5=2034,'BASE PAN - CAPEX'!$AP5,IF('BASE PAN - CAPEX'!$AQ5=2034,'BASE PAN - CAPEX'!$BB5,0))))*1.7</f>
        <v>0</v>
      </c>
      <c r="T5" s="1">
        <f>(IF('BASE PAN - CAPEX'!$S5=2035,'BASE PAN - CAPEX'!$AD5,IF('BASE PAN - CAPEX'!$AE5=2035,'BASE PAN - CAPEX'!$AP5,IF('BASE PAN - CAPEX'!$AQ5=2035,'BASE PAN - CAPEX'!$BB5,0))))*1.7</f>
        <v>0</v>
      </c>
      <c r="U5" s="1">
        <f>(IF('BASE PAN - CAPEX'!$S5=2036,'BASE PAN - CAPEX'!$AD5,IF('BASE PAN - CAPEX'!$AE5=2036,'BASE PAN - CAPEX'!$AP5,IF('BASE PAN - CAPEX'!$AQ5=2036,'BASE PAN - CAPEX'!$BB5,0))))*1.7</f>
        <v>0</v>
      </c>
      <c r="V5" s="1">
        <f>((IF('BASE PAN - CAPEX'!$S5=2037,'BASE PAN - CAPEX'!$AD5,IF('BASE PAN - CAPEX'!$AE5=2037,'BASE PAN - CAPEX'!$AP5,IF('BASE PAN - CAPEX'!$AQ5=2037,'BASE PAN - CAPEX'!$BB5,0))))+VLOOKUP(C5,'BASE PAN - CAPEX - 1º ANO'!$C$3:$BG$35,57,FALSE))*1.7</f>
        <v>0</v>
      </c>
      <c r="W5" s="1">
        <f>(IF('BASE PAN - CAPEX'!$S5=2038,'BASE PAN - CAPEX'!$AD5,IF('BASE PAN - CAPEX'!$AE5=2038,'BASE PAN - CAPEX'!$AP5,IF('BASE PAN - CAPEX'!$AQ5=2038,'BASE PAN - CAPEX'!$BB5,0))))*1.7</f>
        <v>0</v>
      </c>
      <c r="X5" s="1">
        <f>(IF('BASE PAN - CAPEX'!$S5=2039,'BASE PAN - CAPEX'!$AD5,IF('BASE PAN - CAPEX'!$AE5=2039,'BASE PAN - CAPEX'!$AP5,IF('BASE PAN - CAPEX'!$AQ5=2039,'BASE PAN - CAPEX'!$BB5,0))))*1.7</f>
        <v>0</v>
      </c>
      <c r="Y5" s="1">
        <f>(IF('BASE PAN - CAPEX'!$S5=2040,'BASE PAN - CAPEX'!$AD5,IF('BASE PAN - CAPEX'!$AE5=2040,'BASE PAN - CAPEX'!$AP5,IF('BASE PAN - CAPEX'!$AQ5=2040,'BASE PAN - CAPEX'!$BB5,0))))*1.7</f>
        <v>0</v>
      </c>
      <c r="Z5" s="1">
        <f>(IF('BASE PAN - CAPEX'!$S5=2041,'BASE PAN - CAPEX'!$AD5,IF('BASE PAN - CAPEX'!$AE5=2041,'BASE PAN - CAPEX'!$AP5,IF('BASE PAN - CAPEX'!$AQ5=2041,'BASE PAN - CAPEX'!$BB5,0))))*1.7</f>
        <v>0</v>
      </c>
      <c r="AA5" s="1">
        <f>(IF('BASE PAN - CAPEX'!$S5=2042,'BASE PAN - CAPEX'!$AD5,IF('BASE PAN - CAPEX'!$AE5=2042,'BASE PAN - CAPEX'!$AP5,IF('BASE PAN - CAPEX'!$AQ5=2042,'BASE PAN - CAPEX'!$BB5,0))))*1.7</f>
        <v>0</v>
      </c>
      <c r="AB5" s="1">
        <f>(IF('BASE PAN - CAPEX'!$S5=2043,'BASE PAN - CAPEX'!$AD5,IF('BASE PAN - CAPEX'!$AE5=2043,'BASE PAN - CAPEX'!$AP5,IF('BASE PAN - CAPEX'!$AQ5=2043,'BASE PAN - CAPEX'!$BB5,0))))*1.7</f>
        <v>0</v>
      </c>
      <c r="AC5" s="1">
        <f>(IF('BASE PAN - CAPEX'!$S5=2044,'BASE PAN - CAPEX'!$AD5,IF('BASE PAN - CAPEX'!$AE5=2044,'BASE PAN - CAPEX'!$AP5,IF('BASE PAN - CAPEX'!$AQ5=2044,'BASE PAN - CAPEX'!$BB5,0))))*1.7</f>
        <v>0</v>
      </c>
      <c r="AD5" s="1">
        <f>(IF('BASE PAN - CAPEX'!$S5=2045,'BASE PAN - CAPEX'!$AD5,IF('BASE PAN - CAPEX'!$AE5=2045,'BASE PAN - CAPEX'!$AP5,IF('BASE PAN - CAPEX'!$AQ5=2045,'BASE PAN - CAPEX'!$BB5,0))))*1.7</f>
        <v>0</v>
      </c>
      <c r="AE5" s="1">
        <f>(IF('BASE PAN - CAPEX'!$S5=2046,'BASE PAN - CAPEX'!$AD5,IF('BASE PAN - CAPEX'!$AE5=2046,'BASE PAN - CAPEX'!$AP5,IF('BASE PAN - CAPEX'!$AQ5=2046,'BASE PAN - CAPEX'!$BB5,0))))*1.7</f>
        <v>0</v>
      </c>
      <c r="AF5" s="1">
        <f>(IF('BASE PAN - CAPEX'!$S5=2047,'BASE PAN - CAPEX'!$AD5,IF('BASE PAN - CAPEX'!$AE5=2047,'BASE PAN - CAPEX'!$AP5,IF('BASE PAN - CAPEX'!$AQ5=2047,'BASE PAN - CAPEX'!$BB5,0))))*1.7</f>
        <v>0</v>
      </c>
      <c r="AG5" s="1">
        <f>(IF('BASE PAN - CAPEX'!$S5=2048,'BASE PAN - CAPEX'!$AD5,IF('BASE PAN - CAPEX'!$AE5=2048,'BASE PAN - CAPEX'!$AP5,IF('BASE PAN - CAPEX'!$AQ5=2048,'BASE PAN - CAPEX'!$BB5,0))))*1.7</f>
        <v>0</v>
      </c>
      <c r="AH5" s="1">
        <f>(IF('BASE PAN - CAPEX'!$S5=2049,'BASE PAN - CAPEX'!$AD5,IF('BASE PAN - CAPEX'!$AE5=2049,'BASE PAN - CAPEX'!$AP5,IF('BASE PAN - CAPEX'!$AQ5=2049,'BASE PAN - CAPEX'!$BB5,0))))*1.7</f>
        <v>0</v>
      </c>
      <c r="AI5" s="1">
        <f>(IF('BASE PAN - CAPEX'!$S5=2050,'BASE PAN - CAPEX'!$AD5,IF('BASE PAN - CAPEX'!$AE5=2050,'BASE PAN - CAPEX'!$AP5,IF('BASE PAN - CAPEX'!$AQ5=2050,'BASE PAN - CAPEX'!$BB5,0))))*1.7</f>
        <v>0</v>
      </c>
      <c r="AJ5" s="1">
        <f>(IF('BASE PAN - CAPEX'!$S5=2051,'BASE PAN - CAPEX'!$AD5,IF('BASE PAN - CAPEX'!$AE5=2051,'BASE PAN - CAPEX'!$AP5,IF('BASE PAN - CAPEX'!$AQ5=2051,'BASE PAN - CAPEX'!$BB5,0))))*1.7</f>
        <v>0</v>
      </c>
      <c r="AK5" s="1">
        <f>(IF('BASE PAN - CAPEX'!$S5=2052,'BASE PAN - CAPEX'!$AD5,IF('BASE PAN - CAPEX'!$AE5=2052,'BASE PAN - CAPEX'!$AP5,IF('BASE PAN - CAPEX'!$AQ5=2052,'BASE PAN - CAPEX'!$BB5,0))))*1.7</f>
        <v>0</v>
      </c>
      <c r="AL5" s="1">
        <f>(IF('BASE PAN - CAPEX'!$S5=2053,'BASE PAN - CAPEX'!$AD5,IF('BASE PAN - CAPEX'!$AE5=2053,'BASE PAN - CAPEX'!$AP5,IF('BASE PAN - CAPEX'!$AQ5=2053,'BASE PAN - CAPEX'!$BB5,0))))*1.7</f>
        <v>0</v>
      </c>
      <c r="AM5" s="1">
        <f t="shared" si="0"/>
        <v>64413000</v>
      </c>
      <c r="AN5" t="str">
        <f>VLOOKUP(C5,'[6]CAPEX - BLOCOS PAN'!$C$3:$AN$249,38,FALSE)</f>
        <v>N</v>
      </c>
      <c r="AO5" s="3">
        <v>0</v>
      </c>
      <c r="AP5" s="3" t="s">
        <v>171</v>
      </c>
      <c r="AQ5" s="3" t="s">
        <v>171</v>
      </c>
      <c r="AR5" s="3">
        <v>2026</v>
      </c>
      <c r="AS5" s="3" t="s">
        <v>171</v>
      </c>
      <c r="AT5" s="3" t="s">
        <v>171</v>
      </c>
      <c r="AU5" s="3">
        <v>1</v>
      </c>
      <c r="AV5" t="str">
        <f>VLOOKUP(C5,'[6]CAPEX - BLOCOS PAN'!$C$3:$AV$249,46,FALSE)</f>
        <v>Privada</v>
      </c>
      <c r="AW5" t="str">
        <f>VLOOKUP(C5,'FLUXO DE CAIXA DESC.-BLOCOS PAN'!$D$3:$AO$52,38,FALSE)</f>
        <v>AM - 2 - AL</v>
      </c>
    </row>
    <row r="6" spans="1:49" x14ac:dyDescent="0.35">
      <c r="A6" t="s">
        <v>54</v>
      </c>
      <c r="B6" t="s">
        <v>55</v>
      </c>
      <c r="C6" t="s">
        <v>56</v>
      </c>
      <c r="D6" t="s">
        <v>55</v>
      </c>
      <c r="E6" t="s">
        <v>30</v>
      </c>
      <c r="F6" t="s">
        <v>33</v>
      </c>
      <c r="G6" t="s">
        <v>34</v>
      </c>
      <c r="H6" s="1">
        <f>(VLOOKUP(C6,'BASE PAN - CAPEX'!$C$3:$R$37,16,FALSE)+'BASE PAN - CAPEX'!BC6)*1.7</f>
        <v>70550000</v>
      </c>
      <c r="I6" s="1">
        <f>(IF('BASE PAN - CAPEX'!$S6=2024,'BASE PAN - CAPEX'!$AD6,IF('BASE PAN - CAPEX'!$AE6=2024,'BASE PAN - CAPEX'!$AP6,IF('BASE PAN - CAPEX'!$AQ6=2024,'BASE PAN - CAPEX'!$BB6,0))))*1.7</f>
        <v>0</v>
      </c>
      <c r="J6" s="1">
        <f>(IF('BASE PAN - CAPEX'!$S6=2025,'BASE PAN - CAPEX'!$AD6,IF('BASE PAN - CAPEX'!$AE6=2025,'BASE PAN - CAPEX'!$AP6,IF('BASE PAN - CAPEX'!$AQ6=2025,'BASE PAN - CAPEX'!$BB6,0))))*1.7</f>
        <v>0</v>
      </c>
      <c r="K6" s="1">
        <f>(IF('BASE PAN - CAPEX'!$S6=2026,'BASE PAN - CAPEX'!$AD6,IF('BASE PAN - CAPEX'!$AE6=2026,'BASE PAN - CAPEX'!$AP6,IF('BASE PAN - CAPEX'!$AQ6=2026,'BASE PAN - CAPEX'!$BB6,0))))*1.7</f>
        <v>0</v>
      </c>
      <c r="L6" s="1">
        <f>((IF('BASE PAN - CAPEX'!$S6=2027,'BASE PAN - CAPEX'!$AD6,IF('BASE PAN - CAPEX'!$AE6=2027,'BASE PAN - CAPEX'!$AP6,IF('BASE PAN - CAPEX'!$AQ6=2027,'BASE PAN - CAPEX'!$BB6,0))))+VLOOKUP(C6,'BASE PAN - CAPEX - 1º ANO'!$C$3:$BE$35,55,FALSE))*1.7</f>
        <v>493000</v>
      </c>
      <c r="M6" s="1">
        <f>(IF('BASE PAN - CAPEX'!$S6=2028,'BASE PAN - CAPEX'!$AD6,IF('BASE PAN - CAPEX'!$AE6=2028,'BASE PAN - CAPEX'!$AP6,IF('BASE PAN - CAPEX'!$AQ6=2028,'BASE PAN - CAPEX'!$BB6,0))))*1.7</f>
        <v>0</v>
      </c>
      <c r="N6" s="1">
        <f>(IF('BASE PAN - CAPEX'!$S6=2029,'BASE PAN - CAPEX'!$AD6,IF('BASE PAN - CAPEX'!$AE6=2029,'BASE PAN - CAPEX'!$AP6,IF('BASE PAN - CAPEX'!$AQ6=2029,'BASE PAN - CAPEX'!$BB6,0))))*1.7</f>
        <v>0</v>
      </c>
      <c r="O6" s="1">
        <f>(IF('BASE PAN - CAPEX'!$S6=2030,'BASE PAN - CAPEX'!$AD6,IF('BASE PAN - CAPEX'!$AE6=2030,'BASE PAN - CAPEX'!$AP6,IF('BASE PAN - CAPEX'!$AQ6=2030,'BASE PAN - CAPEX'!$BB6,0))))*1.7</f>
        <v>0</v>
      </c>
      <c r="P6" s="1">
        <f>(IF('BASE PAN - CAPEX'!$S6=2031,'BASE PAN - CAPEX'!$AD6,IF('BASE PAN - CAPEX'!$AE6=2031,'BASE PAN - CAPEX'!$AP6,IF('BASE PAN - CAPEX'!$AQ6=2031,'BASE PAN - CAPEX'!$BB6,0))))*1.7</f>
        <v>0</v>
      </c>
      <c r="Q6" s="1">
        <f>(IF('BASE PAN - CAPEX'!$S6=2032,'BASE PAN - CAPEX'!$AD6,IF('BASE PAN - CAPEX'!$AE6=2032,'BASE PAN - CAPEX'!$AP6,IF('BASE PAN - CAPEX'!$AQ6=2032,'BASE PAN - CAPEX'!$BB6,0))))*1.7</f>
        <v>0</v>
      </c>
      <c r="R6" s="1">
        <f>(IF('BASE PAN - CAPEX'!$S6=2033,'BASE PAN - CAPEX'!$AD6,IF('BASE PAN - CAPEX'!$AE6=2033,'BASE PAN - CAPEX'!$AP6,IF('BASE PAN - CAPEX'!$AQ6=2033,'BASE PAN - CAPEX'!$BB6,0))))*1.7</f>
        <v>0</v>
      </c>
      <c r="S6" s="1">
        <f>(IF('BASE PAN - CAPEX'!$S6=2034,'BASE PAN - CAPEX'!$AD6,IF('BASE PAN - CAPEX'!$AE6=2034,'BASE PAN - CAPEX'!$AP6,IF('BASE PAN - CAPEX'!$AQ6=2034,'BASE PAN - CAPEX'!$BB6,0))))*1.7</f>
        <v>0</v>
      </c>
      <c r="T6" s="1">
        <f>(IF('BASE PAN - CAPEX'!$S6=2035,'BASE PAN - CAPEX'!$AD6,IF('BASE PAN - CAPEX'!$AE6=2035,'BASE PAN - CAPEX'!$AP6,IF('BASE PAN - CAPEX'!$AQ6=2035,'BASE PAN - CAPEX'!$BB6,0))))*1.7</f>
        <v>0</v>
      </c>
      <c r="U6" s="1">
        <f>(IF('BASE PAN - CAPEX'!$S6=2036,'BASE PAN - CAPEX'!$AD6,IF('BASE PAN - CAPEX'!$AE6=2036,'BASE PAN - CAPEX'!$AP6,IF('BASE PAN - CAPEX'!$AQ6=2036,'BASE PAN - CAPEX'!$BB6,0))))*1.7</f>
        <v>0</v>
      </c>
      <c r="V6" s="1">
        <f>((IF('BASE PAN - CAPEX'!$S6=2037,'BASE PAN - CAPEX'!$AD6,IF('BASE PAN - CAPEX'!$AE6=2037,'BASE PAN - CAPEX'!$AP6,IF('BASE PAN - CAPEX'!$AQ6=2037,'BASE PAN - CAPEX'!$BB6,0))))+VLOOKUP(C6,'BASE PAN - CAPEX - 1º ANO'!$C$3:$BG$35,57,FALSE))*1.7</f>
        <v>0</v>
      </c>
      <c r="W6" s="1">
        <f>(IF('BASE PAN - CAPEX'!$S6=2038,'BASE PAN - CAPEX'!$AD6,IF('BASE PAN - CAPEX'!$AE6=2038,'BASE PAN - CAPEX'!$AP6,IF('BASE PAN - CAPEX'!$AQ6=2038,'BASE PAN - CAPEX'!$BB6,0))))*1.7</f>
        <v>0</v>
      </c>
      <c r="X6" s="1">
        <f>(IF('BASE PAN - CAPEX'!$S6=2039,'BASE PAN - CAPEX'!$AD6,IF('BASE PAN - CAPEX'!$AE6=2039,'BASE PAN - CAPEX'!$AP6,IF('BASE PAN - CAPEX'!$AQ6=2039,'BASE PAN - CAPEX'!$BB6,0))))*1.7</f>
        <v>0</v>
      </c>
      <c r="Y6" s="1">
        <f>(IF('BASE PAN - CAPEX'!$S6=2040,'BASE PAN - CAPEX'!$AD6,IF('BASE PAN - CAPEX'!$AE6=2040,'BASE PAN - CAPEX'!$AP6,IF('BASE PAN - CAPEX'!$AQ6=2040,'BASE PAN - CAPEX'!$BB6,0))))*1.7</f>
        <v>0</v>
      </c>
      <c r="Z6" s="1">
        <f>(IF('BASE PAN - CAPEX'!$S6=2041,'BASE PAN - CAPEX'!$AD6,IF('BASE PAN - CAPEX'!$AE6=2041,'BASE PAN - CAPEX'!$AP6,IF('BASE PAN - CAPEX'!$AQ6=2041,'BASE PAN - CAPEX'!$BB6,0))))*1.7</f>
        <v>0</v>
      </c>
      <c r="AA6" s="1">
        <f>(IF('BASE PAN - CAPEX'!$S6=2042,'BASE PAN - CAPEX'!$AD6,IF('BASE PAN - CAPEX'!$AE6=2042,'BASE PAN - CAPEX'!$AP6,IF('BASE PAN - CAPEX'!$AQ6=2042,'BASE PAN - CAPEX'!$BB6,0))))*1.7</f>
        <v>0</v>
      </c>
      <c r="AB6" s="1">
        <f>(IF('BASE PAN - CAPEX'!$S6=2043,'BASE PAN - CAPEX'!$AD6,IF('BASE PAN - CAPEX'!$AE6=2043,'BASE PAN - CAPEX'!$AP6,IF('BASE PAN - CAPEX'!$AQ6=2043,'BASE PAN - CAPEX'!$BB6,0))))*1.7</f>
        <v>0</v>
      </c>
      <c r="AC6" s="1">
        <f>(IF('BASE PAN - CAPEX'!$S6=2044,'BASE PAN - CAPEX'!$AD6,IF('BASE PAN - CAPEX'!$AE6=2044,'BASE PAN - CAPEX'!$AP6,IF('BASE PAN - CAPEX'!$AQ6=2044,'BASE PAN - CAPEX'!$BB6,0))))*1.7</f>
        <v>0</v>
      </c>
      <c r="AD6" s="1">
        <f>(IF('BASE PAN - CAPEX'!$S6=2045,'BASE PAN - CAPEX'!$AD6,IF('BASE PAN - CAPEX'!$AE6=2045,'BASE PAN - CAPEX'!$AP6,IF('BASE PAN - CAPEX'!$AQ6=2045,'BASE PAN - CAPEX'!$BB6,0))))*1.7</f>
        <v>0</v>
      </c>
      <c r="AE6" s="1">
        <f>(IF('BASE PAN - CAPEX'!$S6=2046,'BASE PAN - CAPEX'!$AD6,IF('BASE PAN - CAPEX'!$AE6=2046,'BASE PAN - CAPEX'!$AP6,IF('BASE PAN - CAPEX'!$AQ6=2046,'BASE PAN - CAPEX'!$BB6,0))))*1.7</f>
        <v>0</v>
      </c>
      <c r="AF6" s="1">
        <f>(IF('BASE PAN - CAPEX'!$S6=2047,'BASE PAN - CAPEX'!$AD6,IF('BASE PAN - CAPEX'!$AE6=2047,'BASE PAN - CAPEX'!$AP6,IF('BASE PAN - CAPEX'!$AQ6=2047,'BASE PAN - CAPEX'!$BB6,0))))*1.7</f>
        <v>0</v>
      </c>
      <c r="AG6" s="1">
        <f>(IF('BASE PAN - CAPEX'!$S6=2048,'BASE PAN - CAPEX'!$AD6,IF('BASE PAN - CAPEX'!$AE6=2048,'BASE PAN - CAPEX'!$AP6,IF('BASE PAN - CAPEX'!$AQ6=2048,'BASE PAN - CAPEX'!$BB6,0))))*1.7</f>
        <v>0</v>
      </c>
      <c r="AH6" s="1">
        <f>(IF('BASE PAN - CAPEX'!$S6=2049,'BASE PAN - CAPEX'!$AD6,IF('BASE PAN - CAPEX'!$AE6=2049,'BASE PAN - CAPEX'!$AP6,IF('BASE PAN - CAPEX'!$AQ6=2049,'BASE PAN - CAPEX'!$BB6,0))))*1.7</f>
        <v>0</v>
      </c>
      <c r="AI6" s="1">
        <f>(IF('BASE PAN - CAPEX'!$S6=2050,'BASE PAN - CAPEX'!$AD6,IF('BASE PAN - CAPEX'!$AE6=2050,'BASE PAN - CAPEX'!$AP6,IF('BASE PAN - CAPEX'!$AQ6=2050,'BASE PAN - CAPEX'!$BB6,0))))*1.7</f>
        <v>0</v>
      </c>
      <c r="AJ6" s="1">
        <f>(IF('BASE PAN - CAPEX'!$S6=2051,'BASE PAN - CAPEX'!$AD6,IF('BASE PAN - CAPEX'!$AE6=2051,'BASE PAN - CAPEX'!$AP6,IF('BASE PAN - CAPEX'!$AQ6=2051,'BASE PAN - CAPEX'!$BB6,0))))*1.7</f>
        <v>0</v>
      </c>
      <c r="AK6" s="1">
        <f>(IF('BASE PAN - CAPEX'!$S6=2052,'BASE PAN - CAPEX'!$AD6,IF('BASE PAN - CAPEX'!$AE6=2052,'BASE PAN - CAPEX'!$AP6,IF('BASE PAN - CAPEX'!$AQ6=2052,'BASE PAN - CAPEX'!$BB6,0))))*1.7</f>
        <v>0</v>
      </c>
      <c r="AL6" s="1">
        <f>(IF('BASE PAN - CAPEX'!$S6=2053,'BASE PAN - CAPEX'!$AD6,IF('BASE PAN - CAPEX'!$AE6=2053,'BASE PAN - CAPEX'!$AP6,IF('BASE PAN - CAPEX'!$AQ6=2053,'BASE PAN - CAPEX'!$BB6,0))))*1.7</f>
        <v>0</v>
      </c>
      <c r="AM6" s="1">
        <f t="shared" si="0"/>
        <v>71043000</v>
      </c>
      <c r="AN6" t="str">
        <f>VLOOKUP(C6,'[6]CAPEX - BLOCOS PAN'!$C$3:$AN$249,38,FALSE)</f>
        <v>N</v>
      </c>
      <c r="AO6" s="3">
        <v>1</v>
      </c>
      <c r="AP6" s="3" t="s">
        <v>171</v>
      </c>
      <c r="AQ6" s="3" t="s">
        <v>171</v>
      </c>
      <c r="AR6" s="3">
        <v>2038</v>
      </c>
      <c r="AS6" s="3" t="s">
        <v>171</v>
      </c>
      <c r="AT6" s="3" t="s">
        <v>171</v>
      </c>
      <c r="AU6" s="3">
        <v>2</v>
      </c>
      <c r="AV6" t="str">
        <f>VLOOKUP(C6,'[6]CAPEX - BLOCOS PAN'!$C$3:$AV$249,46,FALSE)</f>
        <v>Privada</v>
      </c>
      <c r="AW6" t="str">
        <f>VLOOKUP(C6,'FLUXO DE CAIXA DESC.-BLOCOS PAN'!$D$3:$AO$52,38,FALSE)</f>
        <v>RO - 1 - AL</v>
      </c>
    </row>
    <row r="7" spans="1:49" x14ac:dyDescent="0.35">
      <c r="A7" t="s">
        <v>57</v>
      </c>
      <c r="B7" t="s">
        <v>58</v>
      </c>
      <c r="C7" t="s">
        <v>59</v>
      </c>
      <c r="D7" t="s">
        <v>58</v>
      </c>
      <c r="E7" t="s">
        <v>35</v>
      </c>
      <c r="F7" t="s">
        <v>33</v>
      </c>
      <c r="G7" t="s">
        <v>34</v>
      </c>
      <c r="H7" s="1">
        <f>(VLOOKUP(C7,'BASE PAN - CAPEX'!$C$3:$R$37,16,FALSE)+'BASE PAN - CAPEX'!BC7)*1.7</f>
        <v>128775000</v>
      </c>
      <c r="I7" s="1">
        <f>(IF('BASE PAN - CAPEX'!$S7=2024,'BASE PAN - CAPEX'!$AD7,IF('BASE PAN - CAPEX'!$AE7=2024,'BASE PAN - CAPEX'!$AP7,IF('BASE PAN - CAPEX'!$AQ7=2024,'BASE PAN - CAPEX'!$BB7,0))))*1.7</f>
        <v>0</v>
      </c>
      <c r="J7" s="1">
        <f>(IF('BASE PAN - CAPEX'!$S7=2025,'BASE PAN - CAPEX'!$AD7,IF('BASE PAN - CAPEX'!$AE7=2025,'BASE PAN - CAPEX'!$AP7,IF('BASE PAN - CAPEX'!$AQ7=2025,'BASE PAN - CAPEX'!$BB7,0))))*1.7</f>
        <v>0</v>
      </c>
      <c r="K7" s="1">
        <f>(IF('BASE PAN - CAPEX'!$S7=2026,'BASE PAN - CAPEX'!$AD7,IF('BASE PAN - CAPEX'!$AE7=2026,'BASE PAN - CAPEX'!$AP7,IF('BASE PAN - CAPEX'!$AQ7=2026,'BASE PAN - CAPEX'!$BB7,0))))*1.7</f>
        <v>0</v>
      </c>
      <c r="L7" s="1">
        <f>((IF('BASE PAN - CAPEX'!$S7=2027,'BASE PAN - CAPEX'!$AD7,IF('BASE PAN - CAPEX'!$AE7=2027,'BASE PAN - CAPEX'!$AP7,IF('BASE PAN - CAPEX'!$AQ7=2027,'BASE PAN - CAPEX'!$BB7,0))))+VLOOKUP(C7,'BASE PAN - CAPEX - 1º ANO'!$C$3:$BE$35,55,FALSE))*1.7</f>
        <v>0</v>
      </c>
      <c r="M7" s="1">
        <f>(IF('BASE PAN - CAPEX'!$S7=2028,'BASE PAN - CAPEX'!$AD7,IF('BASE PAN - CAPEX'!$AE7=2028,'BASE PAN - CAPEX'!$AP7,IF('BASE PAN - CAPEX'!$AQ7=2028,'BASE PAN - CAPEX'!$BB7,0))))*1.7</f>
        <v>0</v>
      </c>
      <c r="N7" s="1">
        <f>(IF('BASE PAN - CAPEX'!$S7=2029,'BASE PAN - CAPEX'!$AD7,IF('BASE PAN - CAPEX'!$AE7=2029,'BASE PAN - CAPEX'!$AP7,IF('BASE PAN - CAPEX'!$AQ7=2029,'BASE PAN - CAPEX'!$BB7,0))))*1.7</f>
        <v>0</v>
      </c>
      <c r="O7" s="1">
        <f>(IF('BASE PAN - CAPEX'!$S7=2030,'BASE PAN - CAPEX'!$AD7,IF('BASE PAN - CAPEX'!$AE7=2030,'BASE PAN - CAPEX'!$AP7,IF('BASE PAN - CAPEX'!$AQ7=2030,'BASE PAN - CAPEX'!$BB7,0))))*1.7</f>
        <v>0</v>
      </c>
      <c r="P7" s="1">
        <f>(IF('BASE PAN - CAPEX'!$S7=2031,'BASE PAN - CAPEX'!$AD7,IF('BASE PAN - CAPEX'!$AE7=2031,'BASE PAN - CAPEX'!$AP7,IF('BASE PAN - CAPEX'!$AQ7=2031,'BASE PAN - CAPEX'!$BB7,0))))*1.7</f>
        <v>0</v>
      </c>
      <c r="Q7" s="1">
        <f>(IF('BASE PAN - CAPEX'!$S7=2032,'BASE PAN - CAPEX'!$AD7,IF('BASE PAN - CAPEX'!$AE7=2032,'BASE PAN - CAPEX'!$AP7,IF('BASE PAN - CAPEX'!$AQ7=2032,'BASE PAN - CAPEX'!$BB7,0))))*1.7</f>
        <v>0</v>
      </c>
      <c r="R7" s="1">
        <f>(IF('BASE PAN - CAPEX'!$S7=2033,'BASE PAN - CAPEX'!$AD7,IF('BASE PAN - CAPEX'!$AE7=2033,'BASE PAN - CAPEX'!$AP7,IF('BASE PAN - CAPEX'!$AQ7=2033,'BASE PAN - CAPEX'!$BB7,0))))*1.7</f>
        <v>0</v>
      </c>
      <c r="S7" s="1">
        <f>(IF('BASE PAN - CAPEX'!$S7=2034,'BASE PAN - CAPEX'!$AD7,IF('BASE PAN - CAPEX'!$AE7=2034,'BASE PAN - CAPEX'!$AP7,IF('BASE PAN - CAPEX'!$AQ7=2034,'BASE PAN - CAPEX'!$BB7,0))))*1.7</f>
        <v>0</v>
      </c>
      <c r="T7" s="1">
        <f>(IF('BASE PAN - CAPEX'!$S7=2035,'BASE PAN - CAPEX'!$AD7,IF('BASE PAN - CAPEX'!$AE7=2035,'BASE PAN - CAPEX'!$AP7,IF('BASE PAN - CAPEX'!$AQ7=2035,'BASE PAN - CAPEX'!$BB7,0))))*1.7</f>
        <v>0</v>
      </c>
      <c r="U7" s="1">
        <f>(IF('BASE PAN - CAPEX'!$S7=2036,'BASE PAN - CAPEX'!$AD7,IF('BASE PAN - CAPEX'!$AE7=2036,'BASE PAN - CAPEX'!$AP7,IF('BASE PAN - CAPEX'!$AQ7=2036,'BASE PAN - CAPEX'!$BB7,0))))*1.7</f>
        <v>0</v>
      </c>
      <c r="V7" s="1">
        <f>((IF('BASE PAN - CAPEX'!$S7=2037,'BASE PAN - CAPEX'!$AD7,IF('BASE PAN - CAPEX'!$AE7=2037,'BASE PAN - CAPEX'!$AP7,IF('BASE PAN - CAPEX'!$AQ7=2037,'BASE PAN - CAPEX'!$BB7,0))))+VLOOKUP(C7,'BASE PAN - CAPEX - 1º ANO'!$C$3:$BG$35,57,FALSE))*1.7</f>
        <v>0</v>
      </c>
      <c r="W7" s="1">
        <f>(IF('BASE PAN - CAPEX'!$S7=2038,'BASE PAN - CAPEX'!$AD7,IF('BASE PAN - CAPEX'!$AE7=2038,'BASE PAN - CAPEX'!$AP7,IF('BASE PAN - CAPEX'!$AQ7=2038,'BASE PAN - CAPEX'!$BB7,0))))*1.7</f>
        <v>0</v>
      </c>
      <c r="X7" s="1">
        <f>(IF('BASE PAN - CAPEX'!$S7=2039,'BASE PAN - CAPEX'!$AD7,IF('BASE PAN - CAPEX'!$AE7=2039,'BASE PAN - CAPEX'!$AP7,IF('BASE PAN - CAPEX'!$AQ7=2039,'BASE PAN - CAPEX'!$BB7,0))))*1.7</f>
        <v>0</v>
      </c>
      <c r="Y7" s="1">
        <f>(IF('BASE PAN - CAPEX'!$S7=2040,'BASE PAN - CAPEX'!$AD7,IF('BASE PAN - CAPEX'!$AE7=2040,'BASE PAN - CAPEX'!$AP7,IF('BASE PAN - CAPEX'!$AQ7=2040,'BASE PAN - CAPEX'!$BB7,0))))*1.7</f>
        <v>0</v>
      </c>
      <c r="Z7" s="1">
        <f>(IF('BASE PAN - CAPEX'!$S7=2041,'BASE PAN - CAPEX'!$AD7,IF('BASE PAN - CAPEX'!$AE7=2041,'BASE PAN - CAPEX'!$AP7,IF('BASE PAN - CAPEX'!$AQ7=2041,'BASE PAN - CAPEX'!$BB7,0))))*1.7</f>
        <v>0</v>
      </c>
      <c r="AA7" s="1">
        <f>(IF('BASE PAN - CAPEX'!$S7=2042,'BASE PAN - CAPEX'!$AD7,IF('BASE PAN - CAPEX'!$AE7=2042,'BASE PAN - CAPEX'!$AP7,IF('BASE PAN - CAPEX'!$AQ7=2042,'BASE PAN - CAPEX'!$BB7,0))))*1.7</f>
        <v>0</v>
      </c>
      <c r="AB7" s="1">
        <f>(IF('BASE PAN - CAPEX'!$S7=2043,'BASE PAN - CAPEX'!$AD7,IF('BASE PAN - CAPEX'!$AE7=2043,'BASE PAN - CAPEX'!$AP7,IF('BASE PAN - CAPEX'!$AQ7=2043,'BASE PAN - CAPEX'!$BB7,0))))*1.7</f>
        <v>0</v>
      </c>
      <c r="AC7" s="1">
        <f>(IF('BASE PAN - CAPEX'!$S7=2044,'BASE PAN - CAPEX'!$AD7,IF('BASE PAN - CAPEX'!$AE7=2044,'BASE PAN - CAPEX'!$AP7,IF('BASE PAN - CAPEX'!$AQ7=2044,'BASE PAN - CAPEX'!$BB7,0))))*1.7</f>
        <v>0</v>
      </c>
      <c r="AD7" s="1">
        <f>(IF('BASE PAN - CAPEX'!$S7=2045,'BASE PAN - CAPEX'!$AD7,IF('BASE PAN - CAPEX'!$AE7=2045,'BASE PAN - CAPEX'!$AP7,IF('BASE PAN - CAPEX'!$AQ7=2045,'BASE PAN - CAPEX'!$BB7,0))))*1.7</f>
        <v>0</v>
      </c>
      <c r="AE7" s="1">
        <f>(IF('BASE PAN - CAPEX'!$S7=2046,'BASE PAN - CAPEX'!$AD7,IF('BASE PAN - CAPEX'!$AE7=2046,'BASE PAN - CAPEX'!$AP7,IF('BASE PAN - CAPEX'!$AQ7=2046,'BASE PAN - CAPEX'!$BB7,0))))*1.7</f>
        <v>0</v>
      </c>
      <c r="AF7" s="1">
        <f>(IF('BASE PAN - CAPEX'!$S7=2047,'BASE PAN - CAPEX'!$AD7,IF('BASE PAN - CAPEX'!$AE7=2047,'BASE PAN - CAPEX'!$AP7,IF('BASE PAN - CAPEX'!$AQ7=2047,'BASE PAN - CAPEX'!$BB7,0))))*1.7</f>
        <v>0</v>
      </c>
      <c r="AG7" s="1">
        <f>(IF('BASE PAN - CAPEX'!$S7=2048,'BASE PAN - CAPEX'!$AD7,IF('BASE PAN - CAPEX'!$AE7=2048,'BASE PAN - CAPEX'!$AP7,IF('BASE PAN - CAPEX'!$AQ7=2048,'BASE PAN - CAPEX'!$BB7,0))))*1.7</f>
        <v>0</v>
      </c>
      <c r="AH7" s="1">
        <f>(IF('BASE PAN - CAPEX'!$S7=2049,'BASE PAN - CAPEX'!$AD7,IF('BASE PAN - CAPEX'!$AE7=2049,'BASE PAN - CAPEX'!$AP7,IF('BASE PAN - CAPEX'!$AQ7=2049,'BASE PAN - CAPEX'!$BB7,0))))*1.7</f>
        <v>0</v>
      </c>
      <c r="AI7" s="1">
        <f>(IF('BASE PAN - CAPEX'!$S7=2050,'BASE PAN - CAPEX'!$AD7,IF('BASE PAN - CAPEX'!$AE7=2050,'BASE PAN - CAPEX'!$AP7,IF('BASE PAN - CAPEX'!$AQ7=2050,'BASE PAN - CAPEX'!$BB7,0))))*1.7</f>
        <v>0</v>
      </c>
      <c r="AJ7" s="1">
        <f>(IF('BASE PAN - CAPEX'!$S7=2051,'BASE PAN - CAPEX'!$AD7,IF('BASE PAN - CAPEX'!$AE7=2051,'BASE PAN - CAPEX'!$AP7,IF('BASE PAN - CAPEX'!$AQ7=2051,'BASE PAN - CAPEX'!$BB7,0))))*1.7</f>
        <v>0</v>
      </c>
      <c r="AK7" s="1">
        <f>(IF('BASE PAN - CAPEX'!$S7=2052,'BASE PAN - CAPEX'!$AD7,IF('BASE PAN - CAPEX'!$AE7=2052,'BASE PAN - CAPEX'!$AP7,IF('BASE PAN - CAPEX'!$AQ7=2052,'BASE PAN - CAPEX'!$BB7,0))))*1.7</f>
        <v>0</v>
      </c>
      <c r="AL7" s="1">
        <f>(IF('BASE PAN - CAPEX'!$S7=2053,'BASE PAN - CAPEX'!$AD7,IF('BASE PAN - CAPEX'!$AE7=2053,'BASE PAN - CAPEX'!$AP7,IF('BASE PAN - CAPEX'!$AQ7=2053,'BASE PAN - CAPEX'!$BB7,0))))*1.7</f>
        <v>0</v>
      </c>
      <c r="AM7" s="1">
        <f t="shared" si="0"/>
        <v>128775000</v>
      </c>
      <c r="AN7" t="str">
        <f>VLOOKUP(C7,'[6]CAPEX - BLOCOS PAN'!$C$3:$AN$249,38,FALSE)</f>
        <v>N</v>
      </c>
      <c r="AO7" s="3">
        <v>3</v>
      </c>
      <c r="AP7" s="3" t="s">
        <v>171</v>
      </c>
      <c r="AQ7" s="3" t="s">
        <v>171</v>
      </c>
      <c r="AR7" s="3" t="s">
        <v>171</v>
      </c>
      <c r="AS7" s="3" t="s">
        <v>171</v>
      </c>
      <c r="AT7" s="3" t="s">
        <v>171</v>
      </c>
      <c r="AU7" s="3" t="s">
        <v>171</v>
      </c>
      <c r="AV7" t="str">
        <f>VLOOKUP(C7,'[6]CAPEX - BLOCOS PAN'!$C$3:$AV$249,46,FALSE)</f>
        <v>Privada</v>
      </c>
      <c r="AW7" t="str">
        <f>VLOOKUP(C7,'FLUXO DE CAIXA DESC.-BLOCOS PAN'!$D$3:$AO$52,38,FALSE)</f>
        <v>AM - 3 - AL</v>
      </c>
    </row>
    <row r="8" spans="1:49" x14ac:dyDescent="0.35">
      <c r="A8" t="s">
        <v>60</v>
      </c>
      <c r="B8" t="s">
        <v>61</v>
      </c>
      <c r="C8" t="s">
        <v>62</v>
      </c>
      <c r="D8" t="s">
        <v>63</v>
      </c>
      <c r="E8" t="s">
        <v>29</v>
      </c>
      <c r="F8" t="s">
        <v>33</v>
      </c>
      <c r="G8" t="s">
        <v>34</v>
      </c>
      <c r="H8" s="1">
        <f>(VLOOKUP(C8,'BASE PAN - CAPEX'!$C$3:$R$37,16,FALSE)+'BASE PAN - CAPEX'!BC8)*1.7</f>
        <v>48560500</v>
      </c>
      <c r="I8" s="1">
        <f>(IF('BASE PAN - CAPEX'!$S8=2024,'BASE PAN - CAPEX'!$AD8,IF('BASE PAN - CAPEX'!$AE8=2024,'BASE PAN - CAPEX'!$AP8,IF('BASE PAN - CAPEX'!$AQ8=2024,'BASE PAN - CAPEX'!$BB8,0))))*1.7</f>
        <v>0</v>
      </c>
      <c r="J8" s="1">
        <f>(IF('BASE PAN - CAPEX'!$S8=2025,'BASE PAN - CAPEX'!$AD8,IF('BASE PAN - CAPEX'!$AE8=2025,'BASE PAN - CAPEX'!$AP8,IF('BASE PAN - CAPEX'!$AQ8=2025,'BASE PAN - CAPEX'!$BB8,0))))*1.7</f>
        <v>0</v>
      </c>
      <c r="K8" s="1">
        <f>(IF('BASE PAN - CAPEX'!$S8=2026,'BASE PAN - CAPEX'!$AD8,IF('BASE PAN - CAPEX'!$AE8=2026,'BASE PAN - CAPEX'!$AP8,IF('BASE PAN - CAPEX'!$AQ8=2026,'BASE PAN - CAPEX'!$BB8,0))))*1.7</f>
        <v>0</v>
      </c>
      <c r="L8" s="1">
        <f>((IF('BASE PAN - CAPEX'!$S8=2027,'BASE PAN - CAPEX'!$AD8,IF('BASE PAN - CAPEX'!$AE8=2027,'BASE PAN - CAPEX'!$AP8,IF('BASE PAN - CAPEX'!$AQ8=2027,'BASE PAN - CAPEX'!$BB8,0))))+VLOOKUP(C8,'BASE PAN - CAPEX - 1º ANO'!$C$3:$BE$35,55,FALSE))*1.7</f>
        <v>0</v>
      </c>
      <c r="M8" s="1">
        <f>(IF('BASE PAN - CAPEX'!$S8=2028,'BASE PAN - CAPEX'!$AD8,IF('BASE PAN - CAPEX'!$AE8=2028,'BASE PAN - CAPEX'!$AP8,IF('BASE PAN - CAPEX'!$AQ8=2028,'BASE PAN - CAPEX'!$BB8,0))))*1.7</f>
        <v>0</v>
      </c>
      <c r="N8" s="1">
        <f>(IF('BASE PAN - CAPEX'!$S8=2029,'BASE PAN - CAPEX'!$AD8,IF('BASE PAN - CAPEX'!$AE8=2029,'BASE PAN - CAPEX'!$AP8,IF('BASE PAN - CAPEX'!$AQ8=2029,'BASE PAN - CAPEX'!$BB8,0))))*1.7</f>
        <v>0</v>
      </c>
      <c r="O8" s="1">
        <f>(IF('BASE PAN - CAPEX'!$S8=2030,'BASE PAN - CAPEX'!$AD8,IF('BASE PAN - CAPEX'!$AE8=2030,'BASE PAN - CAPEX'!$AP8,IF('BASE PAN - CAPEX'!$AQ8=2030,'BASE PAN - CAPEX'!$BB8,0))))*1.7</f>
        <v>0</v>
      </c>
      <c r="P8" s="1">
        <f>(IF('BASE PAN - CAPEX'!$S8=2031,'BASE PAN - CAPEX'!$AD8,IF('BASE PAN - CAPEX'!$AE8=2031,'BASE PAN - CAPEX'!$AP8,IF('BASE PAN - CAPEX'!$AQ8=2031,'BASE PAN - CAPEX'!$BB8,0))))*1.7</f>
        <v>0</v>
      </c>
      <c r="Q8" s="1">
        <f>(IF('BASE PAN - CAPEX'!$S8=2032,'BASE PAN - CAPEX'!$AD8,IF('BASE PAN - CAPEX'!$AE8=2032,'BASE PAN - CAPEX'!$AP8,IF('BASE PAN - CAPEX'!$AQ8=2032,'BASE PAN - CAPEX'!$BB8,0))))*1.7</f>
        <v>0</v>
      </c>
      <c r="R8" s="1">
        <f>(IF('BASE PAN - CAPEX'!$S8=2033,'BASE PAN - CAPEX'!$AD8,IF('BASE PAN - CAPEX'!$AE8=2033,'BASE PAN - CAPEX'!$AP8,IF('BASE PAN - CAPEX'!$AQ8=2033,'BASE PAN - CAPEX'!$BB8,0))))*1.7</f>
        <v>0</v>
      </c>
      <c r="S8" s="1">
        <f>(IF('BASE PAN - CAPEX'!$S8=2034,'BASE PAN - CAPEX'!$AD8,IF('BASE PAN - CAPEX'!$AE8=2034,'BASE PAN - CAPEX'!$AP8,IF('BASE PAN - CAPEX'!$AQ8=2034,'BASE PAN - CAPEX'!$BB8,0))))*1.7</f>
        <v>0</v>
      </c>
      <c r="T8" s="1">
        <f>(IF('BASE PAN - CAPEX'!$S8=2035,'BASE PAN - CAPEX'!$AD8,IF('BASE PAN - CAPEX'!$AE8=2035,'BASE PAN - CAPEX'!$AP8,IF('BASE PAN - CAPEX'!$AQ8=2035,'BASE PAN - CAPEX'!$BB8,0))))*1.7</f>
        <v>0</v>
      </c>
      <c r="U8" s="1">
        <f>(IF('BASE PAN - CAPEX'!$S8=2036,'BASE PAN - CAPEX'!$AD8,IF('BASE PAN - CAPEX'!$AE8=2036,'BASE PAN - CAPEX'!$AP8,IF('BASE PAN - CAPEX'!$AQ8=2036,'BASE PAN - CAPEX'!$BB8,0))))*1.7</f>
        <v>0</v>
      </c>
      <c r="V8" s="1">
        <f>((IF('BASE PAN - CAPEX'!$S8=2037,'BASE PAN - CAPEX'!$AD8,IF('BASE PAN - CAPEX'!$AE8=2037,'BASE PAN - CAPEX'!$AP8,IF('BASE PAN - CAPEX'!$AQ8=2037,'BASE PAN - CAPEX'!$BB8,0))))+VLOOKUP(C8,'BASE PAN - CAPEX - 1º ANO'!$C$3:$BG$35,57,FALSE))*1.7</f>
        <v>0</v>
      </c>
      <c r="W8" s="1">
        <f>(IF('BASE PAN - CAPEX'!$S8=2038,'BASE PAN - CAPEX'!$AD8,IF('BASE PAN - CAPEX'!$AE8=2038,'BASE PAN - CAPEX'!$AP8,IF('BASE PAN - CAPEX'!$AQ8=2038,'BASE PAN - CAPEX'!$BB8,0))))*1.7</f>
        <v>0</v>
      </c>
      <c r="X8" s="1">
        <f>(IF('BASE PAN - CAPEX'!$S8=2039,'BASE PAN - CAPEX'!$AD8,IF('BASE PAN - CAPEX'!$AE8=2039,'BASE PAN - CAPEX'!$AP8,IF('BASE PAN - CAPEX'!$AQ8=2039,'BASE PAN - CAPEX'!$BB8,0))))*1.7</f>
        <v>0</v>
      </c>
      <c r="Y8" s="1">
        <f>(IF('BASE PAN - CAPEX'!$S8=2040,'BASE PAN - CAPEX'!$AD8,IF('BASE PAN - CAPEX'!$AE8=2040,'BASE PAN - CAPEX'!$AP8,IF('BASE PAN - CAPEX'!$AQ8=2040,'BASE PAN - CAPEX'!$BB8,0))))*1.7</f>
        <v>0</v>
      </c>
      <c r="Z8" s="1">
        <f>(IF('BASE PAN - CAPEX'!$S8=2041,'BASE PAN - CAPEX'!$AD8,IF('BASE PAN - CAPEX'!$AE8=2041,'BASE PAN - CAPEX'!$AP8,IF('BASE PAN - CAPEX'!$AQ8=2041,'BASE PAN - CAPEX'!$BB8,0))))*1.7</f>
        <v>0</v>
      </c>
      <c r="AA8" s="1">
        <f>(IF('BASE PAN - CAPEX'!$S8=2042,'BASE PAN - CAPEX'!$AD8,IF('BASE PAN - CAPEX'!$AE8=2042,'BASE PAN - CAPEX'!$AP8,IF('BASE PAN - CAPEX'!$AQ8=2042,'BASE PAN - CAPEX'!$BB8,0))))*1.7</f>
        <v>91876500</v>
      </c>
      <c r="AB8" s="1">
        <f>(IF('BASE PAN - CAPEX'!$S8=2043,'BASE PAN - CAPEX'!$AD8,IF('BASE PAN - CAPEX'!$AE8=2043,'BASE PAN - CAPEX'!$AP8,IF('BASE PAN - CAPEX'!$AQ8=2043,'BASE PAN - CAPEX'!$BB8,0))))*1.7</f>
        <v>0</v>
      </c>
      <c r="AC8" s="1">
        <f>(IF('BASE PAN - CAPEX'!$S8=2044,'BASE PAN - CAPEX'!$AD8,IF('BASE PAN - CAPEX'!$AE8=2044,'BASE PAN - CAPEX'!$AP8,IF('BASE PAN - CAPEX'!$AQ8=2044,'BASE PAN - CAPEX'!$BB8,0))))*1.7</f>
        <v>0</v>
      </c>
      <c r="AD8" s="1">
        <f>(IF('BASE PAN - CAPEX'!$S8=2045,'BASE PAN - CAPEX'!$AD8,IF('BASE PAN - CAPEX'!$AE8=2045,'BASE PAN - CAPEX'!$AP8,IF('BASE PAN - CAPEX'!$AQ8=2045,'BASE PAN - CAPEX'!$BB8,0))))*1.7</f>
        <v>0</v>
      </c>
      <c r="AE8" s="1">
        <f>(IF('BASE PAN - CAPEX'!$S8=2046,'BASE PAN - CAPEX'!$AD8,IF('BASE PAN - CAPEX'!$AE8=2046,'BASE PAN - CAPEX'!$AP8,IF('BASE PAN - CAPEX'!$AQ8=2046,'BASE PAN - CAPEX'!$BB8,0))))*1.7</f>
        <v>0</v>
      </c>
      <c r="AF8" s="1">
        <f>(IF('BASE PAN - CAPEX'!$S8=2047,'BASE PAN - CAPEX'!$AD8,IF('BASE PAN - CAPEX'!$AE8=2047,'BASE PAN - CAPEX'!$AP8,IF('BASE PAN - CAPEX'!$AQ8=2047,'BASE PAN - CAPEX'!$BB8,0))))*1.7</f>
        <v>0</v>
      </c>
      <c r="AG8" s="1">
        <f>(IF('BASE PAN - CAPEX'!$S8=2048,'BASE PAN - CAPEX'!$AD8,IF('BASE PAN - CAPEX'!$AE8=2048,'BASE PAN - CAPEX'!$AP8,IF('BASE PAN - CAPEX'!$AQ8=2048,'BASE PAN - CAPEX'!$BB8,0))))*1.7</f>
        <v>0</v>
      </c>
      <c r="AH8" s="1">
        <f>(IF('BASE PAN - CAPEX'!$S8=2049,'BASE PAN - CAPEX'!$AD8,IF('BASE PAN - CAPEX'!$AE8=2049,'BASE PAN - CAPEX'!$AP8,IF('BASE PAN - CAPEX'!$AQ8=2049,'BASE PAN - CAPEX'!$BB8,0))))*1.7</f>
        <v>0</v>
      </c>
      <c r="AI8" s="1">
        <f>(IF('BASE PAN - CAPEX'!$S8=2050,'BASE PAN - CAPEX'!$AD8,IF('BASE PAN - CAPEX'!$AE8=2050,'BASE PAN - CAPEX'!$AP8,IF('BASE PAN - CAPEX'!$AQ8=2050,'BASE PAN - CAPEX'!$BB8,0))))*1.7</f>
        <v>0</v>
      </c>
      <c r="AJ8" s="1">
        <f>(IF('BASE PAN - CAPEX'!$S8=2051,'BASE PAN - CAPEX'!$AD8,IF('BASE PAN - CAPEX'!$AE8=2051,'BASE PAN - CAPEX'!$AP8,IF('BASE PAN - CAPEX'!$AQ8=2051,'BASE PAN - CAPEX'!$BB8,0))))*1.7</f>
        <v>0</v>
      </c>
      <c r="AK8" s="1">
        <f>(IF('BASE PAN - CAPEX'!$S8=2052,'BASE PAN - CAPEX'!$AD8,IF('BASE PAN - CAPEX'!$AE8=2052,'BASE PAN - CAPEX'!$AP8,IF('BASE PAN - CAPEX'!$AQ8=2052,'BASE PAN - CAPEX'!$BB8,0))))*1.7</f>
        <v>0</v>
      </c>
      <c r="AL8" s="1">
        <f>(IF('BASE PAN - CAPEX'!$S8=2053,'BASE PAN - CAPEX'!$AD8,IF('BASE PAN - CAPEX'!$AE8=2053,'BASE PAN - CAPEX'!$AP8,IF('BASE PAN - CAPEX'!$AQ8=2053,'BASE PAN - CAPEX'!$BB8,0))))*1.7</f>
        <v>0</v>
      </c>
      <c r="AM8" s="1">
        <f t="shared" si="0"/>
        <v>140437000</v>
      </c>
      <c r="AN8" t="str">
        <f>VLOOKUP(C8,'[6]CAPEX - BLOCOS PAN'!$C$3:$AN$249,38,FALSE)</f>
        <v>N</v>
      </c>
      <c r="AO8" s="3">
        <v>1</v>
      </c>
      <c r="AP8" s="3" t="s">
        <v>171</v>
      </c>
      <c r="AQ8" s="3">
        <v>2042</v>
      </c>
      <c r="AR8" s="3">
        <v>2029</v>
      </c>
      <c r="AS8" s="3" t="s">
        <v>171</v>
      </c>
      <c r="AT8" s="3">
        <v>3</v>
      </c>
      <c r="AU8" s="3">
        <v>2</v>
      </c>
      <c r="AV8" t="str">
        <f>VLOOKUP(C8,'[6]CAPEX - BLOCOS PAN'!$C$3:$AV$249,46,FALSE)</f>
        <v>Privada</v>
      </c>
      <c r="AW8" t="str">
        <f>VLOOKUP(C8,'FLUXO DE CAIXA DESC.-BLOCOS PAN'!$D$3:$AO$52,38,FALSE)</f>
        <v>PA 3 - AL</v>
      </c>
    </row>
    <row r="9" spans="1:49" x14ac:dyDescent="0.35">
      <c r="A9" t="s">
        <v>64</v>
      </c>
      <c r="B9" t="s">
        <v>65</v>
      </c>
      <c r="C9" t="s">
        <v>66</v>
      </c>
      <c r="D9" t="s">
        <v>65</v>
      </c>
      <c r="E9" t="s">
        <v>35</v>
      </c>
      <c r="F9" t="s">
        <v>33</v>
      </c>
      <c r="G9" t="s">
        <v>34</v>
      </c>
      <c r="H9" s="1">
        <f>(VLOOKUP(C9,'BASE PAN - CAPEX'!$C$3:$R$37,16,FALSE)+'BASE PAN - CAPEX'!BC9)*1.7</f>
        <v>34425000</v>
      </c>
      <c r="I9" s="1">
        <f>(IF('BASE PAN - CAPEX'!$S9=2024,'BASE PAN - CAPEX'!$AD9,IF('BASE PAN - CAPEX'!$AE9=2024,'BASE PAN - CAPEX'!$AP9,IF('BASE PAN - CAPEX'!$AQ9=2024,'BASE PAN - CAPEX'!$BB9,0))))*1.7</f>
        <v>0</v>
      </c>
      <c r="J9" s="1">
        <f>(IF('BASE PAN - CAPEX'!$S9=2025,'BASE PAN - CAPEX'!$AD9,IF('BASE PAN - CAPEX'!$AE9=2025,'BASE PAN - CAPEX'!$AP9,IF('BASE PAN - CAPEX'!$AQ9=2025,'BASE PAN - CAPEX'!$BB9,0))))*1.7</f>
        <v>0</v>
      </c>
      <c r="K9" s="1">
        <f>(IF('BASE PAN - CAPEX'!$S9=2026,'BASE PAN - CAPEX'!$AD9,IF('BASE PAN - CAPEX'!$AE9=2026,'BASE PAN - CAPEX'!$AP9,IF('BASE PAN - CAPEX'!$AQ9=2026,'BASE PAN - CAPEX'!$BB9,0))))*1.7</f>
        <v>0</v>
      </c>
      <c r="L9" s="1">
        <f>((IF('BASE PAN - CAPEX'!$S9=2027,'BASE PAN - CAPEX'!$AD9,IF('BASE PAN - CAPEX'!$AE9=2027,'BASE PAN - CAPEX'!$AP9,IF('BASE PAN - CAPEX'!$AQ9=2027,'BASE PAN - CAPEX'!$BB9,0))))+VLOOKUP(C9,'BASE PAN - CAPEX - 1º ANO'!$C$3:$BE$35,55,FALSE))*1.7</f>
        <v>0</v>
      </c>
      <c r="M9" s="1">
        <f>(IF('BASE PAN - CAPEX'!$S9=2028,'BASE PAN - CAPEX'!$AD9,IF('BASE PAN - CAPEX'!$AE9=2028,'BASE PAN - CAPEX'!$AP9,IF('BASE PAN - CAPEX'!$AQ9=2028,'BASE PAN - CAPEX'!$BB9,0))))*1.7</f>
        <v>0</v>
      </c>
      <c r="N9" s="1">
        <f>(IF('BASE PAN - CAPEX'!$S9=2029,'BASE PAN - CAPEX'!$AD9,IF('BASE PAN - CAPEX'!$AE9=2029,'BASE PAN - CAPEX'!$AP9,IF('BASE PAN - CAPEX'!$AQ9=2029,'BASE PAN - CAPEX'!$BB9,0))))*1.7</f>
        <v>0</v>
      </c>
      <c r="O9" s="1">
        <f>(IF('BASE PAN - CAPEX'!$S9=2030,'BASE PAN - CAPEX'!$AD9,IF('BASE PAN - CAPEX'!$AE9=2030,'BASE PAN - CAPEX'!$AP9,IF('BASE PAN - CAPEX'!$AQ9=2030,'BASE PAN - CAPEX'!$BB9,0))))*1.7</f>
        <v>0</v>
      </c>
      <c r="P9" s="1">
        <f>(IF('BASE PAN - CAPEX'!$S9=2031,'BASE PAN - CAPEX'!$AD9,IF('BASE PAN - CAPEX'!$AE9=2031,'BASE PAN - CAPEX'!$AP9,IF('BASE PAN - CAPEX'!$AQ9=2031,'BASE PAN - CAPEX'!$BB9,0))))*1.7</f>
        <v>0</v>
      </c>
      <c r="Q9" s="1">
        <f>(IF('BASE PAN - CAPEX'!$S9=2032,'BASE PAN - CAPEX'!$AD9,IF('BASE PAN - CAPEX'!$AE9=2032,'BASE PAN - CAPEX'!$AP9,IF('BASE PAN - CAPEX'!$AQ9=2032,'BASE PAN - CAPEX'!$BB9,0))))*1.7</f>
        <v>0</v>
      </c>
      <c r="R9" s="1">
        <f>(IF('BASE PAN - CAPEX'!$S9=2033,'BASE PAN - CAPEX'!$AD9,IF('BASE PAN - CAPEX'!$AE9=2033,'BASE PAN - CAPEX'!$AP9,IF('BASE PAN - CAPEX'!$AQ9=2033,'BASE PAN - CAPEX'!$BB9,0))))*1.7</f>
        <v>0</v>
      </c>
      <c r="S9" s="1">
        <f>(IF('BASE PAN - CAPEX'!$S9=2034,'BASE PAN - CAPEX'!$AD9,IF('BASE PAN - CAPEX'!$AE9=2034,'BASE PAN - CAPEX'!$AP9,IF('BASE PAN - CAPEX'!$AQ9=2034,'BASE PAN - CAPEX'!$BB9,0))))*1.7</f>
        <v>0</v>
      </c>
      <c r="T9" s="1">
        <f>(IF('BASE PAN - CAPEX'!$S9=2035,'BASE PAN - CAPEX'!$AD9,IF('BASE PAN - CAPEX'!$AE9=2035,'BASE PAN - CAPEX'!$AP9,IF('BASE PAN - CAPEX'!$AQ9=2035,'BASE PAN - CAPEX'!$BB9,0))))*1.7</f>
        <v>0</v>
      </c>
      <c r="U9" s="1">
        <f>(IF('BASE PAN - CAPEX'!$S9=2036,'BASE PAN - CAPEX'!$AD9,IF('BASE PAN - CAPEX'!$AE9=2036,'BASE PAN - CAPEX'!$AP9,IF('BASE PAN - CAPEX'!$AQ9=2036,'BASE PAN - CAPEX'!$BB9,0))))*1.7</f>
        <v>0</v>
      </c>
      <c r="V9" s="1">
        <f>((IF('BASE PAN - CAPEX'!$S9=2037,'BASE PAN - CAPEX'!$AD9,IF('BASE PAN - CAPEX'!$AE9=2037,'BASE PAN - CAPEX'!$AP9,IF('BASE PAN - CAPEX'!$AQ9=2037,'BASE PAN - CAPEX'!$BB9,0))))+VLOOKUP(C9,'BASE PAN - CAPEX - 1º ANO'!$C$3:$BG$35,57,FALSE))*1.7</f>
        <v>0</v>
      </c>
      <c r="W9" s="1">
        <f>(IF('BASE PAN - CAPEX'!$S9=2038,'BASE PAN - CAPEX'!$AD9,IF('BASE PAN - CAPEX'!$AE9=2038,'BASE PAN - CAPEX'!$AP9,IF('BASE PAN - CAPEX'!$AQ9=2038,'BASE PAN - CAPEX'!$BB9,0))))*1.7</f>
        <v>0</v>
      </c>
      <c r="X9" s="1">
        <f>(IF('BASE PAN - CAPEX'!$S9=2039,'BASE PAN - CAPEX'!$AD9,IF('BASE PAN - CAPEX'!$AE9=2039,'BASE PAN - CAPEX'!$AP9,IF('BASE PAN - CAPEX'!$AQ9=2039,'BASE PAN - CAPEX'!$BB9,0))))*1.7</f>
        <v>0</v>
      </c>
      <c r="Y9" s="1">
        <f>(IF('BASE PAN - CAPEX'!$S9=2040,'BASE PAN - CAPEX'!$AD9,IF('BASE PAN - CAPEX'!$AE9=2040,'BASE PAN - CAPEX'!$AP9,IF('BASE PAN - CAPEX'!$AQ9=2040,'BASE PAN - CAPEX'!$BB9,0))))*1.7</f>
        <v>0</v>
      </c>
      <c r="Z9" s="1">
        <f>(IF('BASE PAN - CAPEX'!$S9=2041,'BASE PAN - CAPEX'!$AD9,IF('BASE PAN - CAPEX'!$AE9=2041,'BASE PAN - CAPEX'!$AP9,IF('BASE PAN - CAPEX'!$AQ9=2041,'BASE PAN - CAPEX'!$BB9,0))))*1.7</f>
        <v>0</v>
      </c>
      <c r="AA9" s="1">
        <f>(IF('BASE PAN - CAPEX'!$S9=2042,'BASE PAN - CAPEX'!$AD9,IF('BASE PAN - CAPEX'!$AE9=2042,'BASE PAN - CAPEX'!$AP9,IF('BASE PAN - CAPEX'!$AQ9=2042,'BASE PAN - CAPEX'!$BB9,0))))*1.7</f>
        <v>0</v>
      </c>
      <c r="AB9" s="1">
        <f>(IF('BASE PAN - CAPEX'!$S9=2043,'BASE PAN - CAPEX'!$AD9,IF('BASE PAN - CAPEX'!$AE9=2043,'BASE PAN - CAPEX'!$AP9,IF('BASE PAN - CAPEX'!$AQ9=2043,'BASE PAN - CAPEX'!$BB9,0))))*1.7</f>
        <v>0</v>
      </c>
      <c r="AC9" s="1">
        <f>(IF('BASE PAN - CAPEX'!$S9=2044,'BASE PAN - CAPEX'!$AD9,IF('BASE PAN - CAPEX'!$AE9=2044,'BASE PAN - CAPEX'!$AP9,IF('BASE PAN - CAPEX'!$AQ9=2044,'BASE PAN - CAPEX'!$BB9,0))))*1.7</f>
        <v>0</v>
      </c>
      <c r="AD9" s="1">
        <f>(IF('BASE PAN - CAPEX'!$S9=2045,'BASE PAN - CAPEX'!$AD9,IF('BASE PAN - CAPEX'!$AE9=2045,'BASE PAN - CAPEX'!$AP9,IF('BASE PAN - CAPEX'!$AQ9=2045,'BASE PAN - CAPEX'!$BB9,0))))*1.7</f>
        <v>459000</v>
      </c>
      <c r="AE9" s="1">
        <f>(IF('BASE PAN - CAPEX'!$S9=2046,'BASE PAN - CAPEX'!$AD9,IF('BASE PAN - CAPEX'!$AE9=2046,'BASE PAN - CAPEX'!$AP9,IF('BASE PAN - CAPEX'!$AQ9=2046,'BASE PAN - CAPEX'!$BB9,0))))*1.7</f>
        <v>0</v>
      </c>
      <c r="AF9" s="1">
        <f>(IF('BASE PAN - CAPEX'!$S9=2047,'BASE PAN - CAPEX'!$AD9,IF('BASE PAN - CAPEX'!$AE9=2047,'BASE PAN - CAPEX'!$AP9,IF('BASE PAN - CAPEX'!$AQ9=2047,'BASE PAN - CAPEX'!$BB9,0))))*1.7</f>
        <v>0</v>
      </c>
      <c r="AG9" s="1">
        <f>(IF('BASE PAN - CAPEX'!$S9=2048,'BASE PAN - CAPEX'!$AD9,IF('BASE PAN - CAPEX'!$AE9=2048,'BASE PAN - CAPEX'!$AP9,IF('BASE PAN - CAPEX'!$AQ9=2048,'BASE PAN - CAPEX'!$BB9,0))))*1.7</f>
        <v>0</v>
      </c>
      <c r="AH9" s="1">
        <f>(IF('BASE PAN - CAPEX'!$S9=2049,'BASE PAN - CAPEX'!$AD9,IF('BASE PAN - CAPEX'!$AE9=2049,'BASE PAN - CAPEX'!$AP9,IF('BASE PAN - CAPEX'!$AQ9=2049,'BASE PAN - CAPEX'!$BB9,0))))*1.7</f>
        <v>0</v>
      </c>
      <c r="AI9" s="1">
        <f>(IF('BASE PAN - CAPEX'!$S9=2050,'BASE PAN - CAPEX'!$AD9,IF('BASE PAN - CAPEX'!$AE9=2050,'BASE PAN - CAPEX'!$AP9,IF('BASE PAN - CAPEX'!$AQ9=2050,'BASE PAN - CAPEX'!$BB9,0))))*1.7</f>
        <v>0</v>
      </c>
      <c r="AJ9" s="1">
        <f>(IF('BASE PAN - CAPEX'!$S9=2051,'BASE PAN - CAPEX'!$AD9,IF('BASE PAN - CAPEX'!$AE9=2051,'BASE PAN - CAPEX'!$AP9,IF('BASE PAN - CAPEX'!$AQ9=2051,'BASE PAN - CAPEX'!$BB9,0))))*1.7</f>
        <v>0</v>
      </c>
      <c r="AK9" s="1">
        <f>(IF('BASE PAN - CAPEX'!$S9=2052,'BASE PAN - CAPEX'!$AD9,IF('BASE PAN - CAPEX'!$AE9=2052,'BASE PAN - CAPEX'!$AP9,IF('BASE PAN - CAPEX'!$AQ9=2052,'BASE PAN - CAPEX'!$BB9,0))))*1.7</f>
        <v>0</v>
      </c>
      <c r="AL9" s="1">
        <f>(IF('BASE PAN - CAPEX'!$S9=2053,'BASE PAN - CAPEX'!$AD9,IF('BASE PAN - CAPEX'!$AE9=2053,'BASE PAN - CAPEX'!$AP9,IF('BASE PAN - CAPEX'!$AQ9=2053,'BASE PAN - CAPEX'!$BB9,0))))*1.7</f>
        <v>0</v>
      </c>
      <c r="AM9" s="1">
        <f t="shared" si="0"/>
        <v>34884000</v>
      </c>
      <c r="AN9" t="str">
        <f>VLOOKUP(C9,'[6]CAPEX - BLOCOS PAN'!$C$3:$AN$249,38,FALSE)</f>
        <v>N</v>
      </c>
      <c r="AO9" s="3">
        <v>1</v>
      </c>
      <c r="AP9" s="3" t="s">
        <v>171</v>
      </c>
      <c r="AQ9" s="3" t="s">
        <v>171</v>
      </c>
      <c r="AR9" s="3">
        <v>2045</v>
      </c>
      <c r="AS9" s="3" t="s">
        <v>171</v>
      </c>
      <c r="AT9" s="3" t="s">
        <v>171</v>
      </c>
      <c r="AU9" s="3">
        <v>2</v>
      </c>
      <c r="AV9" t="str">
        <f>VLOOKUP(C9,'[6]CAPEX - BLOCOS PAN'!$C$3:$AV$249,46,FALSE)</f>
        <v>Privada</v>
      </c>
      <c r="AW9" t="str">
        <f>VLOOKUP(C9,'FLUXO DE CAIXA DESC.-BLOCOS PAN'!$D$3:$AO$52,38,FALSE)</f>
        <v>AM - 2 - AL</v>
      </c>
    </row>
    <row r="10" spans="1:49" x14ac:dyDescent="0.35">
      <c r="A10" t="s">
        <v>67</v>
      </c>
      <c r="B10" t="s">
        <v>68</v>
      </c>
      <c r="C10" t="s">
        <v>69</v>
      </c>
      <c r="D10" t="s">
        <v>70</v>
      </c>
      <c r="E10" t="s">
        <v>29</v>
      </c>
      <c r="F10" t="s">
        <v>33</v>
      </c>
      <c r="G10" t="s">
        <v>34</v>
      </c>
      <c r="H10" s="1">
        <f>(VLOOKUP(C10,'BASE PAN - CAPEX'!$C$3:$R$37,16,FALSE)+'BASE PAN - CAPEX'!BC10)*1.7</f>
        <v>30396000</v>
      </c>
      <c r="I10" s="1">
        <f>(IF('BASE PAN - CAPEX'!$S10=2024,'BASE PAN - CAPEX'!$AD10,IF('BASE PAN - CAPEX'!$AE10=2024,'BASE PAN - CAPEX'!$AP10,IF('BASE PAN - CAPEX'!$AQ10=2024,'BASE PAN - CAPEX'!$BB10,0))))*1.7</f>
        <v>0</v>
      </c>
      <c r="J10" s="1">
        <f>(IF('BASE PAN - CAPEX'!$S10=2025,'BASE PAN - CAPEX'!$AD10,IF('BASE PAN - CAPEX'!$AE10=2025,'BASE PAN - CAPEX'!$AP10,IF('BASE PAN - CAPEX'!$AQ10=2025,'BASE PAN - CAPEX'!$BB10,0))))*1.7</f>
        <v>0</v>
      </c>
      <c r="K10" s="1">
        <f>(IF('BASE PAN - CAPEX'!$S10=2026,'BASE PAN - CAPEX'!$AD10,IF('BASE PAN - CAPEX'!$AE10=2026,'BASE PAN - CAPEX'!$AP10,IF('BASE PAN - CAPEX'!$AQ10=2026,'BASE PAN - CAPEX'!$BB10,0))))*1.7</f>
        <v>0</v>
      </c>
      <c r="L10" s="1">
        <f>((IF('BASE PAN - CAPEX'!$S10=2027,'BASE PAN - CAPEX'!$AD10,IF('BASE PAN - CAPEX'!$AE10=2027,'BASE PAN - CAPEX'!$AP10,IF('BASE PAN - CAPEX'!$AQ10=2027,'BASE PAN - CAPEX'!$BB10,0))))+VLOOKUP(C10,'BASE PAN - CAPEX - 1º ANO'!$C$3:$BE$35,55,FALSE))*1.7</f>
        <v>0</v>
      </c>
      <c r="M10" s="1">
        <f>(IF('BASE PAN - CAPEX'!$S10=2028,'BASE PAN - CAPEX'!$AD10,IF('BASE PAN - CAPEX'!$AE10=2028,'BASE PAN - CAPEX'!$AP10,IF('BASE PAN - CAPEX'!$AQ10=2028,'BASE PAN - CAPEX'!$BB10,0))))*1.7</f>
        <v>0</v>
      </c>
      <c r="N10" s="1">
        <f>(IF('BASE PAN - CAPEX'!$S10=2029,'BASE PAN - CAPEX'!$AD10,IF('BASE PAN - CAPEX'!$AE10=2029,'BASE PAN - CAPEX'!$AP10,IF('BASE PAN - CAPEX'!$AQ10=2029,'BASE PAN - CAPEX'!$BB10,0))))*1.7</f>
        <v>0</v>
      </c>
      <c r="O10" s="1">
        <f>(IF('BASE PAN - CAPEX'!$S10=2030,'BASE PAN - CAPEX'!$AD10,IF('BASE PAN - CAPEX'!$AE10=2030,'BASE PAN - CAPEX'!$AP10,IF('BASE PAN - CAPEX'!$AQ10=2030,'BASE PAN - CAPEX'!$BB10,0))))*1.7</f>
        <v>0</v>
      </c>
      <c r="P10" s="1">
        <f>(IF('BASE PAN - CAPEX'!$S10=2031,'BASE PAN - CAPEX'!$AD10,IF('BASE PAN - CAPEX'!$AE10=2031,'BASE PAN - CAPEX'!$AP10,IF('BASE PAN - CAPEX'!$AQ10=2031,'BASE PAN - CAPEX'!$BB10,0))))*1.7</f>
        <v>0</v>
      </c>
      <c r="Q10" s="1">
        <f>(IF('BASE PAN - CAPEX'!$S10=2032,'BASE PAN - CAPEX'!$AD10,IF('BASE PAN - CAPEX'!$AE10=2032,'BASE PAN - CAPEX'!$AP10,IF('BASE PAN - CAPEX'!$AQ10=2032,'BASE PAN - CAPEX'!$BB10,0))))*1.7</f>
        <v>0</v>
      </c>
      <c r="R10" s="1">
        <f>(IF('BASE PAN - CAPEX'!$S10=2033,'BASE PAN - CAPEX'!$AD10,IF('BASE PAN - CAPEX'!$AE10=2033,'BASE PAN - CAPEX'!$AP10,IF('BASE PAN - CAPEX'!$AQ10=2033,'BASE PAN - CAPEX'!$BB10,0))))*1.7</f>
        <v>0</v>
      </c>
      <c r="S10" s="1">
        <f>(IF('BASE PAN - CAPEX'!$S10=2034,'BASE PAN - CAPEX'!$AD10,IF('BASE PAN - CAPEX'!$AE10=2034,'BASE PAN - CAPEX'!$AP10,IF('BASE PAN - CAPEX'!$AQ10=2034,'BASE PAN - CAPEX'!$BB10,0))))*1.7</f>
        <v>0</v>
      </c>
      <c r="T10" s="1">
        <f>(IF('BASE PAN - CAPEX'!$S10=2035,'BASE PAN - CAPEX'!$AD10,IF('BASE PAN - CAPEX'!$AE10=2035,'BASE PAN - CAPEX'!$AP10,IF('BASE PAN - CAPEX'!$AQ10=2035,'BASE PAN - CAPEX'!$BB10,0))))*1.7</f>
        <v>0</v>
      </c>
      <c r="U10" s="1">
        <f>(IF('BASE PAN - CAPEX'!$S10=2036,'BASE PAN - CAPEX'!$AD10,IF('BASE PAN - CAPEX'!$AE10=2036,'BASE PAN - CAPEX'!$AP10,IF('BASE PAN - CAPEX'!$AQ10=2036,'BASE PAN - CAPEX'!$BB10,0))))*1.7</f>
        <v>0</v>
      </c>
      <c r="V10" s="1">
        <f>((IF('BASE PAN - CAPEX'!$S10=2037,'BASE PAN - CAPEX'!$AD10,IF('BASE PAN - CAPEX'!$AE10=2037,'BASE PAN - CAPEX'!$AP10,IF('BASE PAN - CAPEX'!$AQ10=2037,'BASE PAN - CAPEX'!$BB10,0))))+VLOOKUP(C10,'BASE PAN - CAPEX - 1º ANO'!$C$3:$BG$35,57,FALSE))*1.7</f>
        <v>0</v>
      </c>
      <c r="W10" s="1">
        <f>(IF('BASE PAN - CAPEX'!$S10=2038,'BASE PAN - CAPEX'!$AD10,IF('BASE PAN - CAPEX'!$AE10=2038,'BASE PAN - CAPEX'!$AP10,IF('BASE PAN - CAPEX'!$AQ10=2038,'BASE PAN - CAPEX'!$BB10,0))))*1.7</f>
        <v>0</v>
      </c>
      <c r="X10" s="1">
        <f>(IF('BASE PAN - CAPEX'!$S10=2039,'BASE PAN - CAPEX'!$AD10,IF('BASE PAN - CAPEX'!$AE10=2039,'BASE PAN - CAPEX'!$AP10,IF('BASE PAN - CAPEX'!$AQ10=2039,'BASE PAN - CAPEX'!$BB10,0))))*1.7</f>
        <v>0</v>
      </c>
      <c r="Y10" s="1">
        <f>(IF('BASE PAN - CAPEX'!$S10=2040,'BASE PAN - CAPEX'!$AD10,IF('BASE PAN - CAPEX'!$AE10=2040,'BASE PAN - CAPEX'!$AP10,IF('BASE PAN - CAPEX'!$AQ10=2040,'BASE PAN - CAPEX'!$BB10,0))))*1.7</f>
        <v>0</v>
      </c>
      <c r="Z10" s="1">
        <f>(IF('BASE PAN - CAPEX'!$S10=2041,'BASE PAN - CAPEX'!$AD10,IF('BASE PAN - CAPEX'!$AE10=2041,'BASE PAN - CAPEX'!$AP10,IF('BASE PAN - CAPEX'!$AQ10=2041,'BASE PAN - CAPEX'!$BB10,0))))*1.7</f>
        <v>0</v>
      </c>
      <c r="AA10" s="1">
        <f>(IF('BASE PAN - CAPEX'!$S10=2042,'BASE PAN - CAPEX'!$AD10,IF('BASE PAN - CAPEX'!$AE10=2042,'BASE PAN - CAPEX'!$AP10,IF('BASE PAN - CAPEX'!$AQ10=2042,'BASE PAN - CAPEX'!$BB10,0))))*1.7</f>
        <v>0</v>
      </c>
      <c r="AB10" s="1">
        <f>(IF('BASE PAN - CAPEX'!$S10=2043,'BASE PAN - CAPEX'!$AD10,IF('BASE PAN - CAPEX'!$AE10=2043,'BASE PAN - CAPEX'!$AP10,IF('BASE PAN - CAPEX'!$AQ10=2043,'BASE PAN - CAPEX'!$BB10,0))))*1.7</f>
        <v>0</v>
      </c>
      <c r="AC10" s="1">
        <f>(IF('BASE PAN - CAPEX'!$S10=2044,'BASE PAN - CAPEX'!$AD10,IF('BASE PAN - CAPEX'!$AE10=2044,'BASE PAN - CAPEX'!$AP10,IF('BASE PAN - CAPEX'!$AQ10=2044,'BASE PAN - CAPEX'!$BB10,0))))*1.7</f>
        <v>0</v>
      </c>
      <c r="AD10" s="1">
        <f>(IF('BASE PAN - CAPEX'!$S10=2045,'BASE PAN - CAPEX'!$AD10,IF('BASE PAN - CAPEX'!$AE10=2045,'BASE PAN - CAPEX'!$AP10,IF('BASE PAN - CAPEX'!$AQ10=2045,'BASE PAN - CAPEX'!$BB10,0))))*1.7</f>
        <v>0</v>
      </c>
      <c r="AE10" s="1">
        <f>(IF('BASE PAN - CAPEX'!$S10=2046,'BASE PAN - CAPEX'!$AD10,IF('BASE PAN - CAPEX'!$AE10=2046,'BASE PAN - CAPEX'!$AP10,IF('BASE PAN - CAPEX'!$AQ10=2046,'BASE PAN - CAPEX'!$BB10,0))))*1.7</f>
        <v>0</v>
      </c>
      <c r="AF10" s="1">
        <f>(IF('BASE PAN - CAPEX'!$S10=2047,'BASE PAN - CAPEX'!$AD10,IF('BASE PAN - CAPEX'!$AE10=2047,'BASE PAN - CAPEX'!$AP10,IF('BASE PAN - CAPEX'!$AQ10=2047,'BASE PAN - CAPEX'!$BB10,0))))*1.7</f>
        <v>0</v>
      </c>
      <c r="AG10" s="1">
        <f>(IF('BASE PAN - CAPEX'!$S10=2048,'BASE PAN - CAPEX'!$AD10,IF('BASE PAN - CAPEX'!$AE10=2048,'BASE PAN - CAPEX'!$AP10,IF('BASE PAN - CAPEX'!$AQ10=2048,'BASE PAN - CAPEX'!$BB10,0))))*1.7</f>
        <v>0</v>
      </c>
      <c r="AH10" s="1">
        <f>(IF('BASE PAN - CAPEX'!$S10=2049,'BASE PAN - CAPEX'!$AD10,IF('BASE PAN - CAPEX'!$AE10=2049,'BASE PAN - CAPEX'!$AP10,IF('BASE PAN - CAPEX'!$AQ10=2049,'BASE PAN - CAPEX'!$BB10,0))))*1.7</f>
        <v>96985000</v>
      </c>
      <c r="AI10" s="1">
        <f>(IF('BASE PAN - CAPEX'!$S10=2050,'BASE PAN - CAPEX'!$AD10,IF('BASE PAN - CAPEX'!$AE10=2050,'BASE PAN - CAPEX'!$AP10,IF('BASE PAN - CAPEX'!$AQ10=2050,'BASE PAN - CAPEX'!$BB10,0))))*1.7</f>
        <v>0</v>
      </c>
      <c r="AJ10" s="1">
        <f>(IF('BASE PAN - CAPEX'!$S10=2051,'BASE PAN - CAPEX'!$AD10,IF('BASE PAN - CAPEX'!$AE10=2051,'BASE PAN - CAPEX'!$AP10,IF('BASE PAN - CAPEX'!$AQ10=2051,'BASE PAN - CAPEX'!$BB10,0))))*1.7</f>
        <v>0</v>
      </c>
      <c r="AK10" s="1">
        <f>(IF('BASE PAN - CAPEX'!$S10=2052,'BASE PAN - CAPEX'!$AD10,IF('BASE PAN - CAPEX'!$AE10=2052,'BASE PAN - CAPEX'!$AP10,IF('BASE PAN - CAPEX'!$AQ10=2052,'BASE PAN - CAPEX'!$BB10,0))))*1.7</f>
        <v>0</v>
      </c>
      <c r="AL10" s="1">
        <f>(IF('BASE PAN - CAPEX'!$S10=2053,'BASE PAN - CAPEX'!$AD10,IF('BASE PAN - CAPEX'!$AE10=2053,'BASE PAN - CAPEX'!$AP10,IF('BASE PAN - CAPEX'!$AQ10=2053,'BASE PAN - CAPEX'!$BB10,0))))*1.7</f>
        <v>0</v>
      </c>
      <c r="AM10" s="1">
        <f t="shared" si="0"/>
        <v>127381000</v>
      </c>
      <c r="AN10" t="str">
        <f>VLOOKUP(C10,'[6]CAPEX - BLOCOS PAN'!$C$3:$AN$249,38,FALSE)</f>
        <v>N</v>
      </c>
      <c r="AO10" s="3">
        <v>1</v>
      </c>
      <c r="AP10" s="3" t="s">
        <v>171</v>
      </c>
      <c r="AQ10" s="3">
        <v>2049</v>
      </c>
      <c r="AR10" s="3">
        <v>2034</v>
      </c>
      <c r="AS10" s="3" t="s">
        <v>171</v>
      </c>
      <c r="AT10" s="3">
        <v>3</v>
      </c>
      <c r="AU10" s="3">
        <v>2</v>
      </c>
      <c r="AV10" t="str">
        <f>VLOOKUP(C10,'[6]CAPEX - BLOCOS PAN'!$C$3:$AV$249,46,FALSE)</f>
        <v>Privada</v>
      </c>
      <c r="AW10" t="str">
        <f>VLOOKUP(C10,'FLUXO DE CAIXA DESC.-BLOCOS PAN'!$D$3:$AO$52,38,FALSE)</f>
        <v>PA - 1 - AL</v>
      </c>
    </row>
    <row r="11" spans="1:49" x14ac:dyDescent="0.35">
      <c r="A11" t="s">
        <v>71</v>
      </c>
      <c r="B11" t="s">
        <v>72</v>
      </c>
      <c r="C11" t="s">
        <v>73</v>
      </c>
      <c r="D11" t="s">
        <v>72</v>
      </c>
      <c r="E11" t="s">
        <v>41</v>
      </c>
      <c r="F11" t="s">
        <v>33</v>
      </c>
      <c r="G11" t="s">
        <v>34</v>
      </c>
      <c r="H11" s="1">
        <f>(VLOOKUP(C11,'BASE PAN - CAPEX'!$C$3:$R$37,16,FALSE)+'BASE PAN - CAPEX'!BC11)*1.7</f>
        <v>64217500</v>
      </c>
      <c r="I11" s="1">
        <f>(IF('BASE PAN - CAPEX'!$S11=2024,'BASE PAN - CAPEX'!$AD11,IF('BASE PAN - CAPEX'!$AE11=2024,'BASE PAN - CAPEX'!$AP11,IF('BASE PAN - CAPEX'!$AQ11=2024,'BASE PAN - CAPEX'!$BB11,0))))*1.7</f>
        <v>0</v>
      </c>
      <c r="J11" s="1">
        <f>(IF('BASE PAN - CAPEX'!$S11=2025,'BASE PAN - CAPEX'!$AD11,IF('BASE PAN - CAPEX'!$AE11=2025,'BASE PAN - CAPEX'!$AP11,IF('BASE PAN - CAPEX'!$AQ11=2025,'BASE PAN - CAPEX'!$BB11,0))))*1.7</f>
        <v>0</v>
      </c>
      <c r="K11" s="1">
        <f>(IF('BASE PAN - CAPEX'!$S11=2026,'BASE PAN - CAPEX'!$AD11,IF('BASE PAN - CAPEX'!$AE11=2026,'BASE PAN - CAPEX'!$AP11,IF('BASE PAN - CAPEX'!$AQ11=2026,'BASE PAN - CAPEX'!$BB11,0))))*1.7</f>
        <v>0</v>
      </c>
      <c r="L11" s="1">
        <f>((IF('BASE PAN - CAPEX'!$S11=2027,'BASE PAN - CAPEX'!$AD11,IF('BASE PAN - CAPEX'!$AE11=2027,'BASE PAN - CAPEX'!$AP11,IF('BASE PAN - CAPEX'!$AQ11=2027,'BASE PAN - CAPEX'!$BB11,0))))+VLOOKUP(C11,'BASE PAN - CAPEX - 1º ANO'!$C$3:$BE$35,55,FALSE))*1.7</f>
        <v>0</v>
      </c>
      <c r="M11" s="1">
        <f>(IF('BASE PAN - CAPEX'!$S11=2028,'BASE PAN - CAPEX'!$AD11,IF('BASE PAN - CAPEX'!$AE11=2028,'BASE PAN - CAPEX'!$AP11,IF('BASE PAN - CAPEX'!$AQ11=2028,'BASE PAN - CAPEX'!$BB11,0))))*1.7</f>
        <v>0</v>
      </c>
      <c r="N11" s="1">
        <f>(IF('BASE PAN - CAPEX'!$S11=2029,'BASE PAN - CAPEX'!$AD11,IF('BASE PAN - CAPEX'!$AE11=2029,'BASE PAN - CAPEX'!$AP11,IF('BASE PAN - CAPEX'!$AQ11=2029,'BASE PAN - CAPEX'!$BB11,0))))*1.7</f>
        <v>0</v>
      </c>
      <c r="O11" s="1">
        <f>(IF('BASE PAN - CAPEX'!$S11=2030,'BASE PAN - CAPEX'!$AD11,IF('BASE PAN - CAPEX'!$AE11=2030,'BASE PAN - CAPEX'!$AP11,IF('BASE PAN - CAPEX'!$AQ11=2030,'BASE PAN - CAPEX'!$BB11,0))))*1.7</f>
        <v>0</v>
      </c>
      <c r="P11" s="1">
        <f>(IF('BASE PAN - CAPEX'!$S11=2031,'BASE PAN - CAPEX'!$AD11,IF('BASE PAN - CAPEX'!$AE11=2031,'BASE PAN - CAPEX'!$AP11,IF('BASE PAN - CAPEX'!$AQ11=2031,'BASE PAN - CAPEX'!$BB11,0))))*1.7</f>
        <v>0</v>
      </c>
      <c r="Q11" s="1">
        <f>(IF('BASE PAN - CAPEX'!$S11=2032,'BASE PAN - CAPEX'!$AD11,IF('BASE PAN - CAPEX'!$AE11=2032,'BASE PAN - CAPEX'!$AP11,IF('BASE PAN - CAPEX'!$AQ11=2032,'BASE PAN - CAPEX'!$BB11,0))))*1.7</f>
        <v>0</v>
      </c>
      <c r="R11" s="1">
        <f>(IF('BASE PAN - CAPEX'!$S11=2033,'BASE PAN - CAPEX'!$AD11,IF('BASE PAN - CAPEX'!$AE11=2033,'BASE PAN - CAPEX'!$AP11,IF('BASE PAN - CAPEX'!$AQ11=2033,'BASE PAN - CAPEX'!$BB11,0))))*1.7</f>
        <v>0</v>
      </c>
      <c r="S11" s="1">
        <f>(IF('BASE PAN - CAPEX'!$S11=2034,'BASE PAN - CAPEX'!$AD11,IF('BASE PAN - CAPEX'!$AE11=2034,'BASE PAN - CAPEX'!$AP11,IF('BASE PAN - CAPEX'!$AQ11=2034,'BASE PAN - CAPEX'!$BB11,0))))*1.7</f>
        <v>0</v>
      </c>
      <c r="T11" s="1">
        <f>(IF('BASE PAN - CAPEX'!$S11=2035,'BASE PAN - CAPEX'!$AD11,IF('BASE PAN - CAPEX'!$AE11=2035,'BASE PAN - CAPEX'!$AP11,IF('BASE PAN - CAPEX'!$AQ11=2035,'BASE PAN - CAPEX'!$BB11,0))))*1.7</f>
        <v>0</v>
      </c>
      <c r="U11" s="1">
        <f>(IF('BASE PAN - CAPEX'!$S11=2036,'BASE PAN - CAPEX'!$AD11,IF('BASE PAN - CAPEX'!$AE11=2036,'BASE PAN - CAPEX'!$AP11,IF('BASE PAN - CAPEX'!$AQ11=2036,'BASE PAN - CAPEX'!$BB11,0))))*1.7</f>
        <v>0</v>
      </c>
      <c r="V11" s="1">
        <f>((IF('BASE PAN - CAPEX'!$S11=2037,'BASE PAN - CAPEX'!$AD11,IF('BASE PAN - CAPEX'!$AE11=2037,'BASE PAN - CAPEX'!$AP11,IF('BASE PAN - CAPEX'!$AQ11=2037,'BASE PAN - CAPEX'!$BB11,0))))+VLOOKUP(C11,'BASE PAN - CAPEX - 1º ANO'!$C$3:$BG$35,57,FALSE))*1.7</f>
        <v>0</v>
      </c>
      <c r="W11" s="1">
        <f>(IF('BASE PAN - CAPEX'!$S11=2038,'BASE PAN - CAPEX'!$AD11,IF('BASE PAN - CAPEX'!$AE11=2038,'BASE PAN - CAPEX'!$AP11,IF('BASE PAN - CAPEX'!$AQ11=2038,'BASE PAN - CAPEX'!$BB11,0))))*1.7</f>
        <v>0</v>
      </c>
      <c r="X11" s="1">
        <f>(IF('BASE PAN - CAPEX'!$S11=2039,'BASE PAN - CAPEX'!$AD11,IF('BASE PAN - CAPEX'!$AE11=2039,'BASE PAN - CAPEX'!$AP11,IF('BASE PAN - CAPEX'!$AQ11=2039,'BASE PAN - CAPEX'!$BB11,0))))*1.7</f>
        <v>0</v>
      </c>
      <c r="Y11" s="1">
        <f>(IF('BASE PAN - CAPEX'!$S11=2040,'BASE PAN - CAPEX'!$AD11,IF('BASE PAN - CAPEX'!$AE11=2040,'BASE PAN - CAPEX'!$AP11,IF('BASE PAN - CAPEX'!$AQ11=2040,'BASE PAN - CAPEX'!$BB11,0))))*1.7</f>
        <v>0</v>
      </c>
      <c r="Z11" s="1">
        <f>(IF('BASE PAN - CAPEX'!$S11=2041,'BASE PAN - CAPEX'!$AD11,IF('BASE PAN - CAPEX'!$AE11=2041,'BASE PAN - CAPEX'!$AP11,IF('BASE PAN - CAPEX'!$AQ11=2041,'BASE PAN - CAPEX'!$BB11,0))))*1.7</f>
        <v>0</v>
      </c>
      <c r="AA11" s="1">
        <f>(IF('BASE PAN - CAPEX'!$S11=2042,'BASE PAN - CAPEX'!$AD11,IF('BASE PAN - CAPEX'!$AE11=2042,'BASE PAN - CAPEX'!$AP11,IF('BASE PAN - CAPEX'!$AQ11=2042,'BASE PAN - CAPEX'!$BB11,0))))*1.7</f>
        <v>0</v>
      </c>
      <c r="AB11" s="1">
        <f>(IF('BASE PAN - CAPEX'!$S11=2043,'BASE PAN - CAPEX'!$AD11,IF('BASE PAN - CAPEX'!$AE11=2043,'BASE PAN - CAPEX'!$AP11,IF('BASE PAN - CAPEX'!$AQ11=2043,'BASE PAN - CAPEX'!$BB11,0))))*1.7</f>
        <v>0</v>
      </c>
      <c r="AC11" s="1">
        <f>(IF('BASE PAN - CAPEX'!$S11=2044,'BASE PAN - CAPEX'!$AD11,IF('BASE PAN - CAPEX'!$AE11=2044,'BASE PAN - CAPEX'!$AP11,IF('BASE PAN - CAPEX'!$AQ11=2044,'BASE PAN - CAPEX'!$BB11,0))))*1.7</f>
        <v>0</v>
      </c>
      <c r="AD11" s="1">
        <f>(IF('BASE PAN - CAPEX'!$S11=2045,'BASE PAN - CAPEX'!$AD11,IF('BASE PAN - CAPEX'!$AE11=2045,'BASE PAN - CAPEX'!$AP11,IF('BASE PAN - CAPEX'!$AQ11=2045,'BASE PAN - CAPEX'!$BB11,0))))*1.7</f>
        <v>0</v>
      </c>
      <c r="AE11" s="1">
        <f>(IF('BASE PAN - CAPEX'!$S11=2046,'BASE PAN - CAPEX'!$AD11,IF('BASE PAN - CAPEX'!$AE11=2046,'BASE PAN - CAPEX'!$AP11,IF('BASE PAN - CAPEX'!$AQ11=2046,'BASE PAN - CAPEX'!$BB11,0))))*1.7</f>
        <v>0</v>
      </c>
      <c r="AF11" s="1">
        <f>(IF('BASE PAN - CAPEX'!$S11=2047,'BASE PAN - CAPEX'!$AD11,IF('BASE PAN - CAPEX'!$AE11=2047,'BASE PAN - CAPEX'!$AP11,IF('BASE PAN - CAPEX'!$AQ11=2047,'BASE PAN - CAPEX'!$BB11,0))))*1.7</f>
        <v>0</v>
      </c>
      <c r="AG11" s="1">
        <f>(IF('BASE PAN - CAPEX'!$S11=2048,'BASE PAN - CAPEX'!$AD11,IF('BASE PAN - CAPEX'!$AE11=2048,'BASE PAN - CAPEX'!$AP11,IF('BASE PAN - CAPEX'!$AQ11=2048,'BASE PAN - CAPEX'!$BB11,0))))*1.7</f>
        <v>0</v>
      </c>
      <c r="AH11" s="1">
        <f>(IF('BASE PAN - CAPEX'!$S11=2049,'BASE PAN - CAPEX'!$AD11,IF('BASE PAN - CAPEX'!$AE11=2049,'BASE PAN - CAPEX'!$AP11,IF('BASE PAN - CAPEX'!$AQ11=2049,'BASE PAN - CAPEX'!$BB11,0))))*1.7</f>
        <v>0</v>
      </c>
      <c r="AI11" s="1">
        <f>(IF('BASE PAN - CAPEX'!$S11=2050,'BASE PAN - CAPEX'!$AD11,IF('BASE PAN - CAPEX'!$AE11=2050,'BASE PAN - CAPEX'!$AP11,IF('BASE PAN - CAPEX'!$AQ11=2050,'BASE PAN - CAPEX'!$BB11,0))))*1.7</f>
        <v>0</v>
      </c>
      <c r="AJ11" s="1">
        <f>(IF('BASE PAN - CAPEX'!$S11=2051,'BASE PAN - CAPEX'!$AD11,IF('BASE PAN - CAPEX'!$AE11=2051,'BASE PAN - CAPEX'!$AP11,IF('BASE PAN - CAPEX'!$AQ11=2051,'BASE PAN - CAPEX'!$BB11,0))))*1.7</f>
        <v>0</v>
      </c>
      <c r="AK11" s="1">
        <f>(IF('BASE PAN - CAPEX'!$S11=2052,'BASE PAN - CAPEX'!$AD11,IF('BASE PAN - CAPEX'!$AE11=2052,'BASE PAN - CAPEX'!$AP11,IF('BASE PAN - CAPEX'!$AQ11=2052,'BASE PAN - CAPEX'!$BB11,0))))*1.7</f>
        <v>0</v>
      </c>
      <c r="AL11" s="1">
        <f>(IF('BASE PAN - CAPEX'!$S11=2053,'BASE PAN - CAPEX'!$AD11,IF('BASE PAN - CAPEX'!$AE11=2053,'BASE PAN - CAPEX'!$AP11,IF('BASE PAN - CAPEX'!$AQ11=2053,'BASE PAN - CAPEX'!$BB11,0))))*1.7</f>
        <v>0</v>
      </c>
      <c r="AM11" s="1">
        <f t="shared" si="0"/>
        <v>64217500</v>
      </c>
      <c r="AN11" t="str">
        <f>VLOOKUP(C11,'[6]CAPEX - BLOCOS PAN'!$C$3:$AN$249,38,FALSE)</f>
        <v>N</v>
      </c>
      <c r="AO11" s="3">
        <v>1</v>
      </c>
      <c r="AP11" s="3" t="s">
        <v>171</v>
      </c>
      <c r="AQ11" s="3" t="s">
        <v>171</v>
      </c>
      <c r="AR11" s="3" t="s">
        <v>171</v>
      </c>
      <c r="AS11" s="3" t="s">
        <v>171</v>
      </c>
      <c r="AT11" s="3" t="s">
        <v>171</v>
      </c>
      <c r="AU11" s="3" t="s">
        <v>171</v>
      </c>
      <c r="AV11" t="str">
        <f>VLOOKUP(C11,'[6]CAPEX - BLOCOS PAN'!$C$3:$AV$249,46,FALSE)</f>
        <v>Privada</v>
      </c>
      <c r="AW11" t="str">
        <f>VLOOKUP(C11,'FLUXO DE CAIXA DESC.-BLOCOS PAN'!$D$3:$AO$52,38,FALSE)</f>
        <v>AC + AM - 1 - AL</v>
      </c>
    </row>
    <row r="12" spans="1:49" x14ac:dyDescent="0.35">
      <c r="A12" t="s">
        <v>74</v>
      </c>
      <c r="B12" t="s">
        <v>75</v>
      </c>
      <c r="C12" t="s">
        <v>76</v>
      </c>
      <c r="D12" t="s">
        <v>75</v>
      </c>
      <c r="E12" t="s">
        <v>29</v>
      </c>
      <c r="F12" t="s">
        <v>33</v>
      </c>
      <c r="G12" t="s">
        <v>34</v>
      </c>
      <c r="H12" s="1">
        <f>(VLOOKUP(C12,'BASE PAN - CAPEX'!$C$3:$R$37,16,FALSE)+'BASE PAN - CAPEX'!BC12)*1.7</f>
        <v>70405500</v>
      </c>
      <c r="I12" s="1">
        <f>(IF('BASE PAN - CAPEX'!$S12=2024,'BASE PAN - CAPEX'!$AD12,IF('BASE PAN - CAPEX'!$AE12=2024,'BASE PAN - CAPEX'!$AP12,IF('BASE PAN - CAPEX'!$AQ12=2024,'BASE PAN - CAPEX'!$BB12,0))))*1.7</f>
        <v>0</v>
      </c>
      <c r="J12" s="1">
        <f>(IF('BASE PAN - CAPEX'!$S12=2025,'BASE PAN - CAPEX'!$AD12,IF('BASE PAN - CAPEX'!$AE12=2025,'BASE PAN - CAPEX'!$AP12,IF('BASE PAN - CAPEX'!$AQ12=2025,'BASE PAN - CAPEX'!$BB12,0))))*1.7</f>
        <v>0</v>
      </c>
      <c r="K12" s="1">
        <f>(IF('BASE PAN - CAPEX'!$S12=2026,'BASE PAN - CAPEX'!$AD12,IF('BASE PAN - CAPEX'!$AE12=2026,'BASE PAN - CAPEX'!$AP12,IF('BASE PAN - CAPEX'!$AQ12=2026,'BASE PAN - CAPEX'!$BB12,0))))*1.7</f>
        <v>0</v>
      </c>
      <c r="L12" s="1">
        <f>((IF('BASE PAN - CAPEX'!$S12=2027,'BASE PAN - CAPEX'!$AD12,IF('BASE PAN - CAPEX'!$AE12=2027,'BASE PAN - CAPEX'!$AP12,IF('BASE PAN - CAPEX'!$AQ12=2027,'BASE PAN - CAPEX'!$BB12,0))))+VLOOKUP(C12,'BASE PAN - CAPEX - 1º ANO'!$C$3:$BE$35,55,FALSE))*1.7</f>
        <v>0</v>
      </c>
      <c r="M12" s="1">
        <f>(IF('BASE PAN - CAPEX'!$S12=2028,'BASE PAN - CAPEX'!$AD12,IF('BASE PAN - CAPEX'!$AE12=2028,'BASE PAN - CAPEX'!$AP12,IF('BASE PAN - CAPEX'!$AQ12=2028,'BASE PAN - CAPEX'!$BB12,0))))*1.7</f>
        <v>0</v>
      </c>
      <c r="N12" s="1">
        <f>(IF('BASE PAN - CAPEX'!$S12=2029,'BASE PAN - CAPEX'!$AD12,IF('BASE PAN - CAPEX'!$AE12=2029,'BASE PAN - CAPEX'!$AP12,IF('BASE PAN - CAPEX'!$AQ12=2029,'BASE PAN - CAPEX'!$BB12,0))))*1.7</f>
        <v>0</v>
      </c>
      <c r="O12" s="1">
        <f>(IF('BASE PAN - CAPEX'!$S12=2030,'BASE PAN - CAPEX'!$AD12,IF('BASE PAN - CAPEX'!$AE12=2030,'BASE PAN - CAPEX'!$AP12,IF('BASE PAN - CAPEX'!$AQ12=2030,'BASE PAN - CAPEX'!$BB12,0))))*1.7</f>
        <v>0</v>
      </c>
      <c r="P12" s="1">
        <f>(IF('BASE PAN - CAPEX'!$S12=2031,'BASE PAN - CAPEX'!$AD12,IF('BASE PAN - CAPEX'!$AE12=2031,'BASE PAN - CAPEX'!$AP12,IF('BASE PAN - CAPEX'!$AQ12=2031,'BASE PAN - CAPEX'!$BB12,0))))*1.7</f>
        <v>0</v>
      </c>
      <c r="Q12" s="1">
        <f>(IF('BASE PAN - CAPEX'!$S12=2032,'BASE PAN - CAPEX'!$AD12,IF('BASE PAN - CAPEX'!$AE12=2032,'BASE PAN - CAPEX'!$AP12,IF('BASE PAN - CAPEX'!$AQ12=2032,'BASE PAN - CAPEX'!$BB12,0))))*1.7</f>
        <v>0</v>
      </c>
      <c r="R12" s="1">
        <f>(IF('BASE PAN - CAPEX'!$S12=2033,'BASE PAN - CAPEX'!$AD12,IF('BASE PAN - CAPEX'!$AE12=2033,'BASE PAN - CAPEX'!$AP12,IF('BASE PAN - CAPEX'!$AQ12=2033,'BASE PAN - CAPEX'!$BB12,0))))*1.7</f>
        <v>0</v>
      </c>
      <c r="S12" s="1">
        <f>(IF('BASE PAN - CAPEX'!$S12=2034,'BASE PAN - CAPEX'!$AD12,IF('BASE PAN - CAPEX'!$AE12=2034,'BASE PAN - CAPEX'!$AP12,IF('BASE PAN - CAPEX'!$AQ12=2034,'BASE PAN - CAPEX'!$BB12,0))))*1.7</f>
        <v>0</v>
      </c>
      <c r="T12" s="1">
        <f>(IF('BASE PAN - CAPEX'!$S12=2035,'BASE PAN - CAPEX'!$AD12,IF('BASE PAN - CAPEX'!$AE12=2035,'BASE PAN - CAPEX'!$AP12,IF('BASE PAN - CAPEX'!$AQ12=2035,'BASE PAN - CAPEX'!$BB12,0))))*1.7</f>
        <v>0</v>
      </c>
      <c r="U12" s="1">
        <f>(IF('BASE PAN - CAPEX'!$S12=2036,'BASE PAN - CAPEX'!$AD12,IF('BASE PAN - CAPEX'!$AE12=2036,'BASE PAN - CAPEX'!$AP12,IF('BASE PAN - CAPEX'!$AQ12=2036,'BASE PAN - CAPEX'!$BB12,0))))*1.7</f>
        <v>0</v>
      </c>
      <c r="V12" s="1">
        <f>((IF('BASE PAN - CAPEX'!$S12=2037,'BASE PAN - CAPEX'!$AD12,IF('BASE PAN - CAPEX'!$AE12=2037,'BASE PAN - CAPEX'!$AP12,IF('BASE PAN - CAPEX'!$AQ12=2037,'BASE PAN - CAPEX'!$BB12,0))))+VLOOKUP(C12,'BASE PAN - CAPEX - 1º ANO'!$C$3:$BG$35,57,FALSE))*1.7</f>
        <v>0</v>
      </c>
      <c r="W12" s="1">
        <f>(IF('BASE PAN - CAPEX'!$S12=2038,'BASE PAN - CAPEX'!$AD12,IF('BASE PAN - CAPEX'!$AE12=2038,'BASE PAN - CAPEX'!$AP12,IF('BASE PAN - CAPEX'!$AQ12=2038,'BASE PAN - CAPEX'!$BB12,0))))*1.7</f>
        <v>0</v>
      </c>
      <c r="X12" s="1">
        <f>(IF('BASE PAN - CAPEX'!$S12=2039,'BASE PAN - CAPEX'!$AD12,IF('BASE PAN - CAPEX'!$AE12=2039,'BASE PAN - CAPEX'!$AP12,IF('BASE PAN - CAPEX'!$AQ12=2039,'BASE PAN - CAPEX'!$BB12,0))))*1.7</f>
        <v>0</v>
      </c>
      <c r="Y12" s="1">
        <f>(IF('BASE PAN - CAPEX'!$S12=2040,'BASE PAN - CAPEX'!$AD12,IF('BASE PAN - CAPEX'!$AE12=2040,'BASE PAN - CAPEX'!$AP12,IF('BASE PAN - CAPEX'!$AQ12=2040,'BASE PAN - CAPEX'!$BB12,0))))*1.7</f>
        <v>0</v>
      </c>
      <c r="Z12" s="1">
        <f>(IF('BASE PAN - CAPEX'!$S12=2041,'BASE PAN - CAPEX'!$AD12,IF('BASE PAN - CAPEX'!$AE12=2041,'BASE PAN - CAPEX'!$AP12,IF('BASE PAN - CAPEX'!$AQ12=2041,'BASE PAN - CAPEX'!$BB12,0))))*1.7</f>
        <v>0</v>
      </c>
      <c r="AA12" s="1">
        <f>(IF('BASE PAN - CAPEX'!$S12=2042,'BASE PAN - CAPEX'!$AD12,IF('BASE PAN - CAPEX'!$AE12=2042,'BASE PAN - CAPEX'!$AP12,IF('BASE PAN - CAPEX'!$AQ12=2042,'BASE PAN - CAPEX'!$BB12,0))))*1.7</f>
        <v>0</v>
      </c>
      <c r="AB12" s="1">
        <f>(IF('BASE PAN - CAPEX'!$S12=2043,'BASE PAN - CAPEX'!$AD12,IF('BASE PAN - CAPEX'!$AE12=2043,'BASE PAN - CAPEX'!$AP12,IF('BASE PAN - CAPEX'!$AQ12=2043,'BASE PAN - CAPEX'!$BB12,0))))*1.7</f>
        <v>0</v>
      </c>
      <c r="AC12" s="1">
        <f>(IF('BASE PAN - CAPEX'!$S12=2044,'BASE PAN - CAPEX'!$AD12,IF('BASE PAN - CAPEX'!$AE12=2044,'BASE PAN - CAPEX'!$AP12,IF('BASE PAN - CAPEX'!$AQ12=2044,'BASE PAN - CAPEX'!$BB12,0))))*1.7</f>
        <v>0</v>
      </c>
      <c r="AD12" s="1">
        <f>(IF('BASE PAN - CAPEX'!$S12=2045,'BASE PAN - CAPEX'!$AD12,IF('BASE PAN - CAPEX'!$AE12=2045,'BASE PAN - CAPEX'!$AP12,IF('BASE PAN - CAPEX'!$AQ12=2045,'BASE PAN - CAPEX'!$BB12,0))))*1.7</f>
        <v>0</v>
      </c>
      <c r="AE12" s="1">
        <f>(IF('BASE PAN - CAPEX'!$S12=2046,'BASE PAN - CAPEX'!$AD12,IF('BASE PAN - CAPEX'!$AE12=2046,'BASE PAN - CAPEX'!$AP12,IF('BASE PAN - CAPEX'!$AQ12=2046,'BASE PAN - CAPEX'!$BB12,0))))*1.7</f>
        <v>0</v>
      </c>
      <c r="AF12" s="1">
        <f>(IF('BASE PAN - CAPEX'!$S12=2047,'BASE PAN - CAPEX'!$AD12,IF('BASE PAN - CAPEX'!$AE12=2047,'BASE PAN - CAPEX'!$AP12,IF('BASE PAN - CAPEX'!$AQ12=2047,'BASE PAN - CAPEX'!$BB12,0))))*1.7</f>
        <v>0</v>
      </c>
      <c r="AG12" s="1">
        <f>(IF('BASE PAN - CAPEX'!$S12=2048,'BASE PAN - CAPEX'!$AD12,IF('BASE PAN - CAPEX'!$AE12=2048,'BASE PAN - CAPEX'!$AP12,IF('BASE PAN - CAPEX'!$AQ12=2048,'BASE PAN - CAPEX'!$BB12,0))))*1.7</f>
        <v>0</v>
      </c>
      <c r="AH12" s="1">
        <f>(IF('BASE PAN - CAPEX'!$S12=2049,'BASE PAN - CAPEX'!$AD12,IF('BASE PAN - CAPEX'!$AE12=2049,'BASE PAN - CAPEX'!$AP12,IF('BASE PAN - CAPEX'!$AQ12=2049,'BASE PAN - CAPEX'!$BB12,0))))*1.7</f>
        <v>94010000</v>
      </c>
      <c r="AI12" s="1">
        <f>(IF('BASE PAN - CAPEX'!$S12=2050,'BASE PAN - CAPEX'!$AD12,IF('BASE PAN - CAPEX'!$AE12=2050,'BASE PAN - CAPEX'!$AP12,IF('BASE PAN - CAPEX'!$AQ12=2050,'BASE PAN - CAPEX'!$BB12,0))))*1.7</f>
        <v>0</v>
      </c>
      <c r="AJ12" s="1">
        <f>(IF('BASE PAN - CAPEX'!$S12=2051,'BASE PAN - CAPEX'!$AD12,IF('BASE PAN - CAPEX'!$AE12=2051,'BASE PAN - CAPEX'!$AP12,IF('BASE PAN - CAPEX'!$AQ12=2051,'BASE PAN - CAPEX'!$BB12,0))))*1.7</f>
        <v>0</v>
      </c>
      <c r="AK12" s="1">
        <f>(IF('BASE PAN - CAPEX'!$S12=2052,'BASE PAN - CAPEX'!$AD12,IF('BASE PAN - CAPEX'!$AE12=2052,'BASE PAN - CAPEX'!$AP12,IF('BASE PAN - CAPEX'!$AQ12=2052,'BASE PAN - CAPEX'!$BB12,0))))*1.7</f>
        <v>0</v>
      </c>
      <c r="AL12" s="1">
        <f>(IF('BASE PAN - CAPEX'!$S12=2053,'BASE PAN - CAPEX'!$AD12,IF('BASE PAN - CAPEX'!$AE12=2053,'BASE PAN - CAPEX'!$AP12,IF('BASE PAN - CAPEX'!$AQ12=2053,'BASE PAN - CAPEX'!$BB12,0))))*1.7</f>
        <v>0</v>
      </c>
      <c r="AM12" s="1">
        <f t="shared" si="0"/>
        <v>164415500</v>
      </c>
      <c r="AN12" t="str">
        <f>VLOOKUP(C12,'[6]CAPEX - BLOCOS PAN'!$C$3:$AN$249,38,FALSE)</f>
        <v>N</v>
      </c>
      <c r="AO12" s="3">
        <v>1</v>
      </c>
      <c r="AP12" s="3" t="s">
        <v>171</v>
      </c>
      <c r="AQ12" s="3">
        <v>2049</v>
      </c>
      <c r="AR12" s="3">
        <v>2026</v>
      </c>
      <c r="AS12" s="3" t="s">
        <v>171</v>
      </c>
      <c r="AT12" s="3">
        <v>3</v>
      </c>
      <c r="AU12" s="3">
        <v>2</v>
      </c>
      <c r="AV12" t="str">
        <f>VLOOKUP(C12,'[6]CAPEX - BLOCOS PAN'!$C$3:$AV$249,46,FALSE)</f>
        <v>Privada</v>
      </c>
      <c r="AW12" t="str">
        <f>VLOOKUP(C12,'FLUXO DE CAIXA DESC.-BLOCOS PAN'!$D$3:$AO$52,38,FALSE)</f>
        <v>PA - 2 - AL</v>
      </c>
    </row>
    <row r="13" spans="1:49" x14ac:dyDescent="0.35">
      <c r="A13" t="s">
        <v>77</v>
      </c>
      <c r="B13" t="s">
        <v>78</v>
      </c>
      <c r="C13" t="s">
        <v>79</v>
      </c>
      <c r="D13" t="s">
        <v>78</v>
      </c>
      <c r="E13" t="s">
        <v>35</v>
      </c>
      <c r="F13" t="s">
        <v>33</v>
      </c>
      <c r="G13" t="s">
        <v>34</v>
      </c>
      <c r="H13" s="1">
        <f>(VLOOKUP(C13,'BASE PAN - CAPEX'!$C$3:$R$37,16,FALSE)+'BASE PAN - CAPEX'!BC13)*1.7</f>
        <v>29758500</v>
      </c>
      <c r="I13" s="1">
        <f>(IF('BASE PAN - CAPEX'!$S13=2024,'BASE PAN - CAPEX'!$AD13,IF('BASE PAN - CAPEX'!$AE13=2024,'BASE PAN - CAPEX'!$AP13,IF('BASE PAN - CAPEX'!$AQ13=2024,'BASE PAN - CAPEX'!$BB13,0))))*1.7</f>
        <v>459000</v>
      </c>
      <c r="J13" s="1">
        <f>(IF('BASE PAN - CAPEX'!$S13=2025,'BASE PAN - CAPEX'!$AD13,IF('BASE PAN - CAPEX'!$AE13=2025,'BASE PAN - CAPEX'!$AP13,IF('BASE PAN - CAPEX'!$AQ13=2025,'BASE PAN - CAPEX'!$BB13,0))))*1.7</f>
        <v>0</v>
      </c>
      <c r="K13" s="1">
        <f>(IF('BASE PAN - CAPEX'!$S13=2026,'BASE PAN - CAPEX'!$AD13,IF('BASE PAN - CAPEX'!$AE13=2026,'BASE PAN - CAPEX'!$AP13,IF('BASE PAN - CAPEX'!$AQ13=2026,'BASE PAN - CAPEX'!$BB13,0))))*1.7</f>
        <v>0</v>
      </c>
      <c r="L13" s="1">
        <f>((IF('BASE PAN - CAPEX'!$S13=2027,'BASE PAN - CAPEX'!$AD13,IF('BASE PAN - CAPEX'!$AE13=2027,'BASE PAN - CAPEX'!$AP13,IF('BASE PAN - CAPEX'!$AQ13=2027,'BASE PAN - CAPEX'!$BB13,0))))+VLOOKUP(C13,'BASE PAN - CAPEX - 1º ANO'!$C$3:$BE$35,55,FALSE))*1.7</f>
        <v>0</v>
      </c>
      <c r="M13" s="1">
        <f>(IF('BASE PAN - CAPEX'!$S13=2028,'BASE PAN - CAPEX'!$AD13,IF('BASE PAN - CAPEX'!$AE13=2028,'BASE PAN - CAPEX'!$AP13,IF('BASE PAN - CAPEX'!$AQ13=2028,'BASE PAN - CAPEX'!$BB13,0))))*1.7</f>
        <v>0</v>
      </c>
      <c r="N13" s="1">
        <f>(IF('BASE PAN - CAPEX'!$S13=2029,'BASE PAN - CAPEX'!$AD13,IF('BASE PAN - CAPEX'!$AE13=2029,'BASE PAN - CAPEX'!$AP13,IF('BASE PAN - CAPEX'!$AQ13=2029,'BASE PAN - CAPEX'!$BB13,0))))*1.7</f>
        <v>0</v>
      </c>
      <c r="O13" s="1">
        <f>(IF('BASE PAN - CAPEX'!$S13=2030,'BASE PAN - CAPEX'!$AD13,IF('BASE PAN - CAPEX'!$AE13=2030,'BASE PAN - CAPEX'!$AP13,IF('BASE PAN - CAPEX'!$AQ13=2030,'BASE PAN - CAPEX'!$BB13,0))))*1.7</f>
        <v>0</v>
      </c>
      <c r="P13" s="1">
        <f>(IF('BASE PAN - CAPEX'!$S13=2031,'BASE PAN - CAPEX'!$AD13,IF('BASE PAN - CAPEX'!$AE13=2031,'BASE PAN - CAPEX'!$AP13,IF('BASE PAN - CAPEX'!$AQ13=2031,'BASE PAN - CAPEX'!$BB13,0))))*1.7</f>
        <v>0</v>
      </c>
      <c r="Q13" s="1">
        <f>(IF('BASE PAN - CAPEX'!$S13=2032,'BASE PAN - CAPEX'!$AD13,IF('BASE PAN - CAPEX'!$AE13=2032,'BASE PAN - CAPEX'!$AP13,IF('BASE PAN - CAPEX'!$AQ13=2032,'BASE PAN - CAPEX'!$BB13,0))))*1.7</f>
        <v>0</v>
      </c>
      <c r="R13" s="1">
        <f>(IF('BASE PAN - CAPEX'!$S13=2033,'BASE PAN - CAPEX'!$AD13,IF('BASE PAN - CAPEX'!$AE13=2033,'BASE PAN - CAPEX'!$AP13,IF('BASE PAN - CAPEX'!$AQ13=2033,'BASE PAN - CAPEX'!$BB13,0))))*1.7</f>
        <v>0</v>
      </c>
      <c r="S13" s="1">
        <f>(IF('BASE PAN - CAPEX'!$S13=2034,'BASE PAN - CAPEX'!$AD13,IF('BASE PAN - CAPEX'!$AE13=2034,'BASE PAN - CAPEX'!$AP13,IF('BASE PAN - CAPEX'!$AQ13=2034,'BASE PAN - CAPEX'!$BB13,0))))*1.7</f>
        <v>0</v>
      </c>
      <c r="T13" s="1">
        <f>(IF('BASE PAN - CAPEX'!$S13=2035,'BASE PAN - CAPEX'!$AD13,IF('BASE PAN - CAPEX'!$AE13=2035,'BASE PAN - CAPEX'!$AP13,IF('BASE PAN - CAPEX'!$AQ13=2035,'BASE PAN - CAPEX'!$BB13,0))))*1.7</f>
        <v>0</v>
      </c>
      <c r="U13" s="1">
        <f>(IF('BASE PAN - CAPEX'!$S13=2036,'BASE PAN - CAPEX'!$AD13,IF('BASE PAN - CAPEX'!$AE13=2036,'BASE PAN - CAPEX'!$AP13,IF('BASE PAN - CAPEX'!$AQ13=2036,'BASE PAN - CAPEX'!$BB13,0))))*1.7</f>
        <v>0</v>
      </c>
      <c r="V13" s="1">
        <f>((IF('BASE PAN - CAPEX'!$S13=2037,'BASE PAN - CAPEX'!$AD13,IF('BASE PAN - CAPEX'!$AE13=2037,'BASE PAN - CAPEX'!$AP13,IF('BASE PAN - CAPEX'!$AQ13=2037,'BASE PAN - CAPEX'!$BB13,0))))+VLOOKUP(C13,'BASE PAN - CAPEX - 1º ANO'!$C$3:$BG$35,57,FALSE))*1.7</f>
        <v>0</v>
      </c>
      <c r="W13" s="1">
        <f>(IF('BASE PAN - CAPEX'!$S13=2038,'BASE PAN - CAPEX'!$AD13,IF('BASE PAN - CAPEX'!$AE13=2038,'BASE PAN - CAPEX'!$AP13,IF('BASE PAN - CAPEX'!$AQ13=2038,'BASE PAN - CAPEX'!$BB13,0))))*1.7</f>
        <v>0</v>
      </c>
      <c r="X13" s="1">
        <f>(IF('BASE PAN - CAPEX'!$S13=2039,'BASE PAN - CAPEX'!$AD13,IF('BASE PAN - CAPEX'!$AE13=2039,'BASE PAN - CAPEX'!$AP13,IF('BASE PAN - CAPEX'!$AQ13=2039,'BASE PAN - CAPEX'!$BB13,0))))*1.7</f>
        <v>0</v>
      </c>
      <c r="Y13" s="1">
        <f>(IF('BASE PAN - CAPEX'!$S13=2040,'BASE PAN - CAPEX'!$AD13,IF('BASE PAN - CAPEX'!$AE13=2040,'BASE PAN - CAPEX'!$AP13,IF('BASE PAN - CAPEX'!$AQ13=2040,'BASE PAN - CAPEX'!$BB13,0))))*1.7</f>
        <v>0</v>
      </c>
      <c r="Z13" s="1">
        <f>(IF('BASE PAN - CAPEX'!$S13=2041,'BASE PAN - CAPEX'!$AD13,IF('BASE PAN - CAPEX'!$AE13=2041,'BASE PAN - CAPEX'!$AP13,IF('BASE PAN - CAPEX'!$AQ13=2041,'BASE PAN - CAPEX'!$BB13,0))))*1.7</f>
        <v>0</v>
      </c>
      <c r="AA13" s="1">
        <f>(IF('BASE PAN - CAPEX'!$S13=2042,'BASE PAN - CAPEX'!$AD13,IF('BASE PAN - CAPEX'!$AE13=2042,'BASE PAN - CAPEX'!$AP13,IF('BASE PAN - CAPEX'!$AQ13=2042,'BASE PAN - CAPEX'!$BB13,0))))*1.7</f>
        <v>0</v>
      </c>
      <c r="AB13" s="1">
        <f>(IF('BASE PAN - CAPEX'!$S13=2043,'BASE PAN - CAPEX'!$AD13,IF('BASE PAN - CAPEX'!$AE13=2043,'BASE PAN - CAPEX'!$AP13,IF('BASE PAN - CAPEX'!$AQ13=2043,'BASE PAN - CAPEX'!$BB13,0))))*1.7</f>
        <v>0</v>
      </c>
      <c r="AC13" s="1">
        <f>(IF('BASE PAN - CAPEX'!$S13=2044,'BASE PAN - CAPEX'!$AD13,IF('BASE PAN - CAPEX'!$AE13=2044,'BASE PAN - CAPEX'!$AP13,IF('BASE PAN - CAPEX'!$AQ13=2044,'BASE PAN - CAPEX'!$BB13,0))))*1.7</f>
        <v>0</v>
      </c>
      <c r="AD13" s="1">
        <f>(IF('BASE PAN - CAPEX'!$S13=2045,'BASE PAN - CAPEX'!$AD13,IF('BASE PAN - CAPEX'!$AE13=2045,'BASE PAN - CAPEX'!$AP13,IF('BASE PAN - CAPEX'!$AQ13=2045,'BASE PAN - CAPEX'!$BB13,0))))*1.7</f>
        <v>0</v>
      </c>
      <c r="AE13" s="1">
        <f>(IF('BASE PAN - CAPEX'!$S13=2046,'BASE PAN - CAPEX'!$AD13,IF('BASE PAN - CAPEX'!$AE13=2046,'BASE PAN - CAPEX'!$AP13,IF('BASE PAN - CAPEX'!$AQ13=2046,'BASE PAN - CAPEX'!$BB13,0))))*1.7</f>
        <v>0</v>
      </c>
      <c r="AF13" s="1">
        <f>(IF('BASE PAN - CAPEX'!$S13=2047,'BASE PAN - CAPEX'!$AD13,IF('BASE PAN - CAPEX'!$AE13=2047,'BASE PAN - CAPEX'!$AP13,IF('BASE PAN - CAPEX'!$AQ13=2047,'BASE PAN - CAPEX'!$BB13,0))))*1.7</f>
        <v>0</v>
      </c>
      <c r="AG13" s="1">
        <f>(IF('BASE PAN - CAPEX'!$S13=2048,'BASE PAN - CAPEX'!$AD13,IF('BASE PAN - CAPEX'!$AE13=2048,'BASE PAN - CAPEX'!$AP13,IF('BASE PAN - CAPEX'!$AQ13=2048,'BASE PAN - CAPEX'!$BB13,0))))*1.7</f>
        <v>0</v>
      </c>
      <c r="AH13" s="1">
        <f>(IF('BASE PAN - CAPEX'!$S13=2049,'BASE PAN - CAPEX'!$AD13,IF('BASE PAN - CAPEX'!$AE13=2049,'BASE PAN - CAPEX'!$AP13,IF('BASE PAN - CAPEX'!$AQ13=2049,'BASE PAN - CAPEX'!$BB13,0))))*1.7</f>
        <v>0</v>
      </c>
      <c r="AI13" s="1">
        <f>(IF('BASE PAN - CAPEX'!$S13=2050,'BASE PAN - CAPEX'!$AD13,IF('BASE PAN - CAPEX'!$AE13=2050,'BASE PAN - CAPEX'!$AP13,IF('BASE PAN - CAPEX'!$AQ13=2050,'BASE PAN - CAPEX'!$BB13,0))))*1.7</f>
        <v>0</v>
      </c>
      <c r="AJ13" s="1">
        <f>(IF('BASE PAN - CAPEX'!$S13=2051,'BASE PAN - CAPEX'!$AD13,IF('BASE PAN - CAPEX'!$AE13=2051,'BASE PAN - CAPEX'!$AP13,IF('BASE PAN - CAPEX'!$AQ13=2051,'BASE PAN - CAPEX'!$BB13,0))))*1.7</f>
        <v>0</v>
      </c>
      <c r="AK13" s="1">
        <f>(IF('BASE PAN - CAPEX'!$S13=2052,'BASE PAN - CAPEX'!$AD13,IF('BASE PAN - CAPEX'!$AE13=2052,'BASE PAN - CAPEX'!$AP13,IF('BASE PAN - CAPEX'!$AQ13=2052,'BASE PAN - CAPEX'!$BB13,0))))*1.7</f>
        <v>112353000</v>
      </c>
      <c r="AL13" s="1">
        <f>(IF('BASE PAN - CAPEX'!$S13=2053,'BASE PAN - CAPEX'!$AD13,IF('BASE PAN - CAPEX'!$AE13=2053,'BASE PAN - CAPEX'!$AP13,IF('BASE PAN - CAPEX'!$AQ13=2053,'BASE PAN - CAPEX'!$BB13,0))))*1.7</f>
        <v>0</v>
      </c>
      <c r="AM13" s="1">
        <f t="shared" si="0"/>
        <v>142570500</v>
      </c>
      <c r="AN13" t="str">
        <f>VLOOKUP(C13,'[6]CAPEX - BLOCOS PAN'!$C$3:$AN$249,38,FALSE)</f>
        <v>N</v>
      </c>
      <c r="AO13" s="3">
        <v>1</v>
      </c>
      <c r="AP13" s="3" t="s">
        <v>171</v>
      </c>
      <c r="AQ13" s="3">
        <v>2052</v>
      </c>
      <c r="AR13" s="3">
        <v>2024</v>
      </c>
      <c r="AS13" s="3" t="s">
        <v>171</v>
      </c>
      <c r="AT13" s="3">
        <v>3</v>
      </c>
      <c r="AU13" s="3">
        <v>2</v>
      </c>
      <c r="AV13" t="str">
        <f>VLOOKUP(C13,'[6]CAPEX - BLOCOS PAN'!$C$3:$AV$249,46,FALSE)</f>
        <v>Privada</v>
      </c>
      <c r="AW13" t="str">
        <f>VLOOKUP(C13,'FLUXO DE CAIXA DESC.-BLOCOS PAN'!$D$3:$AO$52,38,FALSE)</f>
        <v>AM - 2 - AL</v>
      </c>
    </row>
    <row r="14" spans="1:49" x14ac:dyDescent="0.35">
      <c r="A14" t="s">
        <v>80</v>
      </c>
      <c r="B14" t="s">
        <v>81</v>
      </c>
      <c r="C14" t="s">
        <v>82</v>
      </c>
      <c r="D14" t="s">
        <v>81</v>
      </c>
      <c r="E14" t="s">
        <v>40</v>
      </c>
      <c r="F14" t="s">
        <v>33</v>
      </c>
      <c r="G14" t="s">
        <v>34</v>
      </c>
      <c r="H14" s="1">
        <f>(VLOOKUP(C14,'BASE PAN - CAPEX'!$C$3:$R$37,16,FALSE)+'BASE PAN - CAPEX'!BC14)*1.5</f>
        <v>15442500</v>
      </c>
      <c r="I14" s="1">
        <f>(IF('BASE PAN - CAPEX'!$S14=2024,'BASE PAN - CAPEX'!$AD14,IF('BASE PAN - CAPEX'!$AE14=2024,'BASE PAN - CAPEX'!$AP14,IF('BASE PAN - CAPEX'!$AQ14=2024,'BASE PAN - CAPEX'!$BB14,0))))*1.5</f>
        <v>0</v>
      </c>
      <c r="J14" s="1">
        <f>(IF('BASE PAN - CAPEX'!$S14=2025,'BASE PAN - CAPEX'!$AD14,IF('BASE PAN - CAPEX'!$AE14=2025,'BASE PAN - CAPEX'!$AP14,IF('BASE PAN - CAPEX'!$AQ14=2025,'BASE PAN - CAPEX'!$BB14,0))))*1.5</f>
        <v>0</v>
      </c>
      <c r="K14" s="1">
        <f>(IF('BASE PAN - CAPEX'!$S14=2026,'BASE PAN - CAPEX'!$AD14,IF('BASE PAN - CAPEX'!$AE14=2026,'BASE PAN - CAPEX'!$AP14,IF('BASE PAN - CAPEX'!$AQ14=2026,'BASE PAN - CAPEX'!$BB14,0))))*1.5</f>
        <v>0</v>
      </c>
      <c r="L14" s="1">
        <f>((IF('BASE PAN - CAPEX'!$S14=2027,'BASE PAN - CAPEX'!$AD14,IF('BASE PAN - CAPEX'!$AE14=2027,'BASE PAN - CAPEX'!$AP14,IF('BASE PAN - CAPEX'!$AQ14=2027,'BASE PAN - CAPEX'!$BB14,0))))+VLOOKUP(C14,'BASE PAN - CAPEX - 1º ANO'!$C$3:$BE$35,55,FALSE))*1.5</f>
        <v>0</v>
      </c>
      <c r="M14" s="1">
        <f>(IF('BASE PAN - CAPEX'!$S14=2028,'BASE PAN - CAPEX'!$AD14,IF('BASE PAN - CAPEX'!$AE14=2028,'BASE PAN - CAPEX'!$AP14,IF('BASE PAN - CAPEX'!$AQ14=2028,'BASE PAN - CAPEX'!$BB14,0))))*1.5</f>
        <v>0</v>
      </c>
      <c r="N14" s="1">
        <f>(IF('BASE PAN - CAPEX'!$S14=2029,'BASE PAN - CAPEX'!$AD14,IF('BASE PAN - CAPEX'!$AE14=2029,'BASE PAN - CAPEX'!$AP14,IF('BASE PAN - CAPEX'!$AQ14=2029,'BASE PAN - CAPEX'!$BB14,0))))*1.5</f>
        <v>0</v>
      </c>
      <c r="O14" s="1">
        <f>(IF('BASE PAN - CAPEX'!$S14=2030,'BASE PAN - CAPEX'!$AD14,IF('BASE PAN - CAPEX'!$AE14=2030,'BASE PAN - CAPEX'!$AP14,IF('BASE PAN - CAPEX'!$AQ14=2030,'BASE PAN - CAPEX'!$BB14,0))))*1.5</f>
        <v>0</v>
      </c>
      <c r="P14" s="1">
        <f>(IF('BASE PAN - CAPEX'!$S14=2031,'BASE PAN - CAPEX'!$AD14,IF('BASE PAN - CAPEX'!$AE14=2031,'BASE PAN - CAPEX'!$AP14,IF('BASE PAN - CAPEX'!$AQ14=2031,'BASE PAN - CAPEX'!$BB14,0))))*1.5</f>
        <v>0</v>
      </c>
      <c r="Q14" s="1">
        <f>(IF('BASE PAN - CAPEX'!$S14=2032,'BASE PAN - CAPEX'!$AD14,IF('BASE PAN - CAPEX'!$AE14=2032,'BASE PAN - CAPEX'!$AP14,IF('BASE PAN - CAPEX'!$AQ14=2032,'BASE PAN - CAPEX'!$BB14,0))))*1.5</f>
        <v>0</v>
      </c>
      <c r="R14" s="1">
        <f>(IF('BASE PAN - CAPEX'!$S14=2033,'BASE PAN - CAPEX'!$AD14,IF('BASE PAN - CAPEX'!$AE14=2033,'BASE PAN - CAPEX'!$AP14,IF('BASE PAN - CAPEX'!$AQ14=2033,'BASE PAN - CAPEX'!$BB14,0))))*1.5</f>
        <v>0</v>
      </c>
      <c r="S14" s="1">
        <f>(IF('BASE PAN - CAPEX'!$S14=2034,'BASE PAN - CAPEX'!$AD14,IF('BASE PAN - CAPEX'!$AE14=2034,'BASE PAN - CAPEX'!$AP14,IF('BASE PAN - CAPEX'!$AQ14=2034,'BASE PAN - CAPEX'!$BB14,0))))*1.5</f>
        <v>0</v>
      </c>
      <c r="T14" s="1">
        <f>(IF('BASE PAN - CAPEX'!$S14=2035,'BASE PAN - CAPEX'!$AD14,IF('BASE PAN - CAPEX'!$AE14=2035,'BASE PAN - CAPEX'!$AP14,IF('BASE PAN - CAPEX'!$AQ14=2035,'BASE PAN - CAPEX'!$BB14,0))))*1.5</f>
        <v>0</v>
      </c>
      <c r="U14" s="1">
        <f>(IF('BASE PAN - CAPEX'!$S14=2036,'BASE PAN - CAPEX'!$AD14,IF('BASE PAN - CAPEX'!$AE14=2036,'BASE PAN - CAPEX'!$AP14,IF('BASE PAN - CAPEX'!$AQ14=2036,'BASE PAN - CAPEX'!$BB14,0))))*1.5</f>
        <v>0</v>
      </c>
      <c r="V14" s="1">
        <f>((IF('BASE PAN - CAPEX'!$S14=2037,'BASE PAN - CAPEX'!$AD14,IF('BASE PAN - CAPEX'!$AE14=2037,'BASE PAN - CAPEX'!$AP14,IF('BASE PAN - CAPEX'!$AQ14=2037,'BASE PAN - CAPEX'!$BB14,0))))+VLOOKUP(C13,'BASE PAN - CAPEX - 1º ANO'!$C$3:$BG$35,57,FALSE))*1.5</f>
        <v>0</v>
      </c>
      <c r="W14" s="1">
        <f>(IF('BASE PAN - CAPEX'!$S14=2038,'BASE PAN - CAPEX'!$AD14,IF('BASE PAN - CAPEX'!$AE14=2038,'BASE PAN - CAPEX'!$AP14,IF('BASE PAN - CAPEX'!$AQ14=2038,'BASE PAN - CAPEX'!$BB14,0))))*1.5</f>
        <v>0</v>
      </c>
      <c r="X14" s="1">
        <f>(IF('BASE PAN - CAPEX'!$S14=2039,'BASE PAN - CAPEX'!$AD14,IF('BASE PAN - CAPEX'!$AE14=2039,'BASE PAN - CAPEX'!$AP14,IF('BASE PAN - CAPEX'!$AQ14=2039,'BASE PAN - CAPEX'!$BB14,0))))*1.5</f>
        <v>0</v>
      </c>
      <c r="Y14" s="1">
        <f>(IF('BASE PAN - CAPEX'!$S14=2040,'BASE PAN - CAPEX'!$AD14,IF('BASE PAN - CAPEX'!$AE14=2040,'BASE PAN - CAPEX'!$AP14,IF('BASE PAN - CAPEX'!$AQ14=2040,'BASE PAN - CAPEX'!$BB14,0))))*1.5</f>
        <v>0</v>
      </c>
      <c r="Z14" s="1">
        <f>(IF('BASE PAN - CAPEX'!$S14=2041,'BASE PAN - CAPEX'!$AD14,IF('BASE PAN - CAPEX'!$AE14=2041,'BASE PAN - CAPEX'!$AP14,IF('BASE PAN - CAPEX'!$AQ14=2041,'BASE PAN - CAPEX'!$BB14,0))))*1.5</f>
        <v>0</v>
      </c>
      <c r="AA14" s="1">
        <f>(IF('BASE PAN - CAPEX'!$S14=2042,'BASE PAN - CAPEX'!$AD14,IF('BASE PAN - CAPEX'!$AE14=2042,'BASE PAN - CAPEX'!$AP14,IF('BASE PAN - CAPEX'!$AQ14=2042,'BASE PAN - CAPEX'!$BB14,0))))*1.5</f>
        <v>0</v>
      </c>
      <c r="AB14" s="1">
        <f>(IF('BASE PAN - CAPEX'!$S14=2043,'BASE PAN - CAPEX'!$AD14,IF('BASE PAN - CAPEX'!$AE14=2043,'BASE PAN - CAPEX'!$AP14,IF('BASE PAN - CAPEX'!$AQ14=2043,'BASE PAN - CAPEX'!$BB14,0))))*1.5</f>
        <v>0</v>
      </c>
      <c r="AC14" s="1">
        <f>(IF('BASE PAN - CAPEX'!$S14=2044,'BASE PAN - CAPEX'!$AD14,IF('BASE PAN - CAPEX'!$AE14=2044,'BASE PAN - CAPEX'!$AP14,IF('BASE PAN - CAPEX'!$AQ14=2044,'BASE PAN - CAPEX'!$BB14,0))))*1.5</f>
        <v>0</v>
      </c>
      <c r="AD14" s="1">
        <f>(IF('BASE PAN - CAPEX'!$S14=2045,'BASE PAN - CAPEX'!$AD14,IF('BASE PAN - CAPEX'!$AE14=2045,'BASE PAN - CAPEX'!$AP14,IF('BASE PAN - CAPEX'!$AQ14=2045,'BASE PAN - CAPEX'!$BB14,0))))*1.5</f>
        <v>0</v>
      </c>
      <c r="AE14" s="1">
        <f>(IF('BASE PAN - CAPEX'!$S14=2046,'BASE PAN - CAPEX'!$AD14,IF('BASE PAN - CAPEX'!$AE14=2046,'BASE PAN - CAPEX'!$AP14,IF('BASE PAN - CAPEX'!$AQ14=2046,'BASE PAN - CAPEX'!$BB14,0))))*1.5</f>
        <v>0</v>
      </c>
      <c r="AF14" s="1">
        <f>(IF('BASE PAN - CAPEX'!$S14=2047,'BASE PAN - CAPEX'!$AD14,IF('BASE PAN - CAPEX'!$AE14=2047,'BASE PAN - CAPEX'!$AP14,IF('BASE PAN - CAPEX'!$AQ14=2047,'BASE PAN - CAPEX'!$BB14,0))))*1.5</f>
        <v>0</v>
      </c>
      <c r="AG14" s="1">
        <f>(IF('BASE PAN - CAPEX'!$S14=2048,'BASE PAN - CAPEX'!$AD14,IF('BASE PAN - CAPEX'!$AE14=2048,'BASE PAN - CAPEX'!$AP14,IF('BASE PAN - CAPEX'!$AQ14=2048,'BASE PAN - CAPEX'!$BB14,0))))*1.5</f>
        <v>52147500</v>
      </c>
      <c r="AH14" s="1">
        <f>(IF('BASE PAN - CAPEX'!$S14=2049,'BASE PAN - CAPEX'!$AD14,IF('BASE PAN - CAPEX'!$AE14=2049,'BASE PAN - CAPEX'!$AP14,IF('BASE PAN - CAPEX'!$AQ14=2049,'BASE PAN - CAPEX'!$BB14,0))))*1.5</f>
        <v>0</v>
      </c>
      <c r="AI14" s="1">
        <f>(IF('BASE PAN - CAPEX'!$S14=2050,'BASE PAN - CAPEX'!$AD14,IF('BASE PAN - CAPEX'!$AE14=2050,'BASE PAN - CAPEX'!$AP14,IF('BASE PAN - CAPEX'!$AQ14=2050,'BASE PAN - CAPEX'!$BB14,0))))*1.5</f>
        <v>0</v>
      </c>
      <c r="AJ14" s="1">
        <f>(IF('BASE PAN - CAPEX'!$S14=2051,'BASE PAN - CAPEX'!$AD14,IF('BASE PAN - CAPEX'!$AE14=2051,'BASE PAN - CAPEX'!$AP14,IF('BASE PAN - CAPEX'!$AQ14=2051,'BASE PAN - CAPEX'!$BB14,0))))*1.5</f>
        <v>0</v>
      </c>
      <c r="AK14" s="1">
        <f>(IF('BASE PAN - CAPEX'!$S14=2052,'BASE PAN - CAPEX'!$AD14,IF('BASE PAN - CAPEX'!$AE14=2052,'BASE PAN - CAPEX'!$AP14,IF('BASE PAN - CAPEX'!$AQ14=2052,'BASE PAN - CAPEX'!$BB14,0))))*1.5</f>
        <v>0</v>
      </c>
      <c r="AL14" s="1">
        <f>(IF('BASE PAN - CAPEX'!$S14=2053,'BASE PAN - CAPEX'!$AD14,IF('BASE PAN - CAPEX'!$AE14=2053,'BASE PAN - CAPEX'!$AP14,IF('BASE PAN - CAPEX'!$AQ14=2053,'BASE PAN - CAPEX'!$BB14,0))))*1.5</f>
        <v>0</v>
      </c>
      <c r="AM14" s="1">
        <f t="shared" si="0"/>
        <v>67590000</v>
      </c>
      <c r="AN14" t="str">
        <f>VLOOKUP(C14,'[6]CAPEX - BLOCOS PAN'!$C$3:$AN$249,38,FALSE)</f>
        <v>NE e CO</v>
      </c>
      <c r="AO14" s="3">
        <v>1</v>
      </c>
      <c r="AP14" s="3" t="s">
        <v>171</v>
      </c>
      <c r="AQ14" s="3">
        <v>2048</v>
      </c>
      <c r="AR14" s="3">
        <v>2032</v>
      </c>
      <c r="AS14" s="3" t="s">
        <v>171</v>
      </c>
      <c r="AT14" s="3">
        <v>3</v>
      </c>
      <c r="AU14" s="3">
        <v>2</v>
      </c>
      <c r="AV14" t="str">
        <f>VLOOKUP(C14,'[6]CAPEX - BLOCOS PAN'!$C$3:$AV$249,46,FALSE)</f>
        <v>Privada</v>
      </c>
      <c r="AW14" t="str">
        <f>VLOOKUP(C14,'FLUXO DE CAIXA DESC.-BLOCOS PAN'!$D$3:$AO$52,38,FALSE)</f>
        <v>Bloco Nordeste</v>
      </c>
    </row>
    <row r="15" spans="1:49" x14ac:dyDescent="0.35">
      <c r="A15" t="s">
        <v>83</v>
      </c>
      <c r="B15" t="s">
        <v>84</v>
      </c>
      <c r="C15" t="s">
        <v>85</v>
      </c>
      <c r="D15" t="s">
        <v>84</v>
      </c>
      <c r="E15" t="s">
        <v>30</v>
      </c>
      <c r="F15" t="s">
        <v>33</v>
      </c>
      <c r="G15" t="s">
        <v>34</v>
      </c>
      <c r="H15" s="1">
        <f>(VLOOKUP(C15,'BASE PAN - CAPEX'!$C$3:$R$37,16,FALSE)+'BASE PAN - CAPEX'!BC15)*1.7</f>
        <v>44591000</v>
      </c>
      <c r="I15" s="1">
        <f>(IF('BASE PAN - CAPEX'!$S15=2024,'BASE PAN - CAPEX'!$AD15,IF('BASE PAN - CAPEX'!$AE15=2024,'BASE PAN - CAPEX'!$AP15,IF('BASE PAN - CAPEX'!$AQ15=2024,'BASE PAN - CAPEX'!$BB15,0))))*1.7</f>
        <v>0</v>
      </c>
      <c r="J15" s="1">
        <f>(IF('BASE PAN - CAPEX'!$S15=2025,'BASE PAN - CAPEX'!$AD15,IF('BASE PAN - CAPEX'!$AE15=2025,'BASE PAN - CAPEX'!$AP15,IF('BASE PAN - CAPEX'!$AQ15=2025,'BASE PAN - CAPEX'!$BB15,0))))*1.7</f>
        <v>0</v>
      </c>
      <c r="K15" s="1">
        <f>(IF('BASE PAN - CAPEX'!$S15=2026,'BASE PAN - CAPEX'!$AD15,IF('BASE PAN - CAPEX'!$AE15=2026,'BASE PAN - CAPEX'!$AP15,IF('BASE PAN - CAPEX'!$AQ15=2026,'BASE PAN - CAPEX'!$BB15,0))))*1.7</f>
        <v>0</v>
      </c>
      <c r="L15" s="1">
        <f>((IF('BASE PAN - CAPEX'!$S15=2027,'BASE PAN - CAPEX'!$AD15,IF('BASE PAN - CAPEX'!$AE15=2027,'BASE PAN - CAPEX'!$AP15,IF('BASE PAN - CAPEX'!$AQ15=2027,'BASE PAN - CAPEX'!$BB15,0))))+VLOOKUP(C15,'BASE PAN - CAPEX - 1º ANO'!$C$3:$BE$35,55,FALSE))*1.7</f>
        <v>118617500</v>
      </c>
      <c r="M15" s="1">
        <f>(IF('BASE PAN - CAPEX'!$S15=2028,'BASE PAN - CAPEX'!$AD15,IF('BASE PAN - CAPEX'!$AE15=2028,'BASE PAN - CAPEX'!$AP15,IF('BASE PAN - CAPEX'!$AQ15=2028,'BASE PAN - CAPEX'!$BB15,0))))*1.7</f>
        <v>0</v>
      </c>
      <c r="N15" s="1">
        <f>(IF('BASE PAN - CAPEX'!$S15=2029,'BASE PAN - CAPEX'!$AD15,IF('BASE PAN - CAPEX'!$AE15=2029,'BASE PAN - CAPEX'!$AP15,IF('BASE PAN - CAPEX'!$AQ15=2029,'BASE PAN - CAPEX'!$BB15,0))))*1.7</f>
        <v>0</v>
      </c>
      <c r="O15" s="1">
        <f>(IF('BASE PAN - CAPEX'!$S15=2030,'BASE PAN - CAPEX'!$AD15,IF('BASE PAN - CAPEX'!$AE15=2030,'BASE PAN - CAPEX'!$AP15,IF('BASE PAN - CAPEX'!$AQ15=2030,'BASE PAN - CAPEX'!$BB15,0))))*1.7</f>
        <v>0</v>
      </c>
      <c r="P15" s="1">
        <f>(IF('BASE PAN - CAPEX'!$S15=2031,'BASE PAN - CAPEX'!$AD15,IF('BASE PAN - CAPEX'!$AE15=2031,'BASE PAN - CAPEX'!$AP15,IF('BASE PAN - CAPEX'!$AQ15=2031,'BASE PAN - CAPEX'!$BB15,0))))*1.7</f>
        <v>0</v>
      </c>
      <c r="Q15" s="1">
        <f>(IF('BASE PAN - CAPEX'!$S15=2032,'BASE PAN - CAPEX'!$AD15,IF('BASE PAN - CAPEX'!$AE15=2032,'BASE PAN - CAPEX'!$AP15,IF('BASE PAN - CAPEX'!$AQ15=2032,'BASE PAN - CAPEX'!$BB15,0))))*1.7</f>
        <v>0</v>
      </c>
      <c r="R15" s="1">
        <f>(IF('BASE PAN - CAPEX'!$S15=2033,'BASE PAN - CAPEX'!$AD15,IF('BASE PAN - CAPEX'!$AE15=2033,'BASE PAN - CAPEX'!$AP15,IF('BASE PAN - CAPEX'!$AQ15=2033,'BASE PAN - CAPEX'!$BB15,0))))*1.7</f>
        <v>0</v>
      </c>
      <c r="S15" s="1">
        <f>(IF('BASE PAN - CAPEX'!$S15=2034,'BASE PAN - CAPEX'!$AD15,IF('BASE PAN - CAPEX'!$AE15=2034,'BASE PAN - CAPEX'!$AP15,IF('BASE PAN - CAPEX'!$AQ15=2034,'BASE PAN - CAPEX'!$BB15,0))))*1.7</f>
        <v>0</v>
      </c>
      <c r="T15" s="1">
        <f>(IF('BASE PAN - CAPEX'!$S15=2035,'BASE PAN - CAPEX'!$AD15,IF('BASE PAN - CAPEX'!$AE15=2035,'BASE PAN - CAPEX'!$AP15,IF('BASE PAN - CAPEX'!$AQ15=2035,'BASE PAN - CAPEX'!$BB15,0))))*1.7</f>
        <v>0</v>
      </c>
      <c r="U15" s="1">
        <f>(IF('BASE PAN - CAPEX'!$S15=2036,'BASE PAN - CAPEX'!$AD15,IF('BASE PAN - CAPEX'!$AE15=2036,'BASE PAN - CAPEX'!$AP15,IF('BASE PAN - CAPEX'!$AQ15=2036,'BASE PAN - CAPEX'!$BB15,0))))*1.7</f>
        <v>0</v>
      </c>
      <c r="V15" s="1">
        <f>((IF('BASE PAN - CAPEX'!$S15=2037,'BASE PAN - CAPEX'!$AD15,IF('BASE PAN - CAPEX'!$AE15=2037,'BASE PAN - CAPEX'!$AP15,IF('BASE PAN - CAPEX'!$AQ15=2037,'BASE PAN - CAPEX'!$BB15,0))))+VLOOKUP(C15,'BASE PAN - CAPEX - 1º ANO'!$C$3:$BG$35,57,FALSE))*1.7</f>
        <v>0</v>
      </c>
      <c r="W15" s="1">
        <f>(IF('BASE PAN - CAPEX'!$S15=2038,'BASE PAN - CAPEX'!$AD15,IF('BASE PAN - CAPEX'!$AE15=2038,'BASE PAN - CAPEX'!$AP15,IF('BASE PAN - CAPEX'!$AQ15=2038,'BASE PAN - CAPEX'!$BB15,0))))*1.7</f>
        <v>0</v>
      </c>
      <c r="X15" s="1">
        <f>(IF('BASE PAN - CAPEX'!$S15=2039,'BASE PAN - CAPEX'!$AD15,IF('BASE PAN - CAPEX'!$AE15=2039,'BASE PAN - CAPEX'!$AP15,IF('BASE PAN - CAPEX'!$AQ15=2039,'BASE PAN - CAPEX'!$BB15,0))))*1.7</f>
        <v>0</v>
      </c>
      <c r="Y15" s="1">
        <f>(IF('BASE PAN - CAPEX'!$S15=2040,'BASE PAN - CAPEX'!$AD15,IF('BASE PAN - CAPEX'!$AE15=2040,'BASE PAN - CAPEX'!$AP15,IF('BASE PAN - CAPEX'!$AQ15=2040,'BASE PAN - CAPEX'!$BB15,0))))*1.7</f>
        <v>0</v>
      </c>
      <c r="Z15" s="1">
        <f>(IF('BASE PAN - CAPEX'!$S15=2041,'BASE PAN - CAPEX'!$AD15,IF('BASE PAN - CAPEX'!$AE15=2041,'BASE PAN - CAPEX'!$AP15,IF('BASE PAN - CAPEX'!$AQ15=2041,'BASE PAN - CAPEX'!$BB15,0))))*1.7</f>
        <v>0</v>
      </c>
      <c r="AA15" s="1">
        <f>(IF('BASE PAN - CAPEX'!$S15=2042,'BASE PAN - CAPEX'!$AD15,IF('BASE PAN - CAPEX'!$AE15=2042,'BASE PAN - CAPEX'!$AP15,IF('BASE PAN - CAPEX'!$AQ15=2042,'BASE PAN - CAPEX'!$BB15,0))))*1.7</f>
        <v>0</v>
      </c>
      <c r="AB15" s="1">
        <f>(IF('BASE PAN - CAPEX'!$S15=2043,'BASE PAN - CAPEX'!$AD15,IF('BASE PAN - CAPEX'!$AE15=2043,'BASE PAN - CAPEX'!$AP15,IF('BASE PAN - CAPEX'!$AQ15=2043,'BASE PAN - CAPEX'!$BB15,0))))*1.7</f>
        <v>0</v>
      </c>
      <c r="AC15" s="1">
        <f>(IF('BASE PAN - CAPEX'!$S15=2044,'BASE PAN - CAPEX'!$AD15,IF('BASE PAN - CAPEX'!$AE15=2044,'BASE PAN - CAPEX'!$AP15,IF('BASE PAN - CAPEX'!$AQ15=2044,'BASE PAN - CAPEX'!$BB15,0))))*1.7</f>
        <v>0</v>
      </c>
      <c r="AD15" s="1">
        <f>(IF('BASE PAN - CAPEX'!$S15=2045,'BASE PAN - CAPEX'!$AD15,IF('BASE PAN - CAPEX'!$AE15=2045,'BASE PAN - CAPEX'!$AP15,IF('BASE PAN - CAPEX'!$AQ15=2045,'BASE PAN - CAPEX'!$BB15,0))))*1.7</f>
        <v>0</v>
      </c>
      <c r="AE15" s="1">
        <f>(IF('BASE PAN - CAPEX'!$S15=2046,'BASE PAN - CAPEX'!$AD15,IF('BASE PAN - CAPEX'!$AE15=2046,'BASE PAN - CAPEX'!$AP15,IF('BASE PAN - CAPEX'!$AQ15=2046,'BASE PAN - CAPEX'!$BB15,0))))*1.7</f>
        <v>0</v>
      </c>
      <c r="AF15" s="1">
        <f>(IF('BASE PAN - CAPEX'!$S15=2047,'BASE PAN - CAPEX'!$AD15,IF('BASE PAN - CAPEX'!$AE15=2047,'BASE PAN - CAPEX'!$AP15,IF('BASE PAN - CAPEX'!$AQ15=2047,'BASE PAN - CAPEX'!$BB15,0))))*1.7</f>
        <v>0</v>
      </c>
      <c r="AG15" s="1">
        <f>(IF('BASE PAN - CAPEX'!$S15=2048,'BASE PAN - CAPEX'!$AD15,IF('BASE PAN - CAPEX'!$AE15=2048,'BASE PAN - CAPEX'!$AP15,IF('BASE PAN - CAPEX'!$AQ15=2048,'BASE PAN - CAPEX'!$BB15,0))))*1.7</f>
        <v>0</v>
      </c>
      <c r="AH15" s="1">
        <f>(IF('BASE PAN - CAPEX'!$S15=2049,'BASE PAN - CAPEX'!$AD15,IF('BASE PAN - CAPEX'!$AE15=2049,'BASE PAN - CAPEX'!$AP15,IF('BASE PAN - CAPEX'!$AQ15=2049,'BASE PAN - CAPEX'!$BB15,0))))*1.7</f>
        <v>0</v>
      </c>
      <c r="AI15" s="1">
        <f>(IF('BASE PAN - CAPEX'!$S15=2050,'BASE PAN - CAPEX'!$AD15,IF('BASE PAN - CAPEX'!$AE15=2050,'BASE PAN - CAPEX'!$AP15,IF('BASE PAN - CAPEX'!$AQ15=2050,'BASE PAN - CAPEX'!$BB15,0))))*1.7</f>
        <v>0</v>
      </c>
      <c r="AJ15" s="1">
        <f>(IF('BASE PAN - CAPEX'!$S15=2051,'BASE PAN - CAPEX'!$AD15,IF('BASE PAN - CAPEX'!$AE15=2051,'BASE PAN - CAPEX'!$AP15,IF('BASE PAN - CAPEX'!$AQ15=2051,'BASE PAN - CAPEX'!$BB15,0))))*1.7</f>
        <v>0</v>
      </c>
      <c r="AK15" s="1">
        <f>(IF('BASE PAN - CAPEX'!$S15=2052,'BASE PAN - CAPEX'!$AD15,IF('BASE PAN - CAPEX'!$AE15=2052,'BASE PAN - CAPEX'!$AP15,IF('BASE PAN - CAPEX'!$AQ15=2052,'BASE PAN - CAPEX'!$BB15,0))))*1.7</f>
        <v>0</v>
      </c>
      <c r="AL15" s="1">
        <f>(IF('BASE PAN - CAPEX'!$S15=2053,'BASE PAN - CAPEX'!$AD15,IF('BASE PAN - CAPEX'!$AE15=2053,'BASE PAN - CAPEX'!$AP15,IF('BASE PAN - CAPEX'!$AQ15=2053,'BASE PAN - CAPEX'!$BB15,0))))*1.7</f>
        <v>0</v>
      </c>
      <c r="AM15" s="1">
        <f t="shared" si="0"/>
        <v>163208500</v>
      </c>
      <c r="AN15" t="str">
        <f>VLOOKUP(C15,'[6]CAPEX - BLOCOS PAN'!$C$3:$AN$249,38,FALSE)</f>
        <v>N</v>
      </c>
      <c r="AO15" s="3">
        <v>2</v>
      </c>
      <c r="AP15" s="3" t="s">
        <v>171</v>
      </c>
      <c r="AQ15" s="3" t="s">
        <v>171</v>
      </c>
      <c r="AR15" s="3">
        <v>2027</v>
      </c>
      <c r="AS15" s="3" t="s">
        <v>171</v>
      </c>
      <c r="AT15" s="3" t="s">
        <v>171</v>
      </c>
      <c r="AU15" s="3">
        <v>3</v>
      </c>
      <c r="AV15" t="str">
        <f>VLOOKUP(C15,'[6]CAPEX - BLOCOS PAN'!$C$3:$AV$249,46,FALSE)</f>
        <v>Privada</v>
      </c>
      <c r="AW15" t="str">
        <f>VLOOKUP(C15,'FLUXO DE CAIXA DESC.-BLOCOS PAN'!$D$3:$AO$52,38,FALSE)</f>
        <v>RO - 1 - AL</v>
      </c>
    </row>
    <row r="16" spans="1:49" x14ac:dyDescent="0.35">
      <c r="A16" t="s">
        <v>90</v>
      </c>
      <c r="B16" t="s">
        <v>91</v>
      </c>
      <c r="C16" t="s">
        <v>92</v>
      </c>
      <c r="D16" t="s">
        <v>91</v>
      </c>
      <c r="E16" t="s">
        <v>29</v>
      </c>
      <c r="F16" t="s">
        <v>33</v>
      </c>
      <c r="G16" t="s">
        <v>34</v>
      </c>
      <c r="H16" s="1">
        <f>(VLOOKUP(C16,'BASE PAN - CAPEX'!$C$3:$R$37,16,FALSE)+'BASE PAN - CAPEX'!BC16)*1.7</f>
        <v>44217000</v>
      </c>
      <c r="I16" s="1">
        <f>(IF('BASE PAN - CAPEX'!$S16=2024,'BASE PAN - CAPEX'!$AD16,IF('BASE PAN - CAPEX'!$AE16=2024,'BASE PAN - CAPEX'!$AP16,IF('BASE PAN - CAPEX'!$AQ16=2024,'BASE PAN - CAPEX'!$BB16,0))))*1.7</f>
        <v>0</v>
      </c>
      <c r="J16" s="1">
        <f>(IF('BASE PAN - CAPEX'!$S16=2025,'BASE PAN - CAPEX'!$AD16,IF('BASE PAN - CAPEX'!$AE16=2025,'BASE PAN - CAPEX'!$AP16,IF('BASE PAN - CAPEX'!$AQ16=2025,'BASE PAN - CAPEX'!$BB16,0))))*1.7</f>
        <v>0</v>
      </c>
      <c r="K16" s="1">
        <f>(IF('BASE PAN - CAPEX'!$S16=2026,'BASE PAN - CAPEX'!$AD16,IF('BASE PAN - CAPEX'!$AE16=2026,'BASE PAN - CAPEX'!$AP16,IF('BASE PAN - CAPEX'!$AQ16=2026,'BASE PAN - CAPEX'!$BB16,0))))*1.7</f>
        <v>0</v>
      </c>
      <c r="L16" s="1">
        <f>((IF('BASE PAN - CAPEX'!$S16=2027,'BASE PAN - CAPEX'!$AD16,IF('BASE PAN - CAPEX'!$AE16=2027,'BASE PAN - CAPEX'!$AP16,IF('BASE PAN - CAPEX'!$AQ16=2027,'BASE PAN - CAPEX'!$BB16,0))))+VLOOKUP(C16,'BASE PAN - CAPEX - 1º ANO'!$C$3:$BE$35,55,FALSE))*1.7</f>
        <v>0</v>
      </c>
      <c r="M16" s="1">
        <f>(IF('BASE PAN - CAPEX'!$S16=2028,'BASE PAN - CAPEX'!$AD16,IF('BASE PAN - CAPEX'!$AE16=2028,'BASE PAN - CAPEX'!$AP16,IF('BASE PAN - CAPEX'!$AQ16=2028,'BASE PAN - CAPEX'!$BB16,0))))*1.7</f>
        <v>0</v>
      </c>
      <c r="N16" s="1">
        <f>(IF('BASE PAN - CAPEX'!$S16=2029,'BASE PAN - CAPEX'!$AD16,IF('BASE PAN - CAPEX'!$AE16=2029,'BASE PAN - CAPEX'!$AP16,IF('BASE PAN - CAPEX'!$AQ16=2029,'BASE PAN - CAPEX'!$BB16,0))))*1.7</f>
        <v>0</v>
      </c>
      <c r="O16" s="1">
        <f>(IF('BASE PAN - CAPEX'!$S16=2030,'BASE PAN - CAPEX'!$AD16,IF('BASE PAN - CAPEX'!$AE16=2030,'BASE PAN - CAPEX'!$AP16,IF('BASE PAN - CAPEX'!$AQ16=2030,'BASE PAN - CAPEX'!$BB16,0))))*1.7</f>
        <v>0</v>
      </c>
      <c r="P16" s="1">
        <f>(IF('BASE PAN - CAPEX'!$S16=2031,'BASE PAN - CAPEX'!$AD16,IF('BASE PAN - CAPEX'!$AE16=2031,'BASE PAN - CAPEX'!$AP16,IF('BASE PAN - CAPEX'!$AQ16=2031,'BASE PAN - CAPEX'!$BB16,0))))*1.7</f>
        <v>0</v>
      </c>
      <c r="Q16" s="1">
        <f>(IF('BASE PAN - CAPEX'!$S16=2032,'BASE PAN - CAPEX'!$AD16,IF('BASE PAN - CAPEX'!$AE16=2032,'BASE PAN - CAPEX'!$AP16,IF('BASE PAN - CAPEX'!$AQ16=2032,'BASE PAN - CAPEX'!$BB16,0))))*1.7</f>
        <v>0</v>
      </c>
      <c r="R16" s="1">
        <f>(IF('BASE PAN - CAPEX'!$S16=2033,'BASE PAN - CAPEX'!$AD16,IF('BASE PAN - CAPEX'!$AE16=2033,'BASE PAN - CAPEX'!$AP16,IF('BASE PAN - CAPEX'!$AQ16=2033,'BASE PAN - CAPEX'!$BB16,0))))*1.7</f>
        <v>0</v>
      </c>
      <c r="S16" s="1">
        <f>(IF('BASE PAN - CAPEX'!$S16=2034,'BASE PAN - CAPEX'!$AD16,IF('BASE PAN - CAPEX'!$AE16=2034,'BASE PAN - CAPEX'!$AP16,IF('BASE PAN - CAPEX'!$AQ16=2034,'BASE PAN - CAPEX'!$BB16,0))))*1.7</f>
        <v>0</v>
      </c>
      <c r="T16" s="1">
        <f>(IF('BASE PAN - CAPEX'!$S16=2035,'BASE PAN - CAPEX'!$AD16,IF('BASE PAN - CAPEX'!$AE16=2035,'BASE PAN - CAPEX'!$AP16,IF('BASE PAN - CAPEX'!$AQ16=2035,'BASE PAN - CAPEX'!$BB16,0))))*1.7</f>
        <v>0</v>
      </c>
      <c r="U16" s="1">
        <f>(IF('BASE PAN - CAPEX'!$S16=2036,'BASE PAN - CAPEX'!$AD16,IF('BASE PAN - CAPEX'!$AE16=2036,'BASE PAN - CAPEX'!$AP16,IF('BASE PAN - CAPEX'!$AQ16=2036,'BASE PAN - CAPEX'!$BB16,0))))*1.7</f>
        <v>0</v>
      </c>
      <c r="V16" s="1">
        <f>((IF('BASE PAN - CAPEX'!$S16=2037,'BASE PAN - CAPEX'!$AD16,IF('BASE PAN - CAPEX'!$AE16=2037,'BASE PAN - CAPEX'!$AP16,IF('BASE PAN - CAPEX'!$AQ16=2037,'BASE PAN - CAPEX'!$BB16,0))))+VLOOKUP(C16,'BASE PAN - CAPEX - 1º ANO'!$C$3:$BG$35,57,FALSE))*1.7</f>
        <v>0</v>
      </c>
      <c r="W16" s="1">
        <f>(IF('BASE PAN - CAPEX'!$S16=2038,'BASE PAN - CAPEX'!$AD16,IF('BASE PAN - CAPEX'!$AE16=2038,'BASE PAN - CAPEX'!$AP16,IF('BASE PAN - CAPEX'!$AQ16=2038,'BASE PAN - CAPEX'!$BB16,0))))*1.7</f>
        <v>0</v>
      </c>
      <c r="X16" s="1">
        <f>(IF('BASE PAN - CAPEX'!$S16=2039,'BASE PAN - CAPEX'!$AD16,IF('BASE PAN - CAPEX'!$AE16=2039,'BASE PAN - CAPEX'!$AP16,IF('BASE PAN - CAPEX'!$AQ16=2039,'BASE PAN - CAPEX'!$BB16,0))))*1.7</f>
        <v>0</v>
      </c>
      <c r="Y16" s="1">
        <f>(IF('BASE PAN - CAPEX'!$S16=2040,'BASE PAN - CAPEX'!$AD16,IF('BASE PAN - CAPEX'!$AE16=2040,'BASE PAN - CAPEX'!$AP16,IF('BASE PAN - CAPEX'!$AQ16=2040,'BASE PAN - CAPEX'!$BB16,0))))*1.7</f>
        <v>0</v>
      </c>
      <c r="Z16" s="1">
        <f>(IF('BASE PAN - CAPEX'!$S16=2041,'BASE PAN - CAPEX'!$AD16,IF('BASE PAN - CAPEX'!$AE16=2041,'BASE PAN - CAPEX'!$AP16,IF('BASE PAN - CAPEX'!$AQ16=2041,'BASE PAN - CAPEX'!$BB16,0))))*1.7</f>
        <v>0</v>
      </c>
      <c r="AA16" s="1">
        <f>(IF('BASE PAN - CAPEX'!$S16=2042,'BASE PAN - CAPEX'!$AD16,IF('BASE PAN - CAPEX'!$AE16=2042,'BASE PAN - CAPEX'!$AP16,IF('BASE PAN - CAPEX'!$AQ16=2042,'BASE PAN - CAPEX'!$BB16,0))))*1.7</f>
        <v>0</v>
      </c>
      <c r="AB16" s="1">
        <f>(IF('BASE PAN - CAPEX'!$S16=2043,'BASE PAN - CAPEX'!$AD16,IF('BASE PAN - CAPEX'!$AE16=2043,'BASE PAN - CAPEX'!$AP16,IF('BASE PAN - CAPEX'!$AQ16=2043,'BASE PAN - CAPEX'!$BB16,0))))*1.7</f>
        <v>0</v>
      </c>
      <c r="AC16" s="1">
        <f>(IF('BASE PAN - CAPEX'!$S16=2044,'BASE PAN - CAPEX'!$AD16,IF('BASE PAN - CAPEX'!$AE16=2044,'BASE PAN - CAPEX'!$AP16,IF('BASE PAN - CAPEX'!$AQ16=2044,'BASE PAN - CAPEX'!$BB16,0))))*1.7</f>
        <v>0</v>
      </c>
      <c r="AD16" s="1">
        <f>(IF('BASE PAN - CAPEX'!$S16=2045,'BASE PAN - CAPEX'!$AD16,IF('BASE PAN - CAPEX'!$AE16=2045,'BASE PAN - CAPEX'!$AP16,IF('BASE PAN - CAPEX'!$AQ16=2045,'BASE PAN - CAPEX'!$BB16,0))))*1.7</f>
        <v>0</v>
      </c>
      <c r="AE16" s="1">
        <f>(IF('BASE PAN - CAPEX'!$S16=2046,'BASE PAN - CAPEX'!$AD16,IF('BASE PAN - CAPEX'!$AE16=2046,'BASE PAN - CAPEX'!$AP16,IF('BASE PAN - CAPEX'!$AQ16=2046,'BASE PAN - CAPEX'!$BB16,0))))*1.7</f>
        <v>0</v>
      </c>
      <c r="AF16" s="1">
        <f>(IF('BASE PAN - CAPEX'!$S16=2047,'BASE PAN - CAPEX'!$AD16,IF('BASE PAN - CAPEX'!$AE16=2047,'BASE PAN - CAPEX'!$AP16,IF('BASE PAN - CAPEX'!$AQ16=2047,'BASE PAN - CAPEX'!$BB16,0))))*1.7</f>
        <v>0</v>
      </c>
      <c r="AG16" s="1">
        <f>(IF('BASE PAN - CAPEX'!$S16=2048,'BASE PAN - CAPEX'!$AD16,IF('BASE PAN - CAPEX'!$AE16=2048,'BASE PAN - CAPEX'!$AP16,IF('BASE PAN - CAPEX'!$AQ16=2048,'BASE PAN - CAPEX'!$BB16,0))))*1.7</f>
        <v>0</v>
      </c>
      <c r="AH16" s="1">
        <f>(IF('BASE PAN - CAPEX'!$S16=2049,'BASE PAN - CAPEX'!$AD16,IF('BASE PAN - CAPEX'!$AE16=2049,'BASE PAN - CAPEX'!$AP16,IF('BASE PAN - CAPEX'!$AQ16=2049,'BASE PAN - CAPEX'!$BB16,0))))*1.7</f>
        <v>0</v>
      </c>
      <c r="AI16" s="1">
        <f>(IF('BASE PAN - CAPEX'!$S16=2050,'BASE PAN - CAPEX'!$AD16,IF('BASE PAN - CAPEX'!$AE16=2050,'BASE PAN - CAPEX'!$AP16,IF('BASE PAN - CAPEX'!$AQ16=2050,'BASE PAN - CAPEX'!$BB16,0))))*1.7</f>
        <v>0</v>
      </c>
      <c r="AJ16" s="1">
        <f>(IF('BASE PAN - CAPEX'!$S16=2051,'BASE PAN - CAPEX'!$AD16,IF('BASE PAN - CAPEX'!$AE16=2051,'BASE PAN - CAPEX'!$AP16,IF('BASE PAN - CAPEX'!$AQ16=2051,'BASE PAN - CAPEX'!$BB16,0))))*1.7</f>
        <v>0</v>
      </c>
      <c r="AK16" s="1">
        <f>(IF('BASE PAN - CAPEX'!$S16=2052,'BASE PAN - CAPEX'!$AD16,IF('BASE PAN - CAPEX'!$AE16=2052,'BASE PAN - CAPEX'!$AP16,IF('BASE PAN - CAPEX'!$AQ16=2052,'BASE PAN - CAPEX'!$BB16,0))))*1.7</f>
        <v>0</v>
      </c>
      <c r="AL16" s="1">
        <f>(IF('BASE PAN - CAPEX'!$S16=2053,'BASE PAN - CAPEX'!$AD16,IF('BASE PAN - CAPEX'!$AE16=2053,'BASE PAN - CAPEX'!$AP16,IF('BASE PAN - CAPEX'!$AQ16=2053,'BASE PAN - CAPEX'!$BB16,0))))*1.7</f>
        <v>0</v>
      </c>
      <c r="AM16" s="1">
        <f t="shared" si="0"/>
        <v>44217000</v>
      </c>
      <c r="AN16" t="str">
        <f>VLOOKUP(C16,'[6]CAPEX - BLOCOS PAN'!$C$3:$AN$249,38,FALSE)</f>
        <v>N</v>
      </c>
      <c r="AO16" s="3">
        <v>1</v>
      </c>
      <c r="AP16" s="3" t="s">
        <v>171</v>
      </c>
      <c r="AQ16" s="3" t="s">
        <v>171</v>
      </c>
      <c r="AR16" s="3" t="s">
        <v>171</v>
      </c>
      <c r="AS16" s="3" t="s">
        <v>171</v>
      </c>
      <c r="AT16" s="3" t="s">
        <v>171</v>
      </c>
      <c r="AU16" s="3" t="s">
        <v>171</v>
      </c>
      <c r="AV16" t="str">
        <f>VLOOKUP(C16,'[6]CAPEX - BLOCOS PAN'!$C$3:$AV$249,46,FALSE)</f>
        <v>Privada</v>
      </c>
      <c r="AW16" t="str">
        <f>VLOOKUP(C16,'FLUXO DE CAIXA DESC.-BLOCOS PAN'!$D$3:$AO$52,38,FALSE)</f>
        <v>PA - 2 - AL</v>
      </c>
    </row>
    <row r="17" spans="1:49" x14ac:dyDescent="0.35">
      <c r="A17" t="s">
        <v>93</v>
      </c>
      <c r="B17" t="s">
        <v>94</v>
      </c>
      <c r="C17" t="s">
        <v>95</v>
      </c>
      <c r="D17" t="s">
        <v>96</v>
      </c>
      <c r="E17" t="s">
        <v>29</v>
      </c>
      <c r="F17" t="s">
        <v>33</v>
      </c>
      <c r="G17" t="s">
        <v>34</v>
      </c>
      <c r="H17" s="1">
        <f>(VLOOKUP(C17,'BASE PAN - CAPEX'!$C$3:$R$37,16,FALSE)+'BASE PAN - CAPEX'!BC17)*1.7</f>
        <v>64676500</v>
      </c>
      <c r="I17" s="1">
        <f>(IF('BASE PAN - CAPEX'!$S17=2024,'BASE PAN - CAPEX'!$AD17,IF('BASE PAN - CAPEX'!$AE17=2024,'BASE PAN - CAPEX'!$AP17,IF('BASE PAN - CAPEX'!$AQ17=2024,'BASE PAN - CAPEX'!$BB17,0))))*1.7</f>
        <v>0</v>
      </c>
      <c r="J17" s="1">
        <f>(IF('BASE PAN - CAPEX'!$S17=2025,'BASE PAN - CAPEX'!$AD17,IF('BASE PAN - CAPEX'!$AE17=2025,'BASE PAN - CAPEX'!$AP17,IF('BASE PAN - CAPEX'!$AQ17=2025,'BASE PAN - CAPEX'!$BB17,0))))*1.7</f>
        <v>0</v>
      </c>
      <c r="K17" s="1">
        <f>(IF('BASE PAN - CAPEX'!$S17=2026,'BASE PAN - CAPEX'!$AD17,IF('BASE PAN - CAPEX'!$AE17=2026,'BASE PAN - CAPEX'!$AP17,IF('BASE PAN - CAPEX'!$AQ17=2026,'BASE PAN - CAPEX'!$BB17,0))))*1.7</f>
        <v>0</v>
      </c>
      <c r="L17" s="1">
        <f>((IF('BASE PAN - CAPEX'!$S17=2027,'BASE PAN - CAPEX'!$AD17,IF('BASE PAN - CAPEX'!$AE17=2027,'BASE PAN - CAPEX'!$AP17,IF('BASE PAN - CAPEX'!$AQ17=2027,'BASE PAN - CAPEX'!$BB17,0))))+VLOOKUP(C17,'BASE PAN - CAPEX - 1º ANO'!$C$3:$BE$35,55,FALSE))*1.7</f>
        <v>0</v>
      </c>
      <c r="M17" s="1">
        <f>(IF('BASE PAN - CAPEX'!$S17=2028,'BASE PAN - CAPEX'!$AD17,IF('BASE PAN - CAPEX'!$AE17=2028,'BASE PAN - CAPEX'!$AP17,IF('BASE PAN - CAPEX'!$AQ17=2028,'BASE PAN - CAPEX'!$BB17,0))))*1.7</f>
        <v>0</v>
      </c>
      <c r="N17" s="1">
        <f>(IF('BASE PAN - CAPEX'!$S17=2029,'BASE PAN - CAPEX'!$AD17,IF('BASE PAN - CAPEX'!$AE17=2029,'BASE PAN - CAPEX'!$AP17,IF('BASE PAN - CAPEX'!$AQ17=2029,'BASE PAN - CAPEX'!$BB17,0))))*1.7</f>
        <v>0</v>
      </c>
      <c r="O17" s="1">
        <f>(IF('BASE PAN - CAPEX'!$S17=2030,'BASE PAN - CAPEX'!$AD17,IF('BASE PAN - CAPEX'!$AE17=2030,'BASE PAN - CAPEX'!$AP17,IF('BASE PAN - CAPEX'!$AQ17=2030,'BASE PAN - CAPEX'!$BB17,0))))*1.7</f>
        <v>0</v>
      </c>
      <c r="P17" s="1">
        <f>(IF('BASE PAN - CAPEX'!$S17=2031,'BASE PAN - CAPEX'!$AD17,IF('BASE PAN - CAPEX'!$AE17=2031,'BASE PAN - CAPEX'!$AP17,IF('BASE PAN - CAPEX'!$AQ17=2031,'BASE PAN - CAPEX'!$BB17,0))))*1.7</f>
        <v>0</v>
      </c>
      <c r="Q17" s="1">
        <f>(IF('BASE PAN - CAPEX'!$S17=2032,'BASE PAN - CAPEX'!$AD17,IF('BASE PAN - CAPEX'!$AE17=2032,'BASE PAN - CAPEX'!$AP17,IF('BASE PAN - CAPEX'!$AQ17=2032,'BASE PAN - CAPEX'!$BB17,0))))*1.7</f>
        <v>0</v>
      </c>
      <c r="R17" s="1">
        <f>(IF('BASE PAN - CAPEX'!$S17=2033,'BASE PAN - CAPEX'!$AD17,IF('BASE PAN - CAPEX'!$AE17=2033,'BASE PAN - CAPEX'!$AP17,IF('BASE PAN - CAPEX'!$AQ17=2033,'BASE PAN - CAPEX'!$BB17,0))))*1.7</f>
        <v>0</v>
      </c>
      <c r="S17" s="1">
        <f>(IF('BASE PAN - CAPEX'!$S17=2034,'BASE PAN - CAPEX'!$AD17,IF('BASE PAN - CAPEX'!$AE17=2034,'BASE PAN - CAPEX'!$AP17,IF('BASE PAN - CAPEX'!$AQ17=2034,'BASE PAN - CAPEX'!$BB17,0))))*1.7</f>
        <v>425000</v>
      </c>
      <c r="T17" s="1">
        <f>(IF('BASE PAN - CAPEX'!$S17=2035,'BASE PAN - CAPEX'!$AD17,IF('BASE PAN - CAPEX'!$AE17=2035,'BASE PAN - CAPEX'!$AP17,IF('BASE PAN - CAPEX'!$AQ17=2035,'BASE PAN - CAPEX'!$BB17,0))))*1.7</f>
        <v>0</v>
      </c>
      <c r="U17" s="1">
        <f>(IF('BASE PAN - CAPEX'!$S17=2036,'BASE PAN - CAPEX'!$AD17,IF('BASE PAN - CAPEX'!$AE17=2036,'BASE PAN - CAPEX'!$AP17,IF('BASE PAN - CAPEX'!$AQ17=2036,'BASE PAN - CAPEX'!$BB17,0))))*1.7</f>
        <v>0</v>
      </c>
      <c r="V17" s="1">
        <f>((IF('BASE PAN - CAPEX'!$S17=2037,'BASE PAN - CAPEX'!$AD17,IF('BASE PAN - CAPEX'!$AE17=2037,'BASE PAN - CAPEX'!$AP17,IF('BASE PAN - CAPEX'!$AQ17=2037,'BASE PAN - CAPEX'!$BB17,0))))+VLOOKUP(C17,'BASE PAN - CAPEX - 1º ANO'!$C$3:$BG$35,57,FALSE))*1.7</f>
        <v>0</v>
      </c>
      <c r="W17" s="1">
        <f>(IF('BASE PAN - CAPEX'!$S17=2038,'BASE PAN - CAPEX'!$AD17,IF('BASE PAN - CAPEX'!$AE17=2038,'BASE PAN - CAPEX'!$AP17,IF('BASE PAN - CAPEX'!$AQ17=2038,'BASE PAN - CAPEX'!$BB17,0))))*1.7</f>
        <v>0</v>
      </c>
      <c r="X17" s="1">
        <f>(IF('BASE PAN - CAPEX'!$S17=2039,'BASE PAN - CAPEX'!$AD17,IF('BASE PAN - CAPEX'!$AE17=2039,'BASE PAN - CAPEX'!$AP17,IF('BASE PAN - CAPEX'!$AQ17=2039,'BASE PAN - CAPEX'!$BB17,0))))*1.7</f>
        <v>0</v>
      </c>
      <c r="Y17" s="1">
        <f>(IF('BASE PAN - CAPEX'!$S17=2040,'BASE PAN - CAPEX'!$AD17,IF('BASE PAN - CAPEX'!$AE17=2040,'BASE PAN - CAPEX'!$AP17,IF('BASE PAN - CAPEX'!$AQ17=2040,'BASE PAN - CAPEX'!$BB17,0))))*1.7</f>
        <v>0</v>
      </c>
      <c r="Z17" s="1">
        <f>(IF('BASE PAN - CAPEX'!$S17=2041,'BASE PAN - CAPEX'!$AD17,IF('BASE PAN - CAPEX'!$AE17=2041,'BASE PAN - CAPEX'!$AP17,IF('BASE PAN - CAPEX'!$AQ17=2041,'BASE PAN - CAPEX'!$BB17,0))))*1.7</f>
        <v>0</v>
      </c>
      <c r="AA17" s="1">
        <f>(IF('BASE PAN - CAPEX'!$S17=2042,'BASE PAN - CAPEX'!$AD17,IF('BASE PAN - CAPEX'!$AE17=2042,'BASE PAN - CAPEX'!$AP17,IF('BASE PAN - CAPEX'!$AQ17=2042,'BASE PAN - CAPEX'!$BB17,0))))*1.7</f>
        <v>0</v>
      </c>
      <c r="AB17" s="1">
        <f>(IF('BASE PAN - CAPEX'!$S17=2043,'BASE PAN - CAPEX'!$AD17,IF('BASE PAN - CAPEX'!$AE17=2043,'BASE PAN - CAPEX'!$AP17,IF('BASE PAN - CAPEX'!$AQ17=2043,'BASE PAN - CAPEX'!$BB17,0))))*1.7</f>
        <v>0</v>
      </c>
      <c r="AC17" s="1">
        <f>(IF('BASE PAN - CAPEX'!$S17=2044,'BASE PAN - CAPEX'!$AD17,IF('BASE PAN - CAPEX'!$AE17=2044,'BASE PAN - CAPEX'!$AP17,IF('BASE PAN - CAPEX'!$AQ17=2044,'BASE PAN - CAPEX'!$BB17,0))))*1.7</f>
        <v>0</v>
      </c>
      <c r="AD17" s="1">
        <f>(IF('BASE PAN - CAPEX'!$S17=2045,'BASE PAN - CAPEX'!$AD17,IF('BASE PAN - CAPEX'!$AE17=2045,'BASE PAN - CAPEX'!$AP17,IF('BASE PAN - CAPEX'!$AQ17=2045,'BASE PAN - CAPEX'!$BB17,0))))*1.7</f>
        <v>0</v>
      </c>
      <c r="AE17" s="1">
        <f>(IF('BASE PAN - CAPEX'!$S17=2046,'BASE PAN - CAPEX'!$AD17,IF('BASE PAN - CAPEX'!$AE17=2046,'BASE PAN - CAPEX'!$AP17,IF('BASE PAN - CAPEX'!$AQ17=2046,'BASE PAN - CAPEX'!$BB17,0))))*1.7</f>
        <v>0</v>
      </c>
      <c r="AF17" s="1">
        <f>(IF('BASE PAN - CAPEX'!$S17=2047,'BASE PAN - CAPEX'!$AD17,IF('BASE PAN - CAPEX'!$AE17=2047,'BASE PAN - CAPEX'!$AP17,IF('BASE PAN - CAPEX'!$AQ17=2047,'BASE PAN - CAPEX'!$BB17,0))))*1.7</f>
        <v>0</v>
      </c>
      <c r="AG17" s="1">
        <f>(IF('BASE PAN - CAPEX'!$S17=2048,'BASE PAN - CAPEX'!$AD17,IF('BASE PAN - CAPEX'!$AE17=2048,'BASE PAN - CAPEX'!$AP17,IF('BASE PAN - CAPEX'!$AQ17=2048,'BASE PAN - CAPEX'!$BB17,0))))*1.7</f>
        <v>0</v>
      </c>
      <c r="AH17" s="1">
        <f>(IF('BASE PAN - CAPEX'!$S17=2049,'BASE PAN - CAPEX'!$AD17,IF('BASE PAN - CAPEX'!$AE17=2049,'BASE PAN - CAPEX'!$AP17,IF('BASE PAN - CAPEX'!$AQ17=2049,'BASE PAN - CAPEX'!$BB17,0))))*1.7</f>
        <v>114886000</v>
      </c>
      <c r="AI17" s="1">
        <f>(IF('BASE PAN - CAPEX'!$S17=2050,'BASE PAN - CAPEX'!$AD17,IF('BASE PAN - CAPEX'!$AE17=2050,'BASE PAN - CAPEX'!$AP17,IF('BASE PAN - CAPEX'!$AQ17=2050,'BASE PAN - CAPEX'!$BB17,0))))*1.7</f>
        <v>0</v>
      </c>
      <c r="AJ17" s="1">
        <f>(IF('BASE PAN - CAPEX'!$S17=2051,'BASE PAN - CAPEX'!$AD17,IF('BASE PAN - CAPEX'!$AE17=2051,'BASE PAN - CAPEX'!$AP17,IF('BASE PAN - CAPEX'!$AQ17=2051,'BASE PAN - CAPEX'!$BB17,0))))*1.7</f>
        <v>0</v>
      </c>
      <c r="AK17" s="1">
        <f>(IF('BASE PAN - CAPEX'!$S17=2052,'BASE PAN - CAPEX'!$AD17,IF('BASE PAN - CAPEX'!$AE17=2052,'BASE PAN - CAPEX'!$AP17,IF('BASE PAN - CAPEX'!$AQ17=2052,'BASE PAN - CAPEX'!$BB17,0))))*1.7</f>
        <v>0</v>
      </c>
      <c r="AL17" s="1">
        <f>(IF('BASE PAN - CAPEX'!$S17=2053,'BASE PAN - CAPEX'!$AD17,IF('BASE PAN - CAPEX'!$AE17=2053,'BASE PAN - CAPEX'!$AP17,IF('BASE PAN - CAPEX'!$AQ17=2053,'BASE PAN - CAPEX'!$BB17,0))))*1.7</f>
        <v>0</v>
      </c>
      <c r="AM17" s="1">
        <f t="shared" si="0"/>
        <v>179987500</v>
      </c>
      <c r="AN17" t="str">
        <f>VLOOKUP(C17,'[6]CAPEX - BLOCOS PAN'!$C$3:$AN$249,38,FALSE)</f>
        <v>N</v>
      </c>
      <c r="AO17" s="3">
        <v>1</v>
      </c>
      <c r="AP17" s="3" t="s">
        <v>171</v>
      </c>
      <c r="AQ17" s="3">
        <v>2049</v>
      </c>
      <c r="AR17" s="3">
        <v>2034</v>
      </c>
      <c r="AS17" s="3" t="s">
        <v>171</v>
      </c>
      <c r="AT17" s="3">
        <v>3</v>
      </c>
      <c r="AU17" s="3">
        <v>2</v>
      </c>
      <c r="AV17" t="str">
        <f>VLOOKUP(C17,'[6]CAPEX - BLOCOS PAN'!$C$3:$AV$249,46,FALSE)</f>
        <v>Privada</v>
      </c>
      <c r="AW17" t="str">
        <f>VLOOKUP(C17,'FLUXO DE CAIXA DESC.-BLOCOS PAN'!$D$3:$AO$52,38,FALSE)</f>
        <v>PA - 2 - AL</v>
      </c>
    </row>
    <row r="18" spans="1:49" x14ac:dyDescent="0.35">
      <c r="A18" t="s">
        <v>97</v>
      </c>
      <c r="B18" t="s">
        <v>98</v>
      </c>
      <c r="C18" t="s">
        <v>99</v>
      </c>
      <c r="D18" t="s">
        <v>98</v>
      </c>
      <c r="E18" t="s">
        <v>29</v>
      </c>
      <c r="F18" t="s">
        <v>33</v>
      </c>
      <c r="G18" t="s">
        <v>34</v>
      </c>
      <c r="H18" s="1">
        <f>(VLOOKUP(C18,'BASE PAN - CAPEX'!$C$3:$R$37,16,FALSE)+'BASE PAN - CAPEX'!BC18)*1.7</f>
        <v>46945500</v>
      </c>
      <c r="I18" s="1">
        <f>(IF('BASE PAN - CAPEX'!$S18=2024,'BASE PAN - CAPEX'!$AD18,IF('BASE PAN - CAPEX'!$AE18=2024,'BASE PAN - CAPEX'!$AP18,IF('BASE PAN - CAPEX'!$AQ18=2024,'BASE PAN - CAPEX'!$BB18,0))))*1.7</f>
        <v>0</v>
      </c>
      <c r="J18" s="1">
        <f>(IF('BASE PAN - CAPEX'!$S18=2025,'BASE PAN - CAPEX'!$AD18,IF('BASE PAN - CAPEX'!$AE18=2025,'BASE PAN - CAPEX'!$AP18,IF('BASE PAN - CAPEX'!$AQ18=2025,'BASE PAN - CAPEX'!$BB18,0))))*1.7</f>
        <v>0</v>
      </c>
      <c r="K18" s="1">
        <f>(IF('BASE PAN - CAPEX'!$S18=2026,'BASE PAN - CAPEX'!$AD18,IF('BASE PAN - CAPEX'!$AE18=2026,'BASE PAN - CAPEX'!$AP18,IF('BASE PAN - CAPEX'!$AQ18=2026,'BASE PAN - CAPEX'!$BB18,0))))*1.7</f>
        <v>0</v>
      </c>
      <c r="L18" s="1">
        <f>((IF('BASE PAN - CAPEX'!$S18=2027,'BASE PAN - CAPEX'!$AD18,IF('BASE PAN - CAPEX'!$AE18=2027,'BASE PAN - CAPEX'!$AP18,IF('BASE PAN - CAPEX'!$AQ18=2027,'BASE PAN - CAPEX'!$BB18,0))))+VLOOKUP(C18,'BASE PAN - CAPEX - 1º ANO'!$C$3:$BE$35,55,FALSE))*1.7</f>
        <v>0</v>
      </c>
      <c r="M18" s="1">
        <f>(IF('BASE PAN - CAPEX'!$S18=2028,'BASE PAN - CAPEX'!$AD18,IF('BASE PAN - CAPEX'!$AE18=2028,'BASE PAN - CAPEX'!$AP18,IF('BASE PAN - CAPEX'!$AQ18=2028,'BASE PAN - CAPEX'!$BB18,0))))*1.7</f>
        <v>0</v>
      </c>
      <c r="N18" s="1">
        <f>(IF('BASE PAN - CAPEX'!$S18=2029,'BASE PAN - CAPEX'!$AD18,IF('BASE PAN - CAPEX'!$AE18=2029,'BASE PAN - CAPEX'!$AP18,IF('BASE PAN - CAPEX'!$AQ18=2029,'BASE PAN - CAPEX'!$BB18,0))))*1.7</f>
        <v>0</v>
      </c>
      <c r="O18" s="1">
        <f>(IF('BASE PAN - CAPEX'!$S18=2030,'BASE PAN - CAPEX'!$AD18,IF('BASE PAN - CAPEX'!$AE18=2030,'BASE PAN - CAPEX'!$AP18,IF('BASE PAN - CAPEX'!$AQ18=2030,'BASE PAN - CAPEX'!$BB18,0))))*1.7</f>
        <v>0</v>
      </c>
      <c r="P18" s="1">
        <f>(IF('BASE PAN - CAPEX'!$S18=2031,'BASE PAN - CAPEX'!$AD18,IF('BASE PAN - CAPEX'!$AE18=2031,'BASE PAN - CAPEX'!$AP18,IF('BASE PAN - CAPEX'!$AQ18=2031,'BASE PAN - CAPEX'!$BB18,0))))*1.7</f>
        <v>0</v>
      </c>
      <c r="Q18" s="1">
        <f>(IF('BASE PAN - CAPEX'!$S18=2032,'BASE PAN - CAPEX'!$AD18,IF('BASE PAN - CAPEX'!$AE18=2032,'BASE PAN - CAPEX'!$AP18,IF('BASE PAN - CAPEX'!$AQ18=2032,'BASE PAN - CAPEX'!$BB18,0))))*1.7</f>
        <v>0</v>
      </c>
      <c r="R18" s="1">
        <f>(IF('BASE PAN - CAPEX'!$S18=2033,'BASE PAN - CAPEX'!$AD18,IF('BASE PAN - CAPEX'!$AE18=2033,'BASE PAN - CAPEX'!$AP18,IF('BASE PAN - CAPEX'!$AQ18=2033,'BASE PAN - CAPEX'!$BB18,0))))*1.7</f>
        <v>0</v>
      </c>
      <c r="S18" s="1">
        <f>(IF('BASE PAN - CAPEX'!$S18=2034,'BASE PAN - CAPEX'!$AD18,IF('BASE PAN - CAPEX'!$AE18=2034,'BASE PAN - CAPEX'!$AP18,IF('BASE PAN - CAPEX'!$AQ18=2034,'BASE PAN - CAPEX'!$BB18,0))))*1.7</f>
        <v>0</v>
      </c>
      <c r="T18" s="1">
        <f>(IF('BASE PAN - CAPEX'!$S18=2035,'BASE PAN - CAPEX'!$AD18,IF('BASE PAN - CAPEX'!$AE18=2035,'BASE PAN - CAPEX'!$AP18,IF('BASE PAN - CAPEX'!$AQ18=2035,'BASE PAN - CAPEX'!$BB18,0))))*1.7</f>
        <v>0</v>
      </c>
      <c r="U18" s="1">
        <f>(IF('BASE PAN - CAPEX'!$S18=2036,'BASE PAN - CAPEX'!$AD18,IF('BASE PAN - CAPEX'!$AE18=2036,'BASE PAN - CAPEX'!$AP18,IF('BASE PAN - CAPEX'!$AQ18=2036,'BASE PAN - CAPEX'!$BB18,0))))*1.7</f>
        <v>0</v>
      </c>
      <c r="V18" s="1">
        <f>((IF('BASE PAN - CAPEX'!$S18=2037,'BASE PAN - CAPEX'!$AD18,IF('BASE PAN - CAPEX'!$AE18=2037,'BASE PAN - CAPEX'!$AP18,IF('BASE PAN - CAPEX'!$AQ18=2037,'BASE PAN - CAPEX'!$BB18,0))))+VLOOKUP(C18,'BASE PAN - CAPEX - 1º ANO'!$C$3:$BG$35,57,FALSE))*1.7</f>
        <v>0</v>
      </c>
      <c r="W18" s="1">
        <f>(IF('BASE PAN - CAPEX'!$S18=2038,'BASE PAN - CAPEX'!$AD18,IF('BASE PAN - CAPEX'!$AE18=2038,'BASE PAN - CAPEX'!$AP18,IF('BASE PAN - CAPEX'!$AQ18=2038,'BASE PAN - CAPEX'!$BB18,0))))*1.7</f>
        <v>0</v>
      </c>
      <c r="X18" s="1">
        <f>(IF('BASE PAN - CAPEX'!$S18=2039,'BASE PAN - CAPEX'!$AD18,IF('BASE PAN - CAPEX'!$AE18=2039,'BASE PAN - CAPEX'!$AP18,IF('BASE PAN - CAPEX'!$AQ18=2039,'BASE PAN - CAPEX'!$BB18,0))))*1.7</f>
        <v>0</v>
      </c>
      <c r="Y18" s="1">
        <f>(IF('BASE PAN - CAPEX'!$S18=2040,'BASE PAN - CAPEX'!$AD18,IF('BASE PAN - CAPEX'!$AE18=2040,'BASE PAN - CAPEX'!$AP18,IF('BASE PAN - CAPEX'!$AQ18=2040,'BASE PAN - CAPEX'!$BB18,0))))*1.7</f>
        <v>0</v>
      </c>
      <c r="Z18" s="1">
        <f>(IF('BASE PAN - CAPEX'!$S18=2041,'BASE PAN - CAPEX'!$AD18,IF('BASE PAN - CAPEX'!$AE18=2041,'BASE PAN - CAPEX'!$AP18,IF('BASE PAN - CAPEX'!$AQ18=2041,'BASE PAN - CAPEX'!$BB18,0))))*1.7</f>
        <v>0</v>
      </c>
      <c r="AA18" s="1">
        <f>(IF('BASE PAN - CAPEX'!$S18=2042,'BASE PAN - CAPEX'!$AD18,IF('BASE PAN - CAPEX'!$AE18=2042,'BASE PAN - CAPEX'!$AP18,IF('BASE PAN - CAPEX'!$AQ18=2042,'BASE PAN - CAPEX'!$BB18,0))))*1.7</f>
        <v>0</v>
      </c>
      <c r="AB18" s="1">
        <f>(IF('BASE PAN - CAPEX'!$S18=2043,'BASE PAN - CAPEX'!$AD18,IF('BASE PAN - CAPEX'!$AE18=2043,'BASE PAN - CAPEX'!$AP18,IF('BASE PAN - CAPEX'!$AQ18=2043,'BASE PAN - CAPEX'!$BB18,0))))*1.7</f>
        <v>0</v>
      </c>
      <c r="AC18" s="1">
        <f>(IF('BASE PAN - CAPEX'!$S18=2044,'BASE PAN - CAPEX'!$AD18,IF('BASE PAN - CAPEX'!$AE18=2044,'BASE PAN - CAPEX'!$AP18,IF('BASE PAN - CAPEX'!$AQ18=2044,'BASE PAN - CAPEX'!$BB18,0))))*1.7</f>
        <v>0</v>
      </c>
      <c r="AD18" s="1">
        <f>(IF('BASE PAN - CAPEX'!$S18=2045,'BASE PAN - CAPEX'!$AD18,IF('BASE PAN - CAPEX'!$AE18=2045,'BASE PAN - CAPEX'!$AP18,IF('BASE PAN - CAPEX'!$AQ18=2045,'BASE PAN - CAPEX'!$BB18,0))))*1.7</f>
        <v>0</v>
      </c>
      <c r="AE18" s="1">
        <f>(IF('BASE PAN - CAPEX'!$S18=2046,'BASE PAN - CAPEX'!$AD18,IF('BASE PAN - CAPEX'!$AE18=2046,'BASE PAN - CAPEX'!$AP18,IF('BASE PAN - CAPEX'!$AQ18=2046,'BASE PAN - CAPEX'!$BB18,0))))*1.7</f>
        <v>0</v>
      </c>
      <c r="AF18" s="1">
        <f>(IF('BASE PAN - CAPEX'!$S18=2047,'BASE PAN - CAPEX'!$AD18,IF('BASE PAN - CAPEX'!$AE18=2047,'BASE PAN - CAPEX'!$AP18,IF('BASE PAN - CAPEX'!$AQ18=2047,'BASE PAN - CAPEX'!$BB18,0))))*1.7</f>
        <v>0</v>
      </c>
      <c r="AG18" s="1">
        <f>(IF('BASE PAN - CAPEX'!$S18=2048,'BASE PAN - CAPEX'!$AD18,IF('BASE PAN - CAPEX'!$AE18=2048,'BASE PAN - CAPEX'!$AP18,IF('BASE PAN - CAPEX'!$AQ18=2048,'BASE PAN - CAPEX'!$BB18,0))))*1.7</f>
        <v>0</v>
      </c>
      <c r="AH18" s="1">
        <f>(IF('BASE PAN - CAPEX'!$S18=2049,'BASE PAN - CAPEX'!$AD18,IF('BASE PAN - CAPEX'!$AE18=2049,'BASE PAN - CAPEX'!$AP18,IF('BASE PAN - CAPEX'!$AQ18=2049,'BASE PAN - CAPEX'!$BB18,0))))*1.7</f>
        <v>0</v>
      </c>
      <c r="AI18" s="1">
        <f>(IF('BASE PAN - CAPEX'!$S18=2050,'BASE PAN - CAPEX'!$AD18,IF('BASE PAN - CAPEX'!$AE18=2050,'BASE PAN - CAPEX'!$AP18,IF('BASE PAN - CAPEX'!$AQ18=2050,'BASE PAN - CAPEX'!$BB18,0))))*1.7</f>
        <v>0</v>
      </c>
      <c r="AJ18" s="1">
        <f>(IF('BASE PAN - CAPEX'!$S18=2051,'BASE PAN - CAPEX'!$AD18,IF('BASE PAN - CAPEX'!$AE18=2051,'BASE PAN - CAPEX'!$AP18,IF('BASE PAN - CAPEX'!$AQ18=2051,'BASE PAN - CAPEX'!$BB18,0))))*1.7</f>
        <v>0</v>
      </c>
      <c r="AK18" s="1">
        <f>(IF('BASE PAN - CAPEX'!$S18=2052,'BASE PAN - CAPEX'!$AD18,IF('BASE PAN - CAPEX'!$AE18=2052,'BASE PAN - CAPEX'!$AP18,IF('BASE PAN - CAPEX'!$AQ18=2052,'BASE PAN - CAPEX'!$BB18,0))))*1.7</f>
        <v>0</v>
      </c>
      <c r="AL18" s="1">
        <f>(IF('BASE PAN - CAPEX'!$S18=2053,'BASE PAN - CAPEX'!$AD18,IF('BASE PAN - CAPEX'!$AE18=2053,'BASE PAN - CAPEX'!$AP18,IF('BASE PAN - CAPEX'!$AQ18=2053,'BASE PAN - CAPEX'!$BB18,0))))*1.7</f>
        <v>0</v>
      </c>
      <c r="AM18" s="1">
        <f t="shared" si="0"/>
        <v>46945500</v>
      </c>
      <c r="AN18" t="str">
        <f>VLOOKUP(C18,'[6]CAPEX - BLOCOS PAN'!$C$3:$AN$249,38,FALSE)</f>
        <v>N</v>
      </c>
      <c r="AO18" s="3">
        <v>1</v>
      </c>
      <c r="AP18" s="3" t="s">
        <v>171</v>
      </c>
      <c r="AQ18" s="3" t="s">
        <v>171</v>
      </c>
      <c r="AR18" s="3" t="s">
        <v>171</v>
      </c>
      <c r="AS18" s="3" t="s">
        <v>171</v>
      </c>
      <c r="AT18" s="3" t="s">
        <v>171</v>
      </c>
      <c r="AU18" s="3" t="s">
        <v>171</v>
      </c>
      <c r="AV18" t="str">
        <f>VLOOKUP(C18,'[6]CAPEX - BLOCOS PAN'!$C$3:$AV$249,46,FALSE)</f>
        <v>Privada</v>
      </c>
      <c r="AW18" t="str">
        <f>VLOOKUP(C18,'FLUXO DE CAIXA DESC.-BLOCOS PAN'!$D$3:$AO$52,38,FALSE)</f>
        <v>PA - 2 - AL</v>
      </c>
    </row>
    <row r="19" spans="1:49" x14ac:dyDescent="0.35">
      <c r="A19" t="s">
        <v>100</v>
      </c>
      <c r="B19" t="s">
        <v>101</v>
      </c>
      <c r="C19" t="s">
        <v>102</v>
      </c>
      <c r="D19" t="s">
        <v>103</v>
      </c>
      <c r="E19" t="s">
        <v>40</v>
      </c>
      <c r="F19" t="s">
        <v>33</v>
      </c>
      <c r="G19" t="s">
        <v>34</v>
      </c>
      <c r="H19" s="1">
        <f>(VLOOKUP(C19,'BASE PAN - CAPEX'!$C$3:$R$37,16,FALSE)+'BASE PAN - CAPEX'!BC19)*1.5</f>
        <v>22815000</v>
      </c>
      <c r="I19" s="1">
        <f>(IF('BASE PAN - CAPEX'!$S19=2024,'BASE PAN - CAPEX'!$AD19,IF('BASE PAN - CAPEX'!$AE19=2024,'BASE PAN - CAPEX'!$AP19,IF('BASE PAN - CAPEX'!$AQ19=2024,'BASE PAN - CAPEX'!$BB19,0))))*1.5</f>
        <v>0</v>
      </c>
      <c r="J19" s="1">
        <f>(IF('BASE PAN - CAPEX'!$S19=2025,'BASE PAN - CAPEX'!$AD19,IF('BASE PAN - CAPEX'!$AE19=2025,'BASE PAN - CAPEX'!$AP19,IF('BASE PAN - CAPEX'!$AQ19=2025,'BASE PAN - CAPEX'!$BB19,0))))*1.5</f>
        <v>0</v>
      </c>
      <c r="K19" s="1">
        <f>(IF('BASE PAN - CAPEX'!$S19=2026,'BASE PAN - CAPEX'!$AD19,IF('BASE PAN - CAPEX'!$AE19=2026,'BASE PAN - CAPEX'!$AP19,IF('BASE PAN - CAPEX'!$AQ19=2026,'BASE PAN - CAPEX'!$BB19,0))))*1.5</f>
        <v>0</v>
      </c>
      <c r="L19" s="1">
        <f>((IF('BASE PAN - CAPEX'!$S19=2027,'BASE PAN - CAPEX'!$AD19,IF('BASE PAN - CAPEX'!$AE19=2027,'BASE PAN - CAPEX'!$AP19,IF('BASE PAN - CAPEX'!$AQ19=2027,'BASE PAN - CAPEX'!$BB19,0))))+VLOOKUP(C19,'BASE PAN - CAPEX - 1º ANO'!$C$3:$BE$35,55,FALSE))*1.5</f>
        <v>82072500</v>
      </c>
      <c r="M19" s="1">
        <f>(IF('BASE PAN - CAPEX'!$S19=2028,'BASE PAN - CAPEX'!$AD19,IF('BASE PAN - CAPEX'!$AE19=2028,'BASE PAN - CAPEX'!$AP19,IF('BASE PAN - CAPEX'!$AQ19=2028,'BASE PAN - CAPEX'!$BB19,0))))*1.5</f>
        <v>0</v>
      </c>
      <c r="N19" s="1">
        <f>(IF('BASE PAN - CAPEX'!$S19=2029,'BASE PAN - CAPEX'!$AD19,IF('BASE PAN - CAPEX'!$AE19=2029,'BASE PAN - CAPEX'!$AP19,IF('BASE PAN - CAPEX'!$AQ19=2029,'BASE PAN - CAPEX'!$BB19,0))))*1.5</f>
        <v>0</v>
      </c>
      <c r="O19" s="1">
        <f>(IF('BASE PAN - CAPEX'!$S19=2030,'BASE PAN - CAPEX'!$AD19,IF('BASE PAN - CAPEX'!$AE19=2030,'BASE PAN - CAPEX'!$AP19,IF('BASE PAN - CAPEX'!$AQ19=2030,'BASE PAN - CAPEX'!$BB19,0))))*1.5</f>
        <v>0</v>
      </c>
      <c r="P19" s="1">
        <f>(IF('BASE PAN - CAPEX'!$S19=2031,'BASE PAN - CAPEX'!$AD19,IF('BASE PAN - CAPEX'!$AE19=2031,'BASE PAN - CAPEX'!$AP19,IF('BASE PAN - CAPEX'!$AQ19=2031,'BASE PAN - CAPEX'!$BB19,0))))*1.5</f>
        <v>0</v>
      </c>
      <c r="Q19" s="1">
        <f>(IF('BASE PAN - CAPEX'!$S19=2032,'BASE PAN - CAPEX'!$AD19,IF('BASE PAN - CAPEX'!$AE19=2032,'BASE PAN - CAPEX'!$AP19,IF('BASE PAN - CAPEX'!$AQ19=2032,'BASE PAN - CAPEX'!$BB19,0))))*1.5</f>
        <v>0</v>
      </c>
      <c r="R19" s="1">
        <f>(IF('BASE PAN - CAPEX'!$S19=2033,'BASE PAN - CAPEX'!$AD19,IF('BASE PAN - CAPEX'!$AE19=2033,'BASE PAN - CAPEX'!$AP19,IF('BASE PAN - CAPEX'!$AQ19=2033,'BASE PAN - CAPEX'!$BB19,0))))*1.5</f>
        <v>0</v>
      </c>
      <c r="S19" s="1">
        <f>(IF('BASE PAN - CAPEX'!$S19=2034,'BASE PAN - CAPEX'!$AD19,IF('BASE PAN - CAPEX'!$AE19=2034,'BASE PAN - CAPEX'!$AP19,IF('BASE PAN - CAPEX'!$AQ19=2034,'BASE PAN - CAPEX'!$BB19,0))))*1.5</f>
        <v>0</v>
      </c>
      <c r="T19" s="1">
        <f>(IF('BASE PAN - CAPEX'!$S19=2035,'BASE PAN - CAPEX'!$AD19,IF('BASE PAN - CAPEX'!$AE19=2035,'BASE PAN - CAPEX'!$AP19,IF('BASE PAN - CAPEX'!$AQ19=2035,'BASE PAN - CAPEX'!$BB19,0))))*1.5</f>
        <v>0</v>
      </c>
      <c r="U19" s="1">
        <f>(IF('BASE PAN - CAPEX'!$S19=2036,'BASE PAN - CAPEX'!$AD19,IF('BASE PAN - CAPEX'!$AE19=2036,'BASE PAN - CAPEX'!$AP19,IF('BASE PAN - CAPEX'!$AQ19=2036,'BASE PAN - CAPEX'!$BB19,0))))*1.5</f>
        <v>0</v>
      </c>
      <c r="V19" s="1">
        <f>((IF('BASE PAN - CAPEX'!$S19=2037,'BASE PAN - CAPEX'!$AD19,IF('BASE PAN - CAPEX'!$AE19=2037,'BASE PAN - CAPEX'!$AP19,IF('BASE PAN - CAPEX'!$AQ19=2037,'BASE PAN - CAPEX'!$BB19,0))))+VLOOKUP(C18,'BASE PAN - CAPEX - 1º ANO'!$C$3:$BG$35,57,FALSE))*1.5</f>
        <v>0</v>
      </c>
      <c r="W19" s="1">
        <f>(IF('BASE PAN - CAPEX'!$S19=2038,'BASE PAN - CAPEX'!$AD19,IF('BASE PAN - CAPEX'!$AE19=2038,'BASE PAN - CAPEX'!$AP19,IF('BASE PAN - CAPEX'!$AQ19=2038,'BASE PAN - CAPEX'!$BB19,0))))*1.5</f>
        <v>0</v>
      </c>
      <c r="X19" s="1">
        <f>(IF('BASE PAN - CAPEX'!$S19=2039,'BASE PAN - CAPEX'!$AD19,IF('BASE PAN - CAPEX'!$AE19=2039,'BASE PAN - CAPEX'!$AP19,IF('BASE PAN - CAPEX'!$AQ19=2039,'BASE PAN - CAPEX'!$BB19,0))))*1.5</f>
        <v>0</v>
      </c>
      <c r="Y19" s="1">
        <f>(IF('BASE PAN - CAPEX'!$S19=2040,'BASE PAN - CAPEX'!$AD19,IF('BASE PAN - CAPEX'!$AE19=2040,'BASE PAN - CAPEX'!$AP19,IF('BASE PAN - CAPEX'!$AQ19=2040,'BASE PAN - CAPEX'!$BB19,0))))*1.5</f>
        <v>0</v>
      </c>
      <c r="Z19" s="1">
        <f>(IF('BASE PAN - CAPEX'!$S19=2041,'BASE PAN - CAPEX'!$AD19,IF('BASE PAN - CAPEX'!$AE19=2041,'BASE PAN - CAPEX'!$AP19,IF('BASE PAN - CAPEX'!$AQ19=2041,'BASE PAN - CAPEX'!$BB19,0))))*1.5</f>
        <v>0</v>
      </c>
      <c r="AA19" s="1">
        <f>(IF('BASE PAN - CAPEX'!$S19=2042,'BASE PAN - CAPEX'!$AD19,IF('BASE PAN - CAPEX'!$AE19=2042,'BASE PAN - CAPEX'!$AP19,IF('BASE PAN - CAPEX'!$AQ19=2042,'BASE PAN - CAPEX'!$BB19,0))))*1.5</f>
        <v>0</v>
      </c>
      <c r="AB19" s="1">
        <f>(IF('BASE PAN - CAPEX'!$S19=2043,'BASE PAN - CAPEX'!$AD19,IF('BASE PAN - CAPEX'!$AE19=2043,'BASE PAN - CAPEX'!$AP19,IF('BASE PAN - CAPEX'!$AQ19=2043,'BASE PAN - CAPEX'!$BB19,0))))*1.5</f>
        <v>0</v>
      </c>
      <c r="AC19" s="1">
        <f>(IF('BASE PAN - CAPEX'!$S19=2044,'BASE PAN - CAPEX'!$AD19,IF('BASE PAN - CAPEX'!$AE19=2044,'BASE PAN - CAPEX'!$AP19,IF('BASE PAN - CAPEX'!$AQ19=2044,'BASE PAN - CAPEX'!$BB19,0))))*1.5</f>
        <v>0</v>
      </c>
      <c r="AD19" s="1">
        <f>(IF('BASE PAN - CAPEX'!$S19=2045,'BASE PAN - CAPEX'!$AD19,IF('BASE PAN - CAPEX'!$AE19=2045,'BASE PAN - CAPEX'!$AP19,IF('BASE PAN - CAPEX'!$AQ19=2045,'BASE PAN - CAPEX'!$BB19,0))))*1.5</f>
        <v>0</v>
      </c>
      <c r="AE19" s="1">
        <f>(IF('BASE PAN - CAPEX'!$S19=2046,'BASE PAN - CAPEX'!$AD19,IF('BASE PAN - CAPEX'!$AE19=2046,'BASE PAN - CAPEX'!$AP19,IF('BASE PAN - CAPEX'!$AQ19=2046,'BASE PAN - CAPEX'!$BB19,0))))*1.5</f>
        <v>0</v>
      </c>
      <c r="AF19" s="1">
        <f>(IF('BASE PAN - CAPEX'!$S19=2047,'BASE PAN - CAPEX'!$AD19,IF('BASE PAN - CAPEX'!$AE19=2047,'BASE PAN - CAPEX'!$AP19,IF('BASE PAN - CAPEX'!$AQ19=2047,'BASE PAN - CAPEX'!$BB19,0))))*1.5</f>
        <v>0</v>
      </c>
      <c r="AG19" s="1">
        <f>(IF('BASE PAN - CAPEX'!$S19=2048,'BASE PAN - CAPEX'!$AD19,IF('BASE PAN - CAPEX'!$AE19=2048,'BASE PAN - CAPEX'!$AP19,IF('BASE PAN - CAPEX'!$AQ19=2048,'BASE PAN - CAPEX'!$BB19,0))))*1.5</f>
        <v>0</v>
      </c>
      <c r="AH19" s="1">
        <f>(IF('BASE PAN - CAPEX'!$S19=2049,'BASE PAN - CAPEX'!$AD19,IF('BASE PAN - CAPEX'!$AE19=2049,'BASE PAN - CAPEX'!$AP19,IF('BASE PAN - CAPEX'!$AQ19=2049,'BASE PAN - CAPEX'!$BB19,0))))*1.5</f>
        <v>0</v>
      </c>
      <c r="AI19" s="1">
        <f>(IF('BASE PAN - CAPEX'!$S19=2050,'BASE PAN - CAPEX'!$AD19,IF('BASE PAN - CAPEX'!$AE19=2050,'BASE PAN - CAPEX'!$AP19,IF('BASE PAN - CAPEX'!$AQ19=2050,'BASE PAN - CAPEX'!$BB19,0))))*1.5</f>
        <v>0</v>
      </c>
      <c r="AJ19" s="1">
        <f>(IF('BASE PAN - CAPEX'!$S19=2051,'BASE PAN - CAPEX'!$AD19,IF('BASE PAN - CAPEX'!$AE19=2051,'BASE PAN - CAPEX'!$AP19,IF('BASE PAN - CAPEX'!$AQ19=2051,'BASE PAN - CAPEX'!$BB19,0))))*1.5</f>
        <v>0</v>
      </c>
      <c r="AK19" s="1">
        <f>(IF('BASE PAN - CAPEX'!$S19=2052,'BASE PAN - CAPEX'!$AD19,IF('BASE PAN - CAPEX'!$AE19=2052,'BASE PAN - CAPEX'!$AP19,IF('BASE PAN - CAPEX'!$AQ19=2052,'BASE PAN - CAPEX'!$BB19,0))))*1.5</f>
        <v>0</v>
      </c>
      <c r="AL19" s="1">
        <f>(IF('BASE PAN - CAPEX'!$S19=2053,'BASE PAN - CAPEX'!$AD19,IF('BASE PAN - CAPEX'!$AE19=2053,'BASE PAN - CAPEX'!$AP19,IF('BASE PAN - CAPEX'!$AQ19=2053,'BASE PAN - CAPEX'!$BB19,0))))*1.5</f>
        <v>0</v>
      </c>
      <c r="AM19" s="1">
        <f t="shared" si="0"/>
        <v>104887500</v>
      </c>
      <c r="AN19" t="str">
        <f>VLOOKUP(C19,'[6]CAPEX - BLOCOS PAN'!$C$3:$AN$249,38,FALSE)</f>
        <v>NE e CO</v>
      </c>
      <c r="AO19" s="3">
        <v>2</v>
      </c>
      <c r="AP19" s="3" t="s">
        <v>171</v>
      </c>
      <c r="AQ19" s="3" t="s">
        <v>171</v>
      </c>
      <c r="AR19" s="3">
        <v>2027</v>
      </c>
      <c r="AS19" s="3" t="s">
        <v>171</v>
      </c>
      <c r="AT19" s="3" t="s">
        <v>171</v>
      </c>
      <c r="AU19" s="3">
        <v>3</v>
      </c>
      <c r="AV19" t="str">
        <f>VLOOKUP(C19,'[6]CAPEX - BLOCOS PAN'!$C$3:$AV$249,46,FALSE)</f>
        <v>Privada</v>
      </c>
      <c r="AW19" t="str">
        <f>VLOOKUP(C19,'FLUXO DE CAIXA DESC.-BLOCOS PAN'!$D$3:$AO$52,38,FALSE)</f>
        <v>Bloco Nordeste</v>
      </c>
    </row>
    <row r="20" spans="1:49" x14ac:dyDescent="0.35">
      <c r="A20" t="s">
        <v>104</v>
      </c>
      <c r="B20" t="s">
        <v>105</v>
      </c>
      <c r="C20" t="s">
        <v>106</v>
      </c>
      <c r="D20" t="s">
        <v>107</v>
      </c>
      <c r="E20" t="s">
        <v>36</v>
      </c>
      <c r="F20" t="s">
        <v>33</v>
      </c>
      <c r="G20" t="s">
        <v>34</v>
      </c>
      <c r="H20" s="1">
        <f>(VLOOKUP(C20,'BASE PAN - CAPEX'!$C$3:$R$37,16,FALSE)+'BASE PAN - CAPEX'!BC20)*1.5</f>
        <v>41415000</v>
      </c>
      <c r="I20" s="1">
        <f>(IF('BASE PAN - CAPEX'!$S20=2024,'BASE PAN - CAPEX'!$AD20,IF('BASE PAN - CAPEX'!$AE20=2024,'BASE PAN - CAPEX'!$AP20,IF('BASE PAN - CAPEX'!$AQ20=2024,'BASE PAN - CAPEX'!$BB20,0))))*1.5</f>
        <v>0</v>
      </c>
      <c r="J20" s="1">
        <f>(IF('BASE PAN - CAPEX'!$S20=2025,'BASE PAN - CAPEX'!$AD20,IF('BASE PAN - CAPEX'!$AE20=2025,'BASE PAN - CAPEX'!$AP20,IF('BASE PAN - CAPEX'!$AQ20=2025,'BASE PAN - CAPEX'!$BB20,0))))*1.5</f>
        <v>0</v>
      </c>
      <c r="K20" s="1">
        <f>(IF('BASE PAN - CAPEX'!$S20=2026,'BASE PAN - CAPEX'!$AD20,IF('BASE PAN - CAPEX'!$AE20=2026,'BASE PAN - CAPEX'!$AP20,IF('BASE PAN - CAPEX'!$AQ20=2026,'BASE PAN - CAPEX'!$BB20,0))))*1.5</f>
        <v>0</v>
      </c>
      <c r="L20" s="1">
        <f>((IF('BASE PAN - CAPEX'!$S20=2027,'BASE PAN - CAPEX'!$AD20,IF('BASE PAN - CAPEX'!$AE20=2027,'BASE PAN - CAPEX'!$AP20,IF('BASE PAN - CAPEX'!$AQ20=2027,'BASE PAN - CAPEX'!$BB20,0))))+VLOOKUP(C20,'BASE PAN - CAPEX - 1º ANO'!$C$3:$BE$35,55,FALSE))*1.5</f>
        <v>0</v>
      </c>
      <c r="M20" s="1">
        <f>(IF('BASE PAN - CAPEX'!$S20=2028,'BASE PAN - CAPEX'!$AD20,IF('BASE PAN - CAPEX'!$AE20=2028,'BASE PAN - CAPEX'!$AP20,IF('BASE PAN - CAPEX'!$AQ20=2028,'BASE PAN - CAPEX'!$BB20,0))))*1.5</f>
        <v>0</v>
      </c>
      <c r="N20" s="1">
        <f>(IF('BASE PAN - CAPEX'!$S20=2029,'BASE PAN - CAPEX'!$AD20,IF('BASE PAN - CAPEX'!$AE20=2029,'BASE PAN - CAPEX'!$AP20,IF('BASE PAN - CAPEX'!$AQ20=2029,'BASE PAN - CAPEX'!$BB20,0))))*1.5</f>
        <v>0</v>
      </c>
      <c r="O20" s="1">
        <f>(IF('BASE PAN - CAPEX'!$S20=2030,'BASE PAN - CAPEX'!$AD20,IF('BASE PAN - CAPEX'!$AE20=2030,'BASE PAN - CAPEX'!$AP20,IF('BASE PAN - CAPEX'!$AQ20=2030,'BASE PAN - CAPEX'!$BB20,0))))*1.5</f>
        <v>0</v>
      </c>
      <c r="P20" s="1">
        <f>(IF('BASE PAN - CAPEX'!$S20=2031,'BASE PAN - CAPEX'!$AD20,IF('BASE PAN - CAPEX'!$AE20=2031,'BASE PAN - CAPEX'!$AP20,IF('BASE PAN - CAPEX'!$AQ20=2031,'BASE PAN - CAPEX'!$BB20,0))))*1.5</f>
        <v>0</v>
      </c>
      <c r="Q20" s="1">
        <f>(IF('BASE PAN - CAPEX'!$S20=2032,'BASE PAN - CAPEX'!$AD20,IF('BASE PAN - CAPEX'!$AE20=2032,'BASE PAN - CAPEX'!$AP20,IF('BASE PAN - CAPEX'!$AQ20=2032,'BASE PAN - CAPEX'!$BB20,0))))*1.5</f>
        <v>0</v>
      </c>
      <c r="R20" s="1">
        <f>(IF('BASE PAN - CAPEX'!$S20=2033,'BASE PAN - CAPEX'!$AD20,IF('BASE PAN - CAPEX'!$AE20=2033,'BASE PAN - CAPEX'!$AP20,IF('BASE PAN - CAPEX'!$AQ20=2033,'BASE PAN - CAPEX'!$BB20,0))))*1.5</f>
        <v>0</v>
      </c>
      <c r="S20" s="1">
        <f>(IF('BASE PAN - CAPEX'!$S20=2034,'BASE PAN - CAPEX'!$AD20,IF('BASE PAN - CAPEX'!$AE20=2034,'BASE PAN - CAPEX'!$AP20,IF('BASE PAN - CAPEX'!$AQ20=2034,'BASE PAN - CAPEX'!$BB20,0))))*1.5</f>
        <v>0</v>
      </c>
      <c r="T20" s="1">
        <f>(IF('BASE PAN - CAPEX'!$S20=2035,'BASE PAN - CAPEX'!$AD20,IF('BASE PAN - CAPEX'!$AE20=2035,'BASE PAN - CAPEX'!$AP20,IF('BASE PAN - CAPEX'!$AQ20=2035,'BASE PAN - CAPEX'!$BB20,0))))*1.5</f>
        <v>0</v>
      </c>
      <c r="U20" s="1">
        <f>(IF('BASE PAN - CAPEX'!$S20=2036,'BASE PAN - CAPEX'!$AD20,IF('BASE PAN - CAPEX'!$AE20=2036,'BASE PAN - CAPEX'!$AP20,IF('BASE PAN - CAPEX'!$AQ20=2036,'BASE PAN - CAPEX'!$BB20,0))))*1.5</f>
        <v>0</v>
      </c>
      <c r="V20" s="1">
        <f>((IF('BASE PAN - CAPEX'!$S20=2037,'BASE PAN - CAPEX'!$AD20,IF('BASE PAN - CAPEX'!$AE20=2037,'BASE PAN - CAPEX'!$AP20,IF('BASE PAN - CAPEX'!$AQ20=2037,'BASE PAN - CAPEX'!$BB20,0))))+VLOOKUP(C19,'BASE PAN - CAPEX - 1º ANO'!$C$3:$BG$35,57,FALSE))*1.5</f>
        <v>0</v>
      </c>
      <c r="W20" s="1">
        <f>(IF('BASE PAN - CAPEX'!$S20=2038,'BASE PAN - CAPEX'!$AD20,IF('BASE PAN - CAPEX'!$AE20=2038,'BASE PAN - CAPEX'!$AP20,IF('BASE PAN - CAPEX'!$AQ20=2038,'BASE PAN - CAPEX'!$BB20,0))))*1.5</f>
        <v>0</v>
      </c>
      <c r="X20" s="1">
        <f>(IF('BASE PAN - CAPEX'!$S20=2039,'BASE PAN - CAPEX'!$AD20,IF('BASE PAN - CAPEX'!$AE20=2039,'BASE PAN - CAPEX'!$AP20,IF('BASE PAN - CAPEX'!$AQ20=2039,'BASE PAN - CAPEX'!$BB20,0))))*1.5</f>
        <v>0</v>
      </c>
      <c r="Y20" s="1">
        <f>(IF('BASE PAN - CAPEX'!$S20=2040,'BASE PAN - CAPEX'!$AD20,IF('BASE PAN - CAPEX'!$AE20=2040,'BASE PAN - CAPEX'!$AP20,IF('BASE PAN - CAPEX'!$AQ20=2040,'BASE PAN - CAPEX'!$BB20,0))))*1.5</f>
        <v>0</v>
      </c>
      <c r="Z20" s="1">
        <f>(IF('BASE PAN - CAPEX'!$S20=2041,'BASE PAN - CAPEX'!$AD20,IF('BASE PAN - CAPEX'!$AE20=2041,'BASE PAN - CAPEX'!$AP20,IF('BASE PAN - CAPEX'!$AQ20=2041,'BASE PAN - CAPEX'!$BB20,0))))*1.5</f>
        <v>0</v>
      </c>
      <c r="AA20" s="1">
        <f>(IF('BASE PAN - CAPEX'!$S20=2042,'BASE PAN - CAPEX'!$AD20,IF('BASE PAN - CAPEX'!$AE20=2042,'BASE PAN - CAPEX'!$AP20,IF('BASE PAN - CAPEX'!$AQ20=2042,'BASE PAN - CAPEX'!$BB20,0))))*1.5</f>
        <v>0</v>
      </c>
      <c r="AB20" s="1">
        <f>(IF('BASE PAN - CAPEX'!$S20=2043,'BASE PAN - CAPEX'!$AD20,IF('BASE PAN - CAPEX'!$AE20=2043,'BASE PAN - CAPEX'!$AP20,IF('BASE PAN - CAPEX'!$AQ20=2043,'BASE PAN - CAPEX'!$BB20,0))))*1.5</f>
        <v>0</v>
      </c>
      <c r="AC20" s="1">
        <f>(IF('BASE PAN - CAPEX'!$S20=2044,'BASE PAN - CAPEX'!$AD20,IF('BASE PAN - CAPEX'!$AE20=2044,'BASE PAN - CAPEX'!$AP20,IF('BASE PAN - CAPEX'!$AQ20=2044,'BASE PAN - CAPEX'!$BB20,0))))*1.5</f>
        <v>0</v>
      </c>
      <c r="AD20" s="1">
        <f>(IF('BASE PAN - CAPEX'!$S20=2045,'BASE PAN - CAPEX'!$AD20,IF('BASE PAN - CAPEX'!$AE20=2045,'BASE PAN - CAPEX'!$AP20,IF('BASE PAN - CAPEX'!$AQ20=2045,'BASE PAN - CAPEX'!$BB20,0))))*1.5</f>
        <v>0</v>
      </c>
      <c r="AE20" s="1">
        <f>(IF('BASE PAN - CAPEX'!$S20=2046,'BASE PAN - CAPEX'!$AD20,IF('BASE PAN - CAPEX'!$AE20=2046,'BASE PAN - CAPEX'!$AP20,IF('BASE PAN - CAPEX'!$AQ20=2046,'BASE PAN - CAPEX'!$BB20,0))))*1.5</f>
        <v>0</v>
      </c>
      <c r="AF20" s="1">
        <f>(IF('BASE PAN - CAPEX'!$S20=2047,'BASE PAN - CAPEX'!$AD20,IF('BASE PAN - CAPEX'!$AE20=2047,'BASE PAN - CAPEX'!$AP20,IF('BASE PAN - CAPEX'!$AQ20=2047,'BASE PAN - CAPEX'!$BB20,0))))*1.5</f>
        <v>0</v>
      </c>
      <c r="AG20" s="1">
        <f>(IF('BASE PAN - CAPEX'!$S20=2048,'BASE PAN - CAPEX'!$AD20,IF('BASE PAN - CAPEX'!$AE20=2048,'BASE PAN - CAPEX'!$AP20,IF('BASE PAN - CAPEX'!$AQ20=2048,'BASE PAN - CAPEX'!$BB20,0))))*1.5</f>
        <v>0</v>
      </c>
      <c r="AH20" s="1">
        <f>(IF('BASE PAN - CAPEX'!$S20=2049,'BASE PAN - CAPEX'!$AD20,IF('BASE PAN - CAPEX'!$AE20=2049,'BASE PAN - CAPEX'!$AP20,IF('BASE PAN - CAPEX'!$AQ20=2049,'BASE PAN - CAPEX'!$BB20,0))))*1.5</f>
        <v>0</v>
      </c>
      <c r="AI20" s="1">
        <f>(IF('BASE PAN - CAPEX'!$S20=2050,'BASE PAN - CAPEX'!$AD20,IF('BASE PAN - CAPEX'!$AE20=2050,'BASE PAN - CAPEX'!$AP20,IF('BASE PAN - CAPEX'!$AQ20=2050,'BASE PAN - CAPEX'!$BB20,0))))*1.5</f>
        <v>0</v>
      </c>
      <c r="AJ20" s="1">
        <f>(IF('BASE PAN - CAPEX'!$S20=2051,'BASE PAN - CAPEX'!$AD20,IF('BASE PAN - CAPEX'!$AE20=2051,'BASE PAN - CAPEX'!$AP20,IF('BASE PAN - CAPEX'!$AQ20=2051,'BASE PAN - CAPEX'!$BB20,0))))*1.5</f>
        <v>0</v>
      </c>
      <c r="AK20" s="1">
        <f>(IF('BASE PAN - CAPEX'!$S20=2052,'BASE PAN - CAPEX'!$AD20,IF('BASE PAN - CAPEX'!$AE20=2052,'BASE PAN - CAPEX'!$AP20,IF('BASE PAN - CAPEX'!$AQ20=2052,'BASE PAN - CAPEX'!$BB20,0))))*1.5</f>
        <v>0</v>
      </c>
      <c r="AL20" s="1">
        <f>(IF('BASE PAN - CAPEX'!$S20=2053,'BASE PAN - CAPEX'!$AD20,IF('BASE PAN - CAPEX'!$AE20=2053,'BASE PAN - CAPEX'!$AP20,IF('BASE PAN - CAPEX'!$AQ20=2053,'BASE PAN - CAPEX'!$BB20,0))))*1.5</f>
        <v>0</v>
      </c>
      <c r="AM20" s="1">
        <f t="shared" si="0"/>
        <v>41415000</v>
      </c>
      <c r="AN20" t="str">
        <f>VLOOKUP(C20,'[6]CAPEX - BLOCOS PAN'!$C$3:$AN$249,38,FALSE)</f>
        <v>NE e CO</v>
      </c>
      <c r="AO20" s="3">
        <v>1</v>
      </c>
      <c r="AP20" s="3" t="s">
        <v>171</v>
      </c>
      <c r="AQ20" s="3" t="s">
        <v>171</v>
      </c>
      <c r="AR20" s="3" t="s">
        <v>171</v>
      </c>
      <c r="AS20" s="3" t="s">
        <v>171</v>
      </c>
      <c r="AT20" s="3" t="s">
        <v>171</v>
      </c>
      <c r="AU20" s="3" t="s">
        <v>171</v>
      </c>
      <c r="AV20" t="str">
        <f>VLOOKUP(C20,'[6]CAPEX - BLOCOS PAN'!$C$3:$AV$249,46,FALSE)</f>
        <v>Privada</v>
      </c>
      <c r="AW20" t="str">
        <f>VLOOKUP(C20,'FLUXO DE CAIXA DESC.-BLOCOS PAN'!$D$3:$AO$52,38,FALSE)</f>
        <v>Bloco Nordeste</v>
      </c>
    </row>
    <row r="21" spans="1:49" x14ac:dyDescent="0.35">
      <c r="A21" t="s">
        <v>108</v>
      </c>
      <c r="B21" t="s">
        <v>109</v>
      </c>
      <c r="C21" t="s">
        <v>110</v>
      </c>
      <c r="D21" t="s">
        <v>109</v>
      </c>
      <c r="E21" t="s">
        <v>29</v>
      </c>
      <c r="F21" t="s">
        <v>33</v>
      </c>
      <c r="G21" t="s">
        <v>34</v>
      </c>
      <c r="H21" s="1">
        <f>(VLOOKUP(C21,'BASE PAN - CAPEX'!$C$3:$R$37,16,FALSE)+'BASE PAN - CAPEX'!BC21)*1.7</f>
        <v>49674000</v>
      </c>
      <c r="I21" s="1">
        <f>(IF('BASE PAN - CAPEX'!$S21=2024,'BASE PAN - CAPEX'!$AD21,IF('BASE PAN - CAPEX'!$AE21=2024,'BASE PAN - CAPEX'!$AP21,IF('BASE PAN - CAPEX'!$AQ21=2024,'BASE PAN - CAPEX'!$BB21,0))))*1.7</f>
        <v>0</v>
      </c>
      <c r="J21" s="1">
        <f>(IF('BASE PAN - CAPEX'!$S21=2025,'BASE PAN - CAPEX'!$AD21,IF('BASE PAN - CAPEX'!$AE21=2025,'BASE PAN - CAPEX'!$AP21,IF('BASE PAN - CAPEX'!$AQ21=2025,'BASE PAN - CAPEX'!$BB21,0))))*1.7</f>
        <v>0</v>
      </c>
      <c r="K21" s="1">
        <f>(IF('BASE PAN - CAPEX'!$S21=2026,'BASE PAN - CAPEX'!$AD21,IF('BASE PAN - CAPEX'!$AE21=2026,'BASE PAN - CAPEX'!$AP21,IF('BASE PAN - CAPEX'!$AQ21=2026,'BASE PAN - CAPEX'!$BB21,0))))*1.7</f>
        <v>0</v>
      </c>
      <c r="L21" s="1">
        <f>((IF('BASE PAN - CAPEX'!$S21=2027,'BASE PAN - CAPEX'!$AD21,IF('BASE PAN - CAPEX'!$AE21=2027,'BASE PAN - CAPEX'!$AP21,IF('BASE PAN - CAPEX'!$AQ21=2027,'BASE PAN - CAPEX'!$BB21,0))))+VLOOKUP(C21,'BASE PAN - CAPEX - 1º ANO'!$C$3:$BE$35,55,FALSE))*1.7</f>
        <v>1708500</v>
      </c>
      <c r="M21" s="1">
        <f>(IF('BASE PAN - CAPEX'!$S21=2028,'BASE PAN - CAPEX'!$AD21,IF('BASE PAN - CAPEX'!$AE21=2028,'BASE PAN - CAPEX'!$AP21,IF('BASE PAN - CAPEX'!$AQ21=2028,'BASE PAN - CAPEX'!$BB21,0))))*1.7</f>
        <v>0</v>
      </c>
      <c r="N21" s="1">
        <f>(IF('BASE PAN - CAPEX'!$S21=2029,'BASE PAN - CAPEX'!$AD21,IF('BASE PAN - CAPEX'!$AE21=2029,'BASE PAN - CAPEX'!$AP21,IF('BASE PAN - CAPEX'!$AQ21=2029,'BASE PAN - CAPEX'!$BB21,0))))*1.7</f>
        <v>0</v>
      </c>
      <c r="O21" s="1">
        <f>(IF('BASE PAN - CAPEX'!$S21=2030,'BASE PAN - CAPEX'!$AD21,IF('BASE PAN - CAPEX'!$AE21=2030,'BASE PAN - CAPEX'!$AP21,IF('BASE PAN - CAPEX'!$AQ21=2030,'BASE PAN - CAPEX'!$BB21,0))))*1.7</f>
        <v>0</v>
      </c>
      <c r="P21" s="1">
        <f>(IF('BASE PAN - CAPEX'!$S21=2031,'BASE PAN - CAPEX'!$AD21,IF('BASE PAN - CAPEX'!$AE21=2031,'BASE PAN - CAPEX'!$AP21,IF('BASE PAN - CAPEX'!$AQ21=2031,'BASE PAN - CAPEX'!$BB21,0))))*1.7</f>
        <v>0</v>
      </c>
      <c r="Q21" s="1">
        <f>(IF('BASE PAN - CAPEX'!$S21=2032,'BASE PAN - CAPEX'!$AD21,IF('BASE PAN - CAPEX'!$AE21=2032,'BASE PAN - CAPEX'!$AP21,IF('BASE PAN - CAPEX'!$AQ21=2032,'BASE PAN - CAPEX'!$BB21,0))))*1.7</f>
        <v>425000</v>
      </c>
      <c r="R21" s="1">
        <f>(IF('BASE PAN - CAPEX'!$S21=2033,'BASE PAN - CAPEX'!$AD21,IF('BASE PAN - CAPEX'!$AE21=2033,'BASE PAN - CAPEX'!$AP21,IF('BASE PAN - CAPEX'!$AQ21=2033,'BASE PAN - CAPEX'!$BB21,0))))*1.7</f>
        <v>0</v>
      </c>
      <c r="S21" s="1">
        <f>(IF('BASE PAN - CAPEX'!$S21=2034,'BASE PAN - CAPEX'!$AD21,IF('BASE PAN - CAPEX'!$AE21=2034,'BASE PAN - CAPEX'!$AP21,IF('BASE PAN - CAPEX'!$AQ21=2034,'BASE PAN - CAPEX'!$BB21,0))))*1.7</f>
        <v>0</v>
      </c>
      <c r="T21" s="1">
        <f>(IF('BASE PAN - CAPEX'!$S21=2035,'BASE PAN - CAPEX'!$AD21,IF('BASE PAN - CAPEX'!$AE21=2035,'BASE PAN - CAPEX'!$AP21,IF('BASE PAN - CAPEX'!$AQ21=2035,'BASE PAN - CAPEX'!$BB21,0))))*1.7</f>
        <v>0</v>
      </c>
      <c r="U21" s="1">
        <f>(IF('BASE PAN - CAPEX'!$S21=2036,'BASE PAN - CAPEX'!$AD21,IF('BASE PAN - CAPEX'!$AE21=2036,'BASE PAN - CAPEX'!$AP21,IF('BASE PAN - CAPEX'!$AQ21=2036,'BASE PAN - CAPEX'!$BB21,0))))*1.7</f>
        <v>0</v>
      </c>
      <c r="V21" s="1">
        <f>((IF('BASE PAN - CAPEX'!$S21=2037,'BASE PAN - CAPEX'!$AD21,IF('BASE PAN - CAPEX'!$AE21=2037,'BASE PAN - CAPEX'!$AP21,IF('BASE PAN - CAPEX'!$AQ21=2037,'BASE PAN - CAPEX'!$BB21,0))))+VLOOKUP(C21,'BASE PAN - CAPEX - 1º ANO'!$C$3:$BG$35,57,FALSE))*1.7</f>
        <v>0</v>
      </c>
      <c r="W21" s="1">
        <f>(IF('BASE PAN - CAPEX'!$S21=2038,'BASE PAN - CAPEX'!$AD21,IF('BASE PAN - CAPEX'!$AE21=2038,'BASE PAN - CAPEX'!$AP21,IF('BASE PAN - CAPEX'!$AQ21=2038,'BASE PAN - CAPEX'!$BB21,0))))*1.7</f>
        <v>0</v>
      </c>
      <c r="X21" s="1">
        <f>(IF('BASE PAN - CAPEX'!$S21=2039,'BASE PAN - CAPEX'!$AD21,IF('BASE PAN - CAPEX'!$AE21=2039,'BASE PAN - CAPEX'!$AP21,IF('BASE PAN - CAPEX'!$AQ21=2039,'BASE PAN - CAPEX'!$BB21,0))))*1.7</f>
        <v>0</v>
      </c>
      <c r="Y21" s="1">
        <f>(IF('BASE PAN - CAPEX'!$S21=2040,'BASE PAN - CAPEX'!$AD21,IF('BASE PAN - CAPEX'!$AE21=2040,'BASE PAN - CAPEX'!$AP21,IF('BASE PAN - CAPEX'!$AQ21=2040,'BASE PAN - CAPEX'!$BB21,0))))*1.7</f>
        <v>0</v>
      </c>
      <c r="Z21" s="1">
        <f>(IF('BASE PAN - CAPEX'!$S21=2041,'BASE PAN - CAPEX'!$AD21,IF('BASE PAN - CAPEX'!$AE21=2041,'BASE PAN - CAPEX'!$AP21,IF('BASE PAN - CAPEX'!$AQ21=2041,'BASE PAN - CAPEX'!$BB21,0))))*1.7</f>
        <v>0</v>
      </c>
      <c r="AA21" s="1">
        <f>(IF('BASE PAN - CAPEX'!$S21=2042,'BASE PAN - CAPEX'!$AD21,IF('BASE PAN - CAPEX'!$AE21=2042,'BASE PAN - CAPEX'!$AP21,IF('BASE PAN - CAPEX'!$AQ21=2042,'BASE PAN - CAPEX'!$BB21,0))))*1.7</f>
        <v>0</v>
      </c>
      <c r="AB21" s="1">
        <f>(IF('BASE PAN - CAPEX'!$S21=2043,'BASE PAN - CAPEX'!$AD21,IF('BASE PAN - CAPEX'!$AE21=2043,'BASE PAN - CAPEX'!$AP21,IF('BASE PAN - CAPEX'!$AQ21=2043,'BASE PAN - CAPEX'!$BB21,0))))*1.7</f>
        <v>0</v>
      </c>
      <c r="AC21" s="1">
        <f>(IF('BASE PAN - CAPEX'!$S21=2044,'BASE PAN - CAPEX'!$AD21,IF('BASE PAN - CAPEX'!$AE21=2044,'BASE PAN - CAPEX'!$AP21,IF('BASE PAN - CAPEX'!$AQ21=2044,'BASE PAN - CAPEX'!$BB21,0))))*1.7</f>
        <v>0</v>
      </c>
      <c r="AD21" s="1">
        <f>(IF('BASE PAN - CAPEX'!$S21=2045,'BASE PAN - CAPEX'!$AD21,IF('BASE PAN - CAPEX'!$AE21=2045,'BASE PAN - CAPEX'!$AP21,IF('BASE PAN - CAPEX'!$AQ21=2045,'BASE PAN - CAPEX'!$BB21,0))))*1.7</f>
        <v>0</v>
      </c>
      <c r="AE21" s="1">
        <f>(IF('BASE PAN - CAPEX'!$S21=2046,'BASE PAN - CAPEX'!$AD21,IF('BASE PAN - CAPEX'!$AE21=2046,'BASE PAN - CAPEX'!$AP21,IF('BASE PAN - CAPEX'!$AQ21=2046,'BASE PAN - CAPEX'!$BB21,0))))*1.7</f>
        <v>0</v>
      </c>
      <c r="AF21" s="1">
        <f>(IF('BASE PAN - CAPEX'!$S21=2047,'BASE PAN - CAPEX'!$AD21,IF('BASE PAN - CAPEX'!$AE21=2047,'BASE PAN - CAPEX'!$AP21,IF('BASE PAN - CAPEX'!$AQ21=2047,'BASE PAN - CAPEX'!$BB21,0))))*1.7</f>
        <v>0</v>
      </c>
      <c r="AG21" s="1">
        <f>(IF('BASE PAN - CAPEX'!$S21=2048,'BASE PAN - CAPEX'!$AD21,IF('BASE PAN - CAPEX'!$AE21=2048,'BASE PAN - CAPEX'!$AP21,IF('BASE PAN - CAPEX'!$AQ21=2048,'BASE PAN - CAPEX'!$BB21,0))))*1.7</f>
        <v>0</v>
      </c>
      <c r="AH21" s="1">
        <f>(IF('BASE PAN - CAPEX'!$S21=2049,'BASE PAN - CAPEX'!$AD21,IF('BASE PAN - CAPEX'!$AE21=2049,'BASE PAN - CAPEX'!$AP21,IF('BASE PAN - CAPEX'!$AQ21=2049,'BASE PAN - CAPEX'!$BB21,0))))*1.7</f>
        <v>0</v>
      </c>
      <c r="AI21" s="1">
        <f>(IF('BASE PAN - CAPEX'!$S21=2050,'BASE PAN - CAPEX'!$AD21,IF('BASE PAN - CAPEX'!$AE21=2050,'BASE PAN - CAPEX'!$AP21,IF('BASE PAN - CAPEX'!$AQ21=2050,'BASE PAN - CAPEX'!$BB21,0))))*1.7</f>
        <v>0</v>
      </c>
      <c r="AJ21" s="1">
        <f>(IF('BASE PAN - CAPEX'!$S21=2051,'BASE PAN - CAPEX'!$AD21,IF('BASE PAN - CAPEX'!$AE21=2051,'BASE PAN - CAPEX'!$AP21,IF('BASE PAN - CAPEX'!$AQ21=2051,'BASE PAN - CAPEX'!$BB21,0))))*1.7</f>
        <v>0</v>
      </c>
      <c r="AK21" s="1">
        <f>(IF('BASE PAN - CAPEX'!$S21=2052,'BASE PAN - CAPEX'!$AD21,IF('BASE PAN - CAPEX'!$AE21=2052,'BASE PAN - CAPEX'!$AP21,IF('BASE PAN - CAPEX'!$AQ21=2052,'BASE PAN - CAPEX'!$BB21,0))))*1.7</f>
        <v>0</v>
      </c>
      <c r="AL21" s="1">
        <f>(IF('BASE PAN - CAPEX'!$S21=2053,'BASE PAN - CAPEX'!$AD21,IF('BASE PAN - CAPEX'!$AE21=2053,'BASE PAN - CAPEX'!$AP21,IF('BASE PAN - CAPEX'!$AQ21=2053,'BASE PAN - CAPEX'!$BB21,0))))*1.7</f>
        <v>0</v>
      </c>
      <c r="AM21" s="1">
        <f t="shared" si="0"/>
        <v>51807500</v>
      </c>
      <c r="AN21" t="str">
        <f>VLOOKUP(C21,'[6]CAPEX - BLOCOS PAN'!$C$3:$AN$249,38,FALSE)</f>
        <v>N</v>
      </c>
      <c r="AO21" s="3">
        <v>1</v>
      </c>
      <c r="AP21" s="3" t="s">
        <v>171</v>
      </c>
      <c r="AQ21" s="3" t="s">
        <v>171</v>
      </c>
      <c r="AR21" s="3">
        <v>2032</v>
      </c>
      <c r="AS21" s="3" t="s">
        <v>171</v>
      </c>
      <c r="AT21" s="3" t="s">
        <v>171</v>
      </c>
      <c r="AU21" s="3">
        <v>2</v>
      </c>
      <c r="AV21" t="str">
        <f>VLOOKUP(C21,'[6]CAPEX - BLOCOS PAN'!$C$3:$AV$249,46,FALSE)</f>
        <v>Privada</v>
      </c>
      <c r="AW21" t="str">
        <f>VLOOKUP(C21,'FLUXO DE CAIXA DESC.-BLOCOS PAN'!$D$3:$AO$52,38,FALSE)</f>
        <v>PA 3 - AL</v>
      </c>
    </row>
    <row r="22" spans="1:49" x14ac:dyDescent="0.35">
      <c r="A22" t="s">
        <v>111</v>
      </c>
      <c r="B22" t="s">
        <v>112</v>
      </c>
      <c r="C22" t="s">
        <v>113</v>
      </c>
      <c r="D22" t="s">
        <v>112</v>
      </c>
      <c r="E22" t="s">
        <v>30</v>
      </c>
      <c r="F22" t="s">
        <v>33</v>
      </c>
      <c r="G22" t="s">
        <v>34</v>
      </c>
      <c r="H22" s="1">
        <f>(VLOOKUP(C22,'BASE PAN - CAPEX'!$C$3:$R$37,16,FALSE)+'BASE PAN - CAPEX'!BC22)*1.7</f>
        <v>35759500</v>
      </c>
      <c r="I22" s="1">
        <f>(IF('BASE PAN - CAPEX'!$S22=2024,'BASE PAN - CAPEX'!$AD22,IF('BASE PAN - CAPEX'!$AE22=2024,'BASE PAN - CAPEX'!$AP22,IF('BASE PAN - CAPEX'!$AQ22=2024,'BASE PAN - CAPEX'!$BB22,0))))*1.7</f>
        <v>0</v>
      </c>
      <c r="J22" s="1">
        <f>(IF('BASE PAN - CAPEX'!$S22=2025,'BASE PAN - CAPEX'!$AD22,IF('BASE PAN - CAPEX'!$AE22=2025,'BASE PAN - CAPEX'!$AP22,IF('BASE PAN - CAPEX'!$AQ22=2025,'BASE PAN - CAPEX'!$BB22,0))))*1.7</f>
        <v>83385000</v>
      </c>
      <c r="K22" s="1">
        <f>(IF('BASE PAN - CAPEX'!$S22=2026,'BASE PAN - CAPEX'!$AD22,IF('BASE PAN - CAPEX'!$AE22=2026,'BASE PAN - CAPEX'!$AP22,IF('BASE PAN - CAPEX'!$AQ22=2026,'BASE PAN - CAPEX'!$BB22,0))))*1.7</f>
        <v>0</v>
      </c>
      <c r="L22" s="1">
        <f>((IF('BASE PAN - CAPEX'!$S22=2027,'BASE PAN - CAPEX'!$AD22,IF('BASE PAN - CAPEX'!$AE22=2027,'BASE PAN - CAPEX'!$AP22,IF('BASE PAN - CAPEX'!$AQ22=2027,'BASE PAN - CAPEX'!$BB22,0))))+VLOOKUP(C22,'BASE PAN - CAPEX - 1º ANO'!$C$3:$BE$35,55,FALSE))*1.7</f>
        <v>493000</v>
      </c>
      <c r="M22" s="1">
        <f>(IF('BASE PAN - CAPEX'!$S22=2028,'BASE PAN - CAPEX'!$AD22,IF('BASE PAN - CAPEX'!$AE22=2028,'BASE PAN - CAPEX'!$AP22,IF('BASE PAN - CAPEX'!$AQ22=2028,'BASE PAN - CAPEX'!$BB22,0))))*1.7</f>
        <v>0</v>
      </c>
      <c r="N22" s="1">
        <f>(IF('BASE PAN - CAPEX'!$S22=2029,'BASE PAN - CAPEX'!$AD22,IF('BASE PAN - CAPEX'!$AE22=2029,'BASE PAN - CAPEX'!$AP22,IF('BASE PAN - CAPEX'!$AQ22=2029,'BASE PAN - CAPEX'!$BB22,0))))*1.7</f>
        <v>0</v>
      </c>
      <c r="O22" s="1">
        <f>(IF('BASE PAN - CAPEX'!$S22=2030,'BASE PAN - CAPEX'!$AD22,IF('BASE PAN - CAPEX'!$AE22=2030,'BASE PAN - CAPEX'!$AP22,IF('BASE PAN - CAPEX'!$AQ22=2030,'BASE PAN - CAPEX'!$BB22,0))))*1.7</f>
        <v>0</v>
      </c>
      <c r="P22" s="1">
        <f>(IF('BASE PAN - CAPEX'!$S22=2031,'BASE PAN - CAPEX'!$AD22,IF('BASE PAN - CAPEX'!$AE22=2031,'BASE PAN - CAPEX'!$AP22,IF('BASE PAN - CAPEX'!$AQ22=2031,'BASE PAN - CAPEX'!$BB22,0))))*1.7</f>
        <v>0</v>
      </c>
      <c r="Q22" s="1">
        <f>(IF('BASE PAN - CAPEX'!$S22=2032,'BASE PAN - CAPEX'!$AD22,IF('BASE PAN - CAPEX'!$AE22=2032,'BASE PAN - CAPEX'!$AP22,IF('BASE PAN - CAPEX'!$AQ22=2032,'BASE PAN - CAPEX'!$BB22,0))))*1.7</f>
        <v>0</v>
      </c>
      <c r="R22" s="1">
        <f>(IF('BASE PAN - CAPEX'!$S22=2033,'BASE PAN - CAPEX'!$AD22,IF('BASE PAN - CAPEX'!$AE22=2033,'BASE PAN - CAPEX'!$AP22,IF('BASE PAN - CAPEX'!$AQ22=2033,'BASE PAN - CAPEX'!$BB22,0))))*1.7</f>
        <v>0</v>
      </c>
      <c r="S22" s="1">
        <f>(IF('BASE PAN - CAPEX'!$S22=2034,'BASE PAN - CAPEX'!$AD22,IF('BASE PAN - CAPEX'!$AE22=2034,'BASE PAN - CAPEX'!$AP22,IF('BASE PAN - CAPEX'!$AQ22=2034,'BASE PAN - CAPEX'!$BB22,0))))*1.7</f>
        <v>0</v>
      </c>
      <c r="T22" s="1">
        <f>(IF('BASE PAN - CAPEX'!$S22=2035,'BASE PAN - CAPEX'!$AD22,IF('BASE PAN - CAPEX'!$AE22=2035,'BASE PAN - CAPEX'!$AP22,IF('BASE PAN - CAPEX'!$AQ22=2035,'BASE PAN - CAPEX'!$BB22,0))))*1.7</f>
        <v>0</v>
      </c>
      <c r="U22" s="1">
        <f>(IF('BASE PAN - CAPEX'!$S22=2036,'BASE PAN - CAPEX'!$AD22,IF('BASE PAN - CAPEX'!$AE22=2036,'BASE PAN - CAPEX'!$AP22,IF('BASE PAN - CAPEX'!$AQ22=2036,'BASE PAN - CAPEX'!$BB22,0))))*1.7</f>
        <v>0</v>
      </c>
      <c r="V22" s="1">
        <f>((IF('BASE PAN - CAPEX'!$S22=2037,'BASE PAN - CAPEX'!$AD22,IF('BASE PAN - CAPEX'!$AE22=2037,'BASE PAN - CAPEX'!$AP22,IF('BASE PAN - CAPEX'!$AQ22=2037,'BASE PAN - CAPEX'!$BB22,0))))+VLOOKUP(C22,'BASE PAN - CAPEX - 1º ANO'!$C$3:$BG$35,57,FALSE))*1.7</f>
        <v>0</v>
      </c>
      <c r="W22" s="1">
        <f>(IF('BASE PAN - CAPEX'!$S22=2038,'BASE PAN - CAPEX'!$AD22,IF('BASE PAN - CAPEX'!$AE22=2038,'BASE PAN - CAPEX'!$AP22,IF('BASE PAN - CAPEX'!$AQ22=2038,'BASE PAN - CAPEX'!$BB22,0))))*1.7</f>
        <v>0</v>
      </c>
      <c r="X22" s="1">
        <f>(IF('BASE PAN - CAPEX'!$S22=2039,'BASE PAN - CAPEX'!$AD22,IF('BASE PAN - CAPEX'!$AE22=2039,'BASE PAN - CAPEX'!$AP22,IF('BASE PAN - CAPEX'!$AQ22=2039,'BASE PAN - CAPEX'!$BB22,0))))*1.7</f>
        <v>0</v>
      </c>
      <c r="Y22" s="1">
        <f>(IF('BASE PAN - CAPEX'!$S22=2040,'BASE PAN - CAPEX'!$AD22,IF('BASE PAN - CAPEX'!$AE22=2040,'BASE PAN - CAPEX'!$AP22,IF('BASE PAN - CAPEX'!$AQ22=2040,'BASE PAN - CAPEX'!$BB22,0))))*1.7</f>
        <v>0</v>
      </c>
      <c r="Z22" s="1">
        <f>(IF('BASE PAN - CAPEX'!$S22=2041,'BASE PAN - CAPEX'!$AD22,IF('BASE PAN - CAPEX'!$AE22=2041,'BASE PAN - CAPEX'!$AP22,IF('BASE PAN - CAPEX'!$AQ22=2041,'BASE PAN - CAPEX'!$BB22,0))))*1.7</f>
        <v>0</v>
      </c>
      <c r="AA22" s="1">
        <f>(IF('BASE PAN - CAPEX'!$S22=2042,'BASE PAN - CAPEX'!$AD22,IF('BASE PAN - CAPEX'!$AE22=2042,'BASE PAN - CAPEX'!$AP22,IF('BASE PAN - CAPEX'!$AQ22=2042,'BASE PAN - CAPEX'!$BB22,0))))*1.7</f>
        <v>0</v>
      </c>
      <c r="AB22" s="1">
        <f>(IF('BASE PAN - CAPEX'!$S22=2043,'BASE PAN - CAPEX'!$AD22,IF('BASE PAN - CAPEX'!$AE22=2043,'BASE PAN - CAPEX'!$AP22,IF('BASE PAN - CAPEX'!$AQ22=2043,'BASE PAN - CAPEX'!$BB22,0))))*1.7</f>
        <v>0</v>
      </c>
      <c r="AC22" s="1">
        <f>(IF('BASE PAN - CAPEX'!$S22=2044,'BASE PAN - CAPEX'!$AD22,IF('BASE PAN - CAPEX'!$AE22=2044,'BASE PAN - CAPEX'!$AP22,IF('BASE PAN - CAPEX'!$AQ22=2044,'BASE PAN - CAPEX'!$BB22,0))))*1.7</f>
        <v>0</v>
      </c>
      <c r="AD22" s="1">
        <f>(IF('BASE PAN - CAPEX'!$S22=2045,'BASE PAN - CAPEX'!$AD22,IF('BASE PAN - CAPEX'!$AE22=2045,'BASE PAN - CAPEX'!$AP22,IF('BASE PAN - CAPEX'!$AQ22=2045,'BASE PAN - CAPEX'!$BB22,0))))*1.7</f>
        <v>0</v>
      </c>
      <c r="AE22" s="1">
        <f>(IF('BASE PAN - CAPEX'!$S22=2046,'BASE PAN - CAPEX'!$AD22,IF('BASE PAN - CAPEX'!$AE22=2046,'BASE PAN - CAPEX'!$AP22,IF('BASE PAN - CAPEX'!$AQ22=2046,'BASE PAN - CAPEX'!$BB22,0))))*1.7</f>
        <v>0</v>
      </c>
      <c r="AF22" s="1">
        <f>(IF('BASE PAN - CAPEX'!$S22=2047,'BASE PAN - CAPEX'!$AD22,IF('BASE PAN - CAPEX'!$AE22=2047,'BASE PAN - CAPEX'!$AP22,IF('BASE PAN - CAPEX'!$AQ22=2047,'BASE PAN - CAPEX'!$BB22,0))))*1.7</f>
        <v>0</v>
      </c>
      <c r="AG22" s="1">
        <f>(IF('BASE PAN - CAPEX'!$S22=2048,'BASE PAN - CAPEX'!$AD22,IF('BASE PAN - CAPEX'!$AE22=2048,'BASE PAN - CAPEX'!$AP22,IF('BASE PAN - CAPEX'!$AQ22=2048,'BASE PAN - CAPEX'!$BB22,0))))*1.7</f>
        <v>0</v>
      </c>
      <c r="AH22" s="1">
        <f>(IF('BASE PAN - CAPEX'!$S22=2049,'BASE PAN - CAPEX'!$AD22,IF('BASE PAN - CAPEX'!$AE22=2049,'BASE PAN - CAPEX'!$AP22,IF('BASE PAN - CAPEX'!$AQ22=2049,'BASE PAN - CAPEX'!$BB22,0))))*1.7</f>
        <v>0</v>
      </c>
      <c r="AI22" s="1">
        <f>(IF('BASE PAN - CAPEX'!$S22=2050,'BASE PAN - CAPEX'!$AD22,IF('BASE PAN - CAPEX'!$AE22=2050,'BASE PAN - CAPEX'!$AP22,IF('BASE PAN - CAPEX'!$AQ22=2050,'BASE PAN - CAPEX'!$BB22,0))))*1.7</f>
        <v>0</v>
      </c>
      <c r="AJ22" s="1">
        <f>(IF('BASE PAN - CAPEX'!$S22=2051,'BASE PAN - CAPEX'!$AD22,IF('BASE PAN - CAPEX'!$AE22=2051,'BASE PAN - CAPEX'!$AP22,IF('BASE PAN - CAPEX'!$AQ22=2051,'BASE PAN - CAPEX'!$BB22,0))))*1.7</f>
        <v>0</v>
      </c>
      <c r="AK22" s="1">
        <f>(IF('BASE PAN - CAPEX'!$S22=2052,'BASE PAN - CAPEX'!$AD22,IF('BASE PAN - CAPEX'!$AE22=2052,'BASE PAN - CAPEX'!$AP22,IF('BASE PAN - CAPEX'!$AQ22=2052,'BASE PAN - CAPEX'!$BB22,0))))*1.7</f>
        <v>0</v>
      </c>
      <c r="AL22" s="1">
        <f>(IF('BASE PAN - CAPEX'!$S22=2053,'BASE PAN - CAPEX'!$AD22,IF('BASE PAN - CAPEX'!$AE22=2053,'BASE PAN - CAPEX'!$AP22,IF('BASE PAN - CAPEX'!$AQ22=2053,'BASE PAN - CAPEX'!$BB22,0))))*1.7</f>
        <v>0</v>
      </c>
      <c r="AM22" s="1">
        <f t="shared" si="0"/>
        <v>119637500</v>
      </c>
      <c r="AN22" t="str">
        <f>VLOOKUP(C22,'[6]CAPEX - BLOCOS PAN'!$C$3:$AN$249,38,FALSE)</f>
        <v>N</v>
      </c>
      <c r="AO22" s="3">
        <v>2</v>
      </c>
      <c r="AP22" s="3" t="s">
        <v>171</v>
      </c>
      <c r="AQ22" s="3" t="s">
        <v>171</v>
      </c>
      <c r="AR22" s="3">
        <v>2025</v>
      </c>
      <c r="AS22" s="3" t="s">
        <v>171</v>
      </c>
      <c r="AT22" s="3" t="s">
        <v>171</v>
      </c>
      <c r="AU22" s="3">
        <v>3</v>
      </c>
      <c r="AV22" t="str">
        <f>VLOOKUP(C22,'[6]CAPEX - BLOCOS PAN'!$C$3:$AV$249,46,FALSE)</f>
        <v>Privada</v>
      </c>
      <c r="AW22" t="str">
        <f>VLOOKUP(C22,'FLUXO DE CAIXA DESC.-BLOCOS PAN'!$D$3:$AO$52,38,FALSE)</f>
        <v>RO - 1 - AL</v>
      </c>
    </row>
    <row r="23" spans="1:49" x14ac:dyDescent="0.35">
      <c r="A23" t="s">
        <v>116</v>
      </c>
      <c r="B23" t="s">
        <v>117</v>
      </c>
      <c r="C23" t="s">
        <v>118</v>
      </c>
      <c r="D23" t="s">
        <v>117</v>
      </c>
      <c r="E23" t="s">
        <v>37</v>
      </c>
      <c r="F23" t="s">
        <v>33</v>
      </c>
      <c r="G23" t="s">
        <v>34</v>
      </c>
      <c r="H23" s="1">
        <f>(VLOOKUP(C23,'BASE PAN - CAPEX'!$C$3:$R$37,16,FALSE)+'BASE PAN - CAPEX'!BC23)*1.5</f>
        <v>61867500</v>
      </c>
      <c r="I23" s="1">
        <f>(IF('BASE PAN - CAPEX'!$S23=2024,'BASE PAN - CAPEX'!$AD23,IF('BASE PAN - CAPEX'!$AE23=2024,'BASE PAN - CAPEX'!$AP23,IF('BASE PAN - CAPEX'!$AQ23=2024,'BASE PAN - CAPEX'!$BB23,0))))*1.5</f>
        <v>0</v>
      </c>
      <c r="J23" s="1">
        <f>(IF('BASE PAN - CAPEX'!$S23=2025,'BASE PAN - CAPEX'!$AD23,IF('BASE PAN - CAPEX'!$AE23=2025,'BASE PAN - CAPEX'!$AP23,IF('BASE PAN - CAPEX'!$AQ23=2025,'BASE PAN - CAPEX'!$BB23,0))))*1.5</f>
        <v>0</v>
      </c>
      <c r="K23" s="1">
        <f>(IF('BASE PAN - CAPEX'!$S23=2026,'BASE PAN - CAPEX'!$AD23,IF('BASE PAN - CAPEX'!$AE23=2026,'BASE PAN - CAPEX'!$AP23,IF('BASE PAN - CAPEX'!$AQ23=2026,'BASE PAN - CAPEX'!$BB23,0))))*1.5</f>
        <v>0</v>
      </c>
      <c r="L23" s="1">
        <f>((IF('BASE PAN - CAPEX'!$S23=2027,'BASE PAN - CAPEX'!$AD23,IF('BASE PAN - CAPEX'!$AE23=2027,'BASE PAN - CAPEX'!$AP23,IF('BASE PAN - CAPEX'!$AQ23=2027,'BASE PAN - CAPEX'!$BB23,0))))+VLOOKUP(C23,'BASE PAN - CAPEX - 1º ANO'!$C$3:$BE$35,55,FALSE))*1.5</f>
        <v>0</v>
      </c>
      <c r="M23" s="1">
        <f>(IF('BASE PAN - CAPEX'!$S23=2028,'BASE PAN - CAPEX'!$AD23,IF('BASE PAN - CAPEX'!$AE23=2028,'BASE PAN - CAPEX'!$AP23,IF('BASE PAN - CAPEX'!$AQ23=2028,'BASE PAN - CAPEX'!$BB23,0))))*1.5</f>
        <v>0</v>
      </c>
      <c r="N23" s="1">
        <f>(IF('BASE PAN - CAPEX'!$S23=2029,'BASE PAN - CAPEX'!$AD23,IF('BASE PAN - CAPEX'!$AE23=2029,'BASE PAN - CAPEX'!$AP23,IF('BASE PAN - CAPEX'!$AQ23=2029,'BASE PAN - CAPEX'!$BB23,0))))*1.5</f>
        <v>0</v>
      </c>
      <c r="O23" s="1">
        <f>(IF('BASE PAN - CAPEX'!$S23=2030,'BASE PAN - CAPEX'!$AD23,IF('BASE PAN - CAPEX'!$AE23=2030,'BASE PAN - CAPEX'!$AP23,IF('BASE PAN - CAPEX'!$AQ23=2030,'BASE PAN - CAPEX'!$BB23,0))))*1.5</f>
        <v>0</v>
      </c>
      <c r="P23" s="1">
        <f>(IF('BASE PAN - CAPEX'!$S23=2031,'BASE PAN - CAPEX'!$AD23,IF('BASE PAN - CAPEX'!$AE23=2031,'BASE PAN - CAPEX'!$AP23,IF('BASE PAN - CAPEX'!$AQ23=2031,'BASE PAN - CAPEX'!$BB23,0))))*1.5</f>
        <v>0</v>
      </c>
      <c r="Q23" s="1">
        <f>(IF('BASE PAN - CAPEX'!$S23=2032,'BASE PAN - CAPEX'!$AD23,IF('BASE PAN - CAPEX'!$AE23=2032,'BASE PAN - CAPEX'!$AP23,IF('BASE PAN - CAPEX'!$AQ23=2032,'BASE PAN - CAPEX'!$BB23,0))))*1.5</f>
        <v>0</v>
      </c>
      <c r="R23" s="1">
        <f>(IF('BASE PAN - CAPEX'!$S23=2033,'BASE PAN - CAPEX'!$AD23,IF('BASE PAN - CAPEX'!$AE23=2033,'BASE PAN - CAPEX'!$AP23,IF('BASE PAN - CAPEX'!$AQ23=2033,'BASE PAN - CAPEX'!$BB23,0))))*1.5</f>
        <v>0</v>
      </c>
      <c r="S23" s="1">
        <f>(IF('BASE PAN - CAPEX'!$S23=2034,'BASE PAN - CAPEX'!$AD23,IF('BASE PAN - CAPEX'!$AE23=2034,'BASE PAN - CAPEX'!$AP23,IF('BASE PAN - CAPEX'!$AQ23=2034,'BASE PAN - CAPEX'!$BB23,0))))*1.5</f>
        <v>0</v>
      </c>
      <c r="T23" s="1">
        <f>(IF('BASE PAN - CAPEX'!$S23=2035,'BASE PAN - CAPEX'!$AD23,IF('BASE PAN - CAPEX'!$AE23=2035,'BASE PAN - CAPEX'!$AP23,IF('BASE PAN - CAPEX'!$AQ23=2035,'BASE PAN - CAPEX'!$BB23,0))))*1.5</f>
        <v>0</v>
      </c>
      <c r="U23" s="1">
        <f>(IF('BASE PAN - CAPEX'!$S23=2036,'BASE PAN - CAPEX'!$AD23,IF('BASE PAN - CAPEX'!$AE23=2036,'BASE PAN - CAPEX'!$AP23,IF('BASE PAN - CAPEX'!$AQ23=2036,'BASE PAN - CAPEX'!$BB23,0))))*1.5</f>
        <v>0</v>
      </c>
      <c r="V23" s="1">
        <f>((IF('BASE PAN - CAPEX'!$S23=2037,'BASE PAN - CAPEX'!$AD23,IF('BASE PAN - CAPEX'!$AE23=2037,'BASE PAN - CAPEX'!$AP23,IF('BASE PAN - CAPEX'!$AQ23=2037,'BASE PAN - CAPEX'!$BB23,0))))+VLOOKUP(C22,'BASE PAN - CAPEX - 1º ANO'!$C$3:$BG$35,57,FALSE))*1.5</f>
        <v>0</v>
      </c>
      <c r="W23" s="1">
        <f>(IF('BASE PAN - CAPEX'!$S23=2038,'BASE PAN - CAPEX'!$AD23,IF('BASE PAN - CAPEX'!$AE23=2038,'BASE PAN - CAPEX'!$AP23,IF('BASE PAN - CAPEX'!$AQ23=2038,'BASE PAN - CAPEX'!$BB23,0))))*1.5</f>
        <v>0</v>
      </c>
      <c r="X23" s="1">
        <f>(IF('BASE PAN - CAPEX'!$S23=2039,'BASE PAN - CAPEX'!$AD23,IF('BASE PAN - CAPEX'!$AE23=2039,'BASE PAN - CAPEX'!$AP23,IF('BASE PAN - CAPEX'!$AQ23=2039,'BASE PAN - CAPEX'!$BB23,0))))*1.5</f>
        <v>0</v>
      </c>
      <c r="Y23" s="1">
        <f>(IF('BASE PAN - CAPEX'!$S23=2040,'BASE PAN - CAPEX'!$AD23,IF('BASE PAN - CAPEX'!$AE23=2040,'BASE PAN - CAPEX'!$AP23,IF('BASE PAN - CAPEX'!$AQ23=2040,'BASE PAN - CAPEX'!$BB23,0))))*1.5</f>
        <v>0</v>
      </c>
      <c r="Z23" s="1">
        <f>(IF('BASE PAN - CAPEX'!$S23=2041,'BASE PAN - CAPEX'!$AD23,IF('BASE PAN - CAPEX'!$AE23=2041,'BASE PAN - CAPEX'!$AP23,IF('BASE PAN - CAPEX'!$AQ23=2041,'BASE PAN - CAPEX'!$BB23,0))))*1.5</f>
        <v>0</v>
      </c>
      <c r="AA23" s="1">
        <f>(IF('BASE PAN - CAPEX'!$S23=2042,'BASE PAN - CAPEX'!$AD23,IF('BASE PAN - CAPEX'!$AE23=2042,'BASE PAN - CAPEX'!$AP23,IF('BASE PAN - CAPEX'!$AQ23=2042,'BASE PAN - CAPEX'!$BB23,0))))*1.5</f>
        <v>0</v>
      </c>
      <c r="AB23" s="1">
        <f>(IF('BASE PAN - CAPEX'!$S23=2043,'BASE PAN - CAPEX'!$AD23,IF('BASE PAN - CAPEX'!$AE23=2043,'BASE PAN - CAPEX'!$AP23,IF('BASE PAN - CAPEX'!$AQ23=2043,'BASE PAN - CAPEX'!$BB23,0))))*1.5</f>
        <v>0</v>
      </c>
      <c r="AC23" s="1">
        <f>(IF('BASE PAN - CAPEX'!$S23=2044,'BASE PAN - CAPEX'!$AD23,IF('BASE PAN - CAPEX'!$AE23=2044,'BASE PAN - CAPEX'!$AP23,IF('BASE PAN - CAPEX'!$AQ23=2044,'BASE PAN - CAPEX'!$BB23,0))))*1.5</f>
        <v>0</v>
      </c>
      <c r="AD23" s="1">
        <f>(IF('BASE PAN - CAPEX'!$S23=2045,'BASE PAN - CAPEX'!$AD23,IF('BASE PAN - CAPEX'!$AE23=2045,'BASE PAN - CAPEX'!$AP23,IF('BASE PAN - CAPEX'!$AQ23=2045,'BASE PAN - CAPEX'!$BB23,0))))*1.5</f>
        <v>0</v>
      </c>
      <c r="AE23" s="1">
        <f>(IF('BASE PAN - CAPEX'!$S23=2046,'BASE PAN - CAPEX'!$AD23,IF('BASE PAN - CAPEX'!$AE23=2046,'BASE PAN - CAPEX'!$AP23,IF('BASE PAN - CAPEX'!$AQ23=2046,'BASE PAN - CAPEX'!$BB23,0))))*1.5</f>
        <v>0</v>
      </c>
      <c r="AF23" s="1">
        <f>(IF('BASE PAN - CAPEX'!$S23=2047,'BASE PAN - CAPEX'!$AD23,IF('BASE PAN - CAPEX'!$AE23=2047,'BASE PAN - CAPEX'!$AP23,IF('BASE PAN - CAPEX'!$AQ23=2047,'BASE PAN - CAPEX'!$BB23,0))))*1.5</f>
        <v>0</v>
      </c>
      <c r="AG23" s="1">
        <f>(IF('BASE PAN - CAPEX'!$S23=2048,'BASE PAN - CAPEX'!$AD23,IF('BASE PAN - CAPEX'!$AE23=2048,'BASE PAN - CAPEX'!$AP23,IF('BASE PAN - CAPEX'!$AQ23=2048,'BASE PAN - CAPEX'!$BB23,0))))*1.5</f>
        <v>0</v>
      </c>
      <c r="AH23" s="1">
        <f>(IF('BASE PAN - CAPEX'!$S23=2049,'BASE PAN - CAPEX'!$AD23,IF('BASE PAN - CAPEX'!$AE23=2049,'BASE PAN - CAPEX'!$AP23,IF('BASE PAN - CAPEX'!$AQ23=2049,'BASE PAN - CAPEX'!$BB23,0))))*1.5</f>
        <v>0</v>
      </c>
      <c r="AI23" s="1">
        <f>(IF('BASE PAN - CAPEX'!$S23=2050,'BASE PAN - CAPEX'!$AD23,IF('BASE PAN - CAPEX'!$AE23=2050,'BASE PAN - CAPEX'!$AP23,IF('BASE PAN - CAPEX'!$AQ23=2050,'BASE PAN - CAPEX'!$BB23,0))))*1.5</f>
        <v>0</v>
      </c>
      <c r="AJ23" s="1">
        <f>(IF('BASE PAN - CAPEX'!$S23=2051,'BASE PAN - CAPEX'!$AD23,IF('BASE PAN - CAPEX'!$AE23=2051,'BASE PAN - CAPEX'!$AP23,IF('BASE PAN - CAPEX'!$AQ23=2051,'BASE PAN - CAPEX'!$BB23,0))))*1.5</f>
        <v>0</v>
      </c>
      <c r="AK23" s="1">
        <f>(IF('BASE PAN - CAPEX'!$S23=2052,'BASE PAN - CAPEX'!$AD23,IF('BASE PAN - CAPEX'!$AE23=2052,'BASE PAN - CAPEX'!$AP23,IF('BASE PAN - CAPEX'!$AQ23=2052,'BASE PAN - CAPEX'!$BB23,0))))*1.5</f>
        <v>0</v>
      </c>
      <c r="AL23" s="1">
        <f>(IF('BASE PAN - CAPEX'!$S23=2053,'BASE PAN - CAPEX'!$AD23,IF('BASE PAN - CAPEX'!$AE23=2053,'BASE PAN - CAPEX'!$AP23,IF('BASE PAN - CAPEX'!$AQ23=2053,'BASE PAN - CAPEX'!$BB23,0))))*1.5</f>
        <v>0</v>
      </c>
      <c r="AM23" s="1">
        <f t="shared" si="0"/>
        <v>61867500</v>
      </c>
      <c r="AN23" t="str">
        <f>VLOOKUP(C23,'[6]CAPEX - BLOCOS PAN'!$C$3:$AN$249,38,FALSE)</f>
        <v>NE e CO</v>
      </c>
      <c r="AO23" s="3">
        <v>1</v>
      </c>
      <c r="AP23" s="3" t="s">
        <v>171</v>
      </c>
      <c r="AQ23" s="3" t="s">
        <v>171</v>
      </c>
      <c r="AR23" s="3" t="s">
        <v>171</v>
      </c>
      <c r="AS23" s="3" t="s">
        <v>171</v>
      </c>
      <c r="AT23" s="3" t="s">
        <v>171</v>
      </c>
      <c r="AU23" s="3" t="s">
        <v>171</v>
      </c>
      <c r="AV23" t="str">
        <f>VLOOKUP(C23,'[6]CAPEX - BLOCOS PAN'!$C$3:$AV$249,46,FALSE)</f>
        <v>Privada</v>
      </c>
      <c r="AW23" t="str">
        <f>VLOOKUP(C23,'FLUXO DE CAIXA DESC.-BLOCOS PAN'!$D$3:$AO$52,38,FALSE)</f>
        <v>MT - 1 - AL</v>
      </c>
    </row>
    <row r="24" spans="1:49" x14ac:dyDescent="0.35">
      <c r="A24" t="s">
        <v>119</v>
      </c>
      <c r="B24" t="s">
        <v>120</v>
      </c>
      <c r="C24" t="s">
        <v>121</v>
      </c>
      <c r="D24" t="s">
        <v>120</v>
      </c>
      <c r="E24" t="s">
        <v>35</v>
      </c>
      <c r="F24" t="s">
        <v>33</v>
      </c>
      <c r="G24" t="s">
        <v>34</v>
      </c>
      <c r="H24" s="1">
        <f>(VLOOKUP(C24,'BASE PAN - CAPEX'!$C$3:$R$37,16,FALSE)+'BASE PAN - CAPEX'!BC24)*1.7</f>
        <v>54077000</v>
      </c>
      <c r="I24" s="1">
        <f>(IF('BASE PAN - CAPEX'!$S24=2024,'BASE PAN - CAPEX'!$AD24,IF('BASE PAN - CAPEX'!$AE24=2024,'BASE PAN - CAPEX'!$AP24,IF('BASE PAN - CAPEX'!$AQ24=2024,'BASE PAN - CAPEX'!$BB24,0))))*1.7</f>
        <v>0</v>
      </c>
      <c r="J24" s="1">
        <f>(IF('BASE PAN - CAPEX'!$S24=2025,'BASE PAN - CAPEX'!$AD24,IF('BASE PAN - CAPEX'!$AE24=2025,'BASE PAN - CAPEX'!$AP24,IF('BASE PAN - CAPEX'!$AQ24=2025,'BASE PAN - CAPEX'!$BB24,0))))*1.7</f>
        <v>0</v>
      </c>
      <c r="K24" s="1">
        <f>(IF('BASE PAN - CAPEX'!$S24=2026,'BASE PAN - CAPEX'!$AD24,IF('BASE PAN - CAPEX'!$AE24=2026,'BASE PAN - CAPEX'!$AP24,IF('BASE PAN - CAPEX'!$AQ24=2026,'BASE PAN - CAPEX'!$BB24,0))))*1.7</f>
        <v>0</v>
      </c>
      <c r="L24" s="1">
        <f>((IF('BASE PAN - CAPEX'!$S24=2027,'BASE PAN - CAPEX'!$AD24,IF('BASE PAN - CAPEX'!$AE24=2027,'BASE PAN - CAPEX'!$AP24,IF('BASE PAN - CAPEX'!$AQ24=2027,'BASE PAN - CAPEX'!$BB24,0))))+VLOOKUP(C24,'BASE PAN - CAPEX - 1º ANO'!$C$3:$BE$35,55,FALSE))*1.7</f>
        <v>0</v>
      </c>
      <c r="M24" s="1">
        <f>(IF('BASE PAN - CAPEX'!$S24=2028,'BASE PAN - CAPEX'!$AD24,IF('BASE PAN - CAPEX'!$AE24=2028,'BASE PAN - CAPEX'!$AP24,IF('BASE PAN - CAPEX'!$AQ24=2028,'BASE PAN - CAPEX'!$BB24,0))))*1.7</f>
        <v>0</v>
      </c>
      <c r="N24" s="1">
        <f>(IF('BASE PAN - CAPEX'!$S24=2029,'BASE PAN - CAPEX'!$AD24,IF('BASE PAN - CAPEX'!$AE24=2029,'BASE PAN - CAPEX'!$AP24,IF('BASE PAN - CAPEX'!$AQ24=2029,'BASE PAN - CAPEX'!$BB24,0))))*1.7</f>
        <v>0</v>
      </c>
      <c r="O24" s="1">
        <f>(IF('BASE PAN - CAPEX'!$S24=2030,'BASE PAN - CAPEX'!$AD24,IF('BASE PAN - CAPEX'!$AE24=2030,'BASE PAN - CAPEX'!$AP24,IF('BASE PAN - CAPEX'!$AQ24=2030,'BASE PAN - CAPEX'!$BB24,0))))*1.7</f>
        <v>0</v>
      </c>
      <c r="P24" s="1">
        <f>(IF('BASE PAN - CAPEX'!$S24=2031,'BASE PAN - CAPEX'!$AD24,IF('BASE PAN - CAPEX'!$AE24=2031,'BASE PAN - CAPEX'!$AP24,IF('BASE PAN - CAPEX'!$AQ24=2031,'BASE PAN - CAPEX'!$BB24,0))))*1.7</f>
        <v>0</v>
      </c>
      <c r="Q24" s="1">
        <f>(IF('BASE PAN - CAPEX'!$S24=2032,'BASE PAN - CAPEX'!$AD24,IF('BASE PAN - CAPEX'!$AE24=2032,'BASE PAN - CAPEX'!$AP24,IF('BASE PAN - CAPEX'!$AQ24=2032,'BASE PAN - CAPEX'!$BB24,0))))*1.7</f>
        <v>0</v>
      </c>
      <c r="R24" s="1">
        <f>(IF('BASE PAN - CAPEX'!$S24=2033,'BASE PAN - CAPEX'!$AD24,IF('BASE PAN - CAPEX'!$AE24=2033,'BASE PAN - CAPEX'!$AP24,IF('BASE PAN - CAPEX'!$AQ24=2033,'BASE PAN - CAPEX'!$BB24,0))))*1.7</f>
        <v>0</v>
      </c>
      <c r="S24" s="1">
        <f>(IF('BASE PAN - CAPEX'!$S24=2034,'BASE PAN - CAPEX'!$AD24,IF('BASE PAN - CAPEX'!$AE24=2034,'BASE PAN - CAPEX'!$AP24,IF('BASE PAN - CAPEX'!$AQ24=2034,'BASE PAN - CAPEX'!$BB24,0))))*1.7</f>
        <v>0</v>
      </c>
      <c r="T24" s="1">
        <f>(IF('BASE PAN - CAPEX'!$S24=2035,'BASE PAN - CAPEX'!$AD24,IF('BASE PAN - CAPEX'!$AE24=2035,'BASE PAN - CAPEX'!$AP24,IF('BASE PAN - CAPEX'!$AQ24=2035,'BASE PAN - CAPEX'!$BB24,0))))*1.7</f>
        <v>0</v>
      </c>
      <c r="U24" s="1">
        <f>(IF('BASE PAN - CAPEX'!$S24=2036,'BASE PAN - CAPEX'!$AD24,IF('BASE PAN - CAPEX'!$AE24=2036,'BASE PAN - CAPEX'!$AP24,IF('BASE PAN - CAPEX'!$AQ24=2036,'BASE PAN - CAPEX'!$BB24,0))))*1.7</f>
        <v>0</v>
      </c>
      <c r="V24" s="1">
        <f>((IF('BASE PAN - CAPEX'!$S24=2037,'BASE PAN - CAPEX'!$AD24,IF('BASE PAN - CAPEX'!$AE24=2037,'BASE PAN - CAPEX'!$AP24,IF('BASE PAN - CAPEX'!$AQ24=2037,'BASE PAN - CAPEX'!$BB24,0))))+VLOOKUP(C24,'BASE PAN - CAPEX - 1º ANO'!$C$3:$BG$35,57,FALSE))*1.7</f>
        <v>0</v>
      </c>
      <c r="W24" s="1">
        <f>(IF('BASE PAN - CAPEX'!$S24=2038,'BASE PAN - CAPEX'!$AD24,IF('BASE PAN - CAPEX'!$AE24=2038,'BASE PAN - CAPEX'!$AP24,IF('BASE PAN - CAPEX'!$AQ24=2038,'BASE PAN - CAPEX'!$BB24,0))))*1.7</f>
        <v>0</v>
      </c>
      <c r="X24" s="1">
        <f>(IF('BASE PAN - CAPEX'!$S24=2039,'BASE PAN - CAPEX'!$AD24,IF('BASE PAN - CAPEX'!$AE24=2039,'BASE PAN - CAPEX'!$AP24,IF('BASE PAN - CAPEX'!$AQ24=2039,'BASE PAN - CAPEX'!$BB24,0))))*1.7</f>
        <v>0</v>
      </c>
      <c r="Y24" s="1">
        <f>(IF('BASE PAN - CAPEX'!$S24=2040,'BASE PAN - CAPEX'!$AD24,IF('BASE PAN - CAPEX'!$AE24=2040,'BASE PAN - CAPEX'!$AP24,IF('BASE PAN - CAPEX'!$AQ24=2040,'BASE PAN - CAPEX'!$BB24,0))))*1.7</f>
        <v>0</v>
      </c>
      <c r="Z24" s="1">
        <f>(IF('BASE PAN - CAPEX'!$S24=2041,'BASE PAN - CAPEX'!$AD24,IF('BASE PAN - CAPEX'!$AE24=2041,'BASE PAN - CAPEX'!$AP24,IF('BASE PAN - CAPEX'!$AQ24=2041,'BASE PAN - CAPEX'!$BB24,0))))*1.7</f>
        <v>0</v>
      </c>
      <c r="AA24" s="1">
        <f>(IF('BASE PAN - CAPEX'!$S24=2042,'BASE PAN - CAPEX'!$AD24,IF('BASE PAN - CAPEX'!$AE24=2042,'BASE PAN - CAPEX'!$AP24,IF('BASE PAN - CAPEX'!$AQ24=2042,'BASE PAN - CAPEX'!$BB24,0))))*1.7</f>
        <v>0</v>
      </c>
      <c r="AB24" s="1">
        <f>(IF('BASE PAN - CAPEX'!$S24=2043,'BASE PAN - CAPEX'!$AD24,IF('BASE PAN - CAPEX'!$AE24=2043,'BASE PAN - CAPEX'!$AP24,IF('BASE PAN - CAPEX'!$AQ24=2043,'BASE PAN - CAPEX'!$BB24,0))))*1.7</f>
        <v>0</v>
      </c>
      <c r="AC24" s="1">
        <f>(IF('BASE PAN - CAPEX'!$S24=2044,'BASE PAN - CAPEX'!$AD24,IF('BASE PAN - CAPEX'!$AE24=2044,'BASE PAN - CAPEX'!$AP24,IF('BASE PAN - CAPEX'!$AQ24=2044,'BASE PAN - CAPEX'!$BB24,0))))*1.7</f>
        <v>0</v>
      </c>
      <c r="AD24" s="1">
        <f>(IF('BASE PAN - CAPEX'!$S24=2045,'BASE PAN - CAPEX'!$AD24,IF('BASE PAN - CAPEX'!$AE24=2045,'BASE PAN - CAPEX'!$AP24,IF('BASE PAN - CAPEX'!$AQ24=2045,'BASE PAN - CAPEX'!$BB24,0))))*1.7</f>
        <v>0</v>
      </c>
      <c r="AE24" s="1">
        <f>(IF('BASE PAN - CAPEX'!$S24=2046,'BASE PAN - CAPEX'!$AD24,IF('BASE PAN - CAPEX'!$AE24=2046,'BASE PAN - CAPEX'!$AP24,IF('BASE PAN - CAPEX'!$AQ24=2046,'BASE PAN - CAPEX'!$BB24,0))))*1.7</f>
        <v>0</v>
      </c>
      <c r="AF24" s="1">
        <f>(IF('BASE PAN - CAPEX'!$S24=2047,'BASE PAN - CAPEX'!$AD24,IF('BASE PAN - CAPEX'!$AE24=2047,'BASE PAN - CAPEX'!$AP24,IF('BASE PAN - CAPEX'!$AQ24=2047,'BASE PAN - CAPEX'!$BB24,0))))*1.7</f>
        <v>0</v>
      </c>
      <c r="AG24" s="1">
        <f>(IF('BASE PAN - CAPEX'!$S24=2048,'BASE PAN - CAPEX'!$AD24,IF('BASE PAN - CAPEX'!$AE24=2048,'BASE PAN - CAPEX'!$AP24,IF('BASE PAN - CAPEX'!$AQ24=2048,'BASE PAN - CAPEX'!$BB24,0))))*1.7</f>
        <v>0</v>
      </c>
      <c r="AH24" s="1">
        <f>(IF('BASE PAN - CAPEX'!$S24=2049,'BASE PAN - CAPEX'!$AD24,IF('BASE PAN - CAPEX'!$AE24=2049,'BASE PAN - CAPEX'!$AP24,IF('BASE PAN - CAPEX'!$AQ24=2049,'BASE PAN - CAPEX'!$BB24,0))))*1.7</f>
        <v>0</v>
      </c>
      <c r="AI24" s="1">
        <f>(IF('BASE PAN - CAPEX'!$S24=2050,'BASE PAN - CAPEX'!$AD24,IF('BASE PAN - CAPEX'!$AE24=2050,'BASE PAN - CAPEX'!$AP24,IF('BASE PAN - CAPEX'!$AQ24=2050,'BASE PAN - CAPEX'!$BB24,0))))*1.7</f>
        <v>0</v>
      </c>
      <c r="AJ24" s="1">
        <f>(IF('BASE PAN - CAPEX'!$S24=2051,'BASE PAN - CAPEX'!$AD24,IF('BASE PAN - CAPEX'!$AE24=2051,'BASE PAN - CAPEX'!$AP24,IF('BASE PAN - CAPEX'!$AQ24=2051,'BASE PAN - CAPEX'!$BB24,0))))*1.7</f>
        <v>0</v>
      </c>
      <c r="AK24" s="1">
        <f>(IF('BASE PAN - CAPEX'!$S24=2052,'BASE PAN - CAPEX'!$AD24,IF('BASE PAN - CAPEX'!$AE24=2052,'BASE PAN - CAPEX'!$AP24,IF('BASE PAN - CAPEX'!$AQ24=2052,'BASE PAN - CAPEX'!$BB24,0))))*1.7</f>
        <v>0</v>
      </c>
      <c r="AL24" s="1">
        <f>(IF('BASE PAN - CAPEX'!$S24=2053,'BASE PAN - CAPEX'!$AD24,IF('BASE PAN - CAPEX'!$AE24=2053,'BASE PAN - CAPEX'!$AP24,IF('BASE PAN - CAPEX'!$AQ24=2053,'BASE PAN - CAPEX'!$BB24,0))))*1.7</f>
        <v>0</v>
      </c>
      <c r="AM24" s="1">
        <f t="shared" si="0"/>
        <v>54077000</v>
      </c>
      <c r="AN24" t="str">
        <f>VLOOKUP(C24,'[6]CAPEX - BLOCOS PAN'!$C$3:$AN$249,38,FALSE)</f>
        <v>N</v>
      </c>
      <c r="AO24" s="3">
        <v>1</v>
      </c>
      <c r="AP24" s="3" t="s">
        <v>171</v>
      </c>
      <c r="AQ24" s="3" t="s">
        <v>171</v>
      </c>
      <c r="AR24" s="3" t="s">
        <v>171</v>
      </c>
      <c r="AS24" s="3" t="s">
        <v>171</v>
      </c>
      <c r="AT24" s="3" t="s">
        <v>171</v>
      </c>
      <c r="AU24" s="3" t="s">
        <v>171</v>
      </c>
      <c r="AV24" t="str">
        <f>VLOOKUP(C24,'[6]CAPEX - BLOCOS PAN'!$C$3:$AV$249,46,FALSE)</f>
        <v>Privada</v>
      </c>
      <c r="AW24" t="str">
        <f>VLOOKUP(C24,'FLUXO DE CAIXA DESC.-BLOCOS PAN'!$D$3:$AO$52,38,FALSE)</f>
        <v>AM - 3 - AL</v>
      </c>
    </row>
    <row r="25" spans="1:49" x14ac:dyDescent="0.35">
      <c r="A25" t="s">
        <v>122</v>
      </c>
      <c r="B25" t="s">
        <v>123</v>
      </c>
      <c r="C25" t="s">
        <v>124</v>
      </c>
      <c r="D25" t="s">
        <v>123</v>
      </c>
      <c r="E25" t="s">
        <v>35</v>
      </c>
      <c r="F25" t="s">
        <v>33</v>
      </c>
      <c r="G25" t="s">
        <v>34</v>
      </c>
      <c r="H25" s="1">
        <f>(VLOOKUP(C25,'BASE PAN - CAPEX'!$C$3:$R$37,16,FALSE)+'BASE PAN - CAPEX'!BC25)*1.7</f>
        <v>64770000</v>
      </c>
      <c r="I25" s="1">
        <f>(IF('BASE PAN - CAPEX'!$S25=2024,'BASE PAN - CAPEX'!$AD25,IF('BASE PAN - CAPEX'!$AE25=2024,'BASE PAN - CAPEX'!$AP25,IF('BASE PAN - CAPEX'!$AQ25=2024,'BASE PAN - CAPEX'!$BB25,0))))*1.7</f>
        <v>0</v>
      </c>
      <c r="J25" s="1">
        <f>(IF('BASE PAN - CAPEX'!$S25=2025,'BASE PAN - CAPEX'!$AD25,IF('BASE PAN - CAPEX'!$AE25=2025,'BASE PAN - CAPEX'!$AP25,IF('BASE PAN - CAPEX'!$AQ25=2025,'BASE PAN - CAPEX'!$BB25,0))))*1.7</f>
        <v>0</v>
      </c>
      <c r="K25" s="1">
        <f>(IF('BASE PAN - CAPEX'!$S25=2026,'BASE PAN - CAPEX'!$AD25,IF('BASE PAN - CAPEX'!$AE25=2026,'BASE PAN - CAPEX'!$AP25,IF('BASE PAN - CAPEX'!$AQ25=2026,'BASE PAN - CAPEX'!$BB25,0))))*1.7</f>
        <v>0</v>
      </c>
      <c r="L25" s="1">
        <f>((IF('BASE PAN - CAPEX'!$S25=2027,'BASE PAN - CAPEX'!$AD25,IF('BASE PAN - CAPEX'!$AE25=2027,'BASE PAN - CAPEX'!$AP25,IF('BASE PAN - CAPEX'!$AQ25=2027,'BASE PAN - CAPEX'!$BB25,0))))+VLOOKUP(C25,'BASE PAN - CAPEX - 1º ANO'!$C$3:$BE$35,55,FALSE))*1.7</f>
        <v>493000</v>
      </c>
      <c r="M25" s="1">
        <f>(IF('BASE PAN - CAPEX'!$S25=2028,'BASE PAN - CAPEX'!$AD25,IF('BASE PAN - CAPEX'!$AE25=2028,'BASE PAN - CAPEX'!$AP25,IF('BASE PAN - CAPEX'!$AQ25=2028,'BASE PAN - CAPEX'!$BB25,0))))*1.7</f>
        <v>0</v>
      </c>
      <c r="N25" s="1">
        <f>(IF('BASE PAN - CAPEX'!$S25=2029,'BASE PAN - CAPEX'!$AD25,IF('BASE PAN - CAPEX'!$AE25=2029,'BASE PAN - CAPEX'!$AP25,IF('BASE PAN - CAPEX'!$AQ25=2029,'BASE PAN - CAPEX'!$BB25,0))))*1.7</f>
        <v>459000</v>
      </c>
      <c r="O25" s="1">
        <f>(IF('BASE PAN - CAPEX'!$S25=2030,'BASE PAN - CAPEX'!$AD25,IF('BASE PAN - CAPEX'!$AE25=2030,'BASE PAN - CAPEX'!$AP25,IF('BASE PAN - CAPEX'!$AQ25=2030,'BASE PAN - CAPEX'!$BB25,0))))*1.7</f>
        <v>0</v>
      </c>
      <c r="P25" s="1">
        <f>(IF('BASE PAN - CAPEX'!$S25=2031,'BASE PAN - CAPEX'!$AD25,IF('BASE PAN - CAPEX'!$AE25=2031,'BASE PAN - CAPEX'!$AP25,IF('BASE PAN - CAPEX'!$AQ25=2031,'BASE PAN - CAPEX'!$BB25,0))))*1.7</f>
        <v>0</v>
      </c>
      <c r="Q25" s="1">
        <f>(IF('BASE PAN - CAPEX'!$S25=2032,'BASE PAN - CAPEX'!$AD25,IF('BASE PAN - CAPEX'!$AE25=2032,'BASE PAN - CAPEX'!$AP25,IF('BASE PAN - CAPEX'!$AQ25=2032,'BASE PAN - CAPEX'!$BB25,0))))*1.7</f>
        <v>0</v>
      </c>
      <c r="R25" s="1">
        <f>(IF('BASE PAN - CAPEX'!$S25=2033,'BASE PAN - CAPEX'!$AD25,IF('BASE PAN - CAPEX'!$AE25=2033,'BASE PAN - CAPEX'!$AP25,IF('BASE PAN - CAPEX'!$AQ25=2033,'BASE PAN - CAPEX'!$BB25,0))))*1.7</f>
        <v>0</v>
      </c>
      <c r="S25" s="1">
        <f>(IF('BASE PAN - CAPEX'!$S25=2034,'BASE PAN - CAPEX'!$AD25,IF('BASE PAN - CAPEX'!$AE25=2034,'BASE PAN - CAPEX'!$AP25,IF('BASE PAN - CAPEX'!$AQ25=2034,'BASE PAN - CAPEX'!$BB25,0))))*1.7</f>
        <v>0</v>
      </c>
      <c r="T25" s="1">
        <f>(IF('BASE PAN - CAPEX'!$S25=2035,'BASE PAN - CAPEX'!$AD25,IF('BASE PAN - CAPEX'!$AE25=2035,'BASE PAN - CAPEX'!$AP25,IF('BASE PAN - CAPEX'!$AQ25=2035,'BASE PAN - CAPEX'!$BB25,0))))*1.7</f>
        <v>0</v>
      </c>
      <c r="U25" s="1">
        <f>(IF('BASE PAN - CAPEX'!$S25=2036,'BASE PAN - CAPEX'!$AD25,IF('BASE PAN - CAPEX'!$AE25=2036,'BASE PAN - CAPEX'!$AP25,IF('BASE PAN - CAPEX'!$AQ25=2036,'BASE PAN - CAPEX'!$BB25,0))))*1.7</f>
        <v>0</v>
      </c>
      <c r="V25" s="1">
        <f>((IF('BASE PAN - CAPEX'!$S25=2037,'BASE PAN - CAPEX'!$AD25,IF('BASE PAN - CAPEX'!$AE25=2037,'BASE PAN - CAPEX'!$AP25,IF('BASE PAN - CAPEX'!$AQ25=2037,'BASE PAN - CAPEX'!$BB25,0))))+VLOOKUP(C25,'BASE PAN - CAPEX - 1º ANO'!$C$3:$BG$35,57,FALSE))*1.7</f>
        <v>0</v>
      </c>
      <c r="W25" s="1">
        <f>(IF('BASE PAN - CAPEX'!$S25=2038,'BASE PAN - CAPEX'!$AD25,IF('BASE PAN - CAPEX'!$AE25=2038,'BASE PAN - CAPEX'!$AP25,IF('BASE PAN - CAPEX'!$AQ25=2038,'BASE PAN - CAPEX'!$BB25,0))))*1.7</f>
        <v>0</v>
      </c>
      <c r="X25" s="1">
        <f>(IF('BASE PAN - CAPEX'!$S25=2039,'BASE PAN - CAPEX'!$AD25,IF('BASE PAN - CAPEX'!$AE25=2039,'BASE PAN - CAPEX'!$AP25,IF('BASE PAN - CAPEX'!$AQ25=2039,'BASE PAN - CAPEX'!$BB25,0))))*1.7</f>
        <v>0</v>
      </c>
      <c r="Y25" s="1">
        <f>(IF('BASE PAN - CAPEX'!$S25=2040,'BASE PAN - CAPEX'!$AD25,IF('BASE PAN - CAPEX'!$AE25=2040,'BASE PAN - CAPEX'!$AP25,IF('BASE PAN - CAPEX'!$AQ25=2040,'BASE PAN - CAPEX'!$BB25,0))))*1.7</f>
        <v>0</v>
      </c>
      <c r="Z25" s="1">
        <f>(IF('BASE PAN - CAPEX'!$S25=2041,'BASE PAN - CAPEX'!$AD25,IF('BASE PAN - CAPEX'!$AE25=2041,'BASE PAN - CAPEX'!$AP25,IF('BASE PAN - CAPEX'!$AQ25=2041,'BASE PAN - CAPEX'!$BB25,0))))*1.7</f>
        <v>0</v>
      </c>
      <c r="AA25" s="1">
        <f>(IF('BASE PAN - CAPEX'!$S25=2042,'BASE PAN - CAPEX'!$AD25,IF('BASE PAN - CAPEX'!$AE25=2042,'BASE PAN - CAPEX'!$AP25,IF('BASE PAN - CAPEX'!$AQ25=2042,'BASE PAN - CAPEX'!$BB25,0))))*1.7</f>
        <v>0</v>
      </c>
      <c r="AB25" s="1">
        <f>(IF('BASE PAN - CAPEX'!$S25=2043,'BASE PAN - CAPEX'!$AD25,IF('BASE PAN - CAPEX'!$AE25=2043,'BASE PAN - CAPEX'!$AP25,IF('BASE PAN - CAPEX'!$AQ25=2043,'BASE PAN - CAPEX'!$BB25,0))))*1.7</f>
        <v>0</v>
      </c>
      <c r="AC25" s="1">
        <f>(IF('BASE PAN - CAPEX'!$S25=2044,'BASE PAN - CAPEX'!$AD25,IF('BASE PAN - CAPEX'!$AE25=2044,'BASE PAN - CAPEX'!$AP25,IF('BASE PAN - CAPEX'!$AQ25=2044,'BASE PAN - CAPEX'!$BB25,0))))*1.7</f>
        <v>0</v>
      </c>
      <c r="AD25" s="1">
        <f>(IF('BASE PAN - CAPEX'!$S25=2045,'BASE PAN - CAPEX'!$AD25,IF('BASE PAN - CAPEX'!$AE25=2045,'BASE PAN - CAPEX'!$AP25,IF('BASE PAN - CAPEX'!$AQ25=2045,'BASE PAN - CAPEX'!$BB25,0))))*1.7</f>
        <v>0</v>
      </c>
      <c r="AE25" s="1">
        <f>(IF('BASE PAN - CAPEX'!$S25=2046,'BASE PAN - CAPEX'!$AD25,IF('BASE PAN - CAPEX'!$AE25=2046,'BASE PAN - CAPEX'!$AP25,IF('BASE PAN - CAPEX'!$AQ25=2046,'BASE PAN - CAPEX'!$BB25,0))))*1.7</f>
        <v>0</v>
      </c>
      <c r="AF25" s="1">
        <f>(IF('BASE PAN - CAPEX'!$S25=2047,'BASE PAN - CAPEX'!$AD25,IF('BASE PAN - CAPEX'!$AE25=2047,'BASE PAN - CAPEX'!$AP25,IF('BASE PAN - CAPEX'!$AQ25=2047,'BASE PAN - CAPEX'!$BB25,0))))*1.7</f>
        <v>0</v>
      </c>
      <c r="AG25" s="1">
        <f>(IF('BASE PAN - CAPEX'!$S25=2048,'BASE PAN - CAPEX'!$AD25,IF('BASE PAN - CAPEX'!$AE25=2048,'BASE PAN - CAPEX'!$AP25,IF('BASE PAN - CAPEX'!$AQ25=2048,'BASE PAN - CAPEX'!$BB25,0))))*1.7</f>
        <v>0</v>
      </c>
      <c r="AH25" s="1">
        <f>(IF('BASE PAN - CAPEX'!$S25=2049,'BASE PAN - CAPEX'!$AD25,IF('BASE PAN - CAPEX'!$AE25=2049,'BASE PAN - CAPEX'!$AP25,IF('BASE PAN - CAPEX'!$AQ25=2049,'BASE PAN - CAPEX'!$BB25,0))))*1.7</f>
        <v>0</v>
      </c>
      <c r="AI25" s="1">
        <f>(IF('BASE PAN - CAPEX'!$S25=2050,'BASE PAN - CAPEX'!$AD25,IF('BASE PAN - CAPEX'!$AE25=2050,'BASE PAN - CAPEX'!$AP25,IF('BASE PAN - CAPEX'!$AQ25=2050,'BASE PAN - CAPEX'!$BB25,0))))*1.7</f>
        <v>0</v>
      </c>
      <c r="AJ25" s="1">
        <f>(IF('BASE PAN - CAPEX'!$S25=2051,'BASE PAN - CAPEX'!$AD25,IF('BASE PAN - CAPEX'!$AE25=2051,'BASE PAN - CAPEX'!$AP25,IF('BASE PAN - CAPEX'!$AQ25=2051,'BASE PAN - CAPEX'!$BB25,0))))*1.7</f>
        <v>0</v>
      </c>
      <c r="AK25" s="1">
        <f>(IF('BASE PAN - CAPEX'!$S25=2052,'BASE PAN - CAPEX'!$AD25,IF('BASE PAN - CAPEX'!$AE25=2052,'BASE PAN - CAPEX'!$AP25,IF('BASE PAN - CAPEX'!$AQ25=2052,'BASE PAN - CAPEX'!$BB25,0))))*1.7</f>
        <v>0</v>
      </c>
      <c r="AL25" s="1">
        <f>(IF('BASE PAN - CAPEX'!$S25=2053,'BASE PAN - CAPEX'!$AD25,IF('BASE PAN - CAPEX'!$AE25=2053,'BASE PAN - CAPEX'!$AP25,IF('BASE PAN - CAPEX'!$AQ25=2053,'BASE PAN - CAPEX'!$BB25,0))))*1.7</f>
        <v>0</v>
      </c>
      <c r="AM25" s="1">
        <f t="shared" si="0"/>
        <v>65722000</v>
      </c>
      <c r="AN25" t="str">
        <f>VLOOKUP(C25,'[6]CAPEX - BLOCOS PAN'!$C$3:$AN$249,38,FALSE)</f>
        <v>N</v>
      </c>
      <c r="AO25" s="3">
        <v>1</v>
      </c>
      <c r="AP25" s="3" t="s">
        <v>171</v>
      </c>
      <c r="AQ25" s="3" t="s">
        <v>171</v>
      </c>
      <c r="AR25" s="3">
        <v>2029</v>
      </c>
      <c r="AS25" s="3" t="s">
        <v>171</v>
      </c>
      <c r="AT25" s="3" t="s">
        <v>171</v>
      </c>
      <c r="AU25" s="3">
        <v>2</v>
      </c>
      <c r="AV25" t="str">
        <f>VLOOKUP(C25,'[6]CAPEX - BLOCOS PAN'!$C$3:$AV$249,46,FALSE)</f>
        <v>Privada</v>
      </c>
      <c r="AW25" t="str">
        <f>VLOOKUP(C25,'FLUXO DE CAIXA DESC.-BLOCOS PAN'!$D$3:$AO$52,38,FALSE)</f>
        <v>AC + AM - 1 - AL</v>
      </c>
    </row>
    <row r="26" spans="1:49" x14ac:dyDescent="0.35">
      <c r="A26" t="s">
        <v>126</v>
      </c>
      <c r="B26" t="s">
        <v>127</v>
      </c>
      <c r="C26" t="s">
        <v>128</v>
      </c>
      <c r="D26" t="s">
        <v>127</v>
      </c>
      <c r="E26" t="s">
        <v>35</v>
      </c>
      <c r="F26" t="s">
        <v>33</v>
      </c>
      <c r="G26" t="s">
        <v>34</v>
      </c>
      <c r="H26" s="1">
        <f>(VLOOKUP(C26,'BASE PAN - CAPEX'!$C$3:$R$37,16,FALSE)+'BASE PAN - CAPEX'!BC26)*1.7</f>
        <v>36150500</v>
      </c>
      <c r="I26" s="1">
        <f>(IF('BASE PAN - CAPEX'!$S26=2024,'BASE PAN - CAPEX'!$AD26,IF('BASE PAN - CAPEX'!$AE26=2024,'BASE PAN - CAPEX'!$AP26,IF('BASE PAN - CAPEX'!$AQ26=2024,'BASE PAN - CAPEX'!$BB26,0))))*1.7</f>
        <v>0</v>
      </c>
      <c r="J26" s="1">
        <f>(IF('BASE PAN - CAPEX'!$S26=2025,'BASE PAN - CAPEX'!$AD26,IF('BASE PAN - CAPEX'!$AE26=2025,'BASE PAN - CAPEX'!$AP26,IF('BASE PAN - CAPEX'!$AQ26=2025,'BASE PAN - CAPEX'!$BB26,0))))*1.7</f>
        <v>0</v>
      </c>
      <c r="K26" s="1">
        <f>(IF('BASE PAN - CAPEX'!$S26=2026,'BASE PAN - CAPEX'!$AD26,IF('BASE PAN - CAPEX'!$AE26=2026,'BASE PAN - CAPEX'!$AP26,IF('BASE PAN - CAPEX'!$AQ26=2026,'BASE PAN - CAPEX'!$BB26,0))))*1.7</f>
        <v>0</v>
      </c>
      <c r="L26" s="1">
        <f>((IF('BASE PAN - CAPEX'!$S26=2027,'BASE PAN - CAPEX'!$AD26,IF('BASE PAN - CAPEX'!$AE26=2027,'BASE PAN - CAPEX'!$AP26,IF('BASE PAN - CAPEX'!$AQ26=2027,'BASE PAN - CAPEX'!$BB26,0))))+VLOOKUP(C26,'BASE PAN - CAPEX - 1º ANO'!$C$3:$BE$35,55,FALSE))*1.7</f>
        <v>493000</v>
      </c>
      <c r="M26" s="1">
        <f>(IF('BASE PAN - CAPEX'!$S26=2028,'BASE PAN - CAPEX'!$AD26,IF('BASE PAN - CAPEX'!$AE26=2028,'BASE PAN - CAPEX'!$AP26,IF('BASE PAN - CAPEX'!$AQ26=2028,'BASE PAN - CAPEX'!$BB26,0))))*1.7</f>
        <v>0</v>
      </c>
      <c r="N26" s="1">
        <f>(IF('BASE PAN - CAPEX'!$S26=2029,'BASE PAN - CAPEX'!$AD26,IF('BASE PAN - CAPEX'!$AE26=2029,'BASE PAN - CAPEX'!$AP26,IF('BASE PAN - CAPEX'!$AQ26=2029,'BASE PAN - CAPEX'!$BB26,0))))*1.7</f>
        <v>0</v>
      </c>
      <c r="O26" s="1">
        <f>(IF('BASE PAN - CAPEX'!$S26=2030,'BASE PAN - CAPEX'!$AD26,IF('BASE PAN - CAPEX'!$AE26=2030,'BASE PAN - CAPEX'!$AP26,IF('BASE PAN - CAPEX'!$AQ26=2030,'BASE PAN - CAPEX'!$BB26,0))))*1.7</f>
        <v>0</v>
      </c>
      <c r="P26" s="1">
        <f>(IF('BASE PAN - CAPEX'!$S26=2031,'BASE PAN - CAPEX'!$AD26,IF('BASE PAN - CAPEX'!$AE26=2031,'BASE PAN - CAPEX'!$AP26,IF('BASE PAN - CAPEX'!$AQ26=2031,'BASE PAN - CAPEX'!$BB26,0))))*1.7</f>
        <v>0</v>
      </c>
      <c r="Q26" s="1">
        <f>(IF('BASE PAN - CAPEX'!$S26=2032,'BASE PAN - CAPEX'!$AD26,IF('BASE PAN - CAPEX'!$AE26=2032,'BASE PAN - CAPEX'!$AP26,IF('BASE PAN - CAPEX'!$AQ26=2032,'BASE PAN - CAPEX'!$BB26,0))))*1.7</f>
        <v>0</v>
      </c>
      <c r="R26" s="1">
        <f>(IF('BASE PAN - CAPEX'!$S26=2033,'BASE PAN - CAPEX'!$AD26,IF('BASE PAN - CAPEX'!$AE26=2033,'BASE PAN - CAPEX'!$AP26,IF('BASE PAN - CAPEX'!$AQ26=2033,'BASE PAN - CAPEX'!$BB26,0))))*1.7</f>
        <v>0</v>
      </c>
      <c r="S26" s="1">
        <f>(IF('BASE PAN - CAPEX'!$S26=2034,'BASE PAN - CAPEX'!$AD26,IF('BASE PAN - CAPEX'!$AE26=2034,'BASE PAN - CAPEX'!$AP26,IF('BASE PAN - CAPEX'!$AQ26=2034,'BASE PAN - CAPEX'!$BB26,0))))*1.7</f>
        <v>0</v>
      </c>
      <c r="T26" s="1">
        <f>(IF('BASE PAN - CAPEX'!$S26=2035,'BASE PAN - CAPEX'!$AD26,IF('BASE PAN - CAPEX'!$AE26=2035,'BASE PAN - CAPEX'!$AP26,IF('BASE PAN - CAPEX'!$AQ26=2035,'BASE PAN - CAPEX'!$BB26,0))))*1.7</f>
        <v>0</v>
      </c>
      <c r="U26" s="1">
        <f>(IF('BASE PAN - CAPEX'!$S26=2036,'BASE PAN - CAPEX'!$AD26,IF('BASE PAN - CAPEX'!$AE26=2036,'BASE PAN - CAPEX'!$AP26,IF('BASE PAN - CAPEX'!$AQ26=2036,'BASE PAN - CAPEX'!$BB26,0))))*1.7</f>
        <v>0</v>
      </c>
      <c r="V26" s="1">
        <f>((IF('BASE PAN - CAPEX'!$S26=2037,'BASE PAN - CAPEX'!$AD26,IF('BASE PAN - CAPEX'!$AE26=2037,'BASE PAN - CAPEX'!$AP26,IF('BASE PAN - CAPEX'!$AQ26=2037,'BASE PAN - CAPEX'!$BB26,0))))+VLOOKUP(C26,'BASE PAN - CAPEX - 1º ANO'!$C$3:$BG$35,57,FALSE))*1.7</f>
        <v>0</v>
      </c>
      <c r="W26" s="1">
        <f>(IF('BASE PAN - CAPEX'!$S26=2038,'BASE PAN - CAPEX'!$AD26,IF('BASE PAN - CAPEX'!$AE26=2038,'BASE PAN - CAPEX'!$AP26,IF('BASE PAN - CAPEX'!$AQ26=2038,'BASE PAN - CAPEX'!$BB26,0))))*1.7</f>
        <v>0</v>
      </c>
      <c r="X26" s="1">
        <f>(IF('BASE PAN - CAPEX'!$S26=2039,'BASE PAN - CAPEX'!$AD26,IF('BASE PAN - CAPEX'!$AE26=2039,'BASE PAN - CAPEX'!$AP26,IF('BASE PAN - CAPEX'!$AQ26=2039,'BASE PAN - CAPEX'!$BB26,0))))*1.7</f>
        <v>0</v>
      </c>
      <c r="Y26" s="1">
        <f>(IF('BASE PAN - CAPEX'!$S26=2040,'BASE PAN - CAPEX'!$AD26,IF('BASE PAN - CAPEX'!$AE26=2040,'BASE PAN - CAPEX'!$AP26,IF('BASE PAN - CAPEX'!$AQ26=2040,'BASE PAN - CAPEX'!$BB26,0))))*1.7</f>
        <v>0</v>
      </c>
      <c r="Z26" s="1">
        <f>(IF('BASE PAN - CAPEX'!$S26=2041,'BASE PAN - CAPEX'!$AD26,IF('BASE PAN - CAPEX'!$AE26=2041,'BASE PAN - CAPEX'!$AP26,IF('BASE PAN - CAPEX'!$AQ26=2041,'BASE PAN - CAPEX'!$BB26,0))))*1.7</f>
        <v>0</v>
      </c>
      <c r="AA26" s="1">
        <f>(IF('BASE PAN - CAPEX'!$S26=2042,'BASE PAN - CAPEX'!$AD26,IF('BASE PAN - CAPEX'!$AE26=2042,'BASE PAN - CAPEX'!$AP26,IF('BASE PAN - CAPEX'!$AQ26=2042,'BASE PAN - CAPEX'!$BB26,0))))*1.7</f>
        <v>0</v>
      </c>
      <c r="AB26" s="1">
        <f>(IF('BASE PAN - CAPEX'!$S26=2043,'BASE PAN - CAPEX'!$AD26,IF('BASE PAN - CAPEX'!$AE26=2043,'BASE PAN - CAPEX'!$AP26,IF('BASE PAN - CAPEX'!$AQ26=2043,'BASE PAN - CAPEX'!$BB26,0))))*1.7</f>
        <v>0</v>
      </c>
      <c r="AC26" s="1">
        <f>(IF('BASE PAN - CAPEX'!$S26=2044,'BASE PAN - CAPEX'!$AD26,IF('BASE PAN - CAPEX'!$AE26=2044,'BASE PAN - CAPEX'!$AP26,IF('BASE PAN - CAPEX'!$AQ26=2044,'BASE PAN - CAPEX'!$BB26,0))))*1.7</f>
        <v>0</v>
      </c>
      <c r="AD26" s="1">
        <f>(IF('BASE PAN - CAPEX'!$S26=2045,'BASE PAN - CAPEX'!$AD26,IF('BASE PAN - CAPEX'!$AE26=2045,'BASE PAN - CAPEX'!$AP26,IF('BASE PAN - CAPEX'!$AQ26=2045,'BASE PAN - CAPEX'!$BB26,0))))*1.7</f>
        <v>0</v>
      </c>
      <c r="AE26" s="1">
        <f>(IF('BASE PAN - CAPEX'!$S26=2046,'BASE PAN - CAPEX'!$AD26,IF('BASE PAN - CAPEX'!$AE26=2046,'BASE PAN - CAPEX'!$AP26,IF('BASE PAN - CAPEX'!$AQ26=2046,'BASE PAN - CAPEX'!$BB26,0))))*1.7</f>
        <v>0</v>
      </c>
      <c r="AF26" s="1">
        <f>(IF('BASE PAN - CAPEX'!$S26=2047,'BASE PAN - CAPEX'!$AD26,IF('BASE PAN - CAPEX'!$AE26=2047,'BASE PAN - CAPEX'!$AP26,IF('BASE PAN - CAPEX'!$AQ26=2047,'BASE PAN - CAPEX'!$BB26,0))))*1.7</f>
        <v>0</v>
      </c>
      <c r="AG26" s="1">
        <f>(IF('BASE PAN - CAPEX'!$S26=2048,'BASE PAN - CAPEX'!$AD26,IF('BASE PAN - CAPEX'!$AE26=2048,'BASE PAN - CAPEX'!$AP26,IF('BASE PAN - CAPEX'!$AQ26=2048,'BASE PAN - CAPEX'!$BB26,0))))*1.7</f>
        <v>0</v>
      </c>
      <c r="AH26" s="1">
        <f>(IF('BASE PAN - CAPEX'!$S26=2049,'BASE PAN - CAPEX'!$AD26,IF('BASE PAN - CAPEX'!$AE26=2049,'BASE PAN - CAPEX'!$AP26,IF('BASE PAN - CAPEX'!$AQ26=2049,'BASE PAN - CAPEX'!$BB26,0))))*1.7</f>
        <v>0</v>
      </c>
      <c r="AI26" s="1">
        <f>(IF('BASE PAN - CAPEX'!$S26=2050,'BASE PAN - CAPEX'!$AD26,IF('BASE PAN - CAPEX'!$AE26=2050,'BASE PAN - CAPEX'!$AP26,IF('BASE PAN - CAPEX'!$AQ26=2050,'BASE PAN - CAPEX'!$BB26,0))))*1.7</f>
        <v>0</v>
      </c>
      <c r="AJ26" s="1">
        <f>(IF('BASE PAN - CAPEX'!$S26=2051,'BASE PAN - CAPEX'!$AD26,IF('BASE PAN - CAPEX'!$AE26=2051,'BASE PAN - CAPEX'!$AP26,IF('BASE PAN - CAPEX'!$AQ26=2051,'BASE PAN - CAPEX'!$BB26,0))))*1.7</f>
        <v>459000</v>
      </c>
      <c r="AK26" s="1">
        <f>(IF('BASE PAN - CAPEX'!$S26=2052,'BASE PAN - CAPEX'!$AD26,IF('BASE PAN - CAPEX'!$AE26=2052,'BASE PAN - CAPEX'!$AP26,IF('BASE PAN - CAPEX'!$AQ26=2052,'BASE PAN - CAPEX'!$BB26,0))))*1.7</f>
        <v>0</v>
      </c>
      <c r="AL26" s="1">
        <f>(IF('BASE PAN - CAPEX'!$S26=2053,'BASE PAN - CAPEX'!$AD26,IF('BASE PAN - CAPEX'!$AE26=2053,'BASE PAN - CAPEX'!$AP26,IF('BASE PAN - CAPEX'!$AQ26=2053,'BASE PAN - CAPEX'!$BB26,0))))*1.7</f>
        <v>0</v>
      </c>
      <c r="AM26" s="1">
        <f>SUM(H26:AL26)</f>
        <v>37102500</v>
      </c>
      <c r="AN26" t="str">
        <f>VLOOKUP(C26,'[6]CAPEX - BLOCOS PAN'!$C$3:$AN$249,38,FALSE)</f>
        <v>N</v>
      </c>
      <c r="AO26" s="3">
        <v>1</v>
      </c>
      <c r="AP26" s="3" t="s">
        <v>171</v>
      </c>
      <c r="AQ26" s="3" t="s">
        <v>171</v>
      </c>
      <c r="AR26" s="3">
        <v>2051</v>
      </c>
      <c r="AS26" s="3" t="s">
        <v>171</v>
      </c>
      <c r="AT26" s="3" t="s">
        <v>171</v>
      </c>
      <c r="AU26" s="3">
        <v>2</v>
      </c>
      <c r="AV26" t="str">
        <f>VLOOKUP(C26,'[6]CAPEX - BLOCOS PAN'!$C$3:$AV$249,46,FALSE)</f>
        <v>Privada</v>
      </c>
      <c r="AW26" t="str">
        <f>VLOOKUP(C26,'FLUXO DE CAIXA DESC.-BLOCOS PAN'!$D$3:$AO$52,38,FALSE)</f>
        <v>AC + AM - 1 - AL</v>
      </c>
    </row>
    <row r="27" spans="1:49" x14ac:dyDescent="0.35">
      <c r="A27" t="s">
        <v>129</v>
      </c>
      <c r="B27" t="s">
        <v>42</v>
      </c>
      <c r="C27" t="s">
        <v>130</v>
      </c>
      <c r="D27" t="s">
        <v>42</v>
      </c>
      <c r="E27" t="s">
        <v>37</v>
      </c>
      <c r="F27" t="s">
        <v>33</v>
      </c>
      <c r="G27" t="s">
        <v>34</v>
      </c>
      <c r="H27" s="1">
        <f>(VLOOKUP(C27,'BASE PAN - CAPEX'!$C$3:$R$37,16,FALSE)+'BASE PAN - CAPEX'!BC27)*1.5</f>
        <v>87388689.060000002</v>
      </c>
      <c r="I27" s="1">
        <f>(IF('BASE PAN - CAPEX'!$S27=2024,'BASE PAN - CAPEX'!$AD27,IF('BASE PAN - CAPEX'!$AE27=2024,'BASE PAN - CAPEX'!$AP27,IF('BASE PAN - CAPEX'!$AQ27=2024,'BASE PAN - CAPEX'!$BB27,0))))*1.5</f>
        <v>0</v>
      </c>
      <c r="J27" s="1">
        <f>(IF('BASE PAN - CAPEX'!$S27=2025,'BASE PAN - CAPEX'!$AD27,IF('BASE PAN - CAPEX'!$AE27=2025,'BASE PAN - CAPEX'!$AP27,IF('BASE PAN - CAPEX'!$AQ27=2025,'BASE PAN - CAPEX'!$BB27,0))))*1.5</f>
        <v>0</v>
      </c>
      <c r="K27" s="1">
        <f>(IF('BASE PAN - CAPEX'!$S27=2026,'BASE PAN - CAPEX'!$AD27,IF('BASE PAN - CAPEX'!$AE27=2026,'BASE PAN - CAPEX'!$AP27,IF('BASE PAN - CAPEX'!$AQ27=2026,'BASE PAN - CAPEX'!$BB27,0))))*1.5</f>
        <v>0</v>
      </c>
      <c r="L27" s="1">
        <f>((IF('BASE PAN - CAPEX'!$S27=2027,'BASE PAN - CAPEX'!$AD27,IF('BASE PAN - CAPEX'!$AE27=2027,'BASE PAN - CAPEX'!$AP27,IF('BASE PAN - CAPEX'!$AQ27=2027,'BASE PAN - CAPEX'!$BB27,0))))+VLOOKUP(C27,'BASE PAN - CAPEX - 1º ANO'!$C$3:$BE$35,55,FALSE))*1.5</f>
        <v>0</v>
      </c>
      <c r="M27" s="1">
        <f>(IF('BASE PAN - CAPEX'!$S27=2028,'BASE PAN - CAPEX'!$AD27,IF('BASE PAN - CAPEX'!$AE27=2028,'BASE PAN - CAPEX'!$AP27,IF('BASE PAN - CAPEX'!$AQ27=2028,'BASE PAN - CAPEX'!$BB27,0))))*1.5</f>
        <v>0</v>
      </c>
      <c r="N27" s="1">
        <f>(IF('BASE PAN - CAPEX'!$S27=2029,'BASE PAN - CAPEX'!$AD27,IF('BASE PAN - CAPEX'!$AE27=2029,'BASE PAN - CAPEX'!$AP27,IF('BASE PAN - CAPEX'!$AQ27=2029,'BASE PAN - CAPEX'!$BB27,0))))*1.5</f>
        <v>0</v>
      </c>
      <c r="O27" s="1">
        <f>(IF('BASE PAN - CAPEX'!$S27=2030,'BASE PAN - CAPEX'!$AD27,IF('BASE PAN - CAPEX'!$AE27=2030,'BASE PAN - CAPEX'!$AP27,IF('BASE PAN - CAPEX'!$AQ27=2030,'BASE PAN - CAPEX'!$BB27,0))))*1.5</f>
        <v>405000</v>
      </c>
      <c r="P27" s="1">
        <f>(IF('BASE PAN - CAPEX'!$S27=2031,'BASE PAN - CAPEX'!$AD27,IF('BASE PAN - CAPEX'!$AE27=2031,'BASE PAN - CAPEX'!$AP27,IF('BASE PAN - CAPEX'!$AQ27=2031,'BASE PAN - CAPEX'!$BB27,0))))*1.5</f>
        <v>0</v>
      </c>
      <c r="Q27" s="1">
        <f>(IF('BASE PAN - CAPEX'!$S27=2032,'BASE PAN - CAPEX'!$AD27,IF('BASE PAN - CAPEX'!$AE27=2032,'BASE PAN - CAPEX'!$AP27,IF('BASE PAN - CAPEX'!$AQ27=2032,'BASE PAN - CAPEX'!$BB27,0))))*1.5</f>
        <v>0</v>
      </c>
      <c r="R27" s="1">
        <f>(IF('BASE PAN - CAPEX'!$S27=2033,'BASE PAN - CAPEX'!$AD27,IF('BASE PAN - CAPEX'!$AE27=2033,'BASE PAN - CAPEX'!$AP27,IF('BASE PAN - CAPEX'!$AQ27=2033,'BASE PAN - CAPEX'!$BB27,0))))*1.5</f>
        <v>0</v>
      </c>
      <c r="S27" s="1">
        <f>(IF('BASE PAN - CAPEX'!$S27=2034,'BASE PAN - CAPEX'!$AD27,IF('BASE PAN - CAPEX'!$AE27=2034,'BASE PAN - CAPEX'!$AP27,IF('BASE PAN - CAPEX'!$AQ27=2034,'BASE PAN - CAPEX'!$BB27,0))))*1.5</f>
        <v>0</v>
      </c>
      <c r="T27" s="1">
        <f>(IF('BASE PAN - CAPEX'!$S27=2035,'BASE PAN - CAPEX'!$AD27,IF('BASE PAN - CAPEX'!$AE27=2035,'BASE PAN - CAPEX'!$AP27,IF('BASE PAN - CAPEX'!$AQ27=2035,'BASE PAN - CAPEX'!$BB27,0))))*1.5</f>
        <v>0</v>
      </c>
      <c r="U27" s="1">
        <f>(IF('BASE PAN - CAPEX'!$S27=2036,'BASE PAN - CAPEX'!$AD27,IF('BASE PAN - CAPEX'!$AE27=2036,'BASE PAN - CAPEX'!$AP27,IF('BASE PAN - CAPEX'!$AQ27=2036,'BASE PAN - CAPEX'!$BB27,0))))*1.5</f>
        <v>0</v>
      </c>
      <c r="V27" s="1">
        <f>((IF('BASE PAN - CAPEX'!$S27=2037,'BASE PAN - CAPEX'!$AD27,IF('BASE PAN - CAPEX'!$AE27=2037,'BASE PAN - CAPEX'!$AP27,IF('BASE PAN - CAPEX'!$AQ27=2037,'BASE PAN - CAPEX'!$BB27,0))))+VLOOKUP(C26,'BASE PAN - CAPEX - 1º ANO'!$C$3:$BG$35,57,FALSE))*1.5</f>
        <v>0</v>
      </c>
      <c r="W27" s="1">
        <f>(IF('BASE PAN - CAPEX'!$S27=2038,'BASE PAN - CAPEX'!$AD27,IF('BASE PAN - CAPEX'!$AE27=2038,'BASE PAN - CAPEX'!$AP27,IF('BASE PAN - CAPEX'!$AQ27=2038,'BASE PAN - CAPEX'!$BB27,0))))*1.5</f>
        <v>0</v>
      </c>
      <c r="X27" s="1">
        <f>(IF('BASE PAN - CAPEX'!$S27=2039,'BASE PAN - CAPEX'!$AD27,IF('BASE PAN - CAPEX'!$AE27=2039,'BASE PAN - CAPEX'!$AP27,IF('BASE PAN - CAPEX'!$AQ27=2039,'BASE PAN - CAPEX'!$BB27,0))))*1.5</f>
        <v>0</v>
      </c>
      <c r="Y27" s="1">
        <f>(IF('BASE PAN - CAPEX'!$S27=2040,'BASE PAN - CAPEX'!$AD27,IF('BASE PAN - CAPEX'!$AE27=2040,'BASE PAN - CAPEX'!$AP27,IF('BASE PAN - CAPEX'!$AQ27=2040,'BASE PAN - CAPEX'!$BB27,0))))*1.5</f>
        <v>0</v>
      </c>
      <c r="Z27" s="1">
        <f>(IF('BASE PAN - CAPEX'!$S27=2041,'BASE PAN - CAPEX'!$AD27,IF('BASE PAN - CAPEX'!$AE27=2041,'BASE PAN - CAPEX'!$AP27,IF('BASE PAN - CAPEX'!$AQ27=2041,'BASE PAN - CAPEX'!$BB27,0))))*1.5</f>
        <v>0</v>
      </c>
      <c r="AA27" s="1">
        <f>(IF('BASE PAN - CAPEX'!$S27=2042,'BASE PAN - CAPEX'!$AD27,IF('BASE PAN - CAPEX'!$AE27=2042,'BASE PAN - CAPEX'!$AP27,IF('BASE PAN - CAPEX'!$AQ27=2042,'BASE PAN - CAPEX'!$BB27,0))))*1.5</f>
        <v>0</v>
      </c>
      <c r="AB27" s="1">
        <f>(IF('BASE PAN - CAPEX'!$S27=2043,'BASE PAN - CAPEX'!$AD27,IF('BASE PAN - CAPEX'!$AE27=2043,'BASE PAN - CAPEX'!$AP27,IF('BASE PAN - CAPEX'!$AQ27=2043,'BASE PAN - CAPEX'!$BB27,0))))*1.5</f>
        <v>0</v>
      </c>
      <c r="AC27" s="1">
        <f>(IF('BASE PAN - CAPEX'!$S27=2044,'BASE PAN - CAPEX'!$AD27,IF('BASE PAN - CAPEX'!$AE27=2044,'BASE PAN - CAPEX'!$AP27,IF('BASE PAN - CAPEX'!$AQ27=2044,'BASE PAN - CAPEX'!$BB27,0))))*1.5</f>
        <v>0</v>
      </c>
      <c r="AD27" s="1">
        <f>(IF('BASE PAN - CAPEX'!$S27=2045,'BASE PAN - CAPEX'!$AD27,IF('BASE PAN - CAPEX'!$AE27=2045,'BASE PAN - CAPEX'!$AP27,IF('BASE PAN - CAPEX'!$AQ27=2045,'BASE PAN - CAPEX'!$BB27,0))))*1.5</f>
        <v>0</v>
      </c>
      <c r="AE27" s="1">
        <f>(IF('BASE PAN - CAPEX'!$S27=2046,'BASE PAN - CAPEX'!$AD27,IF('BASE PAN - CAPEX'!$AE27=2046,'BASE PAN - CAPEX'!$AP27,IF('BASE PAN - CAPEX'!$AQ27=2046,'BASE PAN - CAPEX'!$BB27,0))))*1.5</f>
        <v>0</v>
      </c>
      <c r="AF27" s="1">
        <f>(IF('BASE PAN - CAPEX'!$S27=2047,'BASE PAN - CAPEX'!$AD27,IF('BASE PAN - CAPEX'!$AE27=2047,'BASE PAN - CAPEX'!$AP27,IF('BASE PAN - CAPEX'!$AQ27=2047,'BASE PAN - CAPEX'!$BB27,0))))*1.5</f>
        <v>0</v>
      </c>
      <c r="AG27" s="1">
        <f>(IF('BASE PAN - CAPEX'!$S27=2048,'BASE PAN - CAPEX'!$AD27,IF('BASE PAN - CAPEX'!$AE27=2048,'BASE PAN - CAPEX'!$AP27,IF('BASE PAN - CAPEX'!$AQ27=2048,'BASE PAN - CAPEX'!$BB27,0))))*1.5</f>
        <v>0</v>
      </c>
      <c r="AH27" s="1">
        <f>(IF('BASE PAN - CAPEX'!$S27=2049,'BASE PAN - CAPEX'!$AD27,IF('BASE PAN - CAPEX'!$AE27=2049,'BASE PAN - CAPEX'!$AP27,IF('BASE PAN - CAPEX'!$AQ27=2049,'BASE PAN - CAPEX'!$BB27,0))))*1.5</f>
        <v>0</v>
      </c>
      <c r="AI27" s="1">
        <f>(IF('BASE PAN - CAPEX'!$S27=2050,'BASE PAN - CAPEX'!$AD27,IF('BASE PAN - CAPEX'!$AE27=2050,'BASE PAN - CAPEX'!$AP27,IF('BASE PAN - CAPEX'!$AQ27=2050,'BASE PAN - CAPEX'!$BB27,0))))*1.5</f>
        <v>0</v>
      </c>
      <c r="AJ27" s="1">
        <f>(IF('BASE PAN - CAPEX'!$S27=2051,'BASE PAN - CAPEX'!$AD27,IF('BASE PAN - CAPEX'!$AE27=2051,'BASE PAN - CAPEX'!$AP27,IF('BASE PAN - CAPEX'!$AQ27=2051,'BASE PAN - CAPEX'!$BB27,0))))*1.5</f>
        <v>0</v>
      </c>
      <c r="AK27" s="1">
        <f>(IF('BASE PAN - CAPEX'!$S27=2052,'BASE PAN - CAPEX'!$AD27,IF('BASE PAN - CAPEX'!$AE27=2052,'BASE PAN - CAPEX'!$AP27,IF('BASE PAN - CAPEX'!$AQ27=2052,'BASE PAN - CAPEX'!$BB27,0))))*1.5</f>
        <v>0</v>
      </c>
      <c r="AL27" s="1">
        <f>(IF('BASE PAN - CAPEX'!$S27=2053,'BASE PAN - CAPEX'!$AD27,IF('BASE PAN - CAPEX'!$AE27=2053,'BASE PAN - CAPEX'!$AP27,IF('BASE PAN - CAPEX'!$AQ27=2053,'BASE PAN - CAPEX'!$BB27,0))))*1.5</f>
        <v>0</v>
      </c>
      <c r="AM27" s="1">
        <f t="shared" si="0"/>
        <v>87793689.060000002</v>
      </c>
      <c r="AN27" t="str">
        <f>VLOOKUP(C27,'[6]CAPEX - BLOCOS PAN'!$C$3:$AN$249,38,FALSE)</f>
        <v>NE e CO</v>
      </c>
      <c r="AO27" s="3">
        <v>1</v>
      </c>
      <c r="AP27" s="3" t="s">
        <v>171</v>
      </c>
      <c r="AQ27" s="3" t="s">
        <v>171</v>
      </c>
      <c r="AR27" s="3">
        <v>2030</v>
      </c>
      <c r="AS27" s="3" t="s">
        <v>171</v>
      </c>
      <c r="AT27" s="3" t="s">
        <v>171</v>
      </c>
      <c r="AU27" s="3">
        <v>2</v>
      </c>
      <c r="AV27" t="str">
        <f>VLOOKUP(C27,'[6]CAPEX - BLOCOS PAN'!$C$3:$AV$249,46,FALSE)</f>
        <v>Privada</v>
      </c>
      <c r="AW27" t="str">
        <f>VLOOKUP(C27,'FLUXO DE CAIXA DESC.-BLOCOS PAN'!$D$3:$AO$52,38,FALSE)</f>
        <v>MT - 2 - AL</v>
      </c>
    </row>
    <row r="28" spans="1:49" x14ac:dyDescent="0.35">
      <c r="A28" t="s">
        <v>131</v>
      </c>
      <c r="B28" t="s">
        <v>132</v>
      </c>
      <c r="C28" t="s">
        <v>133</v>
      </c>
      <c r="D28" t="s">
        <v>132</v>
      </c>
      <c r="E28" t="s">
        <v>32</v>
      </c>
      <c r="F28" t="s">
        <v>33</v>
      </c>
      <c r="G28" t="s">
        <v>34</v>
      </c>
      <c r="H28" s="1">
        <f>(VLOOKUP(C28,'BASE PAN - CAPEX'!$C$3:$R$37,16,FALSE)+'BASE PAN - CAPEX'!BC28)*1.5</f>
        <v>28807500</v>
      </c>
      <c r="I28" s="1">
        <f>(IF('BASE PAN - CAPEX'!$S28=2024,'BASE PAN - CAPEX'!$AD28,IF('BASE PAN - CAPEX'!$AE28=2024,'BASE PAN - CAPEX'!$AP28,IF('BASE PAN - CAPEX'!$AQ28=2024,'BASE PAN - CAPEX'!$BB28,0))))*1.5</f>
        <v>0</v>
      </c>
      <c r="J28" s="1">
        <f>(IF('BASE PAN - CAPEX'!$S28=2025,'BASE PAN - CAPEX'!$AD28,IF('BASE PAN - CAPEX'!$AE28=2025,'BASE PAN - CAPEX'!$AP28,IF('BASE PAN - CAPEX'!$AQ28=2025,'BASE PAN - CAPEX'!$BB28,0))))*1.5</f>
        <v>0</v>
      </c>
      <c r="K28" s="1">
        <f>(IF('BASE PAN - CAPEX'!$S28=2026,'BASE PAN - CAPEX'!$AD28,IF('BASE PAN - CAPEX'!$AE28=2026,'BASE PAN - CAPEX'!$AP28,IF('BASE PAN - CAPEX'!$AQ28=2026,'BASE PAN - CAPEX'!$BB28,0))))*1.5</f>
        <v>0</v>
      </c>
      <c r="L28" s="1">
        <f>((IF('BASE PAN - CAPEX'!$S28=2027,'BASE PAN - CAPEX'!$AD28,IF('BASE PAN - CAPEX'!$AE28=2027,'BASE PAN - CAPEX'!$AP28,IF('BASE PAN - CAPEX'!$AQ28=2027,'BASE PAN - CAPEX'!$BB28,0))))+VLOOKUP(C28,'BASE PAN - CAPEX - 1º ANO'!$C$3:$BE$35,55,FALSE))*1.5</f>
        <v>435000</v>
      </c>
      <c r="M28" s="1">
        <f>(IF('BASE PAN - CAPEX'!$S28=2028,'BASE PAN - CAPEX'!$AD28,IF('BASE PAN - CAPEX'!$AE28=2028,'BASE PAN - CAPEX'!$AP28,IF('BASE PAN - CAPEX'!$AQ28=2028,'BASE PAN - CAPEX'!$BB28,0))))*1.5</f>
        <v>0</v>
      </c>
      <c r="N28" s="1">
        <f>(IF('BASE PAN - CAPEX'!$S28=2029,'BASE PAN - CAPEX'!$AD28,IF('BASE PAN - CAPEX'!$AE28=2029,'BASE PAN - CAPEX'!$AP28,IF('BASE PAN - CAPEX'!$AQ28=2029,'BASE PAN - CAPEX'!$BB28,0))))*1.5</f>
        <v>0</v>
      </c>
      <c r="O28" s="1">
        <f>(IF('BASE PAN - CAPEX'!$S28=2030,'BASE PAN - CAPEX'!$AD28,IF('BASE PAN - CAPEX'!$AE28=2030,'BASE PAN - CAPEX'!$AP28,IF('BASE PAN - CAPEX'!$AQ28=2030,'BASE PAN - CAPEX'!$BB28,0))))*1.5</f>
        <v>0</v>
      </c>
      <c r="P28" s="1">
        <f>(IF('BASE PAN - CAPEX'!$S28=2031,'BASE PAN - CAPEX'!$AD28,IF('BASE PAN - CAPEX'!$AE28=2031,'BASE PAN - CAPEX'!$AP28,IF('BASE PAN - CAPEX'!$AQ28=2031,'BASE PAN - CAPEX'!$BB28,0))))*1.5</f>
        <v>0</v>
      </c>
      <c r="Q28" s="1">
        <f>(IF('BASE PAN - CAPEX'!$S28=2032,'BASE PAN - CAPEX'!$AD28,IF('BASE PAN - CAPEX'!$AE28=2032,'BASE PAN - CAPEX'!$AP28,IF('BASE PAN - CAPEX'!$AQ28=2032,'BASE PAN - CAPEX'!$BB28,0))))*1.5</f>
        <v>0</v>
      </c>
      <c r="R28" s="1">
        <f>(IF('BASE PAN - CAPEX'!$S28=2033,'BASE PAN - CAPEX'!$AD28,IF('BASE PAN - CAPEX'!$AE28=2033,'BASE PAN - CAPEX'!$AP28,IF('BASE PAN - CAPEX'!$AQ28=2033,'BASE PAN - CAPEX'!$BB28,0))))*1.5</f>
        <v>0</v>
      </c>
      <c r="S28" s="1">
        <f>(IF('BASE PAN - CAPEX'!$S28=2034,'BASE PAN - CAPEX'!$AD28,IF('BASE PAN - CAPEX'!$AE28=2034,'BASE PAN - CAPEX'!$AP28,IF('BASE PAN - CAPEX'!$AQ28=2034,'BASE PAN - CAPEX'!$BB28,0))))*1.5</f>
        <v>0</v>
      </c>
      <c r="T28" s="1">
        <f>(IF('BASE PAN - CAPEX'!$S28=2035,'BASE PAN - CAPEX'!$AD28,IF('BASE PAN - CAPEX'!$AE28=2035,'BASE PAN - CAPEX'!$AP28,IF('BASE PAN - CAPEX'!$AQ28=2035,'BASE PAN - CAPEX'!$BB28,0))))*1.5</f>
        <v>0</v>
      </c>
      <c r="U28" s="1">
        <f>(IF('BASE PAN - CAPEX'!$S28=2036,'BASE PAN - CAPEX'!$AD28,IF('BASE PAN - CAPEX'!$AE28=2036,'BASE PAN - CAPEX'!$AP28,IF('BASE PAN - CAPEX'!$AQ28=2036,'BASE PAN - CAPEX'!$BB28,0))))*1.5</f>
        <v>0</v>
      </c>
      <c r="V28" s="1">
        <f>((IF('BASE PAN - CAPEX'!$S28=2037,'BASE PAN - CAPEX'!$AD28,IF('BASE PAN - CAPEX'!$AE28=2037,'BASE PAN - CAPEX'!$AP28,IF('BASE PAN - CAPEX'!$AQ28=2037,'BASE PAN - CAPEX'!$BB28,0))))+VLOOKUP(C27,'BASE PAN - CAPEX - 1º ANO'!$C$3:$BG$35,57,FALSE))*1.5</f>
        <v>0</v>
      </c>
      <c r="W28" s="1">
        <f>(IF('BASE PAN - CAPEX'!$S28=2038,'BASE PAN - CAPEX'!$AD28,IF('BASE PAN - CAPEX'!$AE28=2038,'BASE PAN - CAPEX'!$AP28,IF('BASE PAN - CAPEX'!$AQ28=2038,'BASE PAN - CAPEX'!$BB28,0))))*1.5</f>
        <v>67920000</v>
      </c>
      <c r="X28" s="1">
        <f>(IF('BASE PAN - CAPEX'!$S28=2039,'BASE PAN - CAPEX'!$AD28,IF('BASE PAN - CAPEX'!$AE28=2039,'BASE PAN - CAPEX'!$AP28,IF('BASE PAN - CAPEX'!$AQ28=2039,'BASE PAN - CAPEX'!$BB28,0))))*1.5</f>
        <v>0</v>
      </c>
      <c r="Y28" s="1">
        <f>(IF('BASE PAN - CAPEX'!$S28=2040,'BASE PAN - CAPEX'!$AD28,IF('BASE PAN - CAPEX'!$AE28=2040,'BASE PAN - CAPEX'!$AP28,IF('BASE PAN - CAPEX'!$AQ28=2040,'BASE PAN - CAPEX'!$BB28,0))))*1.5</f>
        <v>0</v>
      </c>
      <c r="Z28" s="1">
        <f>(IF('BASE PAN - CAPEX'!$S28=2041,'BASE PAN - CAPEX'!$AD28,IF('BASE PAN - CAPEX'!$AE28=2041,'BASE PAN - CAPEX'!$AP28,IF('BASE PAN - CAPEX'!$AQ28=2041,'BASE PAN - CAPEX'!$BB28,0))))*1.5</f>
        <v>0</v>
      </c>
      <c r="AA28" s="1">
        <f>(IF('BASE PAN - CAPEX'!$S28=2042,'BASE PAN - CAPEX'!$AD28,IF('BASE PAN - CAPEX'!$AE28=2042,'BASE PAN - CAPEX'!$AP28,IF('BASE PAN - CAPEX'!$AQ28=2042,'BASE PAN - CAPEX'!$BB28,0))))*1.5</f>
        <v>0</v>
      </c>
      <c r="AB28" s="1">
        <f>(IF('BASE PAN - CAPEX'!$S28=2043,'BASE PAN - CAPEX'!$AD28,IF('BASE PAN - CAPEX'!$AE28=2043,'BASE PAN - CAPEX'!$AP28,IF('BASE PAN - CAPEX'!$AQ28=2043,'BASE PAN - CAPEX'!$BB28,0))))*1.5</f>
        <v>0</v>
      </c>
      <c r="AC28" s="1">
        <f>(IF('BASE PAN - CAPEX'!$S28=2044,'BASE PAN - CAPEX'!$AD28,IF('BASE PAN - CAPEX'!$AE28=2044,'BASE PAN - CAPEX'!$AP28,IF('BASE PAN - CAPEX'!$AQ28=2044,'BASE PAN - CAPEX'!$BB28,0))))*1.5</f>
        <v>0</v>
      </c>
      <c r="AD28" s="1">
        <f>(IF('BASE PAN - CAPEX'!$S28=2045,'BASE PAN - CAPEX'!$AD28,IF('BASE PAN - CAPEX'!$AE28=2045,'BASE PAN - CAPEX'!$AP28,IF('BASE PAN - CAPEX'!$AQ28=2045,'BASE PAN - CAPEX'!$BB28,0))))*1.5</f>
        <v>0</v>
      </c>
      <c r="AE28" s="1">
        <f>(IF('BASE PAN - CAPEX'!$S28=2046,'BASE PAN - CAPEX'!$AD28,IF('BASE PAN - CAPEX'!$AE28=2046,'BASE PAN - CAPEX'!$AP28,IF('BASE PAN - CAPEX'!$AQ28=2046,'BASE PAN - CAPEX'!$BB28,0))))*1.5</f>
        <v>0</v>
      </c>
      <c r="AF28" s="1">
        <f>(IF('BASE PAN - CAPEX'!$S28=2047,'BASE PAN - CAPEX'!$AD28,IF('BASE PAN - CAPEX'!$AE28=2047,'BASE PAN - CAPEX'!$AP28,IF('BASE PAN - CAPEX'!$AQ28=2047,'BASE PAN - CAPEX'!$BB28,0))))*1.5</f>
        <v>0</v>
      </c>
      <c r="AG28" s="1">
        <f>(IF('BASE PAN - CAPEX'!$S28=2048,'BASE PAN - CAPEX'!$AD28,IF('BASE PAN - CAPEX'!$AE28=2048,'BASE PAN - CAPEX'!$AP28,IF('BASE PAN - CAPEX'!$AQ28=2048,'BASE PAN - CAPEX'!$BB28,0))))*1.5</f>
        <v>0</v>
      </c>
      <c r="AH28" s="1">
        <f>(IF('BASE PAN - CAPEX'!$S28=2049,'BASE PAN - CAPEX'!$AD28,IF('BASE PAN - CAPEX'!$AE28=2049,'BASE PAN - CAPEX'!$AP28,IF('BASE PAN - CAPEX'!$AQ28=2049,'BASE PAN - CAPEX'!$BB28,0))))*1.5</f>
        <v>0</v>
      </c>
      <c r="AI28" s="1">
        <f>(IF('BASE PAN - CAPEX'!$S28=2050,'BASE PAN - CAPEX'!$AD28,IF('BASE PAN - CAPEX'!$AE28=2050,'BASE PAN - CAPEX'!$AP28,IF('BASE PAN - CAPEX'!$AQ28=2050,'BASE PAN - CAPEX'!$BB28,0))))*1.5</f>
        <v>0</v>
      </c>
      <c r="AJ28" s="1">
        <f>(IF('BASE PAN - CAPEX'!$S28=2051,'BASE PAN - CAPEX'!$AD28,IF('BASE PAN - CAPEX'!$AE28=2051,'BASE PAN - CAPEX'!$AP28,IF('BASE PAN - CAPEX'!$AQ28=2051,'BASE PAN - CAPEX'!$BB28,0))))*1.5</f>
        <v>0</v>
      </c>
      <c r="AK28" s="1">
        <f>(IF('BASE PAN - CAPEX'!$S28=2052,'BASE PAN - CAPEX'!$AD28,IF('BASE PAN - CAPEX'!$AE28=2052,'BASE PAN - CAPEX'!$AP28,IF('BASE PAN - CAPEX'!$AQ28=2052,'BASE PAN - CAPEX'!$BB28,0))))*1.5</f>
        <v>0</v>
      </c>
      <c r="AL28" s="1">
        <f>(IF('BASE PAN - CAPEX'!$S28=2053,'BASE PAN - CAPEX'!$AD28,IF('BASE PAN - CAPEX'!$AE28=2053,'BASE PAN - CAPEX'!$AP28,IF('BASE PAN - CAPEX'!$AQ28=2053,'BASE PAN - CAPEX'!$BB28,0))))*1.5</f>
        <v>0</v>
      </c>
      <c r="AM28" s="1">
        <f t="shared" si="0"/>
        <v>97162500</v>
      </c>
      <c r="AN28" t="str">
        <f>VLOOKUP(C28,'[6]CAPEX - BLOCOS PAN'!$C$3:$AN$249,38,FALSE)</f>
        <v>NE e CO</v>
      </c>
      <c r="AO28" s="3">
        <v>1</v>
      </c>
      <c r="AP28" s="3" t="s">
        <v>171</v>
      </c>
      <c r="AQ28" s="3">
        <v>2038</v>
      </c>
      <c r="AR28" s="3">
        <v>2024</v>
      </c>
      <c r="AS28" s="3" t="s">
        <v>171</v>
      </c>
      <c r="AT28" s="3">
        <v>3</v>
      </c>
      <c r="AU28" s="3">
        <v>2</v>
      </c>
      <c r="AV28" t="str">
        <f>VLOOKUP(C28,'[6]CAPEX - BLOCOS PAN'!$C$3:$AV$249,46,FALSE)</f>
        <v>Privada</v>
      </c>
      <c r="AW28" t="str">
        <f>VLOOKUP(C28,'FLUXO DE CAIXA DESC.-BLOCOS PAN'!$D$3:$AO$52,38,FALSE)</f>
        <v>MA + TO - AL</v>
      </c>
    </row>
    <row r="29" spans="1:49" x14ac:dyDescent="0.35">
      <c r="A29" t="s">
        <v>135</v>
      </c>
      <c r="B29" t="s">
        <v>136</v>
      </c>
      <c r="C29" t="s">
        <v>137</v>
      </c>
      <c r="D29" t="s">
        <v>136</v>
      </c>
      <c r="E29" t="s">
        <v>37</v>
      </c>
      <c r="F29" t="s">
        <v>33</v>
      </c>
      <c r="G29" t="s">
        <v>34</v>
      </c>
      <c r="H29" s="1">
        <f>(VLOOKUP(C29,'BASE PAN - CAPEX'!$C$3:$R$37,16,FALSE)+'BASE PAN - CAPEX'!BC29)*1.5</f>
        <v>10117500</v>
      </c>
      <c r="I29" s="1">
        <f>(IF('BASE PAN - CAPEX'!$S29=2024,'BASE PAN - CAPEX'!$AD29,IF('BASE PAN - CAPEX'!$AE29=2024,'BASE PAN - CAPEX'!$AP29,IF('BASE PAN - CAPEX'!$AQ29=2024,'BASE PAN - CAPEX'!$BB29,0))))*1.5</f>
        <v>0</v>
      </c>
      <c r="J29" s="1">
        <f>(IF('BASE PAN - CAPEX'!$S29=2025,'BASE PAN - CAPEX'!$AD29,IF('BASE PAN - CAPEX'!$AE29=2025,'BASE PAN - CAPEX'!$AP29,IF('BASE PAN - CAPEX'!$AQ29=2025,'BASE PAN - CAPEX'!$BB29,0))))*1.5</f>
        <v>0</v>
      </c>
      <c r="K29" s="1">
        <f>(IF('BASE PAN - CAPEX'!$S29=2026,'BASE PAN - CAPEX'!$AD29,IF('BASE PAN - CAPEX'!$AE29=2026,'BASE PAN - CAPEX'!$AP29,IF('BASE PAN - CAPEX'!$AQ29=2026,'BASE PAN - CAPEX'!$BB29,0))))*1.5</f>
        <v>0</v>
      </c>
      <c r="L29" s="1">
        <f>((IF('BASE PAN - CAPEX'!$S29=2027,'BASE PAN - CAPEX'!$AD29,IF('BASE PAN - CAPEX'!$AE29=2027,'BASE PAN - CAPEX'!$AP29,IF('BASE PAN - CAPEX'!$AQ29=2027,'BASE PAN - CAPEX'!$BB29,0))))+VLOOKUP(C29,'BASE PAN - CAPEX - 1º ANO'!$C$3:$BE$35,55,FALSE))*1.5</f>
        <v>0</v>
      </c>
      <c r="M29" s="1">
        <f>(IF('BASE PAN - CAPEX'!$S29=2028,'BASE PAN - CAPEX'!$AD29,IF('BASE PAN - CAPEX'!$AE29=2028,'BASE PAN - CAPEX'!$AP29,IF('BASE PAN - CAPEX'!$AQ29=2028,'BASE PAN - CAPEX'!$BB29,0))))*1.5</f>
        <v>0</v>
      </c>
      <c r="N29" s="1">
        <f>(IF('BASE PAN - CAPEX'!$S29=2029,'BASE PAN - CAPEX'!$AD29,IF('BASE PAN - CAPEX'!$AE29=2029,'BASE PAN - CAPEX'!$AP29,IF('BASE PAN - CAPEX'!$AQ29=2029,'BASE PAN - CAPEX'!$BB29,0))))*1.5</f>
        <v>0</v>
      </c>
      <c r="O29" s="1">
        <f>(IF('BASE PAN - CAPEX'!$S29=2030,'BASE PAN - CAPEX'!$AD29,IF('BASE PAN - CAPEX'!$AE29=2030,'BASE PAN - CAPEX'!$AP29,IF('BASE PAN - CAPEX'!$AQ29=2030,'BASE PAN - CAPEX'!$BB29,0))))*1.5</f>
        <v>0</v>
      </c>
      <c r="P29" s="1">
        <f>(IF('BASE PAN - CAPEX'!$S29=2031,'BASE PAN - CAPEX'!$AD29,IF('BASE PAN - CAPEX'!$AE29=2031,'BASE PAN - CAPEX'!$AP29,IF('BASE PAN - CAPEX'!$AQ29=2031,'BASE PAN - CAPEX'!$BB29,0))))*1.5</f>
        <v>0</v>
      </c>
      <c r="Q29" s="1">
        <f>(IF('BASE PAN - CAPEX'!$S29=2032,'BASE PAN - CAPEX'!$AD29,IF('BASE PAN - CAPEX'!$AE29=2032,'BASE PAN - CAPEX'!$AP29,IF('BASE PAN - CAPEX'!$AQ29=2032,'BASE PAN - CAPEX'!$BB29,0))))*1.5</f>
        <v>0</v>
      </c>
      <c r="R29" s="1">
        <f>(IF('BASE PAN - CAPEX'!$S29=2033,'BASE PAN - CAPEX'!$AD29,IF('BASE PAN - CAPEX'!$AE29=2033,'BASE PAN - CAPEX'!$AP29,IF('BASE PAN - CAPEX'!$AQ29=2033,'BASE PAN - CAPEX'!$BB29,0))))*1.5</f>
        <v>0</v>
      </c>
      <c r="S29" s="1">
        <f>(IF('BASE PAN - CAPEX'!$S29=2034,'BASE PAN - CAPEX'!$AD29,IF('BASE PAN - CAPEX'!$AE29=2034,'BASE PAN - CAPEX'!$AP29,IF('BASE PAN - CAPEX'!$AQ29=2034,'BASE PAN - CAPEX'!$BB29,0))))*1.5</f>
        <v>0</v>
      </c>
      <c r="T29" s="1">
        <f>(IF('BASE PAN - CAPEX'!$S29=2035,'BASE PAN - CAPEX'!$AD29,IF('BASE PAN - CAPEX'!$AE29=2035,'BASE PAN - CAPEX'!$AP29,IF('BASE PAN - CAPEX'!$AQ29=2035,'BASE PAN - CAPEX'!$BB29,0))))*1.5</f>
        <v>0</v>
      </c>
      <c r="U29" s="1">
        <f>(IF('BASE PAN - CAPEX'!$S29=2036,'BASE PAN - CAPEX'!$AD29,IF('BASE PAN - CAPEX'!$AE29=2036,'BASE PAN - CAPEX'!$AP29,IF('BASE PAN - CAPEX'!$AQ29=2036,'BASE PAN - CAPEX'!$BB29,0))))*1.5</f>
        <v>0</v>
      </c>
      <c r="V29" s="1">
        <f>((IF('BASE PAN - CAPEX'!$S29=2037,'BASE PAN - CAPEX'!$AD29,IF('BASE PAN - CAPEX'!$AE29=2037,'BASE PAN - CAPEX'!$AP29,IF('BASE PAN - CAPEX'!$AQ29=2037,'BASE PAN - CAPEX'!$BB29,0))))+VLOOKUP(C28,'BASE PAN - CAPEX - 1º ANO'!$C$3:$BG$35,57,FALSE))*1.5</f>
        <v>0</v>
      </c>
      <c r="W29" s="1">
        <f>(IF('BASE PAN - CAPEX'!$S29=2038,'BASE PAN - CAPEX'!$AD29,IF('BASE PAN - CAPEX'!$AE29=2038,'BASE PAN - CAPEX'!$AP29,IF('BASE PAN - CAPEX'!$AQ29=2038,'BASE PAN - CAPEX'!$BB29,0))))*1.5</f>
        <v>0</v>
      </c>
      <c r="X29" s="1">
        <f>(IF('BASE PAN - CAPEX'!$S29=2039,'BASE PAN - CAPEX'!$AD29,IF('BASE PAN - CAPEX'!$AE29=2039,'BASE PAN - CAPEX'!$AP29,IF('BASE PAN - CAPEX'!$AQ29=2039,'BASE PAN - CAPEX'!$BB29,0))))*1.5</f>
        <v>0</v>
      </c>
      <c r="Y29" s="1">
        <f>(IF('BASE PAN - CAPEX'!$S29=2040,'BASE PAN - CAPEX'!$AD29,IF('BASE PAN - CAPEX'!$AE29=2040,'BASE PAN - CAPEX'!$AP29,IF('BASE PAN - CAPEX'!$AQ29=2040,'BASE PAN - CAPEX'!$BB29,0))))*1.5</f>
        <v>0</v>
      </c>
      <c r="Z29" s="1">
        <f>(IF('BASE PAN - CAPEX'!$S29=2041,'BASE PAN - CAPEX'!$AD29,IF('BASE PAN - CAPEX'!$AE29=2041,'BASE PAN - CAPEX'!$AP29,IF('BASE PAN - CAPEX'!$AQ29=2041,'BASE PAN - CAPEX'!$BB29,0))))*1.5</f>
        <v>0</v>
      </c>
      <c r="AA29" s="1">
        <f>(IF('BASE PAN - CAPEX'!$S29=2042,'BASE PAN - CAPEX'!$AD29,IF('BASE PAN - CAPEX'!$AE29=2042,'BASE PAN - CAPEX'!$AP29,IF('BASE PAN - CAPEX'!$AQ29=2042,'BASE PAN - CAPEX'!$BB29,0))))*1.5</f>
        <v>0</v>
      </c>
      <c r="AB29" s="1">
        <f>(IF('BASE PAN - CAPEX'!$S29=2043,'BASE PAN - CAPEX'!$AD29,IF('BASE PAN - CAPEX'!$AE29=2043,'BASE PAN - CAPEX'!$AP29,IF('BASE PAN - CAPEX'!$AQ29=2043,'BASE PAN - CAPEX'!$BB29,0))))*1.5</f>
        <v>0</v>
      </c>
      <c r="AC29" s="1">
        <f>(IF('BASE PAN - CAPEX'!$S29=2044,'BASE PAN - CAPEX'!$AD29,IF('BASE PAN - CAPEX'!$AE29=2044,'BASE PAN - CAPEX'!$AP29,IF('BASE PAN - CAPEX'!$AQ29=2044,'BASE PAN - CAPEX'!$BB29,0))))*1.5</f>
        <v>0</v>
      </c>
      <c r="AD29" s="1">
        <f>(IF('BASE PAN - CAPEX'!$S29=2045,'BASE PAN - CAPEX'!$AD29,IF('BASE PAN - CAPEX'!$AE29=2045,'BASE PAN - CAPEX'!$AP29,IF('BASE PAN - CAPEX'!$AQ29=2045,'BASE PAN - CAPEX'!$BB29,0))))*1.5</f>
        <v>0</v>
      </c>
      <c r="AE29" s="1">
        <f>(IF('BASE PAN - CAPEX'!$S29=2046,'BASE PAN - CAPEX'!$AD29,IF('BASE PAN - CAPEX'!$AE29=2046,'BASE PAN - CAPEX'!$AP29,IF('BASE PAN - CAPEX'!$AQ29=2046,'BASE PAN - CAPEX'!$BB29,0))))*1.5</f>
        <v>0</v>
      </c>
      <c r="AF29" s="1">
        <f>(IF('BASE PAN - CAPEX'!$S29=2047,'BASE PAN - CAPEX'!$AD29,IF('BASE PAN - CAPEX'!$AE29=2047,'BASE PAN - CAPEX'!$AP29,IF('BASE PAN - CAPEX'!$AQ29=2047,'BASE PAN - CAPEX'!$BB29,0))))*1.5</f>
        <v>0</v>
      </c>
      <c r="AG29" s="1">
        <f>(IF('BASE PAN - CAPEX'!$S29=2048,'BASE PAN - CAPEX'!$AD29,IF('BASE PAN - CAPEX'!$AE29=2048,'BASE PAN - CAPEX'!$AP29,IF('BASE PAN - CAPEX'!$AQ29=2048,'BASE PAN - CAPEX'!$BB29,0))))*1.5</f>
        <v>0</v>
      </c>
      <c r="AH29" s="1">
        <f>(IF('BASE PAN - CAPEX'!$S29=2049,'BASE PAN - CAPEX'!$AD29,IF('BASE PAN - CAPEX'!$AE29=2049,'BASE PAN - CAPEX'!$AP29,IF('BASE PAN - CAPEX'!$AQ29=2049,'BASE PAN - CAPEX'!$BB29,0))))*1.5</f>
        <v>0</v>
      </c>
      <c r="AI29" s="1">
        <f>(IF('BASE PAN - CAPEX'!$S29=2050,'BASE PAN - CAPEX'!$AD29,IF('BASE PAN - CAPEX'!$AE29=2050,'BASE PAN - CAPEX'!$AP29,IF('BASE PAN - CAPEX'!$AQ29=2050,'BASE PAN - CAPEX'!$BB29,0))))*1.5</f>
        <v>0</v>
      </c>
      <c r="AJ29" s="1">
        <f>(IF('BASE PAN - CAPEX'!$S29=2051,'BASE PAN - CAPEX'!$AD29,IF('BASE PAN - CAPEX'!$AE29=2051,'BASE PAN - CAPEX'!$AP29,IF('BASE PAN - CAPEX'!$AQ29=2051,'BASE PAN - CAPEX'!$BB29,0))))*1.5</f>
        <v>0</v>
      </c>
      <c r="AK29" s="1">
        <f>(IF('BASE PAN - CAPEX'!$S29=2052,'BASE PAN - CAPEX'!$AD29,IF('BASE PAN - CAPEX'!$AE29=2052,'BASE PAN - CAPEX'!$AP29,IF('BASE PAN - CAPEX'!$AQ29=2052,'BASE PAN - CAPEX'!$BB29,0))))*1.5</f>
        <v>0</v>
      </c>
      <c r="AL29" s="1">
        <f>(IF('BASE PAN - CAPEX'!$S29=2053,'BASE PAN - CAPEX'!$AD29,IF('BASE PAN - CAPEX'!$AE29=2053,'BASE PAN - CAPEX'!$AP29,IF('BASE PAN - CAPEX'!$AQ29=2053,'BASE PAN - CAPEX'!$BB29,0))))*1.5</f>
        <v>0</v>
      </c>
      <c r="AM29" s="1">
        <f t="shared" si="0"/>
        <v>10117500</v>
      </c>
      <c r="AN29" t="str">
        <f>VLOOKUP(C29,'[6]CAPEX - BLOCOS PAN'!$C$3:$AN$249,38,FALSE)</f>
        <v>NE e CO</v>
      </c>
      <c r="AO29" s="3">
        <v>0</v>
      </c>
      <c r="AP29" s="3" t="s">
        <v>171</v>
      </c>
      <c r="AQ29" s="3" t="s">
        <v>171</v>
      </c>
      <c r="AR29" s="3" t="s">
        <v>171</v>
      </c>
      <c r="AS29" s="3" t="s">
        <v>171</v>
      </c>
      <c r="AT29" s="3" t="s">
        <v>171</v>
      </c>
      <c r="AU29" s="3" t="s">
        <v>171</v>
      </c>
      <c r="AV29" t="str">
        <f>VLOOKUP(C29,'[6]CAPEX - BLOCOS PAN'!$C$3:$AV$249,46,FALSE)</f>
        <v>Privada</v>
      </c>
      <c r="AW29" t="str">
        <f>VLOOKUP(C29,'FLUXO DE CAIXA DESC.-BLOCOS PAN'!$D$3:$AO$52,38,FALSE)</f>
        <v>MT - 1 - AL</v>
      </c>
    </row>
    <row r="30" spans="1:49" x14ac:dyDescent="0.35">
      <c r="A30" t="s">
        <v>138</v>
      </c>
      <c r="B30" t="s">
        <v>139</v>
      </c>
      <c r="C30" t="s">
        <v>140</v>
      </c>
      <c r="D30" t="s">
        <v>139</v>
      </c>
      <c r="E30" t="s">
        <v>37</v>
      </c>
      <c r="F30" t="s">
        <v>33</v>
      </c>
      <c r="G30" t="s">
        <v>34</v>
      </c>
      <c r="H30" s="1">
        <f>(VLOOKUP(C30,'BASE PAN - CAPEX'!$C$3:$R$37,16,FALSE)+'BASE PAN - CAPEX'!BC30)*1.5</f>
        <v>29587500</v>
      </c>
      <c r="I30" s="1">
        <f>(IF('BASE PAN - CAPEX'!$S30=2024,'BASE PAN - CAPEX'!$AD30,IF('BASE PAN - CAPEX'!$AE30=2024,'BASE PAN - CAPEX'!$AP30,IF('BASE PAN - CAPEX'!$AQ30=2024,'BASE PAN - CAPEX'!$BB30,0))))*1.5</f>
        <v>0</v>
      </c>
      <c r="J30" s="1">
        <f>(IF('BASE PAN - CAPEX'!$S30=2025,'BASE PAN - CAPEX'!$AD30,IF('BASE PAN - CAPEX'!$AE30=2025,'BASE PAN - CAPEX'!$AP30,IF('BASE PAN - CAPEX'!$AQ30=2025,'BASE PAN - CAPEX'!$BB30,0))))*1.5</f>
        <v>0</v>
      </c>
      <c r="K30" s="1">
        <f>(IF('BASE PAN - CAPEX'!$S30=2026,'BASE PAN - CAPEX'!$AD30,IF('BASE PAN - CAPEX'!$AE30=2026,'BASE PAN - CAPEX'!$AP30,IF('BASE PAN - CAPEX'!$AQ30=2026,'BASE PAN - CAPEX'!$BB30,0))))*1.5</f>
        <v>0</v>
      </c>
      <c r="L30" s="1">
        <f>((IF('BASE PAN - CAPEX'!$S30=2027,'BASE PAN - CAPEX'!$AD30,IF('BASE PAN - CAPEX'!$AE30=2027,'BASE PAN - CAPEX'!$AP30,IF('BASE PAN - CAPEX'!$AQ30=2027,'BASE PAN - CAPEX'!$BB30,0))))+VLOOKUP(C30,'BASE PAN - CAPEX - 1º ANO'!$C$3:$BE$35,55,FALSE))*1.5</f>
        <v>0</v>
      </c>
      <c r="M30" s="1">
        <f>(IF('BASE PAN - CAPEX'!$S30=2028,'BASE PAN - CAPEX'!$AD30,IF('BASE PAN - CAPEX'!$AE30=2028,'BASE PAN - CAPEX'!$AP30,IF('BASE PAN - CAPEX'!$AQ30=2028,'BASE PAN - CAPEX'!$BB30,0))))*1.5</f>
        <v>0</v>
      </c>
      <c r="N30" s="1">
        <f>(IF('BASE PAN - CAPEX'!$S30=2029,'BASE PAN - CAPEX'!$AD30,IF('BASE PAN - CAPEX'!$AE30=2029,'BASE PAN - CAPEX'!$AP30,IF('BASE PAN - CAPEX'!$AQ30=2029,'BASE PAN - CAPEX'!$BB30,0))))*1.5</f>
        <v>0</v>
      </c>
      <c r="O30" s="1">
        <f>(IF('BASE PAN - CAPEX'!$S30=2030,'BASE PAN - CAPEX'!$AD30,IF('BASE PAN - CAPEX'!$AE30=2030,'BASE PAN - CAPEX'!$AP30,IF('BASE PAN - CAPEX'!$AQ30=2030,'BASE PAN - CAPEX'!$BB30,0))))*1.5</f>
        <v>0</v>
      </c>
      <c r="P30" s="1">
        <f>(IF('BASE PAN - CAPEX'!$S30=2031,'BASE PAN - CAPEX'!$AD30,IF('BASE PAN - CAPEX'!$AE30=2031,'BASE PAN - CAPEX'!$AP30,IF('BASE PAN - CAPEX'!$AQ30=2031,'BASE PAN - CAPEX'!$BB30,0))))*1.5</f>
        <v>0</v>
      </c>
      <c r="Q30" s="1">
        <f>(IF('BASE PAN - CAPEX'!$S30=2032,'BASE PAN - CAPEX'!$AD30,IF('BASE PAN - CAPEX'!$AE30=2032,'BASE PAN - CAPEX'!$AP30,IF('BASE PAN - CAPEX'!$AQ30=2032,'BASE PAN - CAPEX'!$BB30,0))))*1.5</f>
        <v>0</v>
      </c>
      <c r="R30" s="1">
        <f>(IF('BASE PAN - CAPEX'!$S30=2033,'BASE PAN - CAPEX'!$AD30,IF('BASE PAN - CAPEX'!$AE30=2033,'BASE PAN - CAPEX'!$AP30,IF('BASE PAN - CAPEX'!$AQ30=2033,'BASE PAN - CAPEX'!$BB30,0))))*1.5</f>
        <v>0</v>
      </c>
      <c r="S30" s="1">
        <f>(IF('BASE PAN - CAPEX'!$S30=2034,'BASE PAN - CAPEX'!$AD30,IF('BASE PAN - CAPEX'!$AE30=2034,'BASE PAN - CAPEX'!$AP30,IF('BASE PAN - CAPEX'!$AQ30=2034,'BASE PAN - CAPEX'!$BB30,0))))*1.5</f>
        <v>0</v>
      </c>
      <c r="T30" s="1">
        <f>(IF('BASE PAN - CAPEX'!$S30=2035,'BASE PAN - CAPEX'!$AD30,IF('BASE PAN - CAPEX'!$AE30=2035,'BASE PAN - CAPEX'!$AP30,IF('BASE PAN - CAPEX'!$AQ30=2035,'BASE PAN - CAPEX'!$BB30,0))))*1.5</f>
        <v>0</v>
      </c>
      <c r="U30" s="1">
        <f>(IF('BASE PAN - CAPEX'!$S30=2036,'BASE PAN - CAPEX'!$AD30,IF('BASE PAN - CAPEX'!$AE30=2036,'BASE PAN - CAPEX'!$AP30,IF('BASE PAN - CAPEX'!$AQ30=2036,'BASE PAN - CAPEX'!$BB30,0))))*1.5</f>
        <v>0</v>
      </c>
      <c r="V30" s="1">
        <f>((IF('BASE PAN - CAPEX'!$S30=2037,'BASE PAN - CAPEX'!$AD30,IF('BASE PAN - CAPEX'!$AE30=2037,'BASE PAN - CAPEX'!$AP30,IF('BASE PAN - CAPEX'!$AQ30=2037,'BASE PAN - CAPEX'!$BB30,0))))+VLOOKUP(C29,'BASE PAN - CAPEX - 1º ANO'!$C$3:$BG$35,57,FALSE))*1.5</f>
        <v>435000</v>
      </c>
      <c r="W30" s="1">
        <f>(IF('BASE PAN - CAPEX'!$S30=2038,'BASE PAN - CAPEX'!$AD30,IF('BASE PAN - CAPEX'!$AE30=2038,'BASE PAN - CAPEX'!$AP30,IF('BASE PAN - CAPEX'!$AQ30=2038,'BASE PAN - CAPEX'!$BB30,0))))*1.5</f>
        <v>0</v>
      </c>
      <c r="X30" s="1">
        <f>(IF('BASE PAN - CAPEX'!$S30=2039,'BASE PAN - CAPEX'!$AD30,IF('BASE PAN - CAPEX'!$AE30=2039,'BASE PAN - CAPEX'!$AP30,IF('BASE PAN - CAPEX'!$AQ30=2039,'BASE PAN - CAPEX'!$BB30,0))))*1.5</f>
        <v>0</v>
      </c>
      <c r="Y30" s="1">
        <f>(IF('BASE PAN - CAPEX'!$S30=2040,'BASE PAN - CAPEX'!$AD30,IF('BASE PAN - CAPEX'!$AE30=2040,'BASE PAN - CAPEX'!$AP30,IF('BASE PAN - CAPEX'!$AQ30=2040,'BASE PAN - CAPEX'!$BB30,0))))*1.5</f>
        <v>0</v>
      </c>
      <c r="Z30" s="1">
        <f>(IF('BASE PAN - CAPEX'!$S30=2041,'BASE PAN - CAPEX'!$AD30,IF('BASE PAN - CAPEX'!$AE30=2041,'BASE PAN - CAPEX'!$AP30,IF('BASE PAN - CAPEX'!$AQ30=2041,'BASE PAN - CAPEX'!$BB30,0))))*1.5</f>
        <v>0</v>
      </c>
      <c r="AA30" s="1">
        <f>(IF('BASE PAN - CAPEX'!$S30=2042,'BASE PAN - CAPEX'!$AD30,IF('BASE PAN - CAPEX'!$AE30=2042,'BASE PAN - CAPEX'!$AP30,IF('BASE PAN - CAPEX'!$AQ30=2042,'BASE PAN - CAPEX'!$BB30,0))))*1.5</f>
        <v>0</v>
      </c>
      <c r="AB30" s="1">
        <f>(IF('BASE PAN - CAPEX'!$S30=2043,'BASE PAN - CAPEX'!$AD30,IF('BASE PAN - CAPEX'!$AE30=2043,'BASE PAN - CAPEX'!$AP30,IF('BASE PAN - CAPEX'!$AQ30=2043,'BASE PAN - CAPEX'!$BB30,0))))*1.5</f>
        <v>0</v>
      </c>
      <c r="AC30" s="1">
        <f>(IF('BASE PAN - CAPEX'!$S30=2044,'BASE PAN - CAPEX'!$AD30,IF('BASE PAN - CAPEX'!$AE30=2044,'BASE PAN - CAPEX'!$AP30,IF('BASE PAN - CAPEX'!$AQ30=2044,'BASE PAN - CAPEX'!$BB30,0))))*1.5</f>
        <v>0</v>
      </c>
      <c r="AD30" s="1">
        <f>(IF('BASE PAN - CAPEX'!$S30=2045,'BASE PAN - CAPEX'!$AD30,IF('BASE PAN - CAPEX'!$AE30=2045,'BASE PAN - CAPEX'!$AP30,IF('BASE PAN - CAPEX'!$AQ30=2045,'BASE PAN - CAPEX'!$BB30,0))))*1.5</f>
        <v>0</v>
      </c>
      <c r="AE30" s="1">
        <f>(IF('BASE PAN - CAPEX'!$S30=2046,'BASE PAN - CAPEX'!$AD30,IF('BASE PAN - CAPEX'!$AE30=2046,'BASE PAN - CAPEX'!$AP30,IF('BASE PAN - CAPEX'!$AQ30=2046,'BASE PAN - CAPEX'!$BB30,0))))*1.5</f>
        <v>0</v>
      </c>
      <c r="AF30" s="1">
        <f>(IF('BASE PAN - CAPEX'!$S30=2047,'BASE PAN - CAPEX'!$AD30,IF('BASE PAN - CAPEX'!$AE30=2047,'BASE PAN - CAPEX'!$AP30,IF('BASE PAN - CAPEX'!$AQ30=2047,'BASE PAN - CAPEX'!$BB30,0))))*1.5</f>
        <v>0</v>
      </c>
      <c r="AG30" s="1">
        <f>(IF('BASE PAN - CAPEX'!$S30=2048,'BASE PAN - CAPEX'!$AD30,IF('BASE PAN - CAPEX'!$AE30=2048,'BASE PAN - CAPEX'!$AP30,IF('BASE PAN - CAPEX'!$AQ30=2048,'BASE PAN - CAPEX'!$BB30,0))))*1.5</f>
        <v>0</v>
      </c>
      <c r="AH30" s="1">
        <f>(IF('BASE PAN - CAPEX'!$S30=2049,'BASE PAN - CAPEX'!$AD30,IF('BASE PAN - CAPEX'!$AE30=2049,'BASE PAN - CAPEX'!$AP30,IF('BASE PAN - CAPEX'!$AQ30=2049,'BASE PAN - CAPEX'!$BB30,0))))*1.5</f>
        <v>0</v>
      </c>
      <c r="AI30" s="1">
        <f>(IF('BASE PAN - CAPEX'!$S30=2050,'BASE PAN - CAPEX'!$AD30,IF('BASE PAN - CAPEX'!$AE30=2050,'BASE PAN - CAPEX'!$AP30,IF('BASE PAN - CAPEX'!$AQ30=2050,'BASE PAN - CAPEX'!$BB30,0))))*1.5</f>
        <v>0</v>
      </c>
      <c r="AJ30" s="1">
        <f>(IF('BASE PAN - CAPEX'!$S30=2051,'BASE PAN - CAPEX'!$AD30,IF('BASE PAN - CAPEX'!$AE30=2051,'BASE PAN - CAPEX'!$AP30,IF('BASE PAN - CAPEX'!$AQ30=2051,'BASE PAN - CAPEX'!$BB30,0))))*1.5</f>
        <v>0</v>
      </c>
      <c r="AK30" s="1">
        <f>(IF('BASE PAN - CAPEX'!$S30=2052,'BASE PAN - CAPEX'!$AD30,IF('BASE PAN - CAPEX'!$AE30=2052,'BASE PAN - CAPEX'!$AP30,IF('BASE PAN - CAPEX'!$AQ30=2052,'BASE PAN - CAPEX'!$BB30,0))))*1.5</f>
        <v>0</v>
      </c>
      <c r="AL30" s="1">
        <f>(IF('BASE PAN - CAPEX'!$S30=2053,'BASE PAN - CAPEX'!$AD30,IF('BASE PAN - CAPEX'!$AE30=2053,'BASE PAN - CAPEX'!$AP30,IF('BASE PAN - CAPEX'!$AQ30=2053,'BASE PAN - CAPEX'!$BB30,0))))*1.5</f>
        <v>0</v>
      </c>
      <c r="AM30" s="1">
        <f t="shared" si="0"/>
        <v>30022500</v>
      </c>
      <c r="AN30" t="str">
        <f>VLOOKUP(C30,'[6]CAPEX - BLOCOS PAN'!$C$3:$AN$249,38,FALSE)</f>
        <v>NE e CO</v>
      </c>
      <c r="AO30" s="3">
        <v>1</v>
      </c>
      <c r="AP30" s="3" t="s">
        <v>171</v>
      </c>
      <c r="AQ30" s="3" t="s">
        <v>171</v>
      </c>
      <c r="AR30" s="3" t="s">
        <v>171</v>
      </c>
      <c r="AS30" s="3" t="s">
        <v>171</v>
      </c>
      <c r="AT30" s="3" t="s">
        <v>171</v>
      </c>
      <c r="AU30" s="3" t="s">
        <v>171</v>
      </c>
      <c r="AV30" t="str">
        <f>VLOOKUP(C30,'[6]CAPEX - BLOCOS PAN'!$C$3:$AV$249,46,FALSE)</f>
        <v>Privada</v>
      </c>
      <c r="AW30" t="str">
        <f>VLOOKUP(C30,'FLUXO DE CAIXA DESC.-BLOCOS PAN'!$D$3:$AO$52,38,FALSE)</f>
        <v>MT - 1 - AL</v>
      </c>
    </row>
    <row r="31" spans="1:49" x14ac:dyDescent="0.35">
      <c r="A31" t="s">
        <v>141</v>
      </c>
      <c r="B31" t="s">
        <v>142</v>
      </c>
      <c r="C31" t="s">
        <v>143</v>
      </c>
      <c r="D31" t="s">
        <v>144</v>
      </c>
      <c r="E31" t="s">
        <v>38</v>
      </c>
      <c r="F31" t="s">
        <v>33</v>
      </c>
      <c r="G31" t="s">
        <v>34</v>
      </c>
      <c r="H31" s="1">
        <f>(VLOOKUP(C31,'BASE PAN - CAPEX'!$C$3:$R$37,16,FALSE)+'BASE PAN - CAPEX'!BC31)*1.5</f>
        <v>14527500</v>
      </c>
      <c r="I31" s="1">
        <f>(IF('BASE PAN - CAPEX'!$S31=2024,'BASE PAN - CAPEX'!$AD31,IF('BASE PAN - CAPEX'!$AE31=2024,'BASE PAN - CAPEX'!$AP31,IF('BASE PAN - CAPEX'!$AQ31=2024,'BASE PAN - CAPEX'!$BB31,0))))*1.5</f>
        <v>0</v>
      </c>
      <c r="J31" s="1">
        <f>(IF('BASE PAN - CAPEX'!$S31=2025,'BASE PAN - CAPEX'!$AD31,IF('BASE PAN - CAPEX'!$AE31=2025,'BASE PAN - CAPEX'!$AP31,IF('BASE PAN - CAPEX'!$AQ31=2025,'BASE PAN - CAPEX'!$BB31,0))))*1.5</f>
        <v>0</v>
      </c>
      <c r="K31" s="1">
        <f>(IF('BASE PAN - CAPEX'!$S31=2026,'BASE PAN - CAPEX'!$AD31,IF('BASE PAN - CAPEX'!$AE31=2026,'BASE PAN - CAPEX'!$AP31,IF('BASE PAN - CAPEX'!$AQ31=2026,'BASE PAN - CAPEX'!$BB31,0))))*1.5</f>
        <v>0</v>
      </c>
      <c r="L31" s="1">
        <f>((IF('BASE PAN - CAPEX'!$S31=2027,'BASE PAN - CAPEX'!$AD31,IF('BASE PAN - CAPEX'!$AE31=2027,'BASE PAN - CAPEX'!$AP31,IF('BASE PAN - CAPEX'!$AQ31=2027,'BASE PAN - CAPEX'!$BB31,0))))+VLOOKUP(C31,'BASE PAN - CAPEX - 1º ANO'!$C$3:$BE$35,55,FALSE))*1.5</f>
        <v>0</v>
      </c>
      <c r="M31" s="1">
        <f>(IF('BASE PAN - CAPEX'!$S31=2028,'BASE PAN - CAPEX'!$AD31,IF('BASE PAN - CAPEX'!$AE31=2028,'BASE PAN - CAPEX'!$AP31,IF('BASE PAN - CAPEX'!$AQ31=2028,'BASE PAN - CAPEX'!$BB31,0))))*1.5</f>
        <v>0</v>
      </c>
      <c r="N31" s="1">
        <f>(IF('BASE PAN - CAPEX'!$S31=2029,'BASE PAN - CAPEX'!$AD31,IF('BASE PAN - CAPEX'!$AE31=2029,'BASE PAN - CAPEX'!$AP31,IF('BASE PAN - CAPEX'!$AQ31=2029,'BASE PAN - CAPEX'!$BB31,0))))*1.5</f>
        <v>0</v>
      </c>
      <c r="O31" s="1">
        <f>(IF('BASE PAN - CAPEX'!$S31=2030,'BASE PAN - CAPEX'!$AD31,IF('BASE PAN - CAPEX'!$AE31=2030,'BASE PAN - CAPEX'!$AP31,IF('BASE PAN - CAPEX'!$AQ31=2030,'BASE PAN - CAPEX'!$BB31,0))))*1.5</f>
        <v>0</v>
      </c>
      <c r="P31" s="1">
        <f>(IF('BASE PAN - CAPEX'!$S31=2031,'BASE PAN - CAPEX'!$AD31,IF('BASE PAN - CAPEX'!$AE31=2031,'BASE PAN - CAPEX'!$AP31,IF('BASE PAN - CAPEX'!$AQ31=2031,'BASE PAN - CAPEX'!$BB31,0))))*1.5</f>
        <v>0</v>
      </c>
      <c r="Q31" s="1">
        <f>(IF('BASE PAN - CAPEX'!$S31=2032,'BASE PAN - CAPEX'!$AD31,IF('BASE PAN - CAPEX'!$AE31=2032,'BASE PAN - CAPEX'!$AP31,IF('BASE PAN - CAPEX'!$AQ31=2032,'BASE PAN - CAPEX'!$BB31,0))))*1.5</f>
        <v>0</v>
      </c>
      <c r="R31" s="1">
        <f>(IF('BASE PAN - CAPEX'!$S31=2033,'BASE PAN - CAPEX'!$AD31,IF('BASE PAN - CAPEX'!$AE31=2033,'BASE PAN - CAPEX'!$AP31,IF('BASE PAN - CAPEX'!$AQ31=2033,'BASE PAN - CAPEX'!$BB31,0))))*1.5</f>
        <v>0</v>
      </c>
      <c r="S31" s="1">
        <f>(IF('BASE PAN - CAPEX'!$S31=2034,'BASE PAN - CAPEX'!$AD31,IF('BASE PAN - CAPEX'!$AE31=2034,'BASE PAN - CAPEX'!$AP31,IF('BASE PAN - CAPEX'!$AQ31=2034,'BASE PAN - CAPEX'!$BB31,0))))*1.5</f>
        <v>0</v>
      </c>
      <c r="T31" s="1">
        <f>(IF('BASE PAN - CAPEX'!$S31=2035,'BASE PAN - CAPEX'!$AD31,IF('BASE PAN - CAPEX'!$AE31=2035,'BASE PAN - CAPEX'!$AP31,IF('BASE PAN - CAPEX'!$AQ31=2035,'BASE PAN - CAPEX'!$BB31,0))))*1.5</f>
        <v>0</v>
      </c>
      <c r="U31" s="1">
        <f>(IF('BASE PAN - CAPEX'!$S31=2036,'BASE PAN - CAPEX'!$AD31,IF('BASE PAN - CAPEX'!$AE31=2036,'BASE PAN - CAPEX'!$AP31,IF('BASE PAN - CAPEX'!$AQ31=2036,'BASE PAN - CAPEX'!$BB31,0))))*1.5</f>
        <v>0</v>
      </c>
      <c r="V31" s="1">
        <f>((IF('BASE PAN - CAPEX'!$S31=2037,'BASE PAN - CAPEX'!$AD31,IF('BASE PAN - CAPEX'!$AE31=2037,'BASE PAN - CAPEX'!$AP31,IF('BASE PAN - CAPEX'!$AQ31=2037,'BASE PAN - CAPEX'!$BB31,0))))+VLOOKUP(C30,'BASE PAN - CAPEX - 1º ANO'!$C$3:$BG$35,57,FALSE))*1.5</f>
        <v>0</v>
      </c>
      <c r="W31" s="1">
        <f>(IF('BASE PAN - CAPEX'!$S31=2038,'BASE PAN - CAPEX'!$AD31,IF('BASE PAN - CAPEX'!$AE31=2038,'BASE PAN - CAPEX'!$AP31,IF('BASE PAN - CAPEX'!$AQ31=2038,'BASE PAN - CAPEX'!$BB31,0))))*1.5</f>
        <v>0</v>
      </c>
      <c r="X31" s="1">
        <f>(IF('BASE PAN - CAPEX'!$S31=2039,'BASE PAN - CAPEX'!$AD31,IF('BASE PAN - CAPEX'!$AE31=2039,'BASE PAN - CAPEX'!$AP31,IF('BASE PAN - CAPEX'!$AQ31=2039,'BASE PAN - CAPEX'!$BB31,0))))*1.5</f>
        <v>0</v>
      </c>
      <c r="Y31" s="1">
        <f>(IF('BASE PAN - CAPEX'!$S31=2040,'BASE PAN - CAPEX'!$AD31,IF('BASE PAN - CAPEX'!$AE31=2040,'BASE PAN - CAPEX'!$AP31,IF('BASE PAN - CAPEX'!$AQ31=2040,'BASE PAN - CAPEX'!$BB31,0))))*1.5</f>
        <v>0</v>
      </c>
      <c r="Z31" s="1">
        <f>(IF('BASE PAN - CAPEX'!$S31=2041,'BASE PAN - CAPEX'!$AD31,IF('BASE PAN - CAPEX'!$AE31=2041,'BASE PAN - CAPEX'!$AP31,IF('BASE PAN - CAPEX'!$AQ31=2041,'BASE PAN - CAPEX'!$BB31,0))))*1.5</f>
        <v>0</v>
      </c>
      <c r="AA31" s="1">
        <f>(IF('BASE PAN - CAPEX'!$S31=2042,'BASE PAN - CAPEX'!$AD31,IF('BASE PAN - CAPEX'!$AE31=2042,'BASE PAN - CAPEX'!$AP31,IF('BASE PAN - CAPEX'!$AQ31=2042,'BASE PAN - CAPEX'!$BB31,0))))*1.5</f>
        <v>0</v>
      </c>
      <c r="AB31" s="1">
        <f>(IF('BASE PAN - CAPEX'!$S31=2043,'BASE PAN - CAPEX'!$AD31,IF('BASE PAN - CAPEX'!$AE31=2043,'BASE PAN - CAPEX'!$AP31,IF('BASE PAN - CAPEX'!$AQ31=2043,'BASE PAN - CAPEX'!$BB31,0))))*1.5</f>
        <v>0</v>
      </c>
      <c r="AC31" s="1">
        <f>(IF('BASE PAN - CAPEX'!$S31=2044,'BASE PAN - CAPEX'!$AD31,IF('BASE PAN - CAPEX'!$AE31=2044,'BASE PAN - CAPEX'!$AP31,IF('BASE PAN - CAPEX'!$AQ31=2044,'BASE PAN - CAPEX'!$BB31,0))))*1.5</f>
        <v>0</v>
      </c>
      <c r="AD31" s="1">
        <f>(IF('BASE PAN - CAPEX'!$S31=2045,'BASE PAN - CAPEX'!$AD31,IF('BASE PAN - CAPEX'!$AE31=2045,'BASE PAN - CAPEX'!$AP31,IF('BASE PAN - CAPEX'!$AQ31=2045,'BASE PAN - CAPEX'!$BB31,0))))*1.5</f>
        <v>0</v>
      </c>
      <c r="AE31" s="1">
        <f>(IF('BASE PAN - CAPEX'!$S31=2046,'BASE PAN - CAPEX'!$AD31,IF('BASE PAN - CAPEX'!$AE31=2046,'BASE PAN - CAPEX'!$AP31,IF('BASE PAN - CAPEX'!$AQ31=2046,'BASE PAN - CAPEX'!$BB31,0))))*1.5</f>
        <v>0</v>
      </c>
      <c r="AF31" s="1">
        <f>(IF('BASE PAN - CAPEX'!$S31=2047,'BASE PAN - CAPEX'!$AD31,IF('BASE PAN - CAPEX'!$AE31=2047,'BASE PAN - CAPEX'!$AP31,IF('BASE PAN - CAPEX'!$AQ31=2047,'BASE PAN - CAPEX'!$BB31,0))))*1.5</f>
        <v>0</v>
      </c>
      <c r="AG31" s="1">
        <f>(IF('BASE PAN - CAPEX'!$S31=2048,'BASE PAN - CAPEX'!$AD31,IF('BASE PAN - CAPEX'!$AE31=2048,'BASE PAN - CAPEX'!$AP31,IF('BASE PAN - CAPEX'!$AQ31=2048,'BASE PAN - CAPEX'!$BB31,0))))*1.5</f>
        <v>0</v>
      </c>
      <c r="AH31" s="1">
        <f>(IF('BASE PAN - CAPEX'!$S31=2049,'BASE PAN - CAPEX'!$AD31,IF('BASE PAN - CAPEX'!$AE31=2049,'BASE PAN - CAPEX'!$AP31,IF('BASE PAN - CAPEX'!$AQ31=2049,'BASE PAN - CAPEX'!$BB31,0))))*1.5</f>
        <v>0</v>
      </c>
      <c r="AI31" s="1">
        <f>(IF('BASE PAN - CAPEX'!$S31=2050,'BASE PAN - CAPEX'!$AD31,IF('BASE PAN - CAPEX'!$AE31=2050,'BASE PAN - CAPEX'!$AP31,IF('BASE PAN - CAPEX'!$AQ31=2050,'BASE PAN - CAPEX'!$BB31,0))))*1.5</f>
        <v>0</v>
      </c>
      <c r="AJ31" s="1">
        <f>(IF('BASE PAN - CAPEX'!$S31=2051,'BASE PAN - CAPEX'!$AD31,IF('BASE PAN - CAPEX'!$AE31=2051,'BASE PAN - CAPEX'!$AP31,IF('BASE PAN - CAPEX'!$AQ31=2051,'BASE PAN - CAPEX'!$BB31,0))))*1.5</f>
        <v>0</v>
      </c>
      <c r="AK31" s="1">
        <f>(IF('BASE PAN - CAPEX'!$S31=2052,'BASE PAN - CAPEX'!$AD31,IF('BASE PAN - CAPEX'!$AE31=2052,'BASE PAN - CAPEX'!$AP31,IF('BASE PAN - CAPEX'!$AQ31=2052,'BASE PAN - CAPEX'!$BB31,0))))*1.5</f>
        <v>0</v>
      </c>
      <c r="AL31" s="1">
        <f>(IF('BASE PAN - CAPEX'!$S31=2053,'BASE PAN - CAPEX'!$AD31,IF('BASE PAN - CAPEX'!$AE31=2053,'BASE PAN - CAPEX'!$AP31,IF('BASE PAN - CAPEX'!$AQ31=2053,'BASE PAN - CAPEX'!$BB31,0))))*1.5</f>
        <v>0</v>
      </c>
      <c r="AM31" s="1">
        <f t="shared" si="0"/>
        <v>14527500</v>
      </c>
      <c r="AN31" t="str">
        <f>VLOOKUP(C31,'[6]CAPEX - BLOCOS PAN'!$C$3:$AN$249,38,FALSE)</f>
        <v>NE e CO</v>
      </c>
      <c r="AO31" s="3">
        <v>1</v>
      </c>
      <c r="AP31" s="3" t="s">
        <v>171</v>
      </c>
      <c r="AQ31" s="3" t="s">
        <v>171</v>
      </c>
      <c r="AR31" s="3">
        <v>2029</v>
      </c>
      <c r="AS31" s="3" t="s">
        <v>171</v>
      </c>
      <c r="AT31" s="3" t="s">
        <v>171</v>
      </c>
      <c r="AU31" s="3">
        <v>2</v>
      </c>
      <c r="AV31" t="str">
        <f>VLOOKUP(C31,'[6]CAPEX - BLOCOS PAN'!$C$3:$AV$249,46,FALSE)</f>
        <v>Privada</v>
      </c>
      <c r="AW31" t="str">
        <f>VLOOKUP(C31,'FLUXO DE CAIXA DESC.-BLOCOS PAN'!$D$3:$AO$52,38,FALSE)</f>
        <v>Bloco Nordeste</v>
      </c>
    </row>
    <row r="32" spans="1:49" x14ac:dyDescent="0.35">
      <c r="A32" t="s">
        <v>145</v>
      </c>
      <c r="B32" t="s">
        <v>146</v>
      </c>
      <c r="C32" t="s">
        <v>147</v>
      </c>
      <c r="D32" t="s">
        <v>146</v>
      </c>
      <c r="E32" t="s">
        <v>35</v>
      </c>
      <c r="F32" t="s">
        <v>33</v>
      </c>
      <c r="G32" t="s">
        <v>34</v>
      </c>
      <c r="H32" s="1">
        <f>(VLOOKUP(C32,'BASE PAN - CAPEX'!$C$3:$R$37,16,FALSE)+'BASE PAN - CAPEX'!BC32)*1.7</f>
        <v>54578500</v>
      </c>
      <c r="I32" s="1">
        <f>(IF('BASE PAN - CAPEX'!$S32=2024,'BASE PAN - CAPEX'!$AD32,IF('BASE PAN - CAPEX'!$AE32=2024,'BASE PAN - CAPEX'!$AP32,IF('BASE PAN - CAPEX'!$AQ32=2024,'BASE PAN - CAPEX'!$BB32,0))))*1.7</f>
        <v>0</v>
      </c>
      <c r="J32" s="1">
        <f>(IF('BASE PAN - CAPEX'!$S32=2025,'BASE PAN - CAPEX'!$AD32,IF('BASE PAN - CAPEX'!$AE32=2025,'BASE PAN - CAPEX'!$AP32,IF('BASE PAN - CAPEX'!$AQ32=2025,'BASE PAN - CAPEX'!$BB32,0))))*1.7</f>
        <v>0</v>
      </c>
      <c r="K32" s="1">
        <f>(IF('BASE PAN - CAPEX'!$S32=2026,'BASE PAN - CAPEX'!$AD32,IF('BASE PAN - CAPEX'!$AE32=2026,'BASE PAN - CAPEX'!$AP32,IF('BASE PAN - CAPEX'!$AQ32=2026,'BASE PAN - CAPEX'!$BB32,0))))*1.7</f>
        <v>0</v>
      </c>
      <c r="L32" s="1">
        <f>((IF('BASE PAN - CAPEX'!$S32=2027,'BASE PAN - CAPEX'!$AD32,IF('BASE PAN - CAPEX'!$AE32=2027,'BASE PAN - CAPEX'!$AP32,IF('BASE PAN - CAPEX'!$AQ32=2027,'BASE PAN - CAPEX'!$BB32,0))))+VLOOKUP(C32,'BASE PAN - CAPEX - 1º ANO'!$C$3:$BE$35,55,FALSE))*1.7</f>
        <v>1708500</v>
      </c>
      <c r="M32" s="1">
        <f>(IF('BASE PAN - CAPEX'!$S32=2028,'BASE PAN - CAPEX'!$AD32,IF('BASE PAN - CAPEX'!$AE32=2028,'BASE PAN - CAPEX'!$AP32,IF('BASE PAN - CAPEX'!$AQ32=2028,'BASE PAN - CAPEX'!$BB32,0))))*1.7</f>
        <v>0</v>
      </c>
      <c r="N32" s="1">
        <f>(IF('BASE PAN - CAPEX'!$S32=2029,'BASE PAN - CAPEX'!$AD32,IF('BASE PAN - CAPEX'!$AE32=2029,'BASE PAN - CAPEX'!$AP32,IF('BASE PAN - CAPEX'!$AQ32=2029,'BASE PAN - CAPEX'!$BB32,0))))*1.7</f>
        <v>0</v>
      </c>
      <c r="O32" s="1">
        <f>(IF('BASE PAN - CAPEX'!$S32=2030,'BASE PAN - CAPEX'!$AD32,IF('BASE PAN - CAPEX'!$AE32=2030,'BASE PAN - CAPEX'!$AP32,IF('BASE PAN - CAPEX'!$AQ32=2030,'BASE PAN - CAPEX'!$BB32,0))))*1.7</f>
        <v>0</v>
      </c>
      <c r="P32" s="1">
        <f>(IF('BASE PAN - CAPEX'!$S32=2031,'BASE PAN - CAPEX'!$AD32,IF('BASE PAN - CAPEX'!$AE32=2031,'BASE PAN - CAPEX'!$AP32,IF('BASE PAN - CAPEX'!$AQ32=2031,'BASE PAN - CAPEX'!$BB32,0))))*1.7</f>
        <v>0</v>
      </c>
      <c r="Q32" s="1">
        <f>(IF('BASE PAN - CAPEX'!$S32=2032,'BASE PAN - CAPEX'!$AD32,IF('BASE PAN - CAPEX'!$AE32=2032,'BASE PAN - CAPEX'!$AP32,IF('BASE PAN - CAPEX'!$AQ32=2032,'BASE PAN - CAPEX'!$BB32,0))))*1.7</f>
        <v>0</v>
      </c>
      <c r="R32" s="1">
        <f>(IF('BASE PAN - CAPEX'!$S32=2033,'BASE PAN - CAPEX'!$AD32,IF('BASE PAN - CAPEX'!$AE32=2033,'BASE PAN - CAPEX'!$AP32,IF('BASE PAN - CAPEX'!$AQ32=2033,'BASE PAN - CAPEX'!$BB32,0))))*1.7</f>
        <v>0</v>
      </c>
      <c r="S32" s="1">
        <f>(IF('BASE PAN - CAPEX'!$S32=2034,'BASE PAN - CAPEX'!$AD32,IF('BASE PAN - CAPEX'!$AE32=2034,'BASE PAN - CAPEX'!$AP32,IF('BASE PAN - CAPEX'!$AQ32=2034,'BASE PAN - CAPEX'!$BB32,0))))*1.7</f>
        <v>0</v>
      </c>
      <c r="T32" s="1">
        <f>(IF('BASE PAN - CAPEX'!$S32=2035,'BASE PAN - CAPEX'!$AD32,IF('BASE PAN - CAPEX'!$AE32=2035,'BASE PAN - CAPEX'!$AP32,IF('BASE PAN - CAPEX'!$AQ32=2035,'BASE PAN - CAPEX'!$BB32,0))))*1.7</f>
        <v>0</v>
      </c>
      <c r="U32" s="1">
        <f>(IF('BASE PAN - CAPEX'!$S32=2036,'BASE PAN - CAPEX'!$AD32,IF('BASE PAN - CAPEX'!$AE32=2036,'BASE PAN - CAPEX'!$AP32,IF('BASE PAN - CAPEX'!$AQ32=2036,'BASE PAN - CAPEX'!$BB32,0))))*1.7</f>
        <v>0</v>
      </c>
      <c r="V32" s="1">
        <f>((IF('BASE PAN - CAPEX'!$S32=2037,'BASE PAN - CAPEX'!$AD32,IF('BASE PAN - CAPEX'!$AE32=2037,'BASE PAN - CAPEX'!$AP32,IF('BASE PAN - CAPEX'!$AQ32=2037,'BASE PAN - CAPEX'!$BB32,0))))+VLOOKUP(C32,'BASE PAN - CAPEX - 1º ANO'!$C$3:$BG$35,57,FALSE))*1.7</f>
        <v>0</v>
      </c>
      <c r="W32" s="1">
        <f>(IF('BASE PAN - CAPEX'!$S32=2038,'BASE PAN - CAPEX'!$AD32,IF('BASE PAN - CAPEX'!$AE32=2038,'BASE PAN - CAPEX'!$AP32,IF('BASE PAN - CAPEX'!$AQ32=2038,'BASE PAN - CAPEX'!$BB32,0))))*1.7</f>
        <v>0</v>
      </c>
      <c r="X32" s="1">
        <f>(IF('BASE PAN - CAPEX'!$S32=2039,'BASE PAN - CAPEX'!$AD32,IF('BASE PAN - CAPEX'!$AE32=2039,'BASE PAN - CAPEX'!$AP32,IF('BASE PAN - CAPEX'!$AQ32=2039,'BASE PAN - CAPEX'!$BB32,0))))*1.7</f>
        <v>0</v>
      </c>
      <c r="Y32" s="1">
        <f>(IF('BASE PAN - CAPEX'!$S32=2040,'BASE PAN - CAPEX'!$AD32,IF('BASE PAN - CAPEX'!$AE32=2040,'BASE PAN - CAPEX'!$AP32,IF('BASE PAN - CAPEX'!$AQ32=2040,'BASE PAN - CAPEX'!$BB32,0))))*1.7</f>
        <v>0</v>
      </c>
      <c r="Z32" s="1">
        <f>(IF('BASE PAN - CAPEX'!$S32=2041,'BASE PAN - CAPEX'!$AD32,IF('BASE PAN - CAPEX'!$AE32=2041,'BASE PAN - CAPEX'!$AP32,IF('BASE PAN - CAPEX'!$AQ32=2041,'BASE PAN - CAPEX'!$BB32,0))))*1.7</f>
        <v>0</v>
      </c>
      <c r="AA32" s="1">
        <f>(IF('BASE PAN - CAPEX'!$S32=2042,'BASE PAN - CAPEX'!$AD32,IF('BASE PAN - CAPEX'!$AE32=2042,'BASE PAN - CAPEX'!$AP32,IF('BASE PAN - CAPEX'!$AQ32=2042,'BASE PAN - CAPEX'!$BB32,0))))*1.7</f>
        <v>0</v>
      </c>
      <c r="AB32" s="1">
        <f>(IF('BASE PAN - CAPEX'!$S32=2043,'BASE PAN - CAPEX'!$AD32,IF('BASE PAN - CAPEX'!$AE32=2043,'BASE PAN - CAPEX'!$AP32,IF('BASE PAN - CAPEX'!$AQ32=2043,'BASE PAN - CAPEX'!$BB32,0))))*1.7</f>
        <v>0</v>
      </c>
      <c r="AC32" s="1">
        <f>(IF('BASE PAN - CAPEX'!$S32=2044,'BASE PAN - CAPEX'!$AD32,IF('BASE PAN - CAPEX'!$AE32=2044,'BASE PAN - CAPEX'!$AP32,IF('BASE PAN - CAPEX'!$AQ32=2044,'BASE PAN - CAPEX'!$BB32,0))))*1.7</f>
        <v>0</v>
      </c>
      <c r="AD32" s="1">
        <f>(IF('BASE PAN - CAPEX'!$S32=2045,'BASE PAN - CAPEX'!$AD32,IF('BASE PAN - CAPEX'!$AE32=2045,'BASE PAN - CAPEX'!$AP32,IF('BASE PAN - CAPEX'!$AQ32=2045,'BASE PAN - CAPEX'!$BB32,0))))*1.7</f>
        <v>0</v>
      </c>
      <c r="AE32" s="1">
        <f>(IF('BASE PAN - CAPEX'!$S32=2046,'BASE PAN - CAPEX'!$AD32,IF('BASE PAN - CAPEX'!$AE32=2046,'BASE PAN - CAPEX'!$AP32,IF('BASE PAN - CAPEX'!$AQ32=2046,'BASE PAN - CAPEX'!$BB32,0))))*1.7</f>
        <v>0</v>
      </c>
      <c r="AF32" s="1">
        <f>(IF('BASE PAN - CAPEX'!$S32=2047,'BASE PAN - CAPEX'!$AD32,IF('BASE PAN - CAPEX'!$AE32=2047,'BASE PAN - CAPEX'!$AP32,IF('BASE PAN - CAPEX'!$AQ32=2047,'BASE PAN - CAPEX'!$BB32,0))))*1.7</f>
        <v>0</v>
      </c>
      <c r="AG32" s="1">
        <f>(IF('BASE PAN - CAPEX'!$S32=2048,'BASE PAN - CAPEX'!$AD32,IF('BASE PAN - CAPEX'!$AE32=2048,'BASE PAN - CAPEX'!$AP32,IF('BASE PAN - CAPEX'!$AQ32=2048,'BASE PAN - CAPEX'!$BB32,0))))*1.7</f>
        <v>0</v>
      </c>
      <c r="AH32" s="1">
        <f>(IF('BASE PAN - CAPEX'!$S32=2049,'BASE PAN - CAPEX'!$AD32,IF('BASE PAN - CAPEX'!$AE32=2049,'BASE PAN - CAPEX'!$AP32,IF('BASE PAN - CAPEX'!$AQ32=2049,'BASE PAN - CAPEX'!$BB32,0))))*1.7</f>
        <v>0</v>
      </c>
      <c r="AI32" s="1">
        <f>(IF('BASE PAN - CAPEX'!$S32=2050,'BASE PAN - CAPEX'!$AD32,IF('BASE PAN - CAPEX'!$AE32=2050,'BASE PAN - CAPEX'!$AP32,IF('BASE PAN - CAPEX'!$AQ32=2050,'BASE PAN - CAPEX'!$BB32,0))))*1.7</f>
        <v>0</v>
      </c>
      <c r="AJ32" s="1">
        <f>(IF('BASE PAN - CAPEX'!$S32=2051,'BASE PAN - CAPEX'!$AD32,IF('BASE PAN - CAPEX'!$AE32=2051,'BASE PAN - CAPEX'!$AP32,IF('BASE PAN - CAPEX'!$AQ32=2051,'BASE PAN - CAPEX'!$BB32,0))))*1.7</f>
        <v>0</v>
      </c>
      <c r="AK32" s="1">
        <f>(IF('BASE PAN - CAPEX'!$S32=2052,'BASE PAN - CAPEX'!$AD32,IF('BASE PAN - CAPEX'!$AE32=2052,'BASE PAN - CAPEX'!$AP32,IF('BASE PAN - CAPEX'!$AQ32=2052,'BASE PAN - CAPEX'!$BB32,0))))*1.7</f>
        <v>0</v>
      </c>
      <c r="AL32" s="1">
        <f>(IF('BASE PAN - CAPEX'!$S32=2053,'BASE PAN - CAPEX'!$AD32,IF('BASE PAN - CAPEX'!$AE32=2053,'BASE PAN - CAPEX'!$AP32,IF('BASE PAN - CAPEX'!$AQ32=2053,'BASE PAN - CAPEX'!$BB32,0))))*1.7</f>
        <v>0</v>
      </c>
      <c r="AM32" s="1">
        <f t="shared" si="0"/>
        <v>56287000</v>
      </c>
      <c r="AN32" t="str">
        <f>VLOOKUP(C32,'[6]CAPEX - BLOCOS PAN'!$C$3:$AN$249,38,FALSE)</f>
        <v>N</v>
      </c>
      <c r="AO32" s="3">
        <v>1</v>
      </c>
      <c r="AP32" s="3" t="s">
        <v>171</v>
      </c>
      <c r="AQ32" s="3" t="s">
        <v>171</v>
      </c>
      <c r="AR32" s="3" t="s">
        <v>171</v>
      </c>
      <c r="AS32" s="3" t="s">
        <v>171</v>
      </c>
      <c r="AT32" s="3" t="s">
        <v>171</v>
      </c>
      <c r="AU32" s="3" t="s">
        <v>171</v>
      </c>
      <c r="AV32" t="str">
        <f>VLOOKUP(C32,'[6]CAPEX - BLOCOS PAN'!$C$3:$AV$249,46,FALSE)</f>
        <v>Privada</v>
      </c>
      <c r="AW32" t="str">
        <f>VLOOKUP(C32,'FLUXO DE CAIXA DESC.-BLOCOS PAN'!$D$3:$AO$52,38,FALSE)</f>
        <v>AC + AM - 1 - AL</v>
      </c>
    </row>
    <row r="33" spans="1:49" x14ac:dyDescent="0.35">
      <c r="A33" t="s">
        <v>148</v>
      </c>
      <c r="B33" t="s">
        <v>149</v>
      </c>
      <c r="C33" t="s">
        <v>150</v>
      </c>
      <c r="D33" t="s">
        <v>149</v>
      </c>
      <c r="E33" t="s">
        <v>35</v>
      </c>
      <c r="F33" t="s">
        <v>33</v>
      </c>
      <c r="G33" t="s">
        <v>34</v>
      </c>
      <c r="H33" s="1">
        <f>(VLOOKUP(C33,'BASE PAN - CAPEX'!$C$3:$R$37,16,FALSE)+'BASE PAN - CAPEX'!BC33)*1.7</f>
        <v>12503500</v>
      </c>
      <c r="I33" s="1">
        <f>(IF('BASE PAN - CAPEX'!$S33=2024,'BASE PAN - CAPEX'!$AD33,IF('BASE PAN - CAPEX'!$AE33=2024,'BASE PAN - CAPEX'!$AP33,IF('BASE PAN - CAPEX'!$AQ33=2024,'BASE PAN - CAPEX'!$BB33,0))))*1.7</f>
        <v>0</v>
      </c>
      <c r="J33" s="1">
        <f>(IF('BASE PAN - CAPEX'!$S33=2025,'BASE PAN - CAPEX'!$AD33,IF('BASE PAN - CAPEX'!$AE33=2025,'BASE PAN - CAPEX'!$AP33,IF('BASE PAN - CAPEX'!$AQ33=2025,'BASE PAN - CAPEX'!$BB33,0))))*1.7</f>
        <v>0</v>
      </c>
      <c r="K33" s="1">
        <f>(IF('BASE PAN - CAPEX'!$S33=2026,'BASE PAN - CAPEX'!$AD33,IF('BASE PAN - CAPEX'!$AE33=2026,'BASE PAN - CAPEX'!$AP33,IF('BASE PAN - CAPEX'!$AQ33=2026,'BASE PAN - CAPEX'!$BB33,0))))*1.7</f>
        <v>0</v>
      </c>
      <c r="L33" s="1">
        <f>((IF('BASE PAN - CAPEX'!$S33=2027,'BASE PAN - CAPEX'!$AD33,IF('BASE PAN - CAPEX'!$AE33=2027,'BASE PAN - CAPEX'!$AP33,IF('BASE PAN - CAPEX'!$AQ33=2027,'BASE PAN - CAPEX'!$BB33,0))))+VLOOKUP(C33,'BASE PAN - CAPEX - 1º ANO'!$C$3:$BE$35,55,FALSE))*1.7</f>
        <v>1708500</v>
      </c>
      <c r="M33" s="1">
        <f>(IF('BASE PAN - CAPEX'!$S33=2028,'BASE PAN - CAPEX'!$AD33,IF('BASE PAN - CAPEX'!$AE33=2028,'BASE PAN - CAPEX'!$AP33,IF('BASE PAN - CAPEX'!$AQ33=2028,'BASE PAN - CAPEX'!$BB33,0))))*1.7</f>
        <v>0</v>
      </c>
      <c r="N33" s="1">
        <f>(IF('BASE PAN - CAPEX'!$S33=2029,'BASE PAN - CAPEX'!$AD33,IF('BASE PAN - CAPEX'!$AE33=2029,'BASE PAN - CAPEX'!$AP33,IF('BASE PAN - CAPEX'!$AQ33=2029,'BASE PAN - CAPEX'!$BB33,0))))*1.7</f>
        <v>0</v>
      </c>
      <c r="O33" s="1">
        <f>(IF('BASE PAN - CAPEX'!$S33=2030,'BASE PAN - CAPEX'!$AD33,IF('BASE PAN - CAPEX'!$AE33=2030,'BASE PAN - CAPEX'!$AP33,IF('BASE PAN - CAPEX'!$AQ33=2030,'BASE PAN - CAPEX'!$BB33,0))))*1.7</f>
        <v>0</v>
      </c>
      <c r="P33" s="1">
        <f>(IF('BASE PAN - CAPEX'!$S33=2031,'BASE PAN - CAPEX'!$AD33,IF('BASE PAN - CAPEX'!$AE33=2031,'BASE PAN - CAPEX'!$AP33,IF('BASE PAN - CAPEX'!$AQ33=2031,'BASE PAN - CAPEX'!$BB33,0))))*1.7</f>
        <v>0</v>
      </c>
      <c r="Q33" s="1">
        <f>(IF('BASE PAN - CAPEX'!$S33=2032,'BASE PAN - CAPEX'!$AD33,IF('BASE PAN - CAPEX'!$AE33=2032,'BASE PAN - CAPEX'!$AP33,IF('BASE PAN - CAPEX'!$AQ33=2032,'BASE PAN - CAPEX'!$BB33,0))))*1.7</f>
        <v>0</v>
      </c>
      <c r="R33" s="1">
        <f>(IF('BASE PAN - CAPEX'!$S33=2033,'BASE PAN - CAPEX'!$AD33,IF('BASE PAN - CAPEX'!$AE33=2033,'BASE PAN - CAPEX'!$AP33,IF('BASE PAN - CAPEX'!$AQ33=2033,'BASE PAN - CAPEX'!$BB33,0))))*1.7</f>
        <v>0</v>
      </c>
      <c r="S33" s="1">
        <f>(IF('BASE PAN - CAPEX'!$S33=2034,'BASE PAN - CAPEX'!$AD33,IF('BASE PAN - CAPEX'!$AE33=2034,'BASE PAN - CAPEX'!$AP33,IF('BASE PAN - CAPEX'!$AQ33=2034,'BASE PAN - CAPEX'!$BB33,0))))*1.7</f>
        <v>0</v>
      </c>
      <c r="T33" s="1">
        <f>(IF('BASE PAN - CAPEX'!$S33=2035,'BASE PAN - CAPEX'!$AD33,IF('BASE PAN - CAPEX'!$AE33=2035,'BASE PAN - CAPEX'!$AP33,IF('BASE PAN - CAPEX'!$AQ33=2035,'BASE PAN - CAPEX'!$BB33,0))))*1.7</f>
        <v>0</v>
      </c>
      <c r="U33" s="1">
        <f>(IF('BASE PAN - CAPEX'!$S33=2036,'BASE PAN - CAPEX'!$AD33,IF('BASE PAN - CAPEX'!$AE33=2036,'BASE PAN - CAPEX'!$AP33,IF('BASE PAN - CAPEX'!$AQ33=2036,'BASE PAN - CAPEX'!$BB33,0))))*1.7</f>
        <v>0</v>
      </c>
      <c r="V33" s="1">
        <f>((IF('BASE PAN - CAPEX'!$S33=2037,'BASE PAN - CAPEX'!$AD33,IF('BASE PAN - CAPEX'!$AE33=2037,'BASE PAN - CAPEX'!$AP33,IF('BASE PAN - CAPEX'!$AQ33=2037,'BASE PAN - CAPEX'!$BB33,0))))+VLOOKUP(C33,'BASE PAN - CAPEX - 1º ANO'!$C$3:$BG$35,57,FALSE))*1.7</f>
        <v>0</v>
      </c>
      <c r="W33" s="1">
        <f>(IF('BASE PAN - CAPEX'!$S33=2038,'BASE PAN - CAPEX'!$AD33,IF('BASE PAN - CAPEX'!$AE33=2038,'BASE PAN - CAPEX'!$AP33,IF('BASE PAN - CAPEX'!$AQ33=2038,'BASE PAN - CAPEX'!$BB33,0))))*1.7</f>
        <v>0</v>
      </c>
      <c r="X33" s="1">
        <f>(IF('BASE PAN - CAPEX'!$S33=2039,'BASE PAN - CAPEX'!$AD33,IF('BASE PAN - CAPEX'!$AE33=2039,'BASE PAN - CAPEX'!$AP33,IF('BASE PAN - CAPEX'!$AQ33=2039,'BASE PAN - CAPEX'!$BB33,0))))*1.7</f>
        <v>0</v>
      </c>
      <c r="Y33" s="1">
        <f>(IF('BASE PAN - CAPEX'!$S33=2040,'BASE PAN - CAPEX'!$AD33,IF('BASE PAN - CAPEX'!$AE33=2040,'BASE PAN - CAPEX'!$AP33,IF('BASE PAN - CAPEX'!$AQ33=2040,'BASE PAN - CAPEX'!$BB33,0))))*1.7</f>
        <v>0</v>
      </c>
      <c r="Z33" s="1">
        <f>(IF('BASE PAN - CAPEX'!$S33=2041,'BASE PAN - CAPEX'!$AD33,IF('BASE PAN - CAPEX'!$AE33=2041,'BASE PAN - CAPEX'!$AP33,IF('BASE PAN - CAPEX'!$AQ33=2041,'BASE PAN - CAPEX'!$BB33,0))))*1.7</f>
        <v>0</v>
      </c>
      <c r="AA33" s="1">
        <f>(IF('BASE PAN - CAPEX'!$S33=2042,'BASE PAN - CAPEX'!$AD33,IF('BASE PAN - CAPEX'!$AE33=2042,'BASE PAN - CAPEX'!$AP33,IF('BASE PAN - CAPEX'!$AQ33=2042,'BASE PAN - CAPEX'!$BB33,0))))*1.7</f>
        <v>0</v>
      </c>
      <c r="AB33" s="1">
        <f>(IF('BASE PAN - CAPEX'!$S33=2043,'BASE PAN - CAPEX'!$AD33,IF('BASE PAN - CAPEX'!$AE33=2043,'BASE PAN - CAPEX'!$AP33,IF('BASE PAN - CAPEX'!$AQ33=2043,'BASE PAN - CAPEX'!$BB33,0))))*1.7</f>
        <v>0</v>
      </c>
      <c r="AC33" s="1">
        <f>(IF('BASE PAN - CAPEX'!$S33=2044,'BASE PAN - CAPEX'!$AD33,IF('BASE PAN - CAPEX'!$AE33=2044,'BASE PAN - CAPEX'!$AP33,IF('BASE PAN - CAPEX'!$AQ33=2044,'BASE PAN - CAPEX'!$BB33,0))))*1.7</f>
        <v>0</v>
      </c>
      <c r="AD33" s="1">
        <f>(IF('BASE PAN - CAPEX'!$S33=2045,'BASE PAN - CAPEX'!$AD33,IF('BASE PAN - CAPEX'!$AE33=2045,'BASE PAN - CAPEX'!$AP33,IF('BASE PAN - CAPEX'!$AQ33=2045,'BASE PAN - CAPEX'!$BB33,0))))*1.7</f>
        <v>0</v>
      </c>
      <c r="AE33" s="1">
        <f>(IF('BASE PAN - CAPEX'!$S33=2046,'BASE PAN - CAPEX'!$AD33,IF('BASE PAN - CAPEX'!$AE33=2046,'BASE PAN - CAPEX'!$AP33,IF('BASE PAN - CAPEX'!$AQ33=2046,'BASE PAN - CAPEX'!$BB33,0))))*1.7</f>
        <v>0</v>
      </c>
      <c r="AF33" s="1">
        <f>(IF('BASE PAN - CAPEX'!$S33=2047,'BASE PAN - CAPEX'!$AD33,IF('BASE PAN - CAPEX'!$AE33=2047,'BASE PAN - CAPEX'!$AP33,IF('BASE PAN - CAPEX'!$AQ33=2047,'BASE PAN - CAPEX'!$BB33,0))))*1.7</f>
        <v>0</v>
      </c>
      <c r="AG33" s="1">
        <f>(IF('BASE PAN - CAPEX'!$S33=2048,'BASE PAN - CAPEX'!$AD33,IF('BASE PAN - CAPEX'!$AE33=2048,'BASE PAN - CAPEX'!$AP33,IF('BASE PAN - CAPEX'!$AQ33=2048,'BASE PAN - CAPEX'!$BB33,0))))*1.7</f>
        <v>0</v>
      </c>
      <c r="AH33" s="1">
        <f>(IF('BASE PAN - CAPEX'!$S33=2049,'BASE PAN - CAPEX'!$AD33,IF('BASE PAN - CAPEX'!$AE33=2049,'BASE PAN - CAPEX'!$AP33,IF('BASE PAN - CAPEX'!$AQ33=2049,'BASE PAN - CAPEX'!$BB33,0))))*1.7</f>
        <v>0</v>
      </c>
      <c r="AI33" s="1">
        <f>(IF('BASE PAN - CAPEX'!$S33=2050,'BASE PAN - CAPEX'!$AD33,IF('BASE PAN - CAPEX'!$AE33=2050,'BASE PAN - CAPEX'!$AP33,IF('BASE PAN - CAPEX'!$AQ33=2050,'BASE PAN - CAPEX'!$BB33,0))))*1.7</f>
        <v>0</v>
      </c>
      <c r="AJ33" s="1">
        <f>(IF('BASE PAN - CAPEX'!$S33=2051,'BASE PAN - CAPEX'!$AD33,IF('BASE PAN - CAPEX'!$AE33=2051,'BASE PAN - CAPEX'!$AP33,IF('BASE PAN - CAPEX'!$AQ33=2051,'BASE PAN - CAPEX'!$BB33,0))))*1.7</f>
        <v>0</v>
      </c>
      <c r="AK33" s="1">
        <f>(IF('BASE PAN - CAPEX'!$S33=2052,'BASE PAN - CAPEX'!$AD33,IF('BASE PAN - CAPEX'!$AE33=2052,'BASE PAN - CAPEX'!$AP33,IF('BASE PAN - CAPEX'!$AQ33=2052,'BASE PAN - CAPEX'!$BB33,0))))*1.7</f>
        <v>0</v>
      </c>
      <c r="AL33" s="1">
        <f>(IF('BASE PAN - CAPEX'!$S33=2053,'BASE PAN - CAPEX'!$AD33,IF('BASE PAN - CAPEX'!$AE33=2053,'BASE PAN - CAPEX'!$AP33,IF('BASE PAN - CAPEX'!$AQ33=2053,'BASE PAN - CAPEX'!$BB33,0))))*1.7</f>
        <v>0</v>
      </c>
      <c r="AM33" s="1">
        <f t="shared" si="0"/>
        <v>14212000</v>
      </c>
      <c r="AN33" t="str">
        <f>VLOOKUP(C33,'[6]CAPEX - BLOCOS PAN'!$C$3:$AN$249,38,FALSE)</f>
        <v>N</v>
      </c>
      <c r="AO33" s="3">
        <v>0</v>
      </c>
      <c r="AP33" s="3" t="s">
        <v>171</v>
      </c>
      <c r="AQ33" s="3" t="s">
        <v>171</v>
      </c>
      <c r="AR33" s="3" t="s">
        <v>171</v>
      </c>
      <c r="AS33" s="3" t="s">
        <v>171</v>
      </c>
      <c r="AT33" s="3" t="s">
        <v>171</v>
      </c>
      <c r="AU33" s="3" t="s">
        <v>171</v>
      </c>
      <c r="AV33" t="str">
        <f>VLOOKUP(C33,'[6]CAPEX - BLOCOS PAN'!$C$3:$AV$249,46,FALSE)</f>
        <v>Privada</v>
      </c>
      <c r="AW33" t="str">
        <f>VLOOKUP(C33,'FLUXO DE CAIXA DESC.-BLOCOS PAN'!$D$3:$AO$52,38,FALSE)</f>
        <v>AM - 3 - AL</v>
      </c>
    </row>
    <row r="34" spans="1:49" x14ac:dyDescent="0.35">
      <c r="A34" t="s">
        <v>152</v>
      </c>
      <c r="B34" t="s">
        <v>153</v>
      </c>
      <c r="C34" t="s">
        <v>154</v>
      </c>
      <c r="D34" t="s">
        <v>153</v>
      </c>
      <c r="E34" t="s">
        <v>35</v>
      </c>
      <c r="F34" t="s">
        <v>33</v>
      </c>
      <c r="G34" t="s">
        <v>34</v>
      </c>
      <c r="H34" s="1">
        <f>(VLOOKUP(C34,'BASE PAN - CAPEX'!$C$3:$R$37,16,FALSE)+'BASE PAN - CAPEX'!BC34)*1.7</f>
        <v>114129500</v>
      </c>
      <c r="I34" s="1">
        <f>(IF('BASE PAN - CAPEX'!$S34=2024,'BASE PAN - CAPEX'!$AD34,IF('BASE PAN - CAPEX'!$AE34=2024,'BASE PAN - CAPEX'!$AP34,IF('BASE PAN - CAPEX'!$AQ34=2024,'BASE PAN - CAPEX'!$BB34,0))))*1.7</f>
        <v>0</v>
      </c>
      <c r="J34" s="1">
        <f>(IF('BASE PAN - CAPEX'!$S34=2025,'BASE PAN - CAPEX'!$AD34,IF('BASE PAN - CAPEX'!$AE34=2025,'BASE PAN - CAPEX'!$AP34,IF('BASE PAN - CAPEX'!$AQ34=2025,'BASE PAN - CAPEX'!$BB34,0))))*1.7</f>
        <v>0</v>
      </c>
      <c r="K34" s="1">
        <f>(IF('BASE PAN - CAPEX'!$S34=2026,'BASE PAN - CAPEX'!$AD34,IF('BASE PAN - CAPEX'!$AE34=2026,'BASE PAN - CAPEX'!$AP34,IF('BASE PAN - CAPEX'!$AQ34=2026,'BASE PAN - CAPEX'!$BB34,0))))*1.7</f>
        <v>0</v>
      </c>
      <c r="L34" s="1">
        <f>((IF('BASE PAN - CAPEX'!$S34=2027,'BASE PAN - CAPEX'!$AD34,IF('BASE PAN - CAPEX'!$AE34=2027,'BASE PAN - CAPEX'!$AP34,IF('BASE PAN - CAPEX'!$AQ34=2027,'BASE PAN - CAPEX'!$BB34,0))))+VLOOKUP(C34,'BASE PAN - CAPEX - 1º ANO'!$C$3:$BE$35,55,FALSE))*1.7</f>
        <v>493000</v>
      </c>
      <c r="M34" s="1">
        <f>(IF('BASE PAN - CAPEX'!$S34=2028,'BASE PAN - CAPEX'!$AD34,IF('BASE PAN - CAPEX'!$AE34=2028,'BASE PAN - CAPEX'!$AP34,IF('BASE PAN - CAPEX'!$AQ34=2028,'BASE PAN - CAPEX'!$BB34,0))))*1.7</f>
        <v>0</v>
      </c>
      <c r="N34" s="1">
        <f>(IF('BASE PAN - CAPEX'!$S34=2029,'BASE PAN - CAPEX'!$AD34,IF('BASE PAN - CAPEX'!$AE34=2029,'BASE PAN - CAPEX'!$AP34,IF('BASE PAN - CAPEX'!$AQ34=2029,'BASE PAN - CAPEX'!$BB34,0))))*1.7</f>
        <v>0</v>
      </c>
      <c r="O34" s="1">
        <f>(IF('BASE PAN - CAPEX'!$S34=2030,'BASE PAN - CAPEX'!$AD34,IF('BASE PAN - CAPEX'!$AE34=2030,'BASE PAN - CAPEX'!$AP34,IF('BASE PAN - CAPEX'!$AQ34=2030,'BASE PAN - CAPEX'!$BB34,0))))*1.7</f>
        <v>0</v>
      </c>
      <c r="P34" s="1">
        <f>(IF('BASE PAN - CAPEX'!$S34=2031,'BASE PAN - CAPEX'!$AD34,IF('BASE PAN - CAPEX'!$AE34=2031,'BASE PAN - CAPEX'!$AP34,IF('BASE PAN - CAPEX'!$AQ34=2031,'BASE PAN - CAPEX'!$BB34,0))))*1.7</f>
        <v>0</v>
      </c>
      <c r="Q34" s="1">
        <f>((IF('BASE PAN - CAPEX'!$S34=2032,'BASE PAN - CAPEX'!$AD34,IF('BASE PAN - CAPEX'!$AE34=2032,'BASE PAN - CAPEX'!$AP34,IF('BASE PAN - CAPEX'!$AQ34=2032,'BASE PAN - CAPEX'!$BB34,0))))+VLOOKUP(C35,'BASE PAN - CAPEX - 1º ANO'!$C$3:$BF$35,56,FALSE))*1.7</f>
        <v>0</v>
      </c>
      <c r="R34" s="1">
        <f>(IF('BASE PAN - CAPEX'!$S34=2033,'BASE PAN - CAPEX'!$AD34,IF('BASE PAN - CAPEX'!$AE34=2033,'BASE PAN - CAPEX'!$AP34,IF('BASE PAN - CAPEX'!$AQ34=2033,'BASE PAN - CAPEX'!$BB34,0))))*1.7</f>
        <v>0</v>
      </c>
      <c r="S34" s="1">
        <f>(IF('BASE PAN - CAPEX'!$S34=2034,'BASE PAN - CAPEX'!$AD34,IF('BASE PAN - CAPEX'!$AE34=2034,'BASE PAN - CAPEX'!$AP34,IF('BASE PAN - CAPEX'!$AQ34=2034,'BASE PAN - CAPEX'!$BB34,0))))*1.7</f>
        <v>0</v>
      </c>
      <c r="T34" s="1">
        <f>(IF('BASE PAN - CAPEX'!$S34=2035,'BASE PAN - CAPEX'!$AD34,IF('BASE PAN - CAPEX'!$AE34=2035,'BASE PAN - CAPEX'!$AP34,IF('BASE PAN - CAPEX'!$AQ34=2035,'BASE PAN - CAPEX'!$BB34,0))))*1.7</f>
        <v>0</v>
      </c>
      <c r="U34" s="1">
        <f>(IF('BASE PAN - CAPEX'!$S34=2036,'BASE PAN - CAPEX'!$AD34,IF('BASE PAN - CAPEX'!$AE34=2036,'BASE PAN - CAPEX'!$AP34,IF('BASE PAN - CAPEX'!$AQ34=2036,'BASE PAN - CAPEX'!$BB34,0))))*1.7</f>
        <v>0</v>
      </c>
      <c r="V34" s="1">
        <f>((IF('BASE PAN - CAPEX'!$S34=2037,'BASE PAN - CAPEX'!$AD34,IF('BASE PAN - CAPEX'!$AE34=2037,'BASE PAN - CAPEX'!$AP34,IF('BASE PAN - CAPEX'!$AQ34=2037,'BASE PAN - CAPEX'!$BB34,0))))+VLOOKUP(C34,'BASE PAN - CAPEX - 1º ANO'!$C$3:$BG$35,57,FALSE))*1.7</f>
        <v>0</v>
      </c>
      <c r="W34" s="1">
        <f>(IF('BASE PAN - CAPEX'!$S34=2038,'BASE PAN - CAPEX'!$AD34,IF('BASE PAN - CAPEX'!$AE34=2038,'BASE PAN - CAPEX'!$AP34,IF('BASE PAN - CAPEX'!$AQ34=2038,'BASE PAN - CAPEX'!$BB34,0))))*1.7</f>
        <v>0</v>
      </c>
      <c r="X34" s="1">
        <f>(IF('BASE PAN - CAPEX'!$S34=2039,'BASE PAN - CAPEX'!$AD34,IF('BASE PAN - CAPEX'!$AE34=2039,'BASE PAN - CAPEX'!$AP34,IF('BASE PAN - CAPEX'!$AQ34=2039,'BASE PAN - CAPEX'!$BB34,0))))*1.7</f>
        <v>0</v>
      </c>
      <c r="Y34" s="1">
        <f>(IF('BASE PAN - CAPEX'!$S34=2040,'BASE PAN - CAPEX'!$AD34,IF('BASE PAN - CAPEX'!$AE34=2040,'BASE PAN - CAPEX'!$AP34,IF('BASE PAN - CAPEX'!$AQ34=2040,'BASE PAN - CAPEX'!$BB34,0))))*1.7</f>
        <v>0</v>
      </c>
      <c r="Z34" s="1">
        <f>(IF('BASE PAN - CAPEX'!$S34=2041,'BASE PAN - CAPEX'!$AD34,IF('BASE PAN - CAPEX'!$AE34=2041,'BASE PAN - CAPEX'!$AP34,IF('BASE PAN - CAPEX'!$AQ34=2041,'BASE PAN - CAPEX'!$BB34,0))))*1.7</f>
        <v>0</v>
      </c>
      <c r="AA34" s="1">
        <f>(IF('BASE PAN - CAPEX'!$S34=2042,'BASE PAN - CAPEX'!$AD34,IF('BASE PAN - CAPEX'!$AE34=2042,'BASE PAN - CAPEX'!$AP34,IF('BASE PAN - CAPEX'!$AQ34=2042,'BASE PAN - CAPEX'!$BB34,0))))*1.7</f>
        <v>0</v>
      </c>
      <c r="AB34" s="1">
        <f>(IF('BASE PAN - CAPEX'!$S34=2043,'BASE PAN - CAPEX'!$AD34,IF('BASE PAN - CAPEX'!$AE34=2043,'BASE PAN - CAPEX'!$AP34,IF('BASE PAN - CAPEX'!$AQ34=2043,'BASE PAN - CAPEX'!$BB34,0))))*1.7</f>
        <v>0</v>
      </c>
      <c r="AC34" s="1">
        <f>(IF('BASE PAN - CAPEX'!$S34=2044,'BASE PAN - CAPEX'!$AD34,IF('BASE PAN - CAPEX'!$AE34=2044,'BASE PAN - CAPEX'!$AP34,IF('BASE PAN - CAPEX'!$AQ34=2044,'BASE PAN - CAPEX'!$BB34,0))))*1.7</f>
        <v>0</v>
      </c>
      <c r="AD34" s="1">
        <f>(IF('BASE PAN - CAPEX'!$S34=2045,'BASE PAN - CAPEX'!$AD34,IF('BASE PAN - CAPEX'!$AE34=2045,'BASE PAN - CAPEX'!$AP34,IF('BASE PAN - CAPEX'!$AQ34=2045,'BASE PAN - CAPEX'!$BB34,0))))*1.7</f>
        <v>0</v>
      </c>
      <c r="AE34" s="1">
        <f>(IF('BASE PAN - CAPEX'!$S34=2046,'BASE PAN - CAPEX'!$AD34,IF('BASE PAN - CAPEX'!$AE34=2046,'BASE PAN - CAPEX'!$AP34,IF('BASE PAN - CAPEX'!$AQ34=2046,'BASE PAN - CAPEX'!$BB34,0))))*1.7</f>
        <v>0</v>
      </c>
      <c r="AF34" s="1">
        <f>(IF('BASE PAN - CAPEX'!$S34=2047,'BASE PAN - CAPEX'!$AD34,IF('BASE PAN - CAPEX'!$AE34=2047,'BASE PAN - CAPEX'!$AP34,IF('BASE PAN - CAPEX'!$AQ34=2047,'BASE PAN - CAPEX'!$BB34,0))))*1.7</f>
        <v>0</v>
      </c>
      <c r="AG34" s="1">
        <f>(IF('BASE PAN - CAPEX'!$S34=2048,'BASE PAN - CAPEX'!$AD34,IF('BASE PAN - CAPEX'!$AE34=2048,'BASE PAN - CAPEX'!$AP34,IF('BASE PAN - CAPEX'!$AQ34=2048,'BASE PAN - CAPEX'!$BB34,0))))*1.7</f>
        <v>0</v>
      </c>
      <c r="AH34" s="1">
        <f>(IF('BASE PAN - CAPEX'!$S34=2049,'BASE PAN - CAPEX'!$AD34,IF('BASE PAN - CAPEX'!$AE34=2049,'BASE PAN - CAPEX'!$AP34,IF('BASE PAN - CAPEX'!$AQ34=2049,'BASE PAN - CAPEX'!$BB34,0))))*1.7</f>
        <v>0</v>
      </c>
      <c r="AI34" s="1">
        <f>(IF('BASE PAN - CAPEX'!$S34=2050,'BASE PAN - CAPEX'!$AD34,IF('BASE PAN - CAPEX'!$AE34=2050,'BASE PAN - CAPEX'!$AP34,IF('BASE PAN - CAPEX'!$AQ34=2050,'BASE PAN - CAPEX'!$BB34,0))))*1.7</f>
        <v>0</v>
      </c>
      <c r="AJ34" s="1">
        <f>(IF('BASE PAN - CAPEX'!$S34=2051,'BASE PAN - CAPEX'!$AD34,IF('BASE PAN - CAPEX'!$AE34=2051,'BASE PAN - CAPEX'!$AP34,IF('BASE PAN - CAPEX'!$AQ34=2051,'BASE PAN - CAPEX'!$BB34,0))))*1.7</f>
        <v>0</v>
      </c>
      <c r="AK34" s="1">
        <f>(IF('BASE PAN - CAPEX'!$S34=2052,'BASE PAN - CAPEX'!$AD34,IF('BASE PAN - CAPEX'!$AE34=2052,'BASE PAN - CAPEX'!$AP34,IF('BASE PAN - CAPEX'!$AQ34=2052,'BASE PAN - CAPEX'!$BB34,0))))*1.7</f>
        <v>0</v>
      </c>
      <c r="AL34" s="1">
        <f>(IF('BASE PAN - CAPEX'!$S34=2053,'BASE PAN - CAPEX'!$AD34,IF('BASE PAN - CAPEX'!$AE34=2053,'BASE PAN - CAPEX'!$AP34,IF('BASE PAN - CAPEX'!$AQ34=2053,'BASE PAN - CAPEX'!$BB34,0))))*1.7</f>
        <v>0</v>
      </c>
      <c r="AM34" s="1">
        <f t="shared" si="0"/>
        <v>114622500</v>
      </c>
      <c r="AN34" t="str">
        <f>VLOOKUP(C34,'[6]CAPEX - BLOCOS PAN'!$C$3:$AN$249,38,FALSE)</f>
        <v>N</v>
      </c>
      <c r="AO34" s="3">
        <v>3</v>
      </c>
      <c r="AP34" s="3" t="s">
        <v>171</v>
      </c>
      <c r="AQ34" s="3" t="s">
        <v>171</v>
      </c>
      <c r="AR34" s="3" t="s">
        <v>171</v>
      </c>
      <c r="AS34" s="3" t="s">
        <v>171</v>
      </c>
      <c r="AT34" s="3" t="s">
        <v>171</v>
      </c>
      <c r="AU34" s="3" t="s">
        <v>171</v>
      </c>
      <c r="AV34" t="str">
        <f>VLOOKUP(C34,'[6]CAPEX - BLOCOS PAN'!$C$3:$AV$249,46,FALSE)</f>
        <v>Privada</v>
      </c>
      <c r="AW34" t="str">
        <f>VLOOKUP(C34,'FLUXO DE CAIXA DESC.-BLOCOS PAN'!$D$3:$AO$52,38,FALSE)</f>
        <v>AM - 3 - AL</v>
      </c>
    </row>
    <row r="35" spans="1:49" x14ac:dyDescent="0.35">
      <c r="A35" t="s">
        <v>157</v>
      </c>
      <c r="B35" t="s">
        <v>158</v>
      </c>
      <c r="C35" t="s">
        <v>159</v>
      </c>
      <c r="D35" t="s">
        <v>158</v>
      </c>
      <c r="E35" t="s">
        <v>37</v>
      </c>
      <c r="F35" t="s">
        <v>33</v>
      </c>
      <c r="G35" t="s">
        <v>34</v>
      </c>
      <c r="H35" s="1">
        <f>(VLOOKUP(C35,'BASE PAN - CAPEX'!$C$3:$R$37,16,FALSE)+'BASE PAN - CAPEX'!BC35)*1.5</f>
        <v>54015000</v>
      </c>
      <c r="I35" s="1">
        <f>(IF('BASE PAN - CAPEX'!$S35=2024,'BASE PAN - CAPEX'!$AD35,IF('BASE PAN - CAPEX'!$AE35=2024,'BASE PAN - CAPEX'!$AP35,IF('BASE PAN - CAPEX'!$AQ35=2024,'BASE PAN - CAPEX'!$BB35,0))))*1.5</f>
        <v>0</v>
      </c>
      <c r="J35" s="1">
        <f>(IF('BASE PAN - CAPEX'!$S35=2025,'BASE PAN - CAPEX'!$AD35,IF('BASE PAN - CAPEX'!$AE35=2025,'BASE PAN - CAPEX'!$AP35,IF('BASE PAN - CAPEX'!$AQ35=2025,'BASE PAN - CAPEX'!$BB35,0))))*1.5</f>
        <v>0</v>
      </c>
      <c r="K35" s="1">
        <f>(IF('BASE PAN - CAPEX'!$S35=2026,'BASE PAN - CAPEX'!$AD35,IF('BASE PAN - CAPEX'!$AE35=2026,'BASE PAN - CAPEX'!$AP35,IF('BASE PAN - CAPEX'!$AQ35=2026,'BASE PAN - CAPEX'!$BB35,0))))*1.5</f>
        <v>0</v>
      </c>
      <c r="L35" s="1">
        <f>((IF('BASE PAN - CAPEX'!$S35=2027,'BASE PAN - CAPEX'!$AD35,IF('BASE PAN - CAPEX'!$AE35=2027,'BASE PAN - CAPEX'!$AP35,IF('BASE PAN - CAPEX'!$AQ35=2027,'BASE PAN - CAPEX'!$BB35,0))))+VLOOKUP(C35,'BASE PAN - CAPEX - 1º ANO'!$C$3:$BE$35,55,FALSE))*1.5</f>
        <v>1500000</v>
      </c>
      <c r="M35" s="1">
        <f>(IF('BASE PAN - CAPEX'!$S35=2028,'BASE PAN - CAPEX'!$AD35,IF('BASE PAN - CAPEX'!$AE35=2028,'BASE PAN - CAPEX'!$AP35,IF('BASE PAN - CAPEX'!$AQ35=2028,'BASE PAN - CAPEX'!$BB35,0))))*1.5</f>
        <v>0</v>
      </c>
      <c r="N35" s="1">
        <f>(IF('BASE PAN - CAPEX'!$S35=2029,'BASE PAN - CAPEX'!$AD35,IF('BASE PAN - CAPEX'!$AE35=2029,'BASE PAN - CAPEX'!$AP35,IF('BASE PAN - CAPEX'!$AQ35=2029,'BASE PAN - CAPEX'!$BB35,0))))*1.5</f>
        <v>0</v>
      </c>
      <c r="O35" s="1">
        <f>(IF('BASE PAN - CAPEX'!$S35=2030,'BASE PAN - CAPEX'!$AD35,IF('BASE PAN - CAPEX'!$AE35=2030,'BASE PAN - CAPEX'!$AP35,IF('BASE PAN - CAPEX'!$AQ35=2030,'BASE PAN - CAPEX'!$BB35,0))))*1.5</f>
        <v>0</v>
      </c>
      <c r="P35" s="1">
        <f>(IF('BASE PAN - CAPEX'!$S35=2031,'BASE PAN - CAPEX'!$AD35,IF('BASE PAN - CAPEX'!$AE35=2031,'BASE PAN - CAPEX'!$AP35,IF('BASE PAN - CAPEX'!$AQ35=2031,'BASE PAN - CAPEX'!$BB35,0))))*1.5</f>
        <v>0</v>
      </c>
      <c r="Q35" s="1">
        <f>(IF('BASE PAN - CAPEX'!$S35=2032,'BASE PAN - CAPEX'!$AD35,IF('BASE PAN - CAPEX'!$AE35=2032,'BASE PAN - CAPEX'!$AP35,IF('BASE PAN - CAPEX'!$AQ35=2032,'BASE PAN - CAPEX'!$BB35,0))))*1.5</f>
        <v>405000</v>
      </c>
      <c r="R35" s="1">
        <f>(IF('BASE PAN - CAPEX'!$S35=2033,'BASE PAN - CAPEX'!$AD35,IF('BASE PAN - CAPEX'!$AE35=2033,'BASE PAN - CAPEX'!$AP35,IF('BASE PAN - CAPEX'!$AQ35=2033,'BASE PAN - CAPEX'!$BB35,0))))*1.5</f>
        <v>0</v>
      </c>
      <c r="S35" s="1">
        <f>(IF('BASE PAN - CAPEX'!$S35=2034,'BASE PAN - CAPEX'!$AD35,IF('BASE PAN - CAPEX'!$AE35=2034,'BASE PAN - CAPEX'!$AP35,IF('BASE PAN - CAPEX'!$AQ35=2034,'BASE PAN - CAPEX'!$BB35,0))))*1.5</f>
        <v>0</v>
      </c>
      <c r="T35" s="1">
        <f>(IF('BASE PAN - CAPEX'!$S35=2035,'BASE PAN - CAPEX'!$AD35,IF('BASE PAN - CAPEX'!$AE35=2035,'BASE PAN - CAPEX'!$AP35,IF('BASE PAN - CAPEX'!$AQ35=2035,'BASE PAN - CAPEX'!$BB35,0))))*1.5</f>
        <v>0</v>
      </c>
      <c r="U35" s="1">
        <f>(IF('BASE PAN - CAPEX'!$S35=2036,'BASE PAN - CAPEX'!$AD35,IF('BASE PAN - CAPEX'!$AE35=2036,'BASE PAN - CAPEX'!$AP35,IF('BASE PAN - CAPEX'!$AQ35=2036,'BASE PAN - CAPEX'!$BB35,0))))*1.5</f>
        <v>0</v>
      </c>
      <c r="V35" s="1">
        <f>((IF('BASE PAN - CAPEX'!$S35=2037,'BASE PAN - CAPEX'!$AD35,IF('BASE PAN - CAPEX'!$AE35=2037,'BASE PAN - CAPEX'!$AP35,IF('BASE PAN - CAPEX'!$AQ35=2037,'BASE PAN - CAPEX'!$BB35,0))))+VLOOKUP(C34,'BASE PAN - CAPEX - 1º ANO'!$C$3:$BG$35,57,FALSE))*1.5</f>
        <v>0</v>
      </c>
      <c r="W35" s="1">
        <f>(IF('BASE PAN - CAPEX'!$S35=2038,'BASE PAN - CAPEX'!$AD35,IF('BASE PAN - CAPEX'!$AE35=2038,'BASE PAN - CAPEX'!$AP35,IF('BASE PAN - CAPEX'!$AQ35=2038,'BASE PAN - CAPEX'!$BB35,0))))*1.5</f>
        <v>0</v>
      </c>
      <c r="X35" s="1">
        <f>(IF('BASE PAN - CAPEX'!$S35=2039,'BASE PAN - CAPEX'!$AD35,IF('BASE PAN - CAPEX'!$AE35=2039,'BASE PAN - CAPEX'!$AP35,IF('BASE PAN - CAPEX'!$AQ35=2039,'BASE PAN - CAPEX'!$BB35,0))))*1.5</f>
        <v>0</v>
      </c>
      <c r="Y35" s="1">
        <f>(IF('BASE PAN - CAPEX'!$S35=2040,'BASE PAN - CAPEX'!$AD35,IF('BASE PAN - CAPEX'!$AE35=2040,'BASE PAN - CAPEX'!$AP35,IF('BASE PAN - CAPEX'!$AQ35=2040,'BASE PAN - CAPEX'!$BB35,0))))*1.5</f>
        <v>0</v>
      </c>
      <c r="Z35" s="1">
        <f>(IF('BASE PAN - CAPEX'!$S35=2041,'BASE PAN - CAPEX'!$AD35,IF('BASE PAN - CAPEX'!$AE35=2041,'BASE PAN - CAPEX'!$AP35,IF('BASE PAN - CAPEX'!$AQ35=2041,'BASE PAN - CAPEX'!$BB35,0))))*1.5</f>
        <v>0</v>
      </c>
      <c r="AA35" s="1">
        <f>(IF('BASE PAN - CAPEX'!$S35=2042,'BASE PAN - CAPEX'!$AD35,IF('BASE PAN - CAPEX'!$AE35=2042,'BASE PAN - CAPEX'!$AP35,IF('BASE PAN - CAPEX'!$AQ35=2042,'BASE PAN - CAPEX'!$BB35,0))))*1.5</f>
        <v>0</v>
      </c>
      <c r="AB35" s="1">
        <f>(IF('BASE PAN - CAPEX'!$S35=2043,'BASE PAN - CAPEX'!$AD35,IF('BASE PAN - CAPEX'!$AE35=2043,'BASE PAN - CAPEX'!$AP35,IF('BASE PAN - CAPEX'!$AQ35=2043,'BASE PAN - CAPEX'!$BB35,0))))*1.5</f>
        <v>0</v>
      </c>
      <c r="AC35" s="1">
        <f>(IF('BASE PAN - CAPEX'!$S35=2044,'BASE PAN - CAPEX'!$AD35,IF('BASE PAN - CAPEX'!$AE35=2044,'BASE PAN - CAPEX'!$AP35,IF('BASE PAN - CAPEX'!$AQ35=2044,'BASE PAN - CAPEX'!$BB35,0))))*1.5</f>
        <v>0</v>
      </c>
      <c r="AD35" s="1">
        <f>(IF('BASE PAN - CAPEX'!$S35=2045,'BASE PAN - CAPEX'!$AD35,IF('BASE PAN - CAPEX'!$AE35=2045,'BASE PAN - CAPEX'!$AP35,IF('BASE PAN - CAPEX'!$AQ35=2045,'BASE PAN - CAPEX'!$BB35,0))))*1.5</f>
        <v>0</v>
      </c>
      <c r="AE35" s="1">
        <f>(IF('BASE PAN - CAPEX'!$S35=2046,'BASE PAN - CAPEX'!$AD35,IF('BASE PAN - CAPEX'!$AE35=2046,'BASE PAN - CAPEX'!$AP35,IF('BASE PAN - CAPEX'!$AQ35=2046,'BASE PAN - CAPEX'!$BB35,0))))*1.5</f>
        <v>0</v>
      </c>
      <c r="AF35" s="1">
        <f>(IF('BASE PAN - CAPEX'!$S35=2047,'BASE PAN - CAPEX'!$AD35,IF('BASE PAN - CAPEX'!$AE35=2047,'BASE PAN - CAPEX'!$AP35,IF('BASE PAN - CAPEX'!$AQ35=2047,'BASE PAN - CAPEX'!$BB35,0))))*1.5</f>
        <v>0</v>
      </c>
      <c r="AG35" s="1">
        <f>(IF('BASE PAN - CAPEX'!$S35=2048,'BASE PAN - CAPEX'!$AD35,IF('BASE PAN - CAPEX'!$AE35=2048,'BASE PAN - CAPEX'!$AP35,IF('BASE PAN - CAPEX'!$AQ35=2048,'BASE PAN - CAPEX'!$BB35,0))))*1.5</f>
        <v>0</v>
      </c>
      <c r="AH35" s="1">
        <f>(IF('BASE PAN - CAPEX'!$S35=2049,'BASE PAN - CAPEX'!$AD35,IF('BASE PAN - CAPEX'!$AE35=2049,'BASE PAN - CAPEX'!$AP35,IF('BASE PAN - CAPEX'!$AQ35=2049,'BASE PAN - CAPEX'!$BB35,0))))*1.5</f>
        <v>0</v>
      </c>
      <c r="AI35" s="1">
        <f>(IF('BASE PAN - CAPEX'!$S35=2050,'BASE PAN - CAPEX'!$AD35,IF('BASE PAN - CAPEX'!$AE35=2050,'BASE PAN - CAPEX'!$AP35,IF('BASE PAN - CAPEX'!$AQ35=2050,'BASE PAN - CAPEX'!$BB35,0))))*1.5</f>
        <v>0</v>
      </c>
      <c r="AJ35" s="1">
        <f>(IF('BASE PAN - CAPEX'!$S35=2051,'BASE PAN - CAPEX'!$AD35,IF('BASE PAN - CAPEX'!$AE35=2051,'BASE PAN - CAPEX'!$AP35,IF('BASE PAN - CAPEX'!$AQ35=2051,'BASE PAN - CAPEX'!$BB35,0))))*1.5</f>
        <v>0</v>
      </c>
      <c r="AK35" s="1">
        <f>(IF('BASE PAN - CAPEX'!$S35=2052,'BASE PAN - CAPEX'!$AD35,IF('BASE PAN - CAPEX'!$AE35=2052,'BASE PAN - CAPEX'!$AP35,IF('BASE PAN - CAPEX'!$AQ35=2052,'BASE PAN - CAPEX'!$BB35,0))))*1.5</f>
        <v>0</v>
      </c>
      <c r="AL35" s="1">
        <f>(IF('BASE PAN - CAPEX'!$S35=2053,'BASE PAN - CAPEX'!$AD35,IF('BASE PAN - CAPEX'!$AE35=2053,'BASE PAN - CAPEX'!$AP35,IF('BASE PAN - CAPEX'!$AQ35=2053,'BASE PAN - CAPEX'!$BB35,0))))*1.5</f>
        <v>0</v>
      </c>
      <c r="AM35" s="1">
        <f t="shared" si="0"/>
        <v>55920000</v>
      </c>
      <c r="AN35" t="str">
        <f>VLOOKUP(C35,'[6]CAPEX - BLOCOS PAN'!$C$3:$AN$249,38,FALSE)</f>
        <v>NE e CO</v>
      </c>
      <c r="AO35" s="3">
        <v>1</v>
      </c>
      <c r="AP35" s="3" t="s">
        <v>171</v>
      </c>
      <c r="AQ35" s="3" t="s">
        <v>171</v>
      </c>
      <c r="AR35" s="3">
        <v>2032</v>
      </c>
      <c r="AS35" s="3" t="s">
        <v>171</v>
      </c>
      <c r="AT35" s="3" t="s">
        <v>171</v>
      </c>
      <c r="AU35" s="3">
        <v>2</v>
      </c>
      <c r="AV35" t="str">
        <f>VLOOKUP(C35,'[6]CAPEX - BLOCOS PAN'!$C$3:$AV$249,46,FALSE)</f>
        <v>Privada</v>
      </c>
      <c r="AW35" t="str">
        <f>VLOOKUP(C35,'FLUXO DE CAIXA DESC.-BLOCOS PAN'!$D$3:$AO$52,38,FALSE)</f>
        <v>MT - 1 - AL</v>
      </c>
    </row>
    <row r="36" spans="1:49" x14ac:dyDescent="0.35">
      <c r="A36" t="s">
        <v>260</v>
      </c>
      <c r="B36" t="s">
        <v>261</v>
      </c>
      <c r="C36" t="s">
        <v>286</v>
      </c>
      <c r="D36" t="s">
        <v>261</v>
      </c>
      <c r="E36" t="s">
        <v>29</v>
      </c>
      <c r="F36" t="s">
        <v>33</v>
      </c>
      <c r="G36" t="s">
        <v>34</v>
      </c>
      <c r="H36" s="1">
        <f>(VLOOKUP(C36,'BASE PAN - CAPEX'!$C$3:$R$37,16,FALSE))*1.7</f>
        <v>59568000</v>
      </c>
      <c r="I36" s="1">
        <f>(IF('BASE PAN - CAPEX'!$S36=2024,'BASE PAN - CAPEX'!$AD36,IF('BASE PAN - CAPEX'!$AE36=2024,'BASE PAN - CAPEX'!$AP36,IF('BASE PAN - CAPEX'!$AQ36=2024,'BASE PAN - CAPEX'!$BB36,0))))*1.7</f>
        <v>0</v>
      </c>
      <c r="J36" s="1">
        <f>(IF('BASE PAN - CAPEX'!$S36=2025,'BASE PAN - CAPEX'!$AD36,IF('BASE PAN - CAPEX'!$AE36=2025,'BASE PAN - CAPEX'!$AP36,IF('BASE PAN - CAPEX'!$AQ36=2025,'BASE PAN - CAPEX'!$BB36,0))))*1.7</f>
        <v>95310500</v>
      </c>
      <c r="K36" s="1">
        <f>(IF('BASE PAN - CAPEX'!$S36=2026,'BASE PAN - CAPEX'!$AD36,IF('BASE PAN - CAPEX'!$AE36=2026,'BASE PAN - CAPEX'!$AP36,IF('BASE PAN - CAPEX'!$AQ36=2026,'BASE PAN - CAPEX'!$BB36,0))))*1.7</f>
        <v>0</v>
      </c>
      <c r="L36" s="1">
        <f>(IF('BASE PAN - CAPEX'!$S36=2027,'BASE PAN - CAPEX'!$AD36,IF('BASE PAN - CAPEX'!$AE36=2027,'BASE PAN - CAPEX'!$AP36,IF('BASE PAN - CAPEX'!$AQ36=2027,'BASE PAN - CAPEX'!$BB36,0))))*1.7</f>
        <v>0</v>
      </c>
      <c r="M36" s="1">
        <f>(IF('BASE PAN - CAPEX'!$S36=2028,'BASE PAN - CAPEX'!$AD36,IF('BASE PAN - CAPEX'!$AE36=2028,'BASE PAN - CAPEX'!$AP36,IF('BASE PAN - CAPEX'!$AQ36=2028,'BASE PAN - CAPEX'!$BB36,0))))*1.7</f>
        <v>0</v>
      </c>
      <c r="N36" s="1">
        <f>(IF('BASE PAN - CAPEX'!$S36=2029,'BASE PAN - CAPEX'!$AD36,IF('BASE PAN - CAPEX'!$AE36=2029,'BASE PAN - CAPEX'!$AP36,IF('BASE PAN - CAPEX'!$AQ36=2029,'BASE PAN - CAPEX'!$BB36,0))))*1.7</f>
        <v>0</v>
      </c>
      <c r="O36" s="1">
        <f>(IF('BASE PAN - CAPEX'!$S36=2030,'BASE PAN - CAPEX'!$AD36,IF('BASE PAN - CAPEX'!$AE36=2030,'BASE PAN - CAPEX'!$AP36,IF('BASE PAN - CAPEX'!$AQ36=2030,'BASE PAN - CAPEX'!$BB36,0))))*1.7</f>
        <v>0</v>
      </c>
      <c r="P36" s="1">
        <f>(IF('BASE PAN - CAPEX'!$S36=2031,'BASE PAN - CAPEX'!$AD36,IF('BASE PAN - CAPEX'!$AE36=2031,'BASE PAN - CAPEX'!$AP36,IF('BASE PAN - CAPEX'!$AQ36=2031,'BASE PAN - CAPEX'!$BB36,0))))*1.7</f>
        <v>0</v>
      </c>
      <c r="Q36" s="1">
        <f>(IF('BASE PAN - CAPEX'!$S36=2032,'BASE PAN - CAPEX'!$AD36,IF('BASE PAN - CAPEX'!$AE36=2032,'BASE PAN - CAPEX'!$AP36,IF('BASE PAN - CAPEX'!$AQ36=2032,'BASE PAN - CAPEX'!$BB36,0))))*1.7</f>
        <v>0</v>
      </c>
      <c r="R36" s="1">
        <f>(IF('BASE PAN - CAPEX'!$S36=2033,'BASE PAN - CAPEX'!$AD36,IF('BASE PAN - CAPEX'!$AE36=2033,'BASE PAN - CAPEX'!$AP36,IF('BASE PAN - CAPEX'!$AQ36=2033,'BASE PAN - CAPEX'!$BB36,0))))*1.7</f>
        <v>0</v>
      </c>
      <c r="S36" s="1">
        <f>(IF('BASE PAN - CAPEX'!$S36=2034,'BASE PAN - CAPEX'!$AD36,IF('BASE PAN - CAPEX'!$AE36=2034,'BASE PAN - CAPEX'!$AP36,IF('BASE PAN - CAPEX'!$AQ36=2034,'BASE PAN - CAPEX'!$BB36,0))))*1.7</f>
        <v>0</v>
      </c>
      <c r="T36" s="1">
        <f>(IF('BASE PAN - CAPEX'!$S36=2035,'BASE PAN - CAPEX'!$AD36,IF('BASE PAN - CAPEX'!$AE36=2035,'BASE PAN - CAPEX'!$AP36,IF('BASE PAN - CAPEX'!$AQ36=2035,'BASE PAN - CAPEX'!$BB36,0))))*1.7</f>
        <v>0</v>
      </c>
      <c r="U36" s="1">
        <f>(IF('BASE PAN - CAPEX'!$S36=2036,'BASE PAN - CAPEX'!$AD36,IF('BASE PAN - CAPEX'!$AE36=2036,'BASE PAN - CAPEX'!$AP36,IF('BASE PAN - CAPEX'!$AQ36=2036,'BASE PAN - CAPEX'!$BB36,0))))*1.7</f>
        <v>0</v>
      </c>
      <c r="V36" s="1">
        <f>(IF('BASE PAN - CAPEX'!$S36=2037,'BASE PAN - CAPEX'!$AD36,IF('BASE PAN - CAPEX'!$AE36=2037,'BASE PAN - CAPEX'!$AP36,IF('BASE PAN - CAPEX'!$AQ36=2037,'BASE PAN - CAPEX'!$BB36,0))))*1.7</f>
        <v>0</v>
      </c>
      <c r="W36" s="1">
        <f>(IF('BASE PAN - CAPEX'!$S36=2038,'BASE PAN - CAPEX'!$AD36,IF('BASE PAN - CAPEX'!$AE36=2038,'BASE PAN - CAPEX'!$AP36,IF('BASE PAN - CAPEX'!$AQ36=2038,'BASE PAN - CAPEX'!$BB36,0))))*1.7</f>
        <v>0</v>
      </c>
      <c r="X36" s="1">
        <f>(IF('BASE PAN - CAPEX'!$S36=2039,'BASE PAN - CAPEX'!$AD36,IF('BASE PAN - CAPEX'!$AE36=2039,'BASE PAN - CAPEX'!$AP36,IF('BASE PAN - CAPEX'!$AQ36=2039,'BASE PAN - CAPEX'!$BB36,0))))*1.7</f>
        <v>0</v>
      </c>
      <c r="Y36" s="1">
        <f>(IF('BASE PAN - CAPEX'!$S36=2040,'BASE PAN - CAPEX'!$AD36,IF('BASE PAN - CAPEX'!$AE36=2040,'BASE PAN - CAPEX'!$AP36,IF('BASE PAN - CAPEX'!$AQ36=2040,'BASE PAN - CAPEX'!$BB36,0))))*1.7</f>
        <v>0</v>
      </c>
      <c r="Z36" s="1">
        <f>(IF('BASE PAN - CAPEX'!$S36=2041,'BASE PAN - CAPEX'!$AD36,IF('BASE PAN - CAPEX'!$AE36=2041,'BASE PAN - CAPEX'!$AP36,IF('BASE PAN - CAPEX'!$AQ36=2041,'BASE PAN - CAPEX'!$BB36,0))))*1.7</f>
        <v>0</v>
      </c>
      <c r="AA36" s="1">
        <f>(IF('BASE PAN - CAPEX'!$S36=2042,'BASE PAN - CAPEX'!$AD36,IF('BASE PAN - CAPEX'!$AE36=2042,'BASE PAN - CAPEX'!$AP36,IF('BASE PAN - CAPEX'!$AQ36=2042,'BASE PAN - CAPEX'!$BB36,0))))*1.7</f>
        <v>0</v>
      </c>
      <c r="AB36" s="1">
        <f>(IF('BASE PAN - CAPEX'!$S36=2043,'BASE PAN - CAPEX'!$AD36,IF('BASE PAN - CAPEX'!$AE36=2043,'BASE PAN - CAPEX'!$AP36,IF('BASE PAN - CAPEX'!$AQ36=2043,'BASE PAN - CAPEX'!$BB36,0))))*1.7</f>
        <v>0</v>
      </c>
      <c r="AC36" s="1">
        <f>(IF('BASE PAN - CAPEX'!$S36=2044,'BASE PAN - CAPEX'!$AD36,IF('BASE PAN - CAPEX'!$AE36=2044,'BASE PAN - CAPEX'!$AP36,IF('BASE PAN - CAPEX'!$AQ36=2044,'BASE PAN - CAPEX'!$BB36,0))))*1.7</f>
        <v>0</v>
      </c>
      <c r="AD36" s="1">
        <f>(IF('BASE PAN - CAPEX'!$S36=2045,'BASE PAN - CAPEX'!$AD36,IF('BASE PAN - CAPEX'!$AE36=2045,'BASE PAN - CAPEX'!$AP36,IF('BASE PAN - CAPEX'!$AQ36=2045,'BASE PAN - CAPEX'!$BB36,0))))*1.7</f>
        <v>0</v>
      </c>
      <c r="AE36" s="1">
        <f>(IF('BASE PAN - CAPEX'!$S36=2046,'BASE PAN - CAPEX'!$AD36,IF('BASE PAN - CAPEX'!$AE36=2046,'BASE PAN - CAPEX'!$AP36,IF('BASE PAN - CAPEX'!$AQ36=2046,'BASE PAN - CAPEX'!$BB36,0))))*1.7</f>
        <v>0</v>
      </c>
      <c r="AF36" s="1">
        <f>(IF('BASE PAN - CAPEX'!$S36=2047,'BASE PAN - CAPEX'!$AD36,IF('BASE PAN - CAPEX'!$AE36=2047,'BASE PAN - CAPEX'!$AP36,IF('BASE PAN - CAPEX'!$AQ36=2047,'BASE PAN - CAPEX'!$BB36,0))))*1.7</f>
        <v>0</v>
      </c>
      <c r="AG36" s="1">
        <f>(IF('BASE PAN - CAPEX'!$S36=2048,'BASE PAN - CAPEX'!$AD36,IF('BASE PAN - CAPEX'!$AE36=2048,'BASE PAN - CAPEX'!$AP36,IF('BASE PAN - CAPEX'!$AQ36=2048,'BASE PAN - CAPEX'!$BB36,0))))*1.7</f>
        <v>0</v>
      </c>
      <c r="AH36" s="1">
        <f>(IF('BASE PAN - CAPEX'!$S36=2049,'BASE PAN - CAPEX'!$AD36,IF('BASE PAN - CAPEX'!$AE36=2049,'BASE PAN - CAPEX'!$AP36,IF('BASE PAN - CAPEX'!$AQ36=2049,'BASE PAN - CAPEX'!$BB36,0))))*1.7</f>
        <v>0</v>
      </c>
      <c r="AI36" s="1">
        <f>(IF('BASE PAN - CAPEX'!$S36=2050,'BASE PAN - CAPEX'!$AD36,IF('BASE PAN - CAPEX'!$AE36=2050,'BASE PAN - CAPEX'!$AP36,IF('BASE PAN - CAPEX'!$AQ36=2050,'BASE PAN - CAPEX'!$BB36,0))))*1.7</f>
        <v>0</v>
      </c>
      <c r="AJ36" s="1">
        <f>(IF('BASE PAN - CAPEX'!$S36=2051,'BASE PAN - CAPEX'!$AD36,IF('BASE PAN - CAPEX'!$AE36=2051,'BASE PAN - CAPEX'!$AP36,IF('BASE PAN - CAPEX'!$AQ36=2051,'BASE PAN - CAPEX'!$BB36,0))))*1.7</f>
        <v>0</v>
      </c>
      <c r="AK36" s="1">
        <f>(IF('BASE PAN - CAPEX'!$S36=2052,'BASE PAN - CAPEX'!$AD36,IF('BASE PAN - CAPEX'!$AE36=2052,'BASE PAN - CAPEX'!$AP36,IF('BASE PAN - CAPEX'!$AQ36=2052,'BASE PAN - CAPEX'!$BB36,0))))*1.7</f>
        <v>0</v>
      </c>
      <c r="AL36" s="1">
        <f>(IF('BASE PAN - CAPEX'!$S36=2053,'BASE PAN - CAPEX'!$AD36,IF('BASE PAN - CAPEX'!$AE36=2053,'BASE PAN - CAPEX'!$AP36,IF('BASE PAN - CAPEX'!$AQ36=2053,'BASE PAN - CAPEX'!$BB36,0))))*1.7</f>
        <v>0</v>
      </c>
      <c r="AM36" s="1">
        <f t="shared" si="0"/>
        <v>154878500</v>
      </c>
      <c r="AN36" t="str">
        <f>VLOOKUP(C36,'[6]CAPEX - BLOCOS PAN'!$C$3:$AN$249,38,FALSE)</f>
        <v>N</v>
      </c>
      <c r="AO36" s="3">
        <v>2</v>
      </c>
      <c r="AP36" s="3" t="s">
        <v>171</v>
      </c>
      <c r="AQ36" s="3" t="s">
        <v>171</v>
      </c>
      <c r="AR36" s="3">
        <v>2025</v>
      </c>
      <c r="AS36" s="3" t="s">
        <v>171</v>
      </c>
      <c r="AT36" s="3" t="s">
        <v>171</v>
      </c>
      <c r="AU36" s="3">
        <v>3</v>
      </c>
      <c r="AV36" t="str">
        <f>VLOOKUP(C36,'[6]CAPEX - BLOCOS PAN'!$C$3:$AV$249,46,FALSE)</f>
        <v>Privada</v>
      </c>
      <c r="AW36" t="str">
        <f>VLOOKUP(C36,'FLUXO DE CAIXA DESC.-BLOCOS PAN'!$D$3:$AO$52,38,FALSE)</f>
        <v>PA 3 - AL</v>
      </c>
    </row>
    <row r="37" spans="1:49" x14ac:dyDescent="0.35">
      <c r="A37" t="s">
        <v>262</v>
      </c>
      <c r="B37" t="s">
        <v>263</v>
      </c>
      <c r="C37" t="s">
        <v>287</v>
      </c>
      <c r="D37" t="s">
        <v>263</v>
      </c>
      <c r="E37" t="s">
        <v>31</v>
      </c>
      <c r="F37" t="s">
        <v>33</v>
      </c>
      <c r="G37" t="s">
        <v>34</v>
      </c>
      <c r="H37" s="1">
        <f>(VLOOKUP(C37,'BASE PAN - CAPEX'!$C$3:$R$37,16,FALSE)+'BASE PAN - CAPEX'!BC37)*1.5</f>
        <v>80835000</v>
      </c>
      <c r="I37" s="1">
        <f>(IF('BASE PAN - CAPEX'!$S37=2024,'BASE PAN - CAPEX'!$AD37,IF('BASE PAN - CAPEX'!$AE37=2024,'BASE PAN - CAPEX'!$AP37,IF('BASE PAN - CAPEX'!$AQ37=2024,'BASE PAN - CAPEX'!$BB37,0))))*1.5</f>
        <v>0</v>
      </c>
      <c r="J37" s="1">
        <f>(IF('BASE PAN - CAPEX'!$S37=2025,'BASE PAN - CAPEX'!$AD37,IF('BASE PAN - CAPEX'!$AE37=2025,'BASE PAN - CAPEX'!$AP37,IF('BASE PAN - CAPEX'!$AQ37=2025,'BASE PAN - CAPEX'!$BB37,0))))*1.5</f>
        <v>0</v>
      </c>
      <c r="K37" s="1">
        <f>(IF('BASE PAN - CAPEX'!$S37=2026,'BASE PAN - CAPEX'!$AD37,IF('BASE PAN - CAPEX'!$AE37=2026,'BASE PAN - CAPEX'!$AP37,IF('BASE PAN - CAPEX'!$AQ37=2026,'BASE PAN - CAPEX'!$BB37,0))))*1.5</f>
        <v>0</v>
      </c>
      <c r="L37" s="1">
        <f>(IF('BASE PAN - CAPEX'!$S37=2027,'BASE PAN - CAPEX'!$AD37,IF('BASE PAN - CAPEX'!$AE37=2027,'BASE PAN - CAPEX'!$AP37,IF('BASE PAN - CAPEX'!$AQ37=2027,'BASE PAN - CAPEX'!$BB37,0))))*1.5</f>
        <v>0</v>
      </c>
      <c r="M37" s="1">
        <f>(IF('BASE PAN - CAPEX'!$S37=2028,'BASE PAN - CAPEX'!$AD37,IF('BASE PAN - CAPEX'!$AE37=2028,'BASE PAN - CAPEX'!$AP37,IF('BASE PAN - CAPEX'!$AQ37=2028,'BASE PAN - CAPEX'!$BB37,0))))*1.5</f>
        <v>0</v>
      </c>
      <c r="N37" s="1">
        <f>(IF('BASE PAN - CAPEX'!$S37=2029,'BASE PAN - CAPEX'!$AD37,IF('BASE PAN - CAPEX'!$AE37=2029,'BASE PAN - CAPEX'!$AP37,IF('BASE PAN - CAPEX'!$AQ37=2029,'BASE PAN - CAPEX'!$BB37,0))))*1.5</f>
        <v>0</v>
      </c>
      <c r="O37" s="1">
        <f>(IF('BASE PAN - CAPEX'!$S37=2030,'BASE PAN - CAPEX'!$AD37,IF('BASE PAN - CAPEX'!$AE37=2030,'BASE PAN - CAPEX'!$AP37,IF('BASE PAN - CAPEX'!$AQ37=2030,'BASE PAN - CAPEX'!$BB37,0))))*1.5</f>
        <v>0</v>
      </c>
      <c r="P37" s="1">
        <f>(IF('BASE PAN - CAPEX'!$S37=2031,'BASE PAN - CAPEX'!$AD37,IF('BASE PAN - CAPEX'!$AE37=2031,'BASE PAN - CAPEX'!$AP37,IF('BASE PAN - CAPEX'!$AQ37=2031,'BASE PAN - CAPEX'!$BB37,0))))*1.5</f>
        <v>0</v>
      </c>
      <c r="Q37" s="1">
        <f>(IF('BASE PAN - CAPEX'!$S37=2032,'BASE PAN - CAPEX'!$AD37,IF('BASE PAN - CAPEX'!$AE37=2032,'BASE PAN - CAPEX'!$AP37,IF('BASE PAN - CAPEX'!$AQ37=2032,'BASE PAN - CAPEX'!$BB37,0))))*1.5</f>
        <v>0</v>
      </c>
      <c r="R37" s="1">
        <f>(IF('BASE PAN - CAPEX'!$S37=2033,'BASE PAN - CAPEX'!$AD37,IF('BASE PAN - CAPEX'!$AE37=2033,'BASE PAN - CAPEX'!$AP37,IF('BASE PAN - CAPEX'!$AQ37=2033,'BASE PAN - CAPEX'!$BB37,0))))*1.5</f>
        <v>0</v>
      </c>
      <c r="S37" s="1">
        <f>(IF('BASE PAN - CAPEX'!$S37=2034,'BASE PAN - CAPEX'!$AD37,IF('BASE PAN - CAPEX'!$AE37=2034,'BASE PAN - CAPEX'!$AP37,IF('BASE PAN - CAPEX'!$AQ37=2034,'BASE PAN - CAPEX'!$BB37,0))))*1.5</f>
        <v>0</v>
      </c>
      <c r="T37" s="1">
        <f>(IF('BASE PAN - CAPEX'!$S37=2035,'BASE PAN - CAPEX'!$AD37,IF('BASE PAN - CAPEX'!$AE37=2035,'BASE PAN - CAPEX'!$AP37,IF('BASE PAN - CAPEX'!$AQ37=2035,'BASE PAN - CAPEX'!$BB37,0))))*1.5</f>
        <v>0</v>
      </c>
      <c r="U37" s="1">
        <f>(IF('BASE PAN - CAPEX'!$S37=2036,'BASE PAN - CAPEX'!$AD37,IF('BASE PAN - CAPEX'!$AE37=2036,'BASE PAN - CAPEX'!$AP37,IF('BASE PAN - CAPEX'!$AQ37=2036,'BASE PAN - CAPEX'!$BB37,0))))*1.5</f>
        <v>0</v>
      </c>
      <c r="V37" s="1">
        <f>(IF('BASE PAN - CAPEX'!$S37=2037,'BASE PAN - CAPEX'!$AD37,IF('BASE PAN - CAPEX'!$AE37=2037,'BASE PAN - CAPEX'!$AP37,IF('BASE PAN - CAPEX'!$AQ37=2037,'BASE PAN - CAPEX'!$BB37,0))))*1.5</f>
        <v>0</v>
      </c>
      <c r="W37" s="1">
        <f>(IF('BASE PAN - CAPEX'!$S37=2038,'BASE PAN - CAPEX'!$AD37,IF('BASE PAN - CAPEX'!$AE37=2038,'BASE PAN - CAPEX'!$AP37,IF('BASE PAN - CAPEX'!$AQ37=2038,'BASE PAN - CAPEX'!$BB37,0))))*1.5</f>
        <v>0</v>
      </c>
      <c r="X37" s="1">
        <f>(IF('BASE PAN - CAPEX'!$S37=2039,'BASE PAN - CAPEX'!$AD37,IF('BASE PAN - CAPEX'!$AE37=2039,'BASE PAN - CAPEX'!$AP37,IF('BASE PAN - CAPEX'!$AQ37=2039,'BASE PAN - CAPEX'!$BB37,0))))*1.5</f>
        <v>0</v>
      </c>
      <c r="Y37" s="1">
        <f>(IF('BASE PAN - CAPEX'!$S37=2040,'BASE PAN - CAPEX'!$AD37,IF('BASE PAN - CAPEX'!$AE37=2040,'BASE PAN - CAPEX'!$AP37,IF('BASE PAN - CAPEX'!$AQ37=2040,'BASE PAN - CAPEX'!$BB37,0))))*1.5</f>
        <v>0</v>
      </c>
      <c r="Z37" s="1">
        <f>(IF('BASE PAN - CAPEX'!$S37=2041,'BASE PAN - CAPEX'!$AD37,IF('BASE PAN - CAPEX'!$AE37=2041,'BASE PAN - CAPEX'!$AP37,IF('BASE PAN - CAPEX'!$AQ37=2041,'BASE PAN - CAPEX'!$BB37,0))))*1.5</f>
        <v>0</v>
      </c>
      <c r="AA37" s="1">
        <f>(IF('BASE PAN - CAPEX'!$S37=2042,'BASE PAN - CAPEX'!$AD37,IF('BASE PAN - CAPEX'!$AE37=2042,'BASE PAN - CAPEX'!$AP37,IF('BASE PAN - CAPEX'!$AQ37=2042,'BASE PAN - CAPEX'!$BB37,0))))*1.5</f>
        <v>0</v>
      </c>
      <c r="AB37" s="1">
        <f>(IF('BASE PAN - CAPEX'!$S37=2043,'BASE PAN - CAPEX'!$AD37,IF('BASE PAN - CAPEX'!$AE37=2043,'BASE PAN - CAPEX'!$AP37,IF('BASE PAN - CAPEX'!$AQ37=2043,'BASE PAN - CAPEX'!$BB37,0))))*1.5</f>
        <v>0</v>
      </c>
      <c r="AC37" s="1">
        <f>(IF('BASE PAN - CAPEX'!$S37=2044,'BASE PAN - CAPEX'!$AD37,IF('BASE PAN - CAPEX'!$AE37=2044,'BASE PAN - CAPEX'!$AP37,IF('BASE PAN - CAPEX'!$AQ37=2044,'BASE PAN - CAPEX'!$BB37,0))))*1.5</f>
        <v>0</v>
      </c>
      <c r="AD37" s="1">
        <f>(IF('BASE PAN - CAPEX'!$S37=2045,'BASE PAN - CAPEX'!$AD37,IF('BASE PAN - CAPEX'!$AE37=2045,'BASE PAN - CAPEX'!$AP37,IF('BASE PAN - CAPEX'!$AQ37=2045,'BASE PAN - CAPEX'!$BB37,0))))*1.5</f>
        <v>0</v>
      </c>
      <c r="AE37" s="1">
        <f>(IF('BASE PAN - CAPEX'!$S37=2046,'BASE PAN - CAPEX'!$AD37,IF('BASE PAN - CAPEX'!$AE37=2046,'BASE PAN - CAPEX'!$AP37,IF('BASE PAN - CAPEX'!$AQ37=2046,'BASE PAN - CAPEX'!$BB37,0))))*1.5</f>
        <v>0</v>
      </c>
      <c r="AF37" s="1">
        <f>(IF('BASE PAN - CAPEX'!$S37=2047,'BASE PAN - CAPEX'!$AD37,IF('BASE PAN - CAPEX'!$AE37=2047,'BASE PAN - CAPEX'!$AP37,IF('BASE PAN - CAPEX'!$AQ37=2047,'BASE PAN - CAPEX'!$BB37,0))))*1.5</f>
        <v>0</v>
      </c>
      <c r="AG37" s="1">
        <f>(IF('BASE PAN - CAPEX'!$S37=2048,'BASE PAN - CAPEX'!$AD37,IF('BASE PAN - CAPEX'!$AE37=2048,'BASE PAN - CAPEX'!$AP37,IF('BASE PAN - CAPEX'!$AQ37=2048,'BASE PAN - CAPEX'!$BB37,0))))*1.5</f>
        <v>0</v>
      </c>
      <c r="AH37" s="1">
        <f>(IF('BASE PAN - CAPEX'!$S37=2049,'BASE PAN - CAPEX'!$AD37,IF('BASE PAN - CAPEX'!$AE37=2049,'BASE PAN - CAPEX'!$AP37,IF('BASE PAN - CAPEX'!$AQ37=2049,'BASE PAN - CAPEX'!$BB37,0))))*1.5</f>
        <v>0</v>
      </c>
      <c r="AI37" s="1">
        <f>(IF('BASE PAN - CAPEX'!$S37=2050,'BASE PAN - CAPEX'!$AD37,IF('BASE PAN - CAPEX'!$AE37=2050,'BASE PAN - CAPEX'!$AP37,IF('BASE PAN - CAPEX'!$AQ37=2050,'BASE PAN - CAPEX'!$BB37,0))))*1.5</f>
        <v>0</v>
      </c>
      <c r="AJ37" s="1">
        <f>(IF('BASE PAN - CAPEX'!$S37=2051,'BASE PAN - CAPEX'!$AD37,IF('BASE PAN - CAPEX'!$AE37=2051,'BASE PAN - CAPEX'!$AP37,IF('BASE PAN - CAPEX'!$AQ37=2051,'BASE PAN - CAPEX'!$BB37,0))))*1.5</f>
        <v>0</v>
      </c>
      <c r="AK37" s="1">
        <f>(IF('BASE PAN - CAPEX'!$S37=2052,'BASE PAN - CAPEX'!$AD37,IF('BASE PAN - CAPEX'!$AE37=2052,'BASE PAN - CAPEX'!$AP37,IF('BASE PAN - CAPEX'!$AQ37=2052,'BASE PAN - CAPEX'!$BB37,0))))*1.5</f>
        <v>0</v>
      </c>
      <c r="AL37" s="1">
        <f>(IF('BASE PAN - CAPEX'!$S37=2053,'BASE PAN - CAPEX'!$AD37,IF('BASE PAN - CAPEX'!$AE37=2053,'BASE PAN - CAPEX'!$AP37,IF('BASE PAN - CAPEX'!$AQ37=2053,'BASE PAN - CAPEX'!$BB37,0))))*1.5</f>
        <v>0</v>
      </c>
      <c r="AM37" s="1">
        <f t="shared" si="0"/>
        <v>80835000</v>
      </c>
      <c r="AN37" t="str">
        <f>VLOOKUP(C37,'[6]CAPEX - BLOCOS PAN'!$C$3:$AN$249,38,FALSE)</f>
        <v>NE e CO</v>
      </c>
      <c r="AO37" s="3">
        <v>3</v>
      </c>
      <c r="AP37" s="3" t="s">
        <v>171</v>
      </c>
      <c r="AQ37" s="3" t="s">
        <v>171</v>
      </c>
      <c r="AR37" s="3" t="s">
        <v>171</v>
      </c>
      <c r="AS37" s="3" t="s">
        <v>171</v>
      </c>
      <c r="AT37" s="3" t="s">
        <v>171</v>
      </c>
      <c r="AU37" s="3" t="s">
        <v>171</v>
      </c>
      <c r="AV37" t="str">
        <f>VLOOKUP(C37,'[6]CAPEX - BLOCOS PAN'!$C$3:$AV$249,46,FALSE)</f>
        <v>Privada</v>
      </c>
      <c r="AW37" t="str">
        <f>VLOOKUP(C37,'FLUXO DE CAIXA DESC.-BLOCOS PAN'!$D$3:$AO$52,38,FALSE)</f>
        <v>Bloco Nordeste</v>
      </c>
    </row>
    <row r="38" spans="1:49" x14ac:dyDescent="0.35">
      <c r="A38" t="s">
        <v>53</v>
      </c>
      <c r="B38" t="str">
        <f>VLOOKUP(A38,'FLUXO DE CAIXA DESC.-BLOCOS PAN'!$A$38:$B$52,2,FALSE)</f>
        <v>JACAREACANGA</v>
      </c>
      <c r="C38" t="s">
        <v>289</v>
      </c>
      <c r="D38" t="str">
        <f>VLOOKUP(A38,'CAPEX Manut. Estr_Naveg. Aérea'!$A$2:$B$38,2,FALSE)</f>
        <v>Jacareacanga</v>
      </c>
      <c r="E38" t="s">
        <v>29</v>
      </c>
      <c r="F38" t="s">
        <v>33</v>
      </c>
      <c r="G38" t="s">
        <v>34</v>
      </c>
      <c r="H38" s="7">
        <f>(VLOOKUP(A38,'CAPEX Manut. Estr_PPD e Taxiway'!$A$4:$C$18,3,FALSE)+VLOOKUP(A38,'CAPEX Manut. Estr_PPD e Taxiway'!$A$4:$M$18,13,FALSE)+VLOOKUP(A38,'CAPEX Manut. Estratégicos_Pátio'!$A$6:$C$20,3,FALSE)+VLOOKUP(A38,'CAPEX Manut. Estratégicos_Pátio'!$A$6:$M$20,13,FALSE)+VLOOKUP(A38,'CAPEX Manut. Estr_Cerca Operac.'!$A$2:$F$16,6,FALSE))*1.7</f>
        <v>20156036.793516729</v>
      </c>
      <c r="I38" s="7">
        <f>(VLOOKUP(A38,'CAPEX Manut. Estr_Naveg. Aérea'!$A$2:$AB$16,28,FALSE))*1.7</f>
        <v>1088672.7094637682</v>
      </c>
      <c r="J38" s="7">
        <v>0</v>
      </c>
      <c r="K38" s="7">
        <v>0</v>
      </c>
      <c r="L38" s="7">
        <f>(VLOOKUP(A38,'CAPEX Manut. Estr_PPD e Taxiway'!$A$4:$D$18,4,FALSE)+VLOOKUP(A38,'CAPEX Manut. Estratégicos_Pátio'!$A$6:$D$20,4,FALSE))*1.7</f>
        <v>96774.114999999991</v>
      </c>
      <c r="M38" s="7">
        <v>0</v>
      </c>
      <c r="N38" s="7">
        <v>0</v>
      </c>
      <c r="O38" s="7">
        <f>(VLOOKUP(A38,'CAPEX Manut. Estr_PPD e Taxiway'!$A$4:$E$18,5,FALSE)+VLOOKUP(A38,'CAPEX Manut. Estratégicos_Pátio'!$A$6:$E$20,5,FALSE))*1.7</f>
        <v>96774.114999999991</v>
      </c>
      <c r="P38" s="7">
        <v>0</v>
      </c>
      <c r="Q38" s="7">
        <f>(VLOOKUP($A38,'CAPEX Manut. Estr_PPD e Taxiway'!$A$4:$F$18,6,FALSE)+VLOOKUP(A38,'CAPEX Manut. Estratégicos_Pátio'!$A$6:$F$20,6,FALSE))*1.7</f>
        <v>12740754.533</v>
      </c>
      <c r="R38" s="7">
        <v>0</v>
      </c>
      <c r="S38" s="7">
        <v>0</v>
      </c>
      <c r="T38" s="7">
        <v>0</v>
      </c>
      <c r="U38" s="7">
        <v>0</v>
      </c>
      <c r="V38" s="7">
        <f>(VLOOKUP($A38,'CAPEX Manut. Estr_PPD e Taxiway'!$A$4:$G$18,7,FALSE)+VLOOKUP($A38,'CAPEX Manut. Estratégicos_Pátio'!$A$6:$G$20,7,FALSE))*1.7</f>
        <v>96774.114999999991</v>
      </c>
      <c r="W38" s="7">
        <v>0</v>
      </c>
      <c r="X38" s="7">
        <v>0</v>
      </c>
      <c r="Y38" s="7">
        <f>(VLOOKUP($A38,'CAPEX Manut. Estr_PPD e Taxiway'!$A$4:$H$18,8,FALSE)+VLOOKUP($A38,'CAPEX Manut. Estratégicos_Pátio'!$A$6:$H$20,8,FALSE))*1.7</f>
        <v>96774.114999999991</v>
      </c>
      <c r="Z38" s="7">
        <v>0</v>
      </c>
      <c r="AA38" s="7">
        <f>(VLOOKUP($A38,'CAPEX Manut. Estr_PPD e Taxiway'!$A$4:$I$18,9,FALSE)+VLOOKUP($A38,'CAPEX Manut. Estratégicos_Pátio'!$A$6:$I$20,9,FALSE))*1.7</f>
        <v>12740754.533</v>
      </c>
      <c r="AB38" s="7">
        <v>0</v>
      </c>
      <c r="AC38" s="7">
        <v>0</v>
      </c>
      <c r="AD38" s="7">
        <v>0</v>
      </c>
      <c r="AE38" s="7">
        <v>0</v>
      </c>
      <c r="AF38" s="7">
        <f>(VLOOKUP($A38,'CAPEX Manut. Estr_PPD e Taxiway'!$A$4:$J$18,10,FALSE)+VLOOKUP($A38,'CAPEX Manut. Estratégicos_Pátio'!$A$6:$J$20,10,FALSE))*1.7</f>
        <v>96774.114999999991</v>
      </c>
      <c r="AG38" s="7">
        <v>0</v>
      </c>
      <c r="AH38" s="7">
        <v>0</v>
      </c>
      <c r="AI38" s="7">
        <f>(VLOOKUP($A38,'CAPEX Manut. Estr_PPD e Taxiway'!$A$4:$K$18,11,FALSE)+VLOOKUP($A38,'CAPEX Manut. Estratégicos_Pátio'!$A$6:$K$20,11,FALSE))*1.7</f>
        <v>96774.114999999991</v>
      </c>
      <c r="AJ38" s="7">
        <v>0</v>
      </c>
      <c r="AK38" s="7">
        <v>0</v>
      </c>
      <c r="AL38" s="7">
        <v>0</v>
      </c>
      <c r="AM38" s="1">
        <f t="shared" si="0"/>
        <v>47306863.258980505</v>
      </c>
      <c r="AN38" t="str">
        <f>VLOOKUP(C38,'[6]CAPEX - BLOCOS PAN'!$C$3:$AN$249,38,FALSE)</f>
        <v>N</v>
      </c>
      <c r="AO38" s="3" t="s">
        <v>171</v>
      </c>
      <c r="AP38" s="3" t="s">
        <v>171</v>
      </c>
      <c r="AQ38" s="3" t="s">
        <v>171</v>
      </c>
      <c r="AR38" s="3" t="s">
        <v>171</v>
      </c>
      <c r="AS38" s="3" t="s">
        <v>171</v>
      </c>
      <c r="AT38" s="3" t="s">
        <v>171</v>
      </c>
      <c r="AU38" s="3" t="s">
        <v>171</v>
      </c>
      <c r="AV38" t="str">
        <f>VLOOKUP(C38,'[6]CAPEX - BLOCOS PAN'!$C$3:$AV$249,46,FALSE)</f>
        <v>Privada</v>
      </c>
      <c r="AW38" t="str">
        <f>VLOOKUP(C38,'FLUXO DE CAIXA DESC.-BLOCOS PAN'!$D$3:$AO$52,38,FALSE)</f>
        <v>PA - 1 - AL</v>
      </c>
    </row>
    <row r="39" spans="1:49" x14ac:dyDescent="0.35">
      <c r="A39" t="s">
        <v>86</v>
      </c>
      <c r="B39" t="str">
        <f>VLOOKUP(A39,'FLUXO DE CAIXA DESC.-BLOCOS PAN'!$A$38:$B$52,2,FALSE)</f>
        <v>SENADORA EUNICE MICHILES</v>
      </c>
      <c r="C39" t="s">
        <v>290</v>
      </c>
      <c r="D39" t="str">
        <f>VLOOKUP(A39,'CAPEX Manut. Estr_Naveg. Aérea'!$A$2:$B$38,2,FALSE)</f>
        <v>São Paulo de Olivença</v>
      </c>
      <c r="E39" t="s">
        <v>35</v>
      </c>
      <c r="F39" t="s">
        <v>33</v>
      </c>
      <c r="G39" t="s">
        <v>34</v>
      </c>
      <c r="H39" s="7">
        <f>(VLOOKUP(A39,'CAPEX Manut. Estr_PPD e Taxiway'!$A$4:$C$18,3,FALSE)+VLOOKUP(A39,'CAPEX Manut. Estr_PPD e Taxiway'!$A$4:$M$18,13,FALSE)+VLOOKUP(A39,'CAPEX Manut. Estratégicos_Pátio'!$A$6:$C$20,3,FALSE)+VLOOKUP(A39,'CAPEX Manut. Estratégicos_Pátio'!$A$6:$M$20,13,FALSE)+VLOOKUP(A39,'CAPEX Manut. Estr_Cerca Operac.'!$A$2:$F$16,6,FALSE))*1.7</f>
        <v>8025543.9569999995</v>
      </c>
      <c r="I39" s="7">
        <f>(VLOOKUP(A39,'CAPEX Manut. Estr_Naveg. Aérea'!$A$2:$AB$16,28,FALSE))*1.7</f>
        <v>5983436.6734637683</v>
      </c>
      <c r="J39" s="7">
        <v>0</v>
      </c>
      <c r="K39" s="7">
        <v>0</v>
      </c>
      <c r="L39" s="7">
        <f>(VLOOKUP(A39,'CAPEX Manut. Estr_PPD e Taxiway'!$A$4:$D$18,4,FALSE)+VLOOKUP(A39,'CAPEX Manut. Estratégicos_Pátio'!$A$6:$D$20,4,FALSE))*1.7</f>
        <v>24020.643</v>
      </c>
      <c r="M39" s="7">
        <v>0</v>
      </c>
      <c r="N39" s="7">
        <v>0</v>
      </c>
      <c r="O39" s="7">
        <f>(VLOOKUP(A39,'CAPEX Manut. Estr_PPD e Taxiway'!$A$4:$E$18,5,FALSE)+VLOOKUP(A39,'CAPEX Manut. Estratégicos_Pátio'!$A$6:$E$20,5,FALSE))*1.7</f>
        <v>24020.643</v>
      </c>
      <c r="P39" s="7">
        <v>0</v>
      </c>
      <c r="Q39" s="7">
        <f>(VLOOKUP($A39,'CAPEX Manut. Estr_PPD e Taxiway'!$A$4:$F$18,6,FALSE)+VLOOKUP(A39,'CAPEX Manut. Estratégicos_Pátio'!$A$6:$F$20,6,FALSE))*1.7</f>
        <v>5912613.9569999995</v>
      </c>
      <c r="R39" s="7">
        <v>0</v>
      </c>
      <c r="S39" s="7">
        <v>0</v>
      </c>
      <c r="T39" s="7">
        <v>0</v>
      </c>
      <c r="U39" s="7">
        <v>0</v>
      </c>
      <c r="V39" s="7">
        <f>(VLOOKUP($A39,'CAPEX Manut. Estr_PPD e Taxiway'!$A$4:$G$18,7,FALSE)+VLOOKUP($A39,'CAPEX Manut. Estratégicos_Pátio'!$A$6:$G$20,7,FALSE))*1.7</f>
        <v>24020.643</v>
      </c>
      <c r="W39" s="7">
        <v>0</v>
      </c>
      <c r="X39" s="7">
        <v>0</v>
      </c>
      <c r="Y39" s="7">
        <f>(VLOOKUP($A39,'CAPEX Manut. Estr_PPD e Taxiway'!$A$4:$H$18,8,FALSE)+VLOOKUP($A39,'CAPEX Manut. Estratégicos_Pátio'!$A$6:$H$20,8,FALSE))*1.7</f>
        <v>24020.643</v>
      </c>
      <c r="Z39" s="7">
        <v>0</v>
      </c>
      <c r="AA39" s="7">
        <f>(VLOOKUP($A39,'CAPEX Manut. Estr_PPD e Taxiway'!$A$4:$I$18,9,FALSE)+VLOOKUP($A39,'CAPEX Manut. Estratégicos_Pátio'!$A$6:$I$20,9,FALSE))*1.7</f>
        <v>5912613.9569999995</v>
      </c>
      <c r="AB39" s="7">
        <v>0</v>
      </c>
      <c r="AC39" s="7">
        <v>0</v>
      </c>
      <c r="AD39" s="7">
        <v>0</v>
      </c>
      <c r="AE39" s="7">
        <v>0</v>
      </c>
      <c r="AF39" s="7">
        <f>(VLOOKUP($A39,'CAPEX Manut. Estr_PPD e Taxiway'!$A$4:$J$18,10,FALSE)+VLOOKUP($A39,'CAPEX Manut. Estratégicos_Pátio'!$A$6:$J$20,10,FALSE))*1.7</f>
        <v>24020.643</v>
      </c>
      <c r="AG39" s="7">
        <v>0</v>
      </c>
      <c r="AH39" s="7">
        <v>0</v>
      </c>
      <c r="AI39" s="7">
        <f>(VLOOKUP($A39,'CAPEX Manut. Estr_PPD e Taxiway'!$A$4:$K$18,11,FALSE)+VLOOKUP($A39,'CAPEX Manut. Estratégicos_Pátio'!$A$6:$K$20,11,FALSE))*1.7</f>
        <v>19734.313999999998</v>
      </c>
      <c r="AJ39" s="7">
        <v>0</v>
      </c>
      <c r="AK39" s="7">
        <v>0</v>
      </c>
      <c r="AL39" s="7">
        <v>0</v>
      </c>
      <c r="AM39" s="1">
        <f t="shared" si="0"/>
        <v>25974046.07346376</v>
      </c>
      <c r="AN39" t="str">
        <f>VLOOKUP(C39,'[6]CAPEX - BLOCOS PAN'!$C$3:$AN$249,38,FALSE)</f>
        <v>N</v>
      </c>
      <c r="AO39" s="3" t="s">
        <v>171</v>
      </c>
      <c r="AP39" s="3" t="s">
        <v>171</v>
      </c>
      <c r="AQ39" s="3" t="s">
        <v>171</v>
      </c>
      <c r="AR39" s="3" t="s">
        <v>171</v>
      </c>
      <c r="AS39" s="3" t="s">
        <v>171</v>
      </c>
      <c r="AT39" s="3" t="s">
        <v>171</v>
      </c>
      <c r="AU39" s="3" t="s">
        <v>171</v>
      </c>
      <c r="AV39" t="str">
        <f>VLOOKUP(C39,'[6]CAPEX - BLOCOS PAN'!$C$3:$AV$249,46,FALSE)</f>
        <v>Privada</v>
      </c>
      <c r="AW39" t="str">
        <f>VLOOKUP(C39,'FLUXO DE CAIXA DESC.-BLOCOS PAN'!$D$3:$AO$52,38,FALSE)</f>
        <v>AC + AM - 1 - AL</v>
      </c>
    </row>
    <row r="40" spans="1:49" x14ac:dyDescent="0.35">
      <c r="A40" t="s">
        <v>161</v>
      </c>
      <c r="B40" t="str">
        <f>VLOOKUP(A40,'FLUXO DE CAIXA DESC.-BLOCOS PAN'!$A$38:$B$52,2,FALSE)</f>
        <v>PORTO ALEGRE DO NORTE</v>
      </c>
      <c r="C40" t="s">
        <v>301</v>
      </c>
      <c r="D40" t="str">
        <f>VLOOKUP(A40,'CAPEX Manut. Estr_Naveg. Aérea'!$A$2:$B$38,2,FALSE)</f>
        <v>Porto Alegre do Norte</v>
      </c>
      <c r="E40" t="s">
        <v>37</v>
      </c>
      <c r="F40" t="s">
        <v>33</v>
      </c>
      <c r="G40" t="s">
        <v>34</v>
      </c>
      <c r="H40" s="7">
        <f>(VLOOKUP(A40,'CAPEX Manut. Estr_PPD e Taxiway'!$A$4:$C$18,3,FALSE)+VLOOKUP(A40,'CAPEX Manut. Estr_PPD e Taxiway'!$A$4:$M$18,13,FALSE)+VLOOKUP(A40,'CAPEX Manut. Estratégicos_Pátio'!$A$6:$C$20,3,FALSE)+VLOOKUP(A40,'CAPEX Manut. Estratégicos_Pátio'!$A$6:$M$20,13,FALSE)+VLOOKUP(A40,'CAPEX Manut. Estr_Cerca Operac.'!$A$2:$F$16,6,FALSE))*1.5</f>
        <v>8937463.1228132378</v>
      </c>
      <c r="I40" s="7">
        <f>(VLOOKUP(A40,'CAPEX Manut. Estr_Naveg. Aérea'!$A$2:$AB$16,28,FALSE))*1.5</f>
        <v>5320351.4271739135</v>
      </c>
      <c r="J40" s="7">
        <v>0</v>
      </c>
      <c r="K40" s="7">
        <v>0</v>
      </c>
      <c r="L40" s="7">
        <f>(VLOOKUP(A40,'CAPEX Manut. Estr_PPD e Taxiway'!$A$4:$D$18,4,FALSE)+VLOOKUP(A40,'CAPEX Manut. Estratégicos_Pátio'!$A$6:$D$20,4,FALSE))*1.5</f>
        <v>14779.814999999999</v>
      </c>
      <c r="M40" s="7">
        <v>0</v>
      </c>
      <c r="N40" s="7">
        <v>0</v>
      </c>
      <c r="O40" s="7">
        <f>(VLOOKUP(A40,'CAPEX Manut. Estr_PPD e Taxiway'!$A$4:$E$18,5,FALSE)+VLOOKUP(A40,'CAPEX Manut. Estratégicos_Pátio'!$A$6:$E$20,5,FALSE))*1.5</f>
        <v>14779.814999999999</v>
      </c>
      <c r="P40" s="7">
        <v>0</v>
      </c>
      <c r="Q40" s="7">
        <f>(VLOOKUP($A40,'CAPEX Manut. Estr_PPD e Taxiway'!$A$4:$F$18,6,FALSE)+VLOOKUP(A40,'CAPEX Manut. Estratégicos_Pátio'!$A$6:$F$20,6,FALSE))*1.5</f>
        <v>4966398.93</v>
      </c>
      <c r="R40" s="7">
        <v>0</v>
      </c>
      <c r="S40" s="7">
        <v>0</v>
      </c>
      <c r="T40" s="7">
        <v>0</v>
      </c>
      <c r="U40" s="7">
        <v>0</v>
      </c>
      <c r="V40" s="7">
        <f>(VLOOKUP($A40,'CAPEX Manut. Estr_PPD e Taxiway'!$A$4:$G$18,7,FALSE)+VLOOKUP($A40,'CAPEX Manut. Estratégicos_Pátio'!$A$6:$G$20,7,FALSE))*1.5</f>
        <v>14779.814999999999</v>
      </c>
      <c r="W40" s="7">
        <v>0</v>
      </c>
      <c r="X40" s="7">
        <v>0</v>
      </c>
      <c r="Y40" s="7">
        <f>(VLOOKUP($A40,'CAPEX Manut. Estr_PPD e Taxiway'!$A$4:$H$18,8,FALSE)+VLOOKUP($A40,'CAPEX Manut. Estratégicos_Pátio'!$A$6:$H$20,8,FALSE))*1.5</f>
        <v>14779.814999999999</v>
      </c>
      <c r="Z40" s="7">
        <v>0</v>
      </c>
      <c r="AA40" s="7">
        <f>(VLOOKUP($A40,'CAPEX Manut. Estr_PPD e Taxiway'!$A$4:$I$18,9,FALSE)+VLOOKUP($A40,'CAPEX Manut. Estratégicos_Pátio'!$A$6:$I$20,9,FALSE))*1.5</f>
        <v>4966398.93</v>
      </c>
      <c r="AB40" s="7">
        <v>0</v>
      </c>
      <c r="AC40" s="7">
        <v>0</v>
      </c>
      <c r="AD40" s="7">
        <v>0</v>
      </c>
      <c r="AE40" s="7">
        <v>0</v>
      </c>
      <c r="AF40" s="7">
        <f>(VLOOKUP($A40,'CAPEX Manut. Estr_PPD e Taxiway'!$A$4:$J$18,10,FALSE)+VLOOKUP($A40,'CAPEX Manut. Estratégicos_Pátio'!$A$6:$J$20,10,FALSE))*1.5</f>
        <v>14779.814999999999</v>
      </c>
      <c r="AG40" s="7">
        <v>0</v>
      </c>
      <c r="AH40" s="7">
        <v>0</v>
      </c>
      <c r="AI40" s="7">
        <f>(VLOOKUP($A40,'CAPEX Manut. Estr_PPD e Taxiway'!$A$4:$K$18,11,FALSE)+VLOOKUP($A40,'CAPEX Manut. Estratégicos_Pátio'!$A$6:$K$20,11,FALSE))*1.5</f>
        <v>14779.814999999999</v>
      </c>
      <c r="AJ40" s="7">
        <v>0</v>
      </c>
      <c r="AK40" s="7">
        <v>0</v>
      </c>
      <c r="AL40" s="7">
        <v>0</v>
      </c>
      <c r="AM40" s="1">
        <f t="shared" si="0"/>
        <v>24279291.299987156</v>
      </c>
      <c r="AN40" t="str">
        <f>VLOOKUP(C40,'[6]CAPEX - BLOCOS PAN'!$C$3:$AN$249,38,FALSE)</f>
        <v>NE e CO</v>
      </c>
      <c r="AO40" s="3" t="s">
        <v>171</v>
      </c>
      <c r="AP40" s="3" t="s">
        <v>171</v>
      </c>
      <c r="AQ40" s="3" t="s">
        <v>171</v>
      </c>
      <c r="AR40" s="3" t="s">
        <v>171</v>
      </c>
      <c r="AS40" s="3" t="s">
        <v>171</v>
      </c>
      <c r="AT40" s="3" t="s">
        <v>171</v>
      </c>
      <c r="AU40" s="3" t="s">
        <v>171</v>
      </c>
      <c r="AV40" t="str">
        <f>VLOOKUP(C40,'[6]CAPEX - BLOCOS PAN'!$C$3:$AV$249,46,FALSE)</f>
        <v>Privada</v>
      </c>
      <c r="AW40" t="str">
        <f>VLOOKUP(C40,'FLUXO DE CAIXA DESC.-BLOCOS PAN'!$D$3:$AO$52,38,FALSE)</f>
        <v>MT - 2 - AL</v>
      </c>
    </row>
    <row r="41" spans="1:49" x14ac:dyDescent="0.35">
      <c r="A41" t="s">
        <v>114</v>
      </c>
      <c r="B41" t="str">
        <f>VLOOKUP(A41,'FLUXO DE CAIXA DESC.-BLOCOS PAN'!$A$38:$B$52,2,FALSE)</f>
        <v>MARECHAL THAUMATURGO</v>
      </c>
      <c r="C41" t="s">
        <v>294</v>
      </c>
      <c r="D41" t="str">
        <f>VLOOKUP(A41,'CAPEX Manut. Estr_Naveg. Aérea'!$A$2:$B$38,2,FALSE)</f>
        <v>Marechal Thaumaturgo</v>
      </c>
      <c r="E41" t="s">
        <v>41</v>
      </c>
      <c r="F41" t="s">
        <v>33</v>
      </c>
      <c r="G41" t="s">
        <v>34</v>
      </c>
      <c r="H41" s="7">
        <f>(VLOOKUP(A41,'CAPEX Manut. Estr_PPD e Taxiway'!$A$4:$C$18,3,FALSE)+VLOOKUP(A41,'CAPEX Manut. Estr_PPD e Taxiway'!$A$4:$M$18,13,FALSE)+VLOOKUP(A41,'CAPEX Manut. Estratégicos_Pátio'!$A$6:$C$20,3,FALSE)+VLOOKUP(A41,'CAPEX Manut. Estratégicos_Pátio'!$A$6:$M$20,13,FALSE)+VLOOKUP(A41,'CAPEX Manut. Estr_Cerca Operac.'!$A$2:$F$16,6,FALSE))*1.7</f>
        <v>6576529.2539999997</v>
      </c>
      <c r="I41" s="7">
        <f>(VLOOKUP(A41,'CAPEX Manut. Estr_Naveg. Aérea'!$A$2:$AB$16,28,FALSE))*1.7</f>
        <v>5560038.7170000002</v>
      </c>
      <c r="J41" s="7">
        <v>0</v>
      </c>
      <c r="K41" s="7">
        <v>0</v>
      </c>
      <c r="L41" s="7">
        <f>(VLOOKUP(A41,'CAPEX Manut. Estr_PPD e Taxiway'!$A$4:$D$18,4,FALSE)+VLOOKUP(A41,'CAPEX Manut. Estratégicos_Pátio'!$A$6:$D$20,4,FALSE))*1.7</f>
        <v>14186.329999999998</v>
      </c>
      <c r="M41" s="7">
        <v>0</v>
      </c>
      <c r="N41" s="7">
        <v>0</v>
      </c>
      <c r="O41" s="7">
        <f>(VLOOKUP(A41,'CAPEX Manut. Estr_PPD e Taxiway'!$A$4:$E$18,5,FALSE)+VLOOKUP(A41,'CAPEX Manut. Estratégicos_Pátio'!$A$6:$E$20,5,FALSE))*1.7</f>
        <v>14186.329999999998</v>
      </c>
      <c r="P41" s="7">
        <v>0</v>
      </c>
      <c r="Q41" s="7">
        <f>(VLOOKUP($A41,'CAPEX Manut. Estr_PPD e Taxiway'!$A$4:$F$18,6,FALSE)+VLOOKUP(A41,'CAPEX Manut. Estratégicos_Pátio'!$A$6:$F$20,6,FALSE))*1.7</f>
        <v>4463599.2539999997</v>
      </c>
      <c r="R41" s="7">
        <v>0</v>
      </c>
      <c r="S41" s="7">
        <v>0</v>
      </c>
      <c r="T41" s="7">
        <v>0</v>
      </c>
      <c r="U41" s="7">
        <v>0</v>
      </c>
      <c r="V41" s="7">
        <f>(VLOOKUP($A41,'CAPEX Manut. Estr_PPD e Taxiway'!$A$4:$G$18,7,FALSE)+VLOOKUP($A41,'CAPEX Manut. Estratégicos_Pátio'!$A$6:$G$20,7,FALSE))*1.7</f>
        <v>14186.329999999998</v>
      </c>
      <c r="W41" s="7">
        <v>0</v>
      </c>
      <c r="X41" s="7">
        <v>0</v>
      </c>
      <c r="Y41" s="7">
        <f>(VLOOKUP($A41,'CAPEX Manut. Estr_PPD e Taxiway'!$A$4:$H$18,8,FALSE)+VLOOKUP($A41,'CAPEX Manut. Estratégicos_Pátio'!$A$6:$H$20,8,FALSE))*1.7</f>
        <v>14186.329999999998</v>
      </c>
      <c r="Z41" s="7">
        <v>0</v>
      </c>
      <c r="AA41" s="7">
        <f>(VLOOKUP($A41,'CAPEX Manut. Estr_PPD e Taxiway'!$A$4:$I$18,9,FALSE)+VLOOKUP($A41,'CAPEX Manut. Estratégicos_Pátio'!$A$6:$I$20,9,FALSE))*1.7</f>
        <v>4463599.2539999997</v>
      </c>
      <c r="AB41" s="7">
        <v>0</v>
      </c>
      <c r="AC41" s="7">
        <v>0</v>
      </c>
      <c r="AD41" s="7">
        <v>0</v>
      </c>
      <c r="AE41" s="7">
        <v>0</v>
      </c>
      <c r="AF41" s="7">
        <f>(VLOOKUP($A41,'CAPEX Manut. Estr_PPD e Taxiway'!$A$4:$J$18,10,FALSE)+VLOOKUP($A41,'CAPEX Manut. Estratégicos_Pátio'!$A$6:$J$20,10,FALSE))*1.7</f>
        <v>14186.329999999998</v>
      </c>
      <c r="AG41" s="7">
        <v>0</v>
      </c>
      <c r="AH41" s="7">
        <v>0</v>
      </c>
      <c r="AI41" s="7">
        <f>(VLOOKUP($A41,'CAPEX Manut. Estr_PPD e Taxiway'!$A$4:$K$18,11,FALSE)+VLOOKUP($A41,'CAPEX Manut. Estratégicos_Pátio'!$A$6:$K$20,11,FALSE))*1.7</f>
        <v>14186.329999999998</v>
      </c>
      <c r="AJ41" s="7">
        <v>0</v>
      </c>
      <c r="AK41" s="7">
        <v>0</v>
      </c>
      <c r="AL41" s="7">
        <v>0</v>
      </c>
      <c r="AM41" s="1">
        <f t="shared" si="0"/>
        <v>21148884.458999999</v>
      </c>
      <c r="AN41" t="str">
        <f>VLOOKUP(C41,'[6]CAPEX - BLOCOS PAN'!$C$3:$AN$249,38,FALSE)</f>
        <v>N</v>
      </c>
      <c r="AO41" s="3" t="s">
        <v>171</v>
      </c>
      <c r="AP41" s="3" t="s">
        <v>171</v>
      </c>
      <c r="AQ41" s="3" t="s">
        <v>171</v>
      </c>
      <c r="AR41" s="3" t="s">
        <v>171</v>
      </c>
      <c r="AS41" s="3" t="s">
        <v>171</v>
      </c>
      <c r="AT41" s="3" t="s">
        <v>171</v>
      </c>
      <c r="AU41" s="3" t="s">
        <v>171</v>
      </c>
      <c r="AV41" t="str">
        <f>VLOOKUP(C41,'[6]CAPEX - BLOCOS PAN'!$C$3:$AV$249,46,FALSE)</f>
        <v>Privada</v>
      </c>
      <c r="AW41" t="str">
        <f>VLOOKUP(C41,'FLUXO DE CAIXA DESC.-BLOCOS PAN'!$D$3:$AO$52,38,FALSE)</f>
        <v>AC + AM - 1 - AL</v>
      </c>
    </row>
    <row r="42" spans="1:49" x14ac:dyDescent="0.35">
      <c r="A42" t="s">
        <v>87</v>
      </c>
      <c r="B42" t="str">
        <f>VLOOKUP(A42,'FLUXO DE CAIXA DESC.-BLOCOS PAN'!$A$38:$B$52,2,FALSE)</f>
        <v>NOVO PROGRESSO</v>
      </c>
      <c r="C42" t="s">
        <v>291</v>
      </c>
      <c r="D42" t="str">
        <f>VLOOKUP(A42,'CAPEX Manut. Estr_Naveg. Aérea'!$A$2:$B$38,2,FALSE)</f>
        <v>Novo Progresso</v>
      </c>
      <c r="E42" t="s">
        <v>29</v>
      </c>
      <c r="F42" t="s">
        <v>33</v>
      </c>
      <c r="G42" t="s">
        <v>34</v>
      </c>
      <c r="H42" s="7">
        <f>(VLOOKUP(A42,'CAPEX Manut. Estr_PPD e Taxiway'!$A$4:$C$18,3,FALSE)+VLOOKUP(A42,'CAPEX Manut. Estr_PPD e Taxiway'!$A$4:$M$18,13,FALSE)+VLOOKUP(A42,'CAPEX Manut. Estratégicos_Pátio'!$A$6:$C$20,3,FALSE)+VLOOKUP(A42,'CAPEX Manut. Estratégicos_Pátio'!$A$6:$M$20,13,FALSE)+VLOOKUP(A42,'CAPEX Manut. Estr_Cerca Operac.'!$A$2:$F$16,6,FALSE))*1.7</f>
        <v>16475431.834683338</v>
      </c>
      <c r="I42" s="7">
        <f>(VLOOKUP(A42,'CAPEX Manut. Estr_Naveg. Aérea'!$A$2:$AB$16,28,FALSE))*1.7</f>
        <v>5995010.4094637688</v>
      </c>
      <c r="J42" s="7">
        <v>0</v>
      </c>
      <c r="K42" s="7">
        <v>0</v>
      </c>
      <c r="L42" s="7">
        <f>(VLOOKUP(A42,'CAPEX Manut. Estr_PPD e Taxiway'!$A$4:$D$18,4,FALSE)+VLOOKUP(A42,'CAPEX Manut. Estratégicos_Pátio'!$A$6:$D$20,4,FALSE))*1.7</f>
        <v>67269.085000000006</v>
      </c>
      <c r="M42" s="7">
        <v>0</v>
      </c>
      <c r="N42" s="7">
        <v>0</v>
      </c>
      <c r="O42" s="7">
        <f>(VLOOKUP(A42,'CAPEX Manut. Estr_PPD e Taxiway'!$A$4:$E$18,5,FALSE)+VLOOKUP(A42,'CAPEX Manut. Estratégicos_Pátio'!$A$6:$E$20,5,FALSE))*1.7</f>
        <v>67269.085000000006</v>
      </c>
      <c r="P42" s="7">
        <v>0</v>
      </c>
      <c r="Q42" s="7">
        <f>(VLOOKUP($A42,'CAPEX Manut. Estr_PPD e Taxiway'!$A$4:$F$18,6,FALSE)+VLOOKUP(A42,'CAPEX Manut. Estratégicos_Pátio'!$A$6:$F$20,6,FALSE))*1.7</f>
        <v>9955216.4220000003</v>
      </c>
      <c r="R42" s="7">
        <v>0</v>
      </c>
      <c r="S42" s="7">
        <v>0</v>
      </c>
      <c r="T42" s="7">
        <v>0</v>
      </c>
      <c r="U42" s="7">
        <v>0</v>
      </c>
      <c r="V42" s="7">
        <f>(VLOOKUP($A42,'CAPEX Manut. Estr_PPD e Taxiway'!$A$4:$G$18,7,FALSE)+VLOOKUP($A42,'CAPEX Manut. Estratégicos_Pátio'!$A$6:$G$20,7,FALSE))*1.7</f>
        <v>67269.085000000006</v>
      </c>
      <c r="W42" s="7">
        <v>0</v>
      </c>
      <c r="X42" s="7">
        <v>0</v>
      </c>
      <c r="Y42" s="7">
        <f>(VLOOKUP($A42,'CAPEX Manut. Estr_PPD e Taxiway'!$A$4:$H$18,8,FALSE)+VLOOKUP($A42,'CAPEX Manut. Estratégicos_Pátio'!$A$6:$H$20,8,FALSE))*1.7</f>
        <v>67269.085000000006</v>
      </c>
      <c r="Z42" s="7">
        <v>0</v>
      </c>
      <c r="AA42" s="7">
        <f>(VLOOKUP($A42,'CAPEX Manut. Estr_PPD e Taxiway'!$A$4:$I$18,9,FALSE)+VLOOKUP($A42,'CAPEX Manut. Estratégicos_Pátio'!$A$6:$I$20,9,FALSE))*1.7</f>
        <v>9955216.4220000003</v>
      </c>
      <c r="AB42" s="7">
        <v>0</v>
      </c>
      <c r="AC42" s="7">
        <v>0</v>
      </c>
      <c r="AD42" s="7">
        <v>0</v>
      </c>
      <c r="AE42" s="7">
        <v>0</v>
      </c>
      <c r="AF42" s="7">
        <f>(VLOOKUP($A42,'CAPEX Manut. Estr_PPD e Taxiway'!$A$4:$J$18,10,FALSE)+VLOOKUP($A42,'CAPEX Manut. Estratégicos_Pátio'!$A$6:$J$20,10,FALSE))*1.7</f>
        <v>67269.085000000006</v>
      </c>
      <c r="AG42" s="7">
        <v>0</v>
      </c>
      <c r="AH42" s="7">
        <v>0</v>
      </c>
      <c r="AI42" s="7">
        <f>(VLOOKUP($A42,'CAPEX Manut. Estr_PPD e Taxiway'!$A$4:$K$18,11,FALSE)+VLOOKUP($A42,'CAPEX Manut. Estratégicos_Pátio'!$A$6:$K$20,11,FALSE))*1.7</f>
        <v>67269.085000000006</v>
      </c>
      <c r="AJ42" s="7">
        <v>0</v>
      </c>
      <c r="AK42" s="7">
        <v>0</v>
      </c>
      <c r="AL42" s="7">
        <v>0</v>
      </c>
      <c r="AM42" s="1">
        <f t="shared" si="0"/>
        <v>42784489.598147109</v>
      </c>
      <c r="AN42" t="str">
        <f>VLOOKUP(C42,'[6]CAPEX - BLOCOS PAN'!$C$3:$AN$249,38,FALSE)</f>
        <v>N</v>
      </c>
      <c r="AO42" s="3" t="s">
        <v>171</v>
      </c>
      <c r="AP42" s="3" t="s">
        <v>171</v>
      </c>
      <c r="AQ42" s="3" t="s">
        <v>171</v>
      </c>
      <c r="AR42" s="3" t="s">
        <v>171</v>
      </c>
      <c r="AS42" s="3" t="s">
        <v>171</v>
      </c>
      <c r="AT42" s="3" t="s">
        <v>171</v>
      </c>
      <c r="AU42" s="3" t="s">
        <v>171</v>
      </c>
      <c r="AV42" t="str">
        <f>VLOOKUP(C42,'[6]CAPEX - BLOCOS PAN'!$C$3:$AV$249,46,FALSE)</f>
        <v>Privada</v>
      </c>
      <c r="AW42" t="str">
        <f>VLOOKUP(C42,'FLUXO DE CAIXA DESC.-BLOCOS PAN'!$D$3:$AO$52,38,FALSE)</f>
        <v>PA - 1 - AL</v>
      </c>
    </row>
    <row r="43" spans="1:49" s="49" customFormat="1" x14ac:dyDescent="0.35">
      <c r="A43" s="49" t="s">
        <v>369</v>
      </c>
      <c r="B43" s="76" t="s">
        <v>370</v>
      </c>
      <c r="C43" s="49" t="s">
        <v>371</v>
      </c>
      <c r="D43" s="49" t="s">
        <v>370</v>
      </c>
      <c r="E43" s="49" t="s">
        <v>36</v>
      </c>
      <c r="F43" s="49" t="s">
        <v>33</v>
      </c>
      <c r="G43" s="49" t="s">
        <v>34</v>
      </c>
      <c r="H43" s="86">
        <f>(VLOOKUP(A43,'CAPEX Manut. Estr_PPD e Taxiway'!$A$4:$C$18,3,FALSE)+VLOOKUP(A43,'CAPEX Manut. Estr_PPD e Taxiway'!$A$4:$M$18,13,FALSE)+VLOOKUP(A43,'CAPEX Manut. Estratégicos_Pátio'!$A$6:$C$20,3,FALSE)+VLOOKUP(A43,'CAPEX Manut. Estratégicos_Pátio'!$A$6:$M$20,13,FALSE)+VLOOKUP(A43,'CAPEX Manut. Estr_Cerca Operac.'!$A$2:$F$16,6,FALSE))*$C$55</f>
        <v>9770778.7258092482</v>
      </c>
      <c r="I43" s="86">
        <f>(VLOOKUP(A43,'CAPEX Manut. Estr_Naveg. Aérea'!$A$2:$AB$16,28,FALSE))*$C$55</f>
        <v>4905916.5150000006</v>
      </c>
      <c r="J43" s="86">
        <v>0</v>
      </c>
      <c r="K43" s="86">
        <v>0</v>
      </c>
      <c r="L43" s="86">
        <f>(VLOOKUP(A43,'CAPEX Manut. Estr_PPD e Taxiway'!$A$4:$D$18,4,FALSE)+VLOOKUP(A43,'CAPEX Manut. Estratégicos_Pátio'!$A$6:$D$20,4,FALSE))*$C$55</f>
        <v>15826.334999999999</v>
      </c>
      <c r="M43" s="86">
        <v>0</v>
      </c>
      <c r="N43" s="86">
        <v>0</v>
      </c>
      <c r="O43" s="86">
        <f>(VLOOKUP(A43,'CAPEX Manut. Estr_PPD e Taxiway'!$A$4:$E$18,5,FALSE)+VLOOKUP(A43,'CAPEX Manut. Estratégicos_Pátio'!$A$6:$E$20,5,FALSE))*$C$55</f>
        <v>15826.334999999999</v>
      </c>
      <c r="P43" s="86">
        <v>0</v>
      </c>
      <c r="Q43" s="86">
        <f>(VLOOKUP($A43,'CAPEX Manut. Estr_PPD e Taxiway'!$A$4:$F$18,6,FALSE)+VLOOKUP(A43,'CAPEX Manut. Estratégicos_Pátio'!$A$6:$F$20,6,FALSE))*$C$55</f>
        <v>5330407.8449999997</v>
      </c>
      <c r="R43" s="86">
        <v>0</v>
      </c>
      <c r="S43" s="86">
        <v>0</v>
      </c>
      <c r="T43" s="86">
        <v>0</v>
      </c>
      <c r="U43" s="86">
        <v>0</v>
      </c>
      <c r="V43" s="86">
        <f>(VLOOKUP($A43,'CAPEX Manut. Estr_PPD e Taxiway'!$A$4:$G$18,7,FALSE)+VLOOKUP($A43,'CAPEX Manut. Estratégicos_Pátio'!$A$6:$G$20,7,FALSE))*$C$55</f>
        <v>15826.334999999999</v>
      </c>
      <c r="W43" s="86">
        <v>0</v>
      </c>
      <c r="X43" s="86">
        <v>0</v>
      </c>
      <c r="Y43" s="86">
        <f>(VLOOKUP($A43,'CAPEX Manut. Estr_PPD e Taxiway'!$A$4:$H$18,8,FALSE)+VLOOKUP($A43,'CAPEX Manut. Estratégicos_Pátio'!$A$6:$H$20,8,FALSE))*$C$55</f>
        <v>15826.334999999999</v>
      </c>
      <c r="Z43" s="86">
        <v>0</v>
      </c>
      <c r="AA43" s="86">
        <f>(VLOOKUP($A43,'CAPEX Manut. Estr_PPD e Taxiway'!$A$4:$I$18,9,FALSE)+VLOOKUP($A43,'CAPEX Manut. Estratégicos_Pátio'!$A$6:$I$20,9,FALSE))*$C$55</f>
        <v>5330407.8449999997</v>
      </c>
      <c r="AB43" s="86">
        <v>0</v>
      </c>
      <c r="AC43" s="86">
        <v>0</v>
      </c>
      <c r="AD43" s="86">
        <v>0</v>
      </c>
      <c r="AE43" s="86">
        <v>0</v>
      </c>
      <c r="AF43" s="86">
        <f>(VLOOKUP($A43,'CAPEX Manut. Estr_PPD e Taxiway'!$A$4:$J$18,10,FALSE)+VLOOKUP($A43,'CAPEX Manut. Estratégicos_Pátio'!$A$6:$J$20,10,FALSE))*$C$55</f>
        <v>15826.334999999999</v>
      </c>
      <c r="AG43" s="86">
        <v>0</v>
      </c>
      <c r="AH43" s="86">
        <v>0</v>
      </c>
      <c r="AI43" s="86">
        <f>(VLOOKUP($A43,'CAPEX Manut. Estr_PPD e Taxiway'!$A$4:$K$18,11,FALSE)+VLOOKUP($A43,'CAPEX Manut. Estratégicos_Pátio'!$A$6:$K$20,11,FALSE))*$C$55</f>
        <v>15826.334999999999</v>
      </c>
      <c r="AJ43" s="86">
        <v>0</v>
      </c>
      <c r="AK43" s="86">
        <v>0</v>
      </c>
      <c r="AL43" s="86">
        <v>0</v>
      </c>
      <c r="AM43" s="72">
        <f t="shared" ref="AM43" si="1">SUM(H43:AL43)</f>
        <v>25432468.940809254</v>
      </c>
      <c r="AN43" s="49" t="str">
        <f>VLOOKUP(C43,'[6]CAPEX - BLOCOS PAN'!$C$3:$AN$249,38,FALSE)</f>
        <v>NE e CO</v>
      </c>
      <c r="AO43" s="73" t="s">
        <v>171</v>
      </c>
      <c r="AP43" s="73" t="s">
        <v>171</v>
      </c>
      <c r="AQ43" s="73" t="s">
        <v>171</v>
      </c>
      <c r="AR43" s="73" t="s">
        <v>171</v>
      </c>
      <c r="AS43" s="73" t="s">
        <v>171</v>
      </c>
      <c r="AT43" s="73" t="s">
        <v>171</v>
      </c>
      <c r="AU43" s="73" t="s">
        <v>171</v>
      </c>
      <c r="AV43" s="49" t="s">
        <v>379</v>
      </c>
      <c r="AW43" s="49" t="str">
        <f>VLOOKUP(C43,'FLUXO DE CAIXA DESC.-BLOCOS PAN'!$D$3:$AO$52,38,FALSE)</f>
        <v>Bloco Nordeste</v>
      </c>
    </row>
    <row r="44" spans="1:49" s="49" customFormat="1" x14ac:dyDescent="0.35">
      <c r="A44" s="49" t="s">
        <v>88</v>
      </c>
      <c r="B44" s="49" t="str">
        <f>VLOOKUP(A44,'FLUXO DE CAIXA DESC.-BLOCOS PAN'!$A$38:$B$52,2,FALSE)</f>
        <v>BACABAL</v>
      </c>
      <c r="C44" s="49" t="s">
        <v>292</v>
      </c>
      <c r="D44" s="49" t="str">
        <f>VLOOKUP(A44,'CAPEX Manut. Estr_Naveg. Aérea'!$A$2:$B$38,2,FALSE)</f>
        <v>Bacabal</v>
      </c>
      <c r="E44" s="49" t="s">
        <v>31</v>
      </c>
      <c r="F44" s="49" t="s">
        <v>33</v>
      </c>
      <c r="G44" s="49" t="s">
        <v>34</v>
      </c>
      <c r="H44" s="86">
        <f>(VLOOKUP(A44,'CAPEX Manut. Estr_PPD e Taxiway'!$A$4:$C$18,3,FALSE)+VLOOKUP(A44,'CAPEX Manut. Estr_PPD e Taxiway'!$A$4:$M$18,13,FALSE)+VLOOKUP(A44,'CAPEX Manut. Estratégicos_Pátio'!$A$6:$C$20,3,FALSE)+VLOOKUP(A44,'CAPEX Manut. Estratégicos_Pátio'!$A$6:$M$20,13,FALSE)+VLOOKUP(A44,'CAPEX Manut. Estr_Cerca Operac.'!$A$2:$F$16,6,FALSE))*1.5</f>
        <v>15467073.301561771</v>
      </c>
      <c r="I44" s="86">
        <f>(VLOOKUP(A44,'CAPEX Manut. Estr_Naveg. Aérea'!$A$2:$AB$16,28,FALSE))*1.5</f>
        <v>5320351.4271739135</v>
      </c>
      <c r="J44" s="86">
        <v>0</v>
      </c>
      <c r="K44" s="86">
        <v>0</v>
      </c>
      <c r="L44" s="86">
        <f>(VLOOKUP(A44,'CAPEX Manut. Estr_PPD e Taxiway'!$A$4:$D$18,4,FALSE)+VLOOKUP(A44,'CAPEX Manut. Estratégicos_Pátio'!$A$6:$D$20,4,FALSE))*1.5</f>
        <v>70512.075000000012</v>
      </c>
      <c r="M44" s="86">
        <v>0</v>
      </c>
      <c r="N44" s="86">
        <v>0</v>
      </c>
      <c r="O44" s="86">
        <f>(VLOOKUP(A44,'CAPEX Manut. Estr_PPD e Taxiway'!$A$4:$E$18,5,FALSE)+VLOOKUP(A44,'CAPEX Manut. Estratégicos_Pátio'!$A$6:$E$20,5,FALSE))*1.5</f>
        <v>70512.075000000012</v>
      </c>
      <c r="P44" s="86">
        <v>0</v>
      </c>
      <c r="Q44" s="86">
        <f>(VLOOKUP($A44,'CAPEX Manut. Estr_PPD e Taxiway'!$A$4:$F$18,6,FALSE)+VLOOKUP(A44,'CAPEX Manut. Estratégicos_Pátio'!$A$6:$F$20,6,FALSE))*1.5</f>
        <v>9362561.879999999</v>
      </c>
      <c r="R44" s="86">
        <v>0</v>
      </c>
      <c r="S44" s="86">
        <v>0</v>
      </c>
      <c r="T44" s="86">
        <v>0</v>
      </c>
      <c r="U44" s="86">
        <v>0</v>
      </c>
      <c r="V44" s="86">
        <f>(VLOOKUP($A44,'CAPEX Manut. Estr_PPD e Taxiway'!$A$4:$G$18,7,FALSE)+VLOOKUP($A44,'CAPEX Manut. Estratégicos_Pátio'!$A$6:$G$20,7,FALSE))*1.5</f>
        <v>70512.075000000012</v>
      </c>
      <c r="W44" s="86">
        <v>0</v>
      </c>
      <c r="X44" s="86">
        <v>0</v>
      </c>
      <c r="Y44" s="86">
        <f>(VLOOKUP($A44,'CAPEX Manut. Estr_PPD e Taxiway'!$A$4:$H$18,8,FALSE)+VLOOKUP($A44,'CAPEX Manut. Estratégicos_Pátio'!$A$6:$H$20,8,FALSE))*1.5</f>
        <v>70512.075000000012</v>
      </c>
      <c r="Z44" s="86">
        <v>0</v>
      </c>
      <c r="AA44" s="86">
        <f>(VLOOKUP($A44,'CAPEX Manut. Estr_PPD e Taxiway'!$A$4:$I$18,9,FALSE)+VLOOKUP($A44,'CAPEX Manut. Estratégicos_Pátio'!$A$6:$I$20,9,FALSE))*1.5</f>
        <v>9362561.879999999</v>
      </c>
      <c r="AB44" s="86">
        <v>0</v>
      </c>
      <c r="AC44" s="86">
        <v>0</v>
      </c>
      <c r="AD44" s="86">
        <v>0</v>
      </c>
      <c r="AE44" s="86">
        <v>0</v>
      </c>
      <c r="AF44" s="86">
        <f>(VLOOKUP($A44,'CAPEX Manut. Estr_PPD e Taxiway'!$A$4:$J$18,10,FALSE)+VLOOKUP($A44,'CAPEX Manut. Estratégicos_Pátio'!$A$6:$J$20,10,FALSE))*1.5</f>
        <v>70512.075000000012</v>
      </c>
      <c r="AG44" s="86">
        <v>0</v>
      </c>
      <c r="AH44" s="86">
        <v>0</v>
      </c>
      <c r="AI44" s="86">
        <f>(VLOOKUP($A44,'CAPEX Manut. Estr_PPD e Taxiway'!$A$4:$K$18,11,FALSE)+VLOOKUP($A44,'CAPEX Manut. Estratégicos_Pátio'!$A$6:$K$20,11,FALSE))*1.5</f>
        <v>70512.075000000012</v>
      </c>
      <c r="AJ44" s="86">
        <v>0</v>
      </c>
      <c r="AK44" s="86">
        <v>0</v>
      </c>
      <c r="AL44" s="86">
        <v>0</v>
      </c>
      <c r="AM44" s="72">
        <f t="shared" si="0"/>
        <v>39935620.938735686</v>
      </c>
      <c r="AN44" s="49" t="str">
        <f>VLOOKUP(C44,'[6]CAPEX - BLOCOS PAN'!$C$3:$AN$249,38,FALSE)</f>
        <v>NE e CO</v>
      </c>
      <c r="AO44" s="73" t="s">
        <v>171</v>
      </c>
      <c r="AP44" s="73" t="s">
        <v>171</v>
      </c>
      <c r="AQ44" s="73" t="s">
        <v>171</v>
      </c>
      <c r="AR44" s="73" t="s">
        <v>171</v>
      </c>
      <c r="AS44" s="73" t="s">
        <v>171</v>
      </c>
      <c r="AT44" s="73" t="s">
        <v>171</v>
      </c>
      <c r="AU44" s="73" t="s">
        <v>171</v>
      </c>
      <c r="AV44" s="49" t="str">
        <f>VLOOKUP(C44,'[6]CAPEX - BLOCOS PAN'!$C$3:$AV$249,46,FALSE)</f>
        <v>Privada</v>
      </c>
      <c r="AW44" s="49" t="str">
        <f>VLOOKUP(C44,'FLUXO DE CAIXA DESC.-BLOCOS PAN'!$D$3:$AO$52,38,FALSE)</f>
        <v>MA + TO - AL</v>
      </c>
    </row>
    <row r="45" spans="1:49" s="49" customFormat="1" x14ac:dyDescent="0.35">
      <c r="A45" s="49" t="s">
        <v>89</v>
      </c>
      <c r="B45" s="49" t="str">
        <f>VLOOKUP(A45,'FLUXO DE CAIXA DESC.-BLOCOS PAN'!$A$38:$B$52,2,FALSE)</f>
        <v>BALSAS</v>
      </c>
      <c r="C45" s="49" t="s">
        <v>293</v>
      </c>
      <c r="D45" s="49" t="str">
        <f>VLOOKUP(A45,'CAPEX Manut. Estr_Naveg. Aérea'!$A$2:$B$38,2,FALSE)</f>
        <v>Balsas</v>
      </c>
      <c r="E45" s="49" t="s">
        <v>31</v>
      </c>
      <c r="F45" s="49" t="s">
        <v>33</v>
      </c>
      <c r="G45" s="49" t="s">
        <v>34</v>
      </c>
      <c r="H45" s="86">
        <f>(VLOOKUP(A45,'CAPEX Manut. Estr_PPD e Taxiway'!$A$4:$C$18,3,FALSE)+VLOOKUP(A45,'CAPEX Manut. Estr_PPD e Taxiway'!$A$4:$M$18,13,FALSE)+VLOOKUP(A45,'CAPEX Manut. Estratégicos_Pátio'!$A$6:$C$20,3,FALSE)+VLOOKUP(A45,'CAPEX Manut. Estratégicos_Pátio'!$A$6:$M$20,13,FALSE)+VLOOKUP(A45,'CAPEX Manut. Estr_Cerca Operac.'!$A$2:$F$16,6,FALSE))*1.5</f>
        <v>11015864.961021842</v>
      </c>
      <c r="I45" s="86">
        <f>(VLOOKUP(A45,'CAPEX Manut. Estr_Naveg. Aérea'!$A$2:$AB$16,28,FALSE))*1.5</f>
        <v>5259078.7071739137</v>
      </c>
      <c r="J45" s="86">
        <v>0</v>
      </c>
      <c r="K45" s="86">
        <v>0</v>
      </c>
      <c r="L45" s="86">
        <f>(VLOOKUP(A45,'CAPEX Manut. Estr_PPD e Taxiway'!$A$4:$D$18,4,FALSE)+VLOOKUP(A45,'CAPEX Manut. Estratégicos_Pátio'!$A$6:$D$20,4,FALSE))*1.5</f>
        <v>84001.349999999991</v>
      </c>
      <c r="M45" s="86">
        <v>0</v>
      </c>
      <c r="N45" s="86">
        <v>0</v>
      </c>
      <c r="O45" s="86">
        <f>(VLOOKUP(A45,'CAPEX Manut. Estr_PPD e Taxiway'!$A$4:$E$18,5,FALSE)+VLOOKUP(A45,'CAPEX Manut. Estratégicos_Pátio'!$A$6:$E$20,5,FALSE))*1.5</f>
        <v>84001.349999999991</v>
      </c>
      <c r="P45" s="86">
        <v>0</v>
      </c>
      <c r="Q45" s="86">
        <f>(VLOOKUP($A45,'CAPEX Manut. Estr_PPD e Taxiway'!$A$4:$F$18,6,FALSE)+VLOOKUP(A45,'CAPEX Manut. Estratégicos_Pátio'!$A$6:$F$20,6,FALSE))*1.5</f>
        <v>6191113.875</v>
      </c>
      <c r="R45" s="86">
        <v>0</v>
      </c>
      <c r="S45" s="86">
        <v>0</v>
      </c>
      <c r="T45" s="86">
        <v>0</v>
      </c>
      <c r="U45" s="86">
        <v>0</v>
      </c>
      <c r="V45" s="86">
        <f>(VLOOKUP($A45,'CAPEX Manut. Estr_PPD e Taxiway'!$A$4:$G$18,7,FALSE)+VLOOKUP($A45,'CAPEX Manut. Estratégicos_Pátio'!$A$6:$G$20,7,FALSE))*1.5</f>
        <v>84001.349999999991</v>
      </c>
      <c r="W45" s="86">
        <v>0</v>
      </c>
      <c r="X45" s="86">
        <v>0</v>
      </c>
      <c r="Y45" s="86">
        <f>(VLOOKUP($A45,'CAPEX Manut. Estr_PPD e Taxiway'!$A$4:$H$18,8,FALSE)+VLOOKUP($A45,'CAPEX Manut. Estratégicos_Pátio'!$A$6:$H$20,8,FALSE))*1.5</f>
        <v>84001.349999999991</v>
      </c>
      <c r="Z45" s="86">
        <v>0</v>
      </c>
      <c r="AA45" s="86">
        <f>(VLOOKUP($A45,'CAPEX Manut. Estr_PPD e Taxiway'!$A$4:$I$18,9,FALSE)+VLOOKUP($A45,'CAPEX Manut. Estratégicos_Pátio'!$A$6:$I$20,9,FALSE))*1.5</f>
        <v>6191113.875</v>
      </c>
      <c r="AB45" s="86">
        <v>0</v>
      </c>
      <c r="AC45" s="86">
        <v>0</v>
      </c>
      <c r="AD45" s="86">
        <v>0</v>
      </c>
      <c r="AE45" s="86">
        <v>0</v>
      </c>
      <c r="AF45" s="86">
        <f>(VLOOKUP($A45,'CAPEX Manut. Estr_PPD e Taxiway'!$A$4:$J$18,10,FALSE)+VLOOKUP($A45,'CAPEX Manut. Estratégicos_Pátio'!$A$6:$J$20,10,FALSE))*1.5</f>
        <v>84001.349999999991</v>
      </c>
      <c r="AG45" s="86">
        <v>0</v>
      </c>
      <c r="AH45" s="86">
        <v>0</v>
      </c>
      <c r="AI45" s="86">
        <f>(VLOOKUP($A45,'CAPEX Manut. Estr_PPD e Taxiway'!$A$4:$K$18,11,FALSE)+VLOOKUP($A45,'CAPEX Manut. Estratégicos_Pátio'!$A$6:$K$20,11,FALSE))*1.5</f>
        <v>84001.349999999991</v>
      </c>
      <c r="AJ45" s="86">
        <v>0</v>
      </c>
      <c r="AK45" s="86">
        <v>0</v>
      </c>
      <c r="AL45" s="86">
        <v>0</v>
      </c>
      <c r="AM45" s="72">
        <f t="shared" si="0"/>
        <v>29161179.518195763</v>
      </c>
      <c r="AN45" s="49" t="str">
        <f>VLOOKUP(C45,'[6]CAPEX - BLOCOS PAN'!$C$3:$AN$249,38,FALSE)</f>
        <v>NE e CO</v>
      </c>
      <c r="AO45" s="73" t="s">
        <v>171</v>
      </c>
      <c r="AP45" s="73" t="s">
        <v>171</v>
      </c>
      <c r="AQ45" s="73" t="s">
        <v>171</v>
      </c>
      <c r="AR45" s="73" t="s">
        <v>171</v>
      </c>
      <c r="AS45" s="73" t="s">
        <v>171</v>
      </c>
      <c r="AT45" s="73" t="s">
        <v>171</v>
      </c>
      <c r="AU45" s="73" t="s">
        <v>171</v>
      </c>
      <c r="AV45" s="49" t="str">
        <f>VLOOKUP(C45,'[6]CAPEX - BLOCOS PAN'!$C$3:$AV$249,46,FALSE)</f>
        <v>Privada</v>
      </c>
      <c r="AW45" s="49" t="str">
        <f>VLOOKUP(C45,'FLUXO DE CAIXA DESC.-BLOCOS PAN'!$D$3:$AO$52,38,FALSE)</f>
        <v>MA + TO - AL</v>
      </c>
    </row>
    <row r="46" spans="1:49" s="49" customFormat="1" x14ac:dyDescent="0.35">
      <c r="A46" s="49" t="s">
        <v>373</v>
      </c>
      <c r="B46" s="49" t="s">
        <v>374</v>
      </c>
      <c r="C46" s="49" t="s">
        <v>375</v>
      </c>
      <c r="D46" s="49" t="s">
        <v>374</v>
      </c>
      <c r="E46" s="49" t="s">
        <v>36</v>
      </c>
      <c r="F46" s="49" t="s">
        <v>33</v>
      </c>
      <c r="G46" s="49" t="s">
        <v>34</v>
      </c>
      <c r="H46" s="86">
        <f>(VLOOKUP(A46,'CAPEX Manut. Estr_PPD e Taxiway'!$A$4:$C$18,3,FALSE)+VLOOKUP(A46,'CAPEX Manut. Estr_PPD e Taxiway'!$A$4:$M$18,13,FALSE)+VLOOKUP(A46,'CAPEX Manut. Estratégicos_Pátio'!$A$6:$C$20,3,FALSE)+VLOOKUP(A46,'CAPEX Manut. Estratégicos_Pátio'!$A$6:$M$20,13,FALSE)+VLOOKUP(A46,'CAPEX Manut. Estr_Cerca Operac.'!$A$2:$F$16,6,FALSE))*$C$55</f>
        <v>9790355.5229479764</v>
      </c>
      <c r="I46" s="86">
        <f>(VLOOKUP(A46,'CAPEX Manut. Estr_Naveg. Aérea'!$A$2:$AB$16,28,FALSE))*$C$55</f>
        <v>4905916.5150000006</v>
      </c>
      <c r="J46" s="86">
        <v>0</v>
      </c>
      <c r="K46" s="86">
        <v>0</v>
      </c>
      <c r="L46" s="86">
        <f>(VLOOKUP(A46,'CAPEX Manut. Estr_PPD e Taxiway'!$A$4:$D$18,4,FALSE)+VLOOKUP(A46,'CAPEX Manut. Estratégicos_Pátio'!$A$6:$D$20,4,FALSE))*$C$55</f>
        <v>20355.39</v>
      </c>
      <c r="M46" s="86">
        <v>0</v>
      </c>
      <c r="N46" s="86">
        <v>0</v>
      </c>
      <c r="O46" s="86">
        <f>(VLOOKUP(A46,'CAPEX Manut. Estr_PPD e Taxiway'!$A$4:$E$18,5,FALSE)+VLOOKUP(A46,'CAPEX Manut. Estratégicos_Pátio'!$A$6:$E$20,5,FALSE))*$C$55</f>
        <v>20355.39</v>
      </c>
      <c r="P46" s="86">
        <v>0</v>
      </c>
      <c r="Q46" s="86">
        <f>(VLOOKUP($A46,'CAPEX Manut. Estr_PPD e Taxiway'!$A$4:$F$18,6,FALSE)+VLOOKUP(A46,'CAPEX Manut. Estratégicos_Pátio'!$A$6:$F$20,6,FALSE))*$C$55</f>
        <v>5927119.3650000002</v>
      </c>
      <c r="R46" s="86">
        <v>0</v>
      </c>
      <c r="S46" s="86">
        <v>0</v>
      </c>
      <c r="T46" s="86">
        <v>0</v>
      </c>
      <c r="U46" s="86">
        <v>0</v>
      </c>
      <c r="V46" s="86">
        <f>(VLOOKUP($A46,'CAPEX Manut. Estr_PPD e Taxiway'!$A$4:$G$18,7,FALSE)+VLOOKUP($A46,'CAPEX Manut. Estratégicos_Pátio'!$A$6:$G$20,7,FALSE))*$C$55</f>
        <v>20355.39</v>
      </c>
      <c r="W46" s="86">
        <v>0</v>
      </c>
      <c r="X46" s="86">
        <v>0</v>
      </c>
      <c r="Y46" s="86">
        <f>(VLOOKUP($A46,'CAPEX Manut. Estr_PPD e Taxiway'!$A$4:$H$18,8,FALSE)+VLOOKUP($A46,'CAPEX Manut. Estratégicos_Pátio'!$A$6:$H$20,8,FALSE))*$C$55</f>
        <v>20355.39</v>
      </c>
      <c r="Z46" s="86">
        <v>0</v>
      </c>
      <c r="AA46" s="86">
        <f>(VLOOKUP($A46,'CAPEX Manut. Estr_PPD e Taxiway'!$A$4:$I$18,9,FALSE)+VLOOKUP($A46,'CAPEX Manut. Estratégicos_Pátio'!$A$6:$I$20,9,FALSE))*$C$55</f>
        <v>5927119.3650000002</v>
      </c>
      <c r="AB46" s="86">
        <v>0</v>
      </c>
      <c r="AC46" s="86">
        <v>0</v>
      </c>
      <c r="AD46" s="86">
        <v>0</v>
      </c>
      <c r="AE46" s="86">
        <v>0</v>
      </c>
      <c r="AF46" s="86">
        <f>(VLOOKUP($A46,'CAPEX Manut. Estr_PPD e Taxiway'!$A$4:$J$18,10,FALSE)+VLOOKUP($A46,'CAPEX Manut. Estratégicos_Pátio'!$A$6:$J$20,10,FALSE))*$C$55</f>
        <v>20355.39</v>
      </c>
      <c r="AG46" s="86">
        <v>0</v>
      </c>
      <c r="AH46" s="86">
        <v>0</v>
      </c>
      <c r="AI46" s="86">
        <f>(VLOOKUP($A46,'CAPEX Manut. Estr_PPD e Taxiway'!$A$4:$K$18,11,FALSE)+VLOOKUP($A46,'CAPEX Manut. Estratégicos_Pátio'!$A$6:$K$20,11,FALSE))*$C$55</f>
        <v>20355.39</v>
      </c>
      <c r="AJ46" s="86">
        <v>0</v>
      </c>
      <c r="AK46" s="86">
        <v>0</v>
      </c>
      <c r="AL46" s="86">
        <v>0</v>
      </c>
      <c r="AM46" s="72">
        <f t="shared" ref="AM46" si="2">SUM(H46:AL46)</f>
        <v>26672643.107947983</v>
      </c>
      <c r="AN46" s="49" t="str">
        <f>VLOOKUP(C46,'[6]CAPEX - BLOCOS PAN'!$C$3:$AN$249,38,FALSE)</f>
        <v>NE e CO</v>
      </c>
      <c r="AO46" s="73" t="s">
        <v>171</v>
      </c>
      <c r="AP46" s="73" t="s">
        <v>171</v>
      </c>
      <c r="AQ46" s="73" t="s">
        <v>171</v>
      </c>
      <c r="AR46" s="73" t="s">
        <v>171</v>
      </c>
      <c r="AS46" s="73" t="s">
        <v>171</v>
      </c>
      <c r="AT46" s="73" t="s">
        <v>171</v>
      </c>
      <c r="AU46" s="73" t="s">
        <v>171</v>
      </c>
      <c r="AV46" s="49" t="s">
        <v>379</v>
      </c>
      <c r="AW46" s="49" t="str">
        <f>VLOOKUP(C46,'FLUXO DE CAIXA DESC.-BLOCOS PAN'!$D$3:$AO$52,38,FALSE)</f>
        <v>Bloco Nordeste</v>
      </c>
    </row>
    <row r="47" spans="1:49" x14ac:dyDescent="0.35">
      <c r="A47" t="s">
        <v>125</v>
      </c>
      <c r="B47" t="str">
        <f>VLOOKUP(A47,'FLUXO DE CAIXA DESC.-BLOCOS PAN'!$A$38:$B$52,2,FALSE)</f>
        <v>COSTA MARQUES</v>
      </c>
      <c r="C47" t="s">
        <v>295</v>
      </c>
      <c r="D47" t="str">
        <f>VLOOKUP(A47,'CAPEX Manut. Estr_Naveg. Aérea'!$A$2:$B$38,2,FALSE)</f>
        <v>Costa Marques</v>
      </c>
      <c r="E47" t="s">
        <v>30</v>
      </c>
      <c r="F47" t="s">
        <v>33</v>
      </c>
      <c r="G47" t="s">
        <v>34</v>
      </c>
      <c r="H47" s="7">
        <f>(VLOOKUP(A47,'CAPEX Manut. Estr_PPD e Taxiway'!$A$4:$C$18,3,FALSE)+VLOOKUP(A47,'CAPEX Manut. Estr_PPD e Taxiway'!$A$4:$M$18,13,FALSE)+VLOOKUP(A47,'CAPEX Manut. Estratégicos_Pátio'!$A$6:$C$20,3,FALSE)+VLOOKUP(A47,'CAPEX Manut. Estratégicos_Pátio'!$A$6:$M$20,13,FALSE)+VLOOKUP(A47,'CAPEX Manut. Estr_Cerca Operac.'!$A$2:$F$16,6,FALSE))*1.7</f>
        <v>11641430.855333671</v>
      </c>
      <c r="I47" s="7">
        <f>(VLOOKUP(A47,'CAPEX Manut. Estr_Naveg. Aérea'!$A$2:$AB$16,28,FALSE))*1.7</f>
        <v>6018157.881463768</v>
      </c>
      <c r="J47" s="7">
        <v>0</v>
      </c>
      <c r="K47" s="7">
        <v>0</v>
      </c>
      <c r="L47" s="7">
        <f>(VLOOKUP(A47,'CAPEX Manut. Estr_PPD e Taxiway'!$A$4:$D$18,4,FALSE)+VLOOKUP(A47,'CAPEX Manut. Estratégicos_Pátio'!$A$6:$D$20,4,FALSE))*1.7</f>
        <v>18219.087</v>
      </c>
      <c r="M47" s="7">
        <v>0</v>
      </c>
      <c r="N47" s="7">
        <v>0</v>
      </c>
      <c r="O47" s="7">
        <f>(VLOOKUP(A47,'CAPEX Manut. Estr_PPD e Taxiway'!$A$4:$E$18,5,FALSE)+VLOOKUP(A47,'CAPEX Manut. Estratégicos_Pátio'!$A$6:$E$20,5,FALSE))*1.7</f>
        <v>18219.087</v>
      </c>
      <c r="P47" s="7">
        <v>0</v>
      </c>
      <c r="Q47" s="7">
        <f>(VLOOKUP($A47,'CAPEX Manut. Estr_PPD e Taxiway'!$A$4:$F$18,6,FALSE)+VLOOKUP(A47,'CAPEX Manut. Estratégicos_Pátio'!$A$6:$F$20,6,FALSE))*1.7</f>
        <v>6497038.6310000001</v>
      </c>
      <c r="R47" s="7">
        <v>0</v>
      </c>
      <c r="S47" s="7">
        <v>0</v>
      </c>
      <c r="T47" s="7">
        <v>0</v>
      </c>
      <c r="U47" s="7">
        <v>0</v>
      </c>
      <c r="V47" s="7">
        <f>(VLOOKUP($A47,'CAPEX Manut. Estr_PPD e Taxiway'!$A$4:$G$18,7,FALSE)+VLOOKUP($A47,'CAPEX Manut. Estratégicos_Pátio'!$A$6:$G$20,7,FALSE))*1.7</f>
        <v>18219.087</v>
      </c>
      <c r="W47" s="7">
        <v>0</v>
      </c>
      <c r="X47" s="7">
        <v>0</v>
      </c>
      <c r="Y47" s="7">
        <f>(VLOOKUP($A47,'CAPEX Manut. Estr_PPD e Taxiway'!$A$4:$H$18,8,FALSE)+VLOOKUP($A47,'CAPEX Manut. Estratégicos_Pátio'!$A$6:$H$20,8,FALSE))*1.7</f>
        <v>18219.087</v>
      </c>
      <c r="Z47" s="7">
        <v>0</v>
      </c>
      <c r="AA47" s="7">
        <f>(VLOOKUP($A47,'CAPEX Manut. Estr_PPD e Taxiway'!$A$4:$I$18,9,FALSE)+VLOOKUP($A47,'CAPEX Manut. Estratégicos_Pátio'!$A$6:$I$20,9,FALSE))*1.7</f>
        <v>6497038.6310000001</v>
      </c>
      <c r="AB47" s="7">
        <v>0</v>
      </c>
      <c r="AC47" s="7">
        <v>0</v>
      </c>
      <c r="AD47" s="7">
        <v>0</v>
      </c>
      <c r="AE47" s="7">
        <v>0</v>
      </c>
      <c r="AF47" s="7">
        <f>(VLOOKUP($A47,'CAPEX Manut. Estr_PPD e Taxiway'!$A$4:$J$18,10,FALSE)+VLOOKUP($A47,'CAPEX Manut. Estratégicos_Pátio'!$A$6:$J$20,10,FALSE))*1.7</f>
        <v>18219.087</v>
      </c>
      <c r="AG47" s="7">
        <v>0</v>
      </c>
      <c r="AH47" s="7">
        <v>0</v>
      </c>
      <c r="AI47" s="7">
        <f>(VLOOKUP($A47,'CAPEX Manut. Estr_PPD e Taxiway'!$A$4:$K$18,11,FALSE)+VLOOKUP($A47,'CAPEX Manut. Estratégicos_Pátio'!$A$6:$K$20,11,FALSE))*1.7</f>
        <v>18219.087</v>
      </c>
      <c r="AJ47" s="7">
        <v>0</v>
      </c>
      <c r="AK47" s="7">
        <v>0</v>
      </c>
      <c r="AL47" s="7">
        <v>0</v>
      </c>
      <c r="AM47" s="1">
        <f t="shared" si="0"/>
        <v>30762980.520797446</v>
      </c>
      <c r="AN47" t="str">
        <f>VLOOKUP(C47,'[6]CAPEX - BLOCOS PAN'!$C$3:$AN$249,38,FALSE)</f>
        <v>N</v>
      </c>
      <c r="AO47" s="3" t="s">
        <v>171</v>
      </c>
      <c r="AP47" s="3" t="s">
        <v>171</v>
      </c>
      <c r="AQ47" s="3" t="s">
        <v>171</v>
      </c>
      <c r="AR47" s="3" t="s">
        <v>171</v>
      </c>
      <c r="AS47" s="3" t="s">
        <v>171</v>
      </c>
      <c r="AT47" s="3" t="s">
        <v>171</v>
      </c>
      <c r="AU47" s="3" t="s">
        <v>171</v>
      </c>
      <c r="AV47" t="str">
        <f>VLOOKUP(C47,'[6]CAPEX - BLOCOS PAN'!$C$3:$AV$249,46,FALSE)</f>
        <v>Privada</v>
      </c>
      <c r="AW47" t="str">
        <f>VLOOKUP(C47,'FLUXO DE CAIXA DESC.-BLOCOS PAN'!$D$3:$AO$52,38,FALSE)</f>
        <v>RO - 1 - AL</v>
      </c>
    </row>
    <row r="48" spans="1:49" x14ac:dyDescent="0.35">
      <c r="A48" t="s">
        <v>134</v>
      </c>
      <c r="B48" t="str">
        <f>VLOOKUP(A48,'FLUXO DE CAIXA DESC.-BLOCOS PAN'!$A$38:$B$52,2,FALSE)</f>
        <v>IPIRANGA</v>
      </c>
      <c r="C48" t="s">
        <v>296</v>
      </c>
      <c r="D48" t="str">
        <f>VLOOKUP(A48,'CAPEX Manut. Estr_Naveg. Aérea'!$A$2:$B$38,2,FALSE)</f>
        <v>Santo Antônio do Içá</v>
      </c>
      <c r="E48" t="s">
        <v>35</v>
      </c>
      <c r="F48" t="s">
        <v>33</v>
      </c>
      <c r="G48" t="s">
        <v>34</v>
      </c>
      <c r="H48" s="7">
        <f>(VLOOKUP(A48,'CAPEX Manut. Estr_PPD e Taxiway'!$A$4:$C$18,3,FALSE)+VLOOKUP(A48,'CAPEX Manut. Estr_PPD e Taxiway'!$A$4:$M$18,13,FALSE)+VLOOKUP(A48,'CAPEX Manut. Estratégicos_Pátio'!$A$6:$C$20,3,FALSE)+VLOOKUP(A48,'CAPEX Manut. Estratégicos_Pátio'!$A$6:$M$20,13,FALSE)+VLOOKUP(A48,'CAPEX Manut. Estr_Cerca Operac.'!$A$2:$F$16,6,FALSE))*1.7</f>
        <v>15305663.27348168</v>
      </c>
      <c r="I48" s="7">
        <f>(VLOOKUP(A48,'CAPEX Manut. Estr_Naveg. Aérea'!$A$2:$AB$16,28,FALSE))*1.7</f>
        <v>6018157.881463768</v>
      </c>
      <c r="J48" s="7">
        <v>0</v>
      </c>
      <c r="K48" s="7">
        <v>0</v>
      </c>
      <c r="L48" s="7">
        <f>(VLOOKUP(A48,'CAPEX Manut. Estr_PPD e Taxiway'!$A$4:$D$18,4,FALSE)+VLOOKUP(A48,'CAPEX Manut. Estratégicos_Pátio'!$A$6:$D$20,4,FALSE))*1.7</f>
        <v>27262.695999999996</v>
      </c>
      <c r="M48" s="7">
        <v>0</v>
      </c>
      <c r="N48" s="7">
        <v>0</v>
      </c>
      <c r="O48" s="7">
        <f>(VLOOKUP(A48,'CAPEX Manut. Estr_PPD e Taxiway'!$A$4:$E$18,5,FALSE)+VLOOKUP(A48,'CAPEX Manut. Estratégicos_Pátio'!$A$6:$E$20,5,FALSE))*1.7</f>
        <v>27262.695999999996</v>
      </c>
      <c r="P48" s="7">
        <v>0</v>
      </c>
      <c r="Q48" s="7">
        <f>(VLOOKUP($A48,'CAPEX Manut. Estr_PPD e Taxiway'!$A$4:$F$18,6,FALSE)+VLOOKUP(A48,'CAPEX Manut. Estratégicos_Pátio'!$A$6:$F$20,6,FALSE))*1.7</f>
        <v>9431910.9639999997</v>
      </c>
      <c r="R48" s="7">
        <v>0</v>
      </c>
      <c r="S48" s="7">
        <v>0</v>
      </c>
      <c r="T48" s="7">
        <v>0</v>
      </c>
      <c r="U48" s="7">
        <v>0</v>
      </c>
      <c r="V48" s="7">
        <f>(VLOOKUP($A48,'CAPEX Manut. Estr_PPD e Taxiway'!$A$4:$G$18,7,FALSE)+VLOOKUP($A48,'CAPEX Manut. Estratégicos_Pátio'!$A$6:$G$20,7,FALSE))*1.7</f>
        <v>27262.695999999996</v>
      </c>
      <c r="W48" s="7">
        <v>0</v>
      </c>
      <c r="X48" s="7">
        <v>0</v>
      </c>
      <c r="Y48" s="7">
        <f>(VLOOKUP($A48,'CAPEX Manut. Estr_PPD e Taxiway'!$A$4:$H$18,8,FALSE)+VLOOKUP($A48,'CAPEX Manut. Estratégicos_Pátio'!$A$6:$H$20,8,FALSE))*1.7</f>
        <v>27262.695999999996</v>
      </c>
      <c r="Z48" s="7">
        <v>0</v>
      </c>
      <c r="AA48" s="7">
        <f>(VLOOKUP($A48,'CAPEX Manut. Estr_PPD e Taxiway'!$A$4:$I$18,9,FALSE)+VLOOKUP($A48,'CAPEX Manut. Estratégicos_Pátio'!$A$6:$I$20,9,FALSE))*1.7</f>
        <v>9431910.9639999997</v>
      </c>
      <c r="AB48" s="7">
        <v>0</v>
      </c>
      <c r="AC48" s="7">
        <v>0</v>
      </c>
      <c r="AD48" s="7">
        <v>0</v>
      </c>
      <c r="AE48" s="7">
        <v>0</v>
      </c>
      <c r="AF48" s="7">
        <f>(VLOOKUP($A48,'CAPEX Manut. Estr_PPD e Taxiway'!$A$4:$J$18,10,FALSE)+VLOOKUP($A48,'CAPEX Manut. Estratégicos_Pátio'!$A$6:$J$20,10,FALSE))*1.7</f>
        <v>27262.695999999996</v>
      </c>
      <c r="AG48" s="7">
        <v>0</v>
      </c>
      <c r="AH48" s="7">
        <v>0</v>
      </c>
      <c r="AI48" s="7">
        <f>(VLOOKUP($A48,'CAPEX Manut. Estr_PPD e Taxiway'!$A$4:$K$18,11,FALSE)+VLOOKUP($A48,'CAPEX Manut. Estratégicos_Pátio'!$A$6:$K$20,11,FALSE))*1.7</f>
        <v>27262.695999999996</v>
      </c>
      <c r="AJ48" s="7">
        <v>0</v>
      </c>
      <c r="AK48" s="7">
        <v>0</v>
      </c>
      <c r="AL48" s="7">
        <v>0</v>
      </c>
      <c r="AM48" s="1">
        <f t="shared" si="0"/>
        <v>40351219.25894545</v>
      </c>
      <c r="AN48" t="str">
        <f>VLOOKUP(C48,'[6]CAPEX - BLOCOS PAN'!$C$3:$AN$249,38,FALSE)</f>
        <v>N</v>
      </c>
      <c r="AO48" s="3" t="s">
        <v>171</v>
      </c>
      <c r="AP48" s="3" t="s">
        <v>171</v>
      </c>
      <c r="AQ48" s="3" t="s">
        <v>171</v>
      </c>
      <c r="AR48" s="3" t="s">
        <v>171</v>
      </c>
      <c r="AS48" s="3" t="s">
        <v>171</v>
      </c>
      <c r="AT48" s="3" t="s">
        <v>171</v>
      </c>
      <c r="AU48" s="3" t="s">
        <v>171</v>
      </c>
      <c r="AV48" t="str">
        <f>VLOOKUP(C48,'[6]CAPEX - BLOCOS PAN'!$C$3:$AV$249,46,FALSE)</f>
        <v>Privada</v>
      </c>
      <c r="AW48" t="str">
        <f>VLOOKUP(C48,'FLUXO DE CAIXA DESC.-BLOCOS PAN'!$D$3:$AO$52,38,FALSE)</f>
        <v>AC + AM - 1 - AL</v>
      </c>
    </row>
    <row r="49" spans="1:49" x14ac:dyDescent="0.35">
      <c r="A49" t="s">
        <v>151</v>
      </c>
      <c r="B49" t="str">
        <f>VLOOKUP(A49,'FLUXO DE CAIXA DESC.-BLOCOS PAN'!$A$38:$B$52,2,FALSE)</f>
        <v>FONTE BOA</v>
      </c>
      <c r="C49" t="s">
        <v>297</v>
      </c>
      <c r="D49" t="str">
        <f>VLOOKUP(A49,'CAPEX Manut. Estr_Naveg. Aérea'!$A$2:$B$38,2,FALSE)</f>
        <v>Fonte Boa</v>
      </c>
      <c r="E49" t="s">
        <v>35</v>
      </c>
      <c r="F49" t="s">
        <v>33</v>
      </c>
      <c r="G49" t="s">
        <v>34</v>
      </c>
      <c r="H49" s="7">
        <f>(VLOOKUP(A49,'CAPEX Manut. Estr_PPD e Taxiway'!$A$4:$C$18,3,FALSE)+VLOOKUP(A49,'CAPEX Manut. Estr_PPD e Taxiway'!$A$4:$M$18,13,FALSE)+VLOOKUP(A49,'CAPEX Manut. Estratégicos_Pátio'!$A$6:$C$20,3,FALSE)+VLOOKUP(A49,'CAPEX Manut. Estratégicos_Pátio'!$A$6:$M$20,13,FALSE)+VLOOKUP(A49,'CAPEX Manut. Estr_Cerca Operac.'!$A$2:$F$16,6,FALSE))*1.7</f>
        <v>12513758.443220306</v>
      </c>
      <c r="I49" s="7">
        <f>(VLOOKUP(A49,'CAPEX Manut. Estr_Naveg. Aérea'!$A$2:$AB$16,28,FALSE))*1.7</f>
        <v>5995010.4094637688</v>
      </c>
      <c r="J49" s="7">
        <v>0</v>
      </c>
      <c r="K49" s="7">
        <v>0</v>
      </c>
      <c r="L49" s="7">
        <f>(VLOOKUP(A49,'CAPEX Manut. Estr_PPD e Taxiway'!$A$4:$D$18,4,FALSE)+VLOOKUP(A49,'CAPEX Manut. Estratégicos_Pátio'!$A$6:$D$20,4,FALSE))*1.7</f>
        <v>24806.587</v>
      </c>
      <c r="M49" s="7">
        <v>0</v>
      </c>
      <c r="N49" s="7">
        <v>0</v>
      </c>
      <c r="O49" s="7">
        <f>(VLOOKUP(A49,'CAPEX Manut. Estr_PPD e Taxiway'!$A$4:$E$18,5,FALSE)+VLOOKUP(A49,'CAPEX Manut. Estratégicos_Pátio'!$A$6:$E$20,5,FALSE))*1.7</f>
        <v>24806.587</v>
      </c>
      <c r="P49" s="7">
        <v>0</v>
      </c>
      <c r="Q49" s="7">
        <f>(VLOOKUP($A49,'CAPEX Manut. Estr_PPD e Taxiway'!$A$4:$F$18,6,FALSE)+VLOOKUP(A49,'CAPEX Manut. Estratégicos_Pátio'!$A$6:$F$20,6,FALSE))*1.7</f>
        <v>7268908.1269999994</v>
      </c>
      <c r="R49" s="7">
        <v>0</v>
      </c>
      <c r="S49" s="7">
        <v>0</v>
      </c>
      <c r="T49" s="7">
        <v>0</v>
      </c>
      <c r="U49" s="7">
        <v>0</v>
      </c>
      <c r="V49" s="7">
        <f>(VLOOKUP($A49,'CAPEX Manut. Estr_PPD e Taxiway'!$A$4:$G$18,7,FALSE)+VLOOKUP($A49,'CAPEX Manut. Estratégicos_Pátio'!$A$6:$G$20,7,FALSE))*1.7</f>
        <v>24806.587</v>
      </c>
      <c r="W49" s="7">
        <v>0</v>
      </c>
      <c r="X49" s="7">
        <v>0</v>
      </c>
      <c r="Y49" s="7">
        <f>(VLOOKUP($A49,'CAPEX Manut. Estr_PPD e Taxiway'!$A$4:$H$18,8,FALSE)+VLOOKUP($A49,'CAPEX Manut. Estratégicos_Pátio'!$A$6:$H$20,8,FALSE))*1.7</f>
        <v>24806.587</v>
      </c>
      <c r="Z49" s="7">
        <v>0</v>
      </c>
      <c r="AA49" s="7">
        <f>(VLOOKUP($A49,'CAPEX Manut. Estr_PPD e Taxiway'!$A$4:$I$18,9,FALSE)+VLOOKUP($A49,'CAPEX Manut. Estratégicos_Pátio'!$A$6:$I$20,9,FALSE))*1.7</f>
        <v>7268908.1269999994</v>
      </c>
      <c r="AB49" s="7">
        <v>0</v>
      </c>
      <c r="AC49" s="7">
        <v>0</v>
      </c>
      <c r="AD49" s="7">
        <v>0</v>
      </c>
      <c r="AE49" s="7">
        <v>0</v>
      </c>
      <c r="AF49" s="7">
        <f>(VLOOKUP($A49,'CAPEX Manut. Estr_PPD e Taxiway'!$A$4:$J$18,10,FALSE)+VLOOKUP($A49,'CAPEX Manut. Estratégicos_Pátio'!$A$6:$J$20,10,FALSE))*1.7</f>
        <v>24806.587</v>
      </c>
      <c r="AG49" s="7">
        <v>0</v>
      </c>
      <c r="AH49" s="7">
        <v>0</v>
      </c>
      <c r="AI49" s="7">
        <f>(VLOOKUP($A49,'CAPEX Manut. Estr_PPD e Taxiway'!$A$4:$K$18,11,FALSE)+VLOOKUP($A49,'CAPEX Manut. Estratégicos_Pátio'!$A$6:$K$20,11,FALSE))*1.7</f>
        <v>24806.587</v>
      </c>
      <c r="AJ49" s="7">
        <v>0</v>
      </c>
      <c r="AK49" s="7">
        <v>0</v>
      </c>
      <c r="AL49" s="7">
        <v>0</v>
      </c>
      <c r="AM49" s="1">
        <f t="shared" si="0"/>
        <v>33195424.628684081</v>
      </c>
      <c r="AN49" t="str">
        <f>VLOOKUP(C49,'[6]CAPEX - BLOCOS PAN'!$C$3:$AN$249,38,FALSE)</f>
        <v>N</v>
      </c>
      <c r="AO49" s="3" t="s">
        <v>171</v>
      </c>
      <c r="AP49" s="3" t="s">
        <v>171</v>
      </c>
      <c r="AQ49" s="3" t="s">
        <v>171</v>
      </c>
      <c r="AR49" s="3" t="s">
        <v>171</v>
      </c>
      <c r="AS49" s="3" t="s">
        <v>171</v>
      </c>
      <c r="AT49" s="3" t="s">
        <v>171</v>
      </c>
      <c r="AU49" s="3" t="s">
        <v>171</v>
      </c>
      <c r="AV49" t="str">
        <f>VLOOKUP(C49,'[6]CAPEX - BLOCOS PAN'!$C$3:$AV$249,46,FALSE)</f>
        <v>Privada</v>
      </c>
      <c r="AW49" t="str">
        <f>VLOOKUP(C49,'FLUXO DE CAIXA DESC.-BLOCOS PAN'!$D$3:$AO$52,38,FALSE)</f>
        <v>AM - 2 - AL</v>
      </c>
    </row>
    <row r="50" spans="1:49" x14ac:dyDescent="0.35">
      <c r="A50" t="s">
        <v>155</v>
      </c>
      <c r="B50" t="str">
        <f>VLOOKUP(A50,'FLUXO DE CAIXA DESC.-BLOCOS PAN'!$A$38:$B$52,2,FALSE)</f>
        <v>PRIMAVERA DO LESTE</v>
      </c>
      <c r="C50" t="s">
        <v>298</v>
      </c>
      <c r="D50" t="str">
        <f>VLOOKUP(A50,'CAPEX Manut. Estr_Naveg. Aérea'!$A$2:$B$38,2,FALSE)</f>
        <v>Primavera do Leste</v>
      </c>
      <c r="E50" t="s">
        <v>37</v>
      </c>
      <c r="F50" t="s">
        <v>33</v>
      </c>
      <c r="G50" t="s">
        <v>34</v>
      </c>
      <c r="H50" s="7">
        <f>(VLOOKUP(A50,'CAPEX Manut. Estr_PPD e Taxiway'!$A$4:$C$18,3,FALSE)+VLOOKUP(A50,'CAPEX Manut. Estr_PPD e Taxiway'!$A$4:$M$18,13,FALSE)+VLOOKUP(A50,'CAPEX Manut. Estratégicos_Pátio'!$A$6:$C$20,3,FALSE)+VLOOKUP(A50,'CAPEX Manut. Estratégicos_Pátio'!$A$6:$M$20,13,FALSE)+VLOOKUP(A50,'CAPEX Manut. Estr_Cerca Operac.'!$A$2:$F$16,6,FALSE))*1.5</f>
        <v>9050519.8947186731</v>
      </c>
      <c r="I50" s="7">
        <f>(VLOOKUP(A50,'CAPEX Manut. Estr_Naveg. Aérea'!$A$2:$AB$16,28,FALSE))*1.5</f>
        <v>4905916.5150000006</v>
      </c>
      <c r="J50" s="7">
        <v>0</v>
      </c>
      <c r="K50" s="7">
        <v>0</v>
      </c>
      <c r="L50" s="7">
        <f>(VLOOKUP(A50,'CAPEX Manut. Estr_PPD e Taxiway'!$A$4:$D$18,4,FALSE)+VLOOKUP(A50,'CAPEX Manut. Estratégicos_Pátio'!$A$6:$D$20,4,FALSE))*1.5</f>
        <v>49974.240000000005</v>
      </c>
      <c r="M50" s="7">
        <v>0</v>
      </c>
      <c r="N50" s="7">
        <v>0</v>
      </c>
      <c r="O50" s="7">
        <f>(VLOOKUP(A50,'CAPEX Manut. Estr_PPD e Taxiway'!$A$4:$E$18,5,FALSE)+VLOOKUP(A50,'CAPEX Manut. Estratégicos_Pátio'!$A$6:$E$20,5,FALSE))*1.5</f>
        <v>49974.240000000005</v>
      </c>
      <c r="P50" s="7">
        <v>0</v>
      </c>
      <c r="Q50" s="7">
        <f>(VLOOKUP($A50,'CAPEX Manut. Estr_PPD e Taxiway'!$A$4:$F$18,6,FALSE)+VLOOKUP(A50,'CAPEX Manut. Estratégicos_Pátio'!$A$6:$F$20,6,FALSE))*1.5</f>
        <v>5849314.29</v>
      </c>
      <c r="R50" s="7">
        <v>0</v>
      </c>
      <c r="S50" s="7">
        <v>0</v>
      </c>
      <c r="T50" s="7">
        <v>0</v>
      </c>
      <c r="U50" s="7">
        <v>0</v>
      </c>
      <c r="V50" s="7">
        <f>(VLOOKUP($A50,'CAPEX Manut. Estr_PPD e Taxiway'!$A$4:$G$18,7,FALSE)+VLOOKUP($A50,'CAPEX Manut. Estratégicos_Pátio'!$A$6:$G$20,7,FALSE))*1.5</f>
        <v>49974.240000000005</v>
      </c>
      <c r="W50" s="7">
        <v>0</v>
      </c>
      <c r="X50" s="7">
        <v>0</v>
      </c>
      <c r="Y50" s="7">
        <f>(VLOOKUP($A50,'CAPEX Manut. Estr_PPD e Taxiway'!$A$4:$H$18,8,FALSE)+VLOOKUP($A50,'CAPEX Manut. Estratégicos_Pátio'!$A$6:$H$20,8,FALSE))*1.5</f>
        <v>49974.240000000005</v>
      </c>
      <c r="Z50" s="7">
        <v>0</v>
      </c>
      <c r="AA50" s="7">
        <f>(VLOOKUP($A50,'CAPEX Manut. Estr_PPD e Taxiway'!$A$4:$I$18,9,FALSE)+VLOOKUP($A50,'CAPEX Manut. Estratégicos_Pátio'!$A$6:$I$20,9,FALSE))*1.5</f>
        <v>5849314.29</v>
      </c>
      <c r="AB50" s="7">
        <v>0</v>
      </c>
      <c r="AC50" s="7">
        <v>0</v>
      </c>
      <c r="AD50" s="7">
        <v>0</v>
      </c>
      <c r="AE50" s="7">
        <v>0</v>
      </c>
      <c r="AF50" s="7">
        <f>(VLOOKUP($A50,'CAPEX Manut. Estr_PPD e Taxiway'!$A$4:$J$18,10,FALSE)+VLOOKUP($A50,'CAPEX Manut. Estratégicos_Pátio'!$A$6:$J$20,10,FALSE))*1.5</f>
        <v>49974.240000000005</v>
      </c>
      <c r="AG50" s="7">
        <v>0</v>
      </c>
      <c r="AH50" s="7">
        <v>0</v>
      </c>
      <c r="AI50" s="7">
        <f>(VLOOKUP($A50,'CAPEX Manut. Estr_PPD e Taxiway'!$A$4:$K$18,11,FALSE)+VLOOKUP($A50,'CAPEX Manut. Estratégicos_Pátio'!$A$6:$K$20,11,FALSE))*1.5</f>
        <v>49974.240000000005</v>
      </c>
      <c r="AJ50" s="7">
        <v>0</v>
      </c>
      <c r="AK50" s="7">
        <v>0</v>
      </c>
      <c r="AL50" s="7">
        <v>0</v>
      </c>
      <c r="AM50" s="1">
        <f t="shared" si="0"/>
        <v>25954910.429718666</v>
      </c>
      <c r="AN50" t="str">
        <f>VLOOKUP(C50,'[6]CAPEX - BLOCOS PAN'!$C$3:$AN$249,38,FALSE)</f>
        <v>NE e CO</v>
      </c>
      <c r="AO50" s="3" t="s">
        <v>171</v>
      </c>
      <c r="AP50" s="3" t="s">
        <v>171</v>
      </c>
      <c r="AQ50" s="3" t="s">
        <v>171</v>
      </c>
      <c r="AR50" s="3" t="s">
        <v>171</v>
      </c>
      <c r="AS50" s="3" t="s">
        <v>171</v>
      </c>
      <c r="AT50" s="3" t="s">
        <v>171</v>
      </c>
      <c r="AU50" s="3" t="s">
        <v>171</v>
      </c>
      <c r="AV50" t="str">
        <f>VLOOKUP(C50,'[6]CAPEX - BLOCOS PAN'!$C$3:$AV$249,46,FALSE)</f>
        <v>Privada</v>
      </c>
      <c r="AW50" t="str">
        <f>VLOOKUP(C50,'FLUXO DE CAIXA DESC.-BLOCOS PAN'!$D$3:$AO$52,38,FALSE)</f>
        <v>MT - 2 - AL</v>
      </c>
    </row>
    <row r="51" spans="1:49" x14ac:dyDescent="0.35">
      <c r="A51" t="s">
        <v>156</v>
      </c>
      <c r="B51" t="str">
        <f>VLOOKUP(A51,'FLUXO DE CAIXA DESC.-BLOCOS PAN'!$A$38:$B$52,2,FALSE)</f>
        <v>SANTA ISABEL DO RIO NEGRO</v>
      </c>
      <c r="C51" t="s">
        <v>299</v>
      </c>
      <c r="D51" t="str">
        <f>VLOOKUP(A51,'CAPEX Manut. Estr_Naveg. Aérea'!$A$2:$B$38,2,FALSE)</f>
        <v>Santa Isabel do Rio Negro</v>
      </c>
      <c r="E51" t="s">
        <v>35</v>
      </c>
      <c r="F51" t="s">
        <v>33</v>
      </c>
      <c r="G51" t="s">
        <v>34</v>
      </c>
      <c r="H51" s="7">
        <f>(VLOOKUP(A51,'CAPEX Manut. Estr_PPD e Taxiway'!$A$4:$C$18,3,FALSE)+VLOOKUP(A51,'CAPEX Manut. Estr_PPD e Taxiway'!$A$4:$M$18,13,FALSE)+VLOOKUP(A51,'CAPEX Manut. Estratégicos_Pátio'!$A$6:$C$20,3,FALSE)+VLOOKUP(A51,'CAPEX Manut. Estratégicos_Pátio'!$A$6:$M$20,13,FALSE)+VLOOKUP(A51,'CAPEX Manut. Estr_Cerca Operac.'!$A$2:$F$16,6,FALSE))*1.7</f>
        <v>12782736.74986067</v>
      </c>
      <c r="I51" s="7">
        <f>(VLOOKUP(A51,'CAPEX Manut. Estr_Naveg. Aérea'!$A$2:$AB$16,28,FALSE))*1.7</f>
        <v>5983436.6734637683</v>
      </c>
      <c r="J51" s="7">
        <v>0</v>
      </c>
      <c r="K51" s="7">
        <v>0</v>
      </c>
      <c r="L51" s="7">
        <f>(VLOOKUP(A51,'CAPEX Manut. Estr_PPD e Taxiway'!$A$4:$D$18,4,FALSE)+VLOOKUP(A51,'CAPEX Manut. Estratégicos_Pátio'!$A$6:$D$20,4,FALSE))*1.7</f>
        <v>23910.109</v>
      </c>
      <c r="M51" s="7">
        <v>0</v>
      </c>
      <c r="N51" s="7">
        <v>0</v>
      </c>
      <c r="O51" s="7">
        <f>(VLOOKUP(A51,'CAPEX Manut. Estr_PPD e Taxiway'!$A$4:$E$18,5,FALSE)+VLOOKUP(A51,'CAPEX Manut. Estratégicos_Pátio'!$A$6:$E$20,5,FALSE))*1.7</f>
        <v>23910.109</v>
      </c>
      <c r="P51" s="7">
        <v>0</v>
      </c>
      <c r="Q51" s="7">
        <f>(VLOOKUP($A51,'CAPEX Manut. Estr_PPD e Taxiway'!$A$4:$F$18,6,FALSE)+VLOOKUP(A51,'CAPEX Manut. Estratégicos_Pátio'!$A$6:$F$20,6,FALSE))*1.7</f>
        <v>7614988.584999999</v>
      </c>
      <c r="R51" s="7">
        <v>0</v>
      </c>
      <c r="S51" s="7">
        <v>0</v>
      </c>
      <c r="T51" s="7">
        <v>0</v>
      </c>
      <c r="U51" s="7">
        <v>0</v>
      </c>
      <c r="V51" s="7">
        <f>(VLOOKUP($A51,'CAPEX Manut. Estr_PPD e Taxiway'!$A$4:$G$18,7,FALSE)+VLOOKUP($A51,'CAPEX Manut. Estratégicos_Pátio'!$A$6:$G$20,7,FALSE))*1.7</f>
        <v>23910.109</v>
      </c>
      <c r="W51" s="7">
        <v>0</v>
      </c>
      <c r="X51" s="7">
        <v>0</v>
      </c>
      <c r="Y51" s="7">
        <f>(VLOOKUP($A51,'CAPEX Manut. Estr_PPD e Taxiway'!$A$4:$H$18,8,FALSE)+VLOOKUP($A51,'CAPEX Manut. Estratégicos_Pátio'!$A$6:$H$20,8,FALSE))*1.7</f>
        <v>23910.109</v>
      </c>
      <c r="Z51" s="7">
        <v>0</v>
      </c>
      <c r="AA51" s="7">
        <f>(VLOOKUP($A51,'CAPEX Manut. Estr_PPD e Taxiway'!$A$4:$I$18,9,FALSE)+VLOOKUP($A51,'CAPEX Manut. Estratégicos_Pátio'!$A$6:$I$20,9,FALSE))*1.7</f>
        <v>7614988.584999999</v>
      </c>
      <c r="AB51" s="7">
        <v>0</v>
      </c>
      <c r="AC51" s="7">
        <v>0</v>
      </c>
      <c r="AD51" s="7">
        <v>0</v>
      </c>
      <c r="AE51" s="7">
        <v>0</v>
      </c>
      <c r="AF51" s="7">
        <f>(VLOOKUP($A51,'CAPEX Manut. Estr_PPD e Taxiway'!$A$4:$J$18,10,FALSE)+VLOOKUP($A51,'CAPEX Manut. Estratégicos_Pátio'!$A$6:$J$20,10,FALSE))*1.7</f>
        <v>23910.109</v>
      </c>
      <c r="AG51" s="7">
        <v>0</v>
      </c>
      <c r="AH51" s="7">
        <v>0</v>
      </c>
      <c r="AI51" s="7">
        <f>(VLOOKUP($A51,'CAPEX Manut. Estr_PPD e Taxiway'!$A$4:$K$18,11,FALSE)+VLOOKUP($A51,'CAPEX Manut. Estratégicos_Pátio'!$A$6:$K$20,11,FALSE))*1.7</f>
        <v>23910.109</v>
      </c>
      <c r="AJ51" s="7">
        <v>0</v>
      </c>
      <c r="AK51" s="7">
        <v>0</v>
      </c>
      <c r="AL51" s="7">
        <v>0</v>
      </c>
      <c r="AM51" s="1">
        <f t="shared" si="0"/>
        <v>34139611.247324437</v>
      </c>
      <c r="AN51" t="str">
        <f>VLOOKUP(C51,'[6]CAPEX - BLOCOS PAN'!$C$3:$AN$249,38,FALSE)</f>
        <v>N</v>
      </c>
      <c r="AO51" s="3" t="s">
        <v>171</v>
      </c>
      <c r="AP51" s="3" t="s">
        <v>171</v>
      </c>
      <c r="AQ51" s="3" t="s">
        <v>171</v>
      </c>
      <c r="AR51" s="3" t="s">
        <v>171</v>
      </c>
      <c r="AS51" s="3" t="s">
        <v>171</v>
      </c>
      <c r="AT51" s="3" t="s">
        <v>171</v>
      </c>
      <c r="AU51" s="3" t="s">
        <v>171</v>
      </c>
      <c r="AV51" t="str">
        <f>VLOOKUP(C51,'[6]CAPEX - BLOCOS PAN'!$C$3:$AV$249,46,FALSE)</f>
        <v>Privada</v>
      </c>
      <c r="AW51" t="str">
        <f>VLOOKUP(C51,'FLUXO DE CAIXA DESC.-BLOCOS PAN'!$D$3:$AO$52,38,FALSE)</f>
        <v>AM - 2 - AL</v>
      </c>
    </row>
    <row r="52" spans="1:49" x14ac:dyDescent="0.35">
      <c r="A52" t="s">
        <v>160</v>
      </c>
      <c r="B52" t="str">
        <f>VLOOKUP(A52,'FLUXO DE CAIXA DESC.-BLOCOS PAN'!$A$38:$B$52,2,FALSE)</f>
        <v>APUÍ</v>
      </c>
      <c r="C52" t="s">
        <v>300</v>
      </c>
      <c r="D52" t="str">
        <f>VLOOKUP(A52,'CAPEX Manut. Estr_Naveg. Aérea'!$A$2:$B$38,2,FALSE)</f>
        <v>Apuí</v>
      </c>
      <c r="E52" t="s">
        <v>35</v>
      </c>
      <c r="F52" t="s">
        <v>33</v>
      </c>
      <c r="G52" t="s">
        <v>34</v>
      </c>
      <c r="H52" s="7">
        <f>(VLOOKUP(A52,'CAPEX Manut. Estr_PPD e Taxiway'!$A$4:$C$18,3,FALSE)+VLOOKUP(A52,'CAPEX Manut. Estr_PPD e Taxiway'!$A$4:$M$18,13,FALSE)+VLOOKUP(A52,'CAPEX Manut. Estratégicos_Pátio'!$A$6:$C$20,3,FALSE)+VLOOKUP(A52,'CAPEX Manut. Estratégicos_Pátio'!$A$6:$M$20,13,FALSE)+VLOOKUP(A52,'CAPEX Manut. Estr_Cerca Operac.'!$A$2:$F$16,6,FALSE))*1.7</f>
        <v>11047315.467963688</v>
      </c>
      <c r="I52" s="7">
        <f>(VLOOKUP(A52,'CAPEX Manut. Estr_Naveg. Aérea'!$A$2:$AB$16,28,FALSE))*1.7</f>
        <v>5983436.6734637683</v>
      </c>
      <c r="J52" s="7">
        <v>0</v>
      </c>
      <c r="K52" s="7">
        <v>0</v>
      </c>
      <c r="L52" s="7">
        <f>(VLOOKUP(A52,'CAPEX Manut. Estr_PPD e Taxiway'!$A$4:$D$18,4,FALSE)+VLOOKUP(A52,'CAPEX Manut. Estratégicos_Pátio'!$A$6:$D$20,4,FALSE))*1.7</f>
        <v>43595.735000000001</v>
      </c>
      <c r="M52" s="7">
        <v>0</v>
      </c>
      <c r="N52" s="7">
        <v>0</v>
      </c>
      <c r="O52" s="7">
        <f>(VLOOKUP(A52,'CAPEX Manut. Estr_PPD e Taxiway'!$A$4:$E$18,5,FALSE)+VLOOKUP(A52,'CAPEX Manut. Estratégicos_Pátio'!$A$6:$E$20,5,FALSE))*1.7</f>
        <v>43595.735000000001</v>
      </c>
      <c r="P52" s="7">
        <v>0</v>
      </c>
      <c r="Q52" s="7">
        <f>(VLOOKUP($A52,'CAPEX Manut. Estr_PPD e Taxiway'!$A$4:$F$18,6,FALSE)+VLOOKUP(A52,'CAPEX Manut. Estratégicos_Pátio'!$A$6:$F$20,6,FALSE))*1.7</f>
        <v>6560093.1100000003</v>
      </c>
      <c r="R52" s="7">
        <v>0</v>
      </c>
      <c r="S52" s="7">
        <v>0</v>
      </c>
      <c r="T52" s="7">
        <v>0</v>
      </c>
      <c r="U52" s="7">
        <v>0</v>
      </c>
      <c r="V52" s="7">
        <f>(VLOOKUP($A52,'CAPEX Manut. Estr_PPD e Taxiway'!$A$4:$G$18,7,FALSE)+VLOOKUP($A52,'CAPEX Manut. Estratégicos_Pátio'!$A$6:$G$20,7,FALSE))*1.7</f>
        <v>43595.735000000001</v>
      </c>
      <c r="W52" s="7">
        <v>0</v>
      </c>
      <c r="X52" s="7">
        <v>0</v>
      </c>
      <c r="Y52" s="7">
        <f>(VLOOKUP($A52,'CAPEX Manut. Estr_PPD e Taxiway'!$A$4:$H$18,8,FALSE)+VLOOKUP($A52,'CAPEX Manut. Estratégicos_Pátio'!$A$6:$H$20,8,FALSE))*1.7</f>
        <v>43595.735000000001</v>
      </c>
      <c r="Z52" s="7">
        <v>0</v>
      </c>
      <c r="AA52" s="7">
        <f>(VLOOKUP($A52,'CAPEX Manut. Estr_PPD e Taxiway'!$A$4:$I$18,9,FALSE)+VLOOKUP($A52,'CAPEX Manut. Estratégicos_Pátio'!$A$6:$I$20,9,FALSE))*1.7</f>
        <v>6560093.1100000003</v>
      </c>
      <c r="AB52" s="7">
        <v>0</v>
      </c>
      <c r="AC52" s="7">
        <v>0</v>
      </c>
      <c r="AD52" s="7">
        <v>0</v>
      </c>
      <c r="AE52" s="7">
        <v>0</v>
      </c>
      <c r="AF52" s="7">
        <f>(VLOOKUP($A52,'CAPEX Manut. Estr_PPD e Taxiway'!$A$4:$J$18,10,FALSE)+VLOOKUP($A52,'CAPEX Manut. Estratégicos_Pátio'!$A$6:$J$20,10,FALSE))*1.7</f>
        <v>43595.735000000001</v>
      </c>
      <c r="AG52" s="7">
        <v>0</v>
      </c>
      <c r="AH52" s="7">
        <v>0</v>
      </c>
      <c r="AI52" s="7">
        <f>(VLOOKUP($A52,'CAPEX Manut. Estr_PPD e Taxiway'!$A$4:$K$18,11,FALSE)+VLOOKUP($A52,'CAPEX Manut. Estratégicos_Pátio'!$A$6:$K$20,11,FALSE))*1.7</f>
        <v>43595.735000000001</v>
      </c>
      <c r="AJ52" s="7">
        <v>0</v>
      </c>
      <c r="AK52" s="7">
        <v>0</v>
      </c>
      <c r="AL52" s="7">
        <v>0</v>
      </c>
      <c r="AM52" s="1">
        <f>SUM(H52:AL52)</f>
        <v>30412512.771427453</v>
      </c>
      <c r="AN52" t="str">
        <f>VLOOKUP(C52,'[6]CAPEX - BLOCOS PAN'!$C$3:$AN$249,38,FALSE)</f>
        <v>N</v>
      </c>
      <c r="AO52" s="3" t="s">
        <v>171</v>
      </c>
      <c r="AP52" s="3" t="s">
        <v>171</v>
      </c>
      <c r="AQ52" s="3" t="s">
        <v>171</v>
      </c>
      <c r="AR52" s="3" t="s">
        <v>171</v>
      </c>
      <c r="AS52" s="3" t="s">
        <v>171</v>
      </c>
      <c r="AT52" s="3" t="s">
        <v>171</v>
      </c>
      <c r="AU52" s="3" t="s">
        <v>171</v>
      </c>
      <c r="AV52" t="str">
        <f>VLOOKUP(C52,'[6]CAPEX - BLOCOS PAN'!$C$3:$AV$249,46,FALSE)</f>
        <v>Privada</v>
      </c>
      <c r="AW52" t="str">
        <f>VLOOKUP(C52,'FLUXO DE CAIXA DESC.-BLOCOS PAN'!$D$3:$AO$52,38,FALSE)</f>
        <v>AM - 3 - AL</v>
      </c>
    </row>
    <row r="53" spans="1:49" x14ac:dyDescent="0.35">
      <c r="H53" s="69">
        <f>SUBTOTAL(109,H3:H52)</f>
        <v>1832139191.2179329</v>
      </c>
      <c r="I53" s="69">
        <f>SUBTOTAL(109,I3:I52)</f>
        <v>79701889.135231882</v>
      </c>
      <c r="J53" s="69">
        <f>SUBTOTAL(109,J3:J52)</f>
        <v>178695500</v>
      </c>
      <c r="K53" s="69">
        <f>SUBTOTAL(109,K3:K52)</f>
        <v>54663500</v>
      </c>
      <c r="L53" s="69">
        <f>SUBTOTAL(109,L3:L52)</f>
        <v>211373493.59200007</v>
      </c>
      <c r="M53" s="69">
        <f>SUBTOTAL(109,M3:M52)</f>
        <v>0</v>
      </c>
      <c r="N53" s="69">
        <f>SUBTOTAL(109,N3:N52)</f>
        <v>459000</v>
      </c>
      <c r="O53" s="69">
        <f>SUBTOTAL(109,O3:O52)</f>
        <v>1000493.5919999999</v>
      </c>
      <c r="P53" s="69">
        <f>SUBTOTAL(109,P3:P52)</f>
        <v>0</v>
      </c>
      <c r="Q53" s="69">
        <f>SUBTOTAL(109,Q3:Q52)</f>
        <v>108902039.76800001</v>
      </c>
      <c r="R53" s="69">
        <f>SUBTOTAL(109,R3:R52)</f>
        <v>0</v>
      </c>
      <c r="S53" s="69">
        <f>SUBTOTAL(109,S3:S52)</f>
        <v>425000</v>
      </c>
      <c r="T53" s="69">
        <f>SUBTOTAL(109,T3:T52)</f>
        <v>0</v>
      </c>
      <c r="U53" s="69">
        <f>SUBTOTAL(109,U3:U52)</f>
        <v>0</v>
      </c>
      <c r="V53" s="69">
        <f>SUBTOTAL(109,V3:V52)</f>
        <v>1030493.5919999999</v>
      </c>
      <c r="W53" s="69">
        <f>SUBTOTAL(109,W3:W52)</f>
        <v>67920000</v>
      </c>
      <c r="X53" s="69">
        <f>SUBTOTAL(109,X3:X52)</f>
        <v>71745000</v>
      </c>
      <c r="Y53" s="69">
        <f>SUBTOTAL(109,Y3:Y52)</f>
        <v>595493.59199999995</v>
      </c>
      <c r="Z53" s="69">
        <f>SUBTOTAL(109,Z3:Z52)</f>
        <v>0</v>
      </c>
      <c r="AA53" s="69">
        <f>SUBTOTAL(109,AA3:AA52)</f>
        <v>199948539.76800001</v>
      </c>
      <c r="AB53" s="69">
        <f>SUBTOTAL(109,AB3:AB52)</f>
        <v>0</v>
      </c>
      <c r="AC53" s="69">
        <f>SUBTOTAL(109,AC3:AC52)</f>
        <v>0</v>
      </c>
      <c r="AD53" s="69">
        <f>SUBTOTAL(109,AD3:AD52)</f>
        <v>109463000</v>
      </c>
      <c r="AE53" s="69">
        <f>SUBTOTAL(109,AE3:AE52)</f>
        <v>0</v>
      </c>
      <c r="AF53" s="69">
        <f>SUBTOTAL(109,AF3:AF52)</f>
        <v>595493.59199999995</v>
      </c>
      <c r="AG53" s="69">
        <f>SUBTOTAL(109,AG3:AG52)</f>
        <v>52147500</v>
      </c>
      <c r="AH53" s="69">
        <f>SUBTOTAL(109,AH3:AH52)</f>
        <v>305881000</v>
      </c>
      <c r="AI53" s="69">
        <f>SUBTOTAL(109,AI3:AI52)</f>
        <v>591207.26300000004</v>
      </c>
      <c r="AJ53" s="69">
        <f>SUBTOTAL(109,AJ3:AJ52)</f>
        <v>459000</v>
      </c>
      <c r="AK53" s="69">
        <f>SUBTOTAL(109,AK3:AK52)</f>
        <v>112353000</v>
      </c>
      <c r="AL53" s="69">
        <f>SUBTOTAL(109,AL3:AL52)</f>
        <v>0</v>
      </c>
      <c r="AM53" s="69">
        <f>SUBTOTAL(109,AM3:AM52)</f>
        <v>3390089835.112164</v>
      </c>
    </row>
    <row r="54" spans="1:49" x14ac:dyDescent="0.35">
      <c r="H54" s="69">
        <f>H53</f>
        <v>1832139191.2179329</v>
      </c>
      <c r="I54" s="69">
        <f>H54+I53</f>
        <v>1911841080.3531649</v>
      </c>
      <c r="J54" s="69">
        <f t="shared" ref="J54:AL54" si="3">I54+J53</f>
        <v>2090536580.3531649</v>
      </c>
      <c r="K54" s="69">
        <f t="shared" si="3"/>
        <v>2145200080.3531649</v>
      </c>
      <c r="L54" s="69">
        <f t="shared" si="3"/>
        <v>2356573573.9451652</v>
      </c>
      <c r="M54" s="69">
        <f t="shared" si="3"/>
        <v>2356573573.9451652</v>
      </c>
      <c r="N54" s="69">
        <f t="shared" si="3"/>
        <v>2357032573.9451652</v>
      </c>
      <c r="O54" s="69">
        <f t="shared" si="3"/>
        <v>2358033067.5371652</v>
      </c>
      <c r="P54" s="69">
        <f t="shared" si="3"/>
        <v>2358033067.5371652</v>
      </c>
      <c r="Q54" s="69">
        <f t="shared" si="3"/>
        <v>2466935107.3051653</v>
      </c>
      <c r="R54" s="69">
        <f t="shared" si="3"/>
        <v>2466935107.3051653</v>
      </c>
      <c r="S54" s="69">
        <f t="shared" si="3"/>
        <v>2467360107.3051653</v>
      </c>
      <c r="T54" s="69">
        <f t="shared" si="3"/>
        <v>2467360107.3051653</v>
      </c>
      <c r="U54" s="69">
        <f t="shared" si="3"/>
        <v>2467360107.3051653</v>
      </c>
      <c r="V54" s="69">
        <f t="shared" si="3"/>
        <v>2468390600.8971653</v>
      </c>
      <c r="W54" s="69">
        <f t="shared" si="3"/>
        <v>2536310600.8971653</v>
      </c>
      <c r="X54" s="69">
        <f t="shared" si="3"/>
        <v>2608055600.8971653</v>
      </c>
      <c r="Y54" s="69">
        <f t="shared" si="3"/>
        <v>2608651094.4891653</v>
      </c>
      <c r="Z54" s="69">
        <f t="shared" si="3"/>
        <v>2608651094.4891653</v>
      </c>
      <c r="AA54" s="69">
        <f t="shared" si="3"/>
        <v>2808599634.2571654</v>
      </c>
      <c r="AB54" s="69">
        <f t="shared" si="3"/>
        <v>2808599634.2571654</v>
      </c>
      <c r="AC54" s="69">
        <f t="shared" si="3"/>
        <v>2808599634.2571654</v>
      </c>
      <c r="AD54" s="69">
        <f t="shared" si="3"/>
        <v>2918062634.2571654</v>
      </c>
      <c r="AE54" s="69">
        <f t="shared" si="3"/>
        <v>2918062634.2571654</v>
      </c>
      <c r="AF54" s="69">
        <f t="shared" si="3"/>
        <v>2918658127.8491654</v>
      </c>
      <c r="AG54" s="69">
        <f t="shared" si="3"/>
        <v>2970805627.8491654</v>
      </c>
      <c r="AH54" s="69">
        <f t="shared" si="3"/>
        <v>3276686627.8491654</v>
      </c>
      <c r="AI54" s="69">
        <f t="shared" si="3"/>
        <v>3277277835.1121655</v>
      </c>
      <c r="AJ54" s="69">
        <f t="shared" si="3"/>
        <v>3277736835.1121655</v>
      </c>
      <c r="AK54" s="69">
        <f t="shared" si="3"/>
        <v>3390089835.1121655</v>
      </c>
      <c r="AL54" s="69">
        <f t="shared" si="3"/>
        <v>3390089835.1121655</v>
      </c>
    </row>
    <row r="55" spans="1:49" x14ac:dyDescent="0.35">
      <c r="B55" s="2" t="s">
        <v>365</v>
      </c>
      <c r="C55" s="2">
        <v>1.5</v>
      </c>
    </row>
    <row r="56" spans="1:49" x14ac:dyDescent="0.35">
      <c r="B56" s="2" t="s">
        <v>366</v>
      </c>
      <c r="C56" s="2">
        <v>1.7</v>
      </c>
    </row>
    <row r="59" spans="1:49" x14ac:dyDescent="0.35">
      <c r="A59" s="63" t="s">
        <v>354</v>
      </c>
    </row>
  </sheetData>
  <autoFilter ref="A2:AW56" xr:uid="{24AA6034-B2F3-4DF4-8B49-A70A2BCB5D68}"/>
  <conditionalFormatting sqref="C47:C52 C38">
    <cfRule type="duplicateValues" dxfId="17" priority="1"/>
  </conditionalFormatting>
  <conditionalFormatting sqref="C3:C37">
    <cfRule type="duplicateValues" dxfId="16" priority="287"/>
  </conditionalFormatting>
  <hyperlinks>
    <hyperlink ref="A59" location="Introdução!A1" display="Introdução!A1" xr:uid="{1BBF4EA7-8AF3-4196-AFD7-683E89B0D37D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A8D6-B299-4FC9-9EEA-CF3C52240B74}">
  <sheetPr>
    <tabColor theme="3" tint="0.249977111117893"/>
  </sheetPr>
  <dimension ref="A1:AU59"/>
  <sheetViews>
    <sheetView tabSelected="1" topLeftCell="A25" workbookViewId="0">
      <pane xSplit="7" topLeftCell="AM1" activePane="topRight" state="frozen"/>
      <selection pane="topRight" activeCell="AO43" sqref="AO43:AO45"/>
    </sheetView>
  </sheetViews>
  <sheetFormatPr defaultRowHeight="14.5" x14ac:dyDescent="0.35"/>
  <cols>
    <col min="1" max="1" width="18.81640625" bestFit="1" customWidth="1"/>
    <col min="2" max="2" width="7" bestFit="1" customWidth="1"/>
    <col min="3" max="3" width="25.7265625" customWidth="1"/>
    <col min="4" max="4" width="7.453125" bestFit="1" customWidth="1"/>
    <col min="5" max="5" width="13.1796875" bestFit="1" customWidth="1"/>
    <col min="6" max="6" width="20.81640625" customWidth="1"/>
    <col min="7" max="7" width="3.81640625" bestFit="1" customWidth="1"/>
    <col min="8" max="8" width="7.1796875" bestFit="1" customWidth="1"/>
    <col min="9" max="9" width="6.26953125" customWidth="1"/>
    <col min="10" max="13" width="19.54296875" bestFit="1" customWidth="1"/>
    <col min="14" max="39" width="20.54296875" bestFit="1" customWidth="1"/>
    <col min="40" max="40" width="19" bestFit="1" customWidth="1"/>
    <col min="41" max="41" width="21.6328125" bestFit="1" customWidth="1"/>
    <col min="42" max="42" width="18.36328125" bestFit="1" customWidth="1"/>
    <col min="43" max="43" width="21.6328125" customWidth="1"/>
    <col min="44" max="44" width="11.54296875" bestFit="1" customWidth="1"/>
    <col min="45" max="45" width="14.81640625" bestFit="1" customWidth="1"/>
    <col min="46" max="47" width="12.7265625" bestFit="1" customWidth="1"/>
  </cols>
  <sheetData>
    <row r="1" spans="1:47" x14ac:dyDescent="0.35">
      <c r="A1" s="43" t="s">
        <v>393</v>
      </c>
      <c r="B1" s="43" t="s">
        <v>0</v>
      </c>
      <c r="C1" s="43" t="s">
        <v>162</v>
      </c>
      <c r="D1" s="43" t="s">
        <v>163</v>
      </c>
      <c r="E1" s="43" t="s">
        <v>2</v>
      </c>
      <c r="F1" s="43" t="s">
        <v>3</v>
      </c>
      <c r="G1" s="43" t="s">
        <v>4</v>
      </c>
      <c r="H1" s="43" t="s">
        <v>280</v>
      </c>
      <c r="I1" s="45" t="s">
        <v>164</v>
      </c>
      <c r="J1" s="45" t="s">
        <v>356</v>
      </c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357</v>
      </c>
      <c r="AO1" s="43" t="s">
        <v>357</v>
      </c>
      <c r="AP1" s="43" t="s">
        <v>394</v>
      </c>
      <c r="AQ1" s="43" t="s">
        <v>394</v>
      </c>
      <c r="AR1" s="43" t="s">
        <v>302</v>
      </c>
      <c r="AS1" s="43" t="s">
        <v>244</v>
      </c>
      <c r="AT1" s="43" t="s">
        <v>281</v>
      </c>
      <c r="AU1" s="43" t="s">
        <v>282</v>
      </c>
    </row>
    <row r="2" spans="1:47" s="3" customFormat="1" x14ac:dyDescent="0.35">
      <c r="A2" s="56" t="s">
        <v>380</v>
      </c>
      <c r="B2" s="56" t="s">
        <v>0</v>
      </c>
      <c r="C2" s="56" t="s">
        <v>162</v>
      </c>
      <c r="D2" s="56" t="s">
        <v>163</v>
      </c>
      <c r="E2" s="56" t="s">
        <v>2</v>
      </c>
      <c r="F2" s="56" t="s">
        <v>3</v>
      </c>
      <c r="G2" s="56" t="s">
        <v>4</v>
      </c>
      <c r="H2" s="56" t="s">
        <v>280</v>
      </c>
      <c r="I2" s="57" t="s">
        <v>164</v>
      </c>
      <c r="J2" s="43">
        <v>1</v>
      </c>
      <c r="K2" s="43">
        <v>2</v>
      </c>
      <c r="L2" s="43">
        <v>3</v>
      </c>
      <c r="M2" s="43">
        <v>4</v>
      </c>
      <c r="N2" s="43">
        <v>5</v>
      </c>
      <c r="O2" s="43">
        <v>6</v>
      </c>
      <c r="P2" s="43">
        <v>7</v>
      </c>
      <c r="Q2" s="43">
        <v>8</v>
      </c>
      <c r="R2" s="43">
        <v>9</v>
      </c>
      <c r="S2" s="43">
        <v>10</v>
      </c>
      <c r="T2" s="43">
        <v>11</v>
      </c>
      <c r="U2" s="43">
        <v>12</v>
      </c>
      <c r="V2" s="43">
        <v>13</v>
      </c>
      <c r="W2" s="43">
        <v>14</v>
      </c>
      <c r="X2" s="43">
        <v>15</v>
      </c>
      <c r="Y2" s="43">
        <v>16</v>
      </c>
      <c r="Z2" s="43">
        <v>17</v>
      </c>
      <c r="AA2" s="43">
        <v>18</v>
      </c>
      <c r="AB2" s="43">
        <v>19</v>
      </c>
      <c r="AC2" s="43">
        <v>20</v>
      </c>
      <c r="AD2" s="43">
        <v>21</v>
      </c>
      <c r="AE2" s="43">
        <v>22</v>
      </c>
      <c r="AF2" s="43">
        <v>23</v>
      </c>
      <c r="AG2" s="43">
        <v>24</v>
      </c>
      <c r="AH2" s="43">
        <v>25</v>
      </c>
      <c r="AI2" s="43">
        <v>26</v>
      </c>
      <c r="AJ2" s="43">
        <v>27</v>
      </c>
      <c r="AK2" s="43">
        <v>28</v>
      </c>
      <c r="AL2" s="43">
        <v>29</v>
      </c>
      <c r="AM2" s="43">
        <v>30</v>
      </c>
      <c r="AN2" s="43" t="s">
        <v>250</v>
      </c>
      <c r="AO2" s="43" t="s">
        <v>395</v>
      </c>
      <c r="AP2" s="43" t="s">
        <v>250</v>
      </c>
      <c r="AQ2" s="43" t="s">
        <v>395</v>
      </c>
      <c r="AR2" s="56" t="s">
        <v>302</v>
      </c>
      <c r="AS2" s="56" t="s">
        <v>244</v>
      </c>
      <c r="AT2" s="56" t="s">
        <v>281</v>
      </c>
      <c r="AU2" s="56" t="s">
        <v>282</v>
      </c>
    </row>
    <row r="3" spans="1:47" x14ac:dyDescent="0.35">
      <c r="A3" s="89" t="str">
        <f>VLOOKUP(E3,'FLUXO DE CAIXA DESC.-SEM MULT.'!$D$3:$AT$52,43,FALSE)</f>
        <v>Bloco 1 - AC/AM</v>
      </c>
      <c r="B3" t="s">
        <v>71</v>
      </c>
      <c r="C3" t="s">
        <v>169</v>
      </c>
      <c r="D3">
        <v>120060</v>
      </c>
      <c r="E3" t="s">
        <v>73</v>
      </c>
      <c r="F3" t="s">
        <v>72</v>
      </c>
      <c r="G3" t="s">
        <v>41</v>
      </c>
      <c r="H3" t="s">
        <v>259</v>
      </c>
      <c r="I3" t="s">
        <v>33</v>
      </c>
      <c r="J3" s="1">
        <f>(VLOOKUP($E3,'RECEITAS - BLOCOS PAN'!$D$3:$H$52,5,FALSE)-VLOOKUP('BLOCOS - AMPLIAR'!$E3,'OPEX - BLOCOS PAN'!$D$3:$H$52,5,FALSE)-VLOOKUP('BLOCOS - AMPLIAR'!$E3,'CAPEX - BLOCOS PAN'!$C$3:$H$52,6,FALSE))*'BLOCOS - AMPLIAR'!J$57</f>
        <v>-23977397.402533334</v>
      </c>
      <c r="K3" s="1">
        <f>(VLOOKUP($E3,'RECEITAS - BLOCOS PAN'!$D$3:$I$52,6,FALSE)-VLOOKUP('BLOCOS - AMPLIAR'!$E3,'OPEX - BLOCOS PAN'!$D$3:$I$52,6,FALSE)-VLOOKUP('BLOCOS - AMPLIAR'!$E3,'CAPEX - BLOCOS PAN'!$C$3:$I$52,7,FALSE))*'BLOCOS - AMPLIAR'!K$57</f>
        <v>-21877818.964795373</v>
      </c>
      <c r="L3" s="1">
        <f>(VLOOKUP($E3,'RECEITAS - BLOCOS PAN'!$D$3:$J$52,7,FALSE)-VLOOKUP('BLOCOS - AMPLIAR'!$E3,'OPEX - BLOCOS PAN'!$D$3:$J$52,7,FALSE)-VLOOKUP('BLOCOS - AMPLIAR'!$E3,'CAPEX - BLOCOS PAN'!$C$3:$J$52,8,FALSE))*'BLOCOS - AMPLIAR'!L$57</f>
        <v>-19963653.888294391</v>
      </c>
      <c r="M3" s="1">
        <f>('RECEITAS - BLOCOS PAN'!K11-'OPEX - BLOCOS PAN'!K11-VLOOKUP('BLOCOS - AMPLIAR'!$E47,'CAPEX - BLOCOS PAN'!$C$3:$K$52,9,FALSE))*'BLOCOS - AMPLIAR'!M$57</f>
        <v>-1936866.0905404971</v>
      </c>
      <c r="N3" s="1">
        <f>('RECEITAS - BLOCOS PAN'!L11-'OPEX - BLOCOS PAN'!L11-VLOOKUP('BLOCOS - AMPLIAR'!$E47,'CAPEX - BLOCOS PAN'!$C$3:$L$52,10,FALSE))*'BLOCOS - AMPLIAR'!N$57</f>
        <v>-1764118.2942715366</v>
      </c>
      <c r="O3" s="1">
        <f>('RECEITAS - BLOCOS PAN'!M11-'OPEX - BLOCOS PAN'!M11-VLOOKUP('BLOCOS - AMPLIAR'!$E47,'CAPEX - BLOCOS PAN'!$C$3:$M$52,11,FALSE))*'BLOCOS - AMPLIAR'!O$57</f>
        <v>-1606839.5093424446</v>
      </c>
      <c r="P3" s="1">
        <f>('RECEITAS - BLOCOS PAN'!N11-'OPEX - BLOCOS PAN'!N11-VLOOKUP('BLOCOS - AMPLIAR'!$E47,'CAPEX - BLOCOS PAN'!$C$3:$N$52,12,FALSE))*'BLOCOS - AMPLIAR'!P$57</f>
        <v>-1463785.3582641229</v>
      </c>
      <c r="Q3" s="1">
        <f>('RECEITAS - BLOCOS PAN'!O11-'OPEX - BLOCOS PAN'!O11-VLOOKUP('BLOCOS - AMPLIAR'!$E47,'CAPEX - BLOCOS PAN'!$C$3:$O$52,13,FALSE))*'BLOCOS - AMPLIAR'!Q$57</f>
        <v>-1333549.1699512659</v>
      </c>
      <c r="R3" s="1">
        <f>('RECEITAS - BLOCOS PAN'!P11-'OPEX - BLOCOS PAN'!P11-VLOOKUP('BLOCOS - AMPLIAR'!$E47,'CAPEX - BLOCOS PAN'!$C$3:$P$52,14,FALSE))*'BLOCOS - AMPLIAR'!R$57</f>
        <v>-1214923.2877335425</v>
      </c>
      <c r="S3" s="1">
        <f>('RECEITAS - BLOCOS PAN'!Q11-'OPEX - BLOCOS PAN'!Q11-VLOOKUP('BLOCOS - AMPLIAR'!$E47,'CAPEX - BLOCOS PAN'!$C$3:$Q$52,15,FALSE))*'BLOCOS - AMPLIAR'!S$57</f>
        <v>-1106992.7158003733</v>
      </c>
      <c r="T3" s="1">
        <f>('RECEITAS - BLOCOS PAN'!R11-'OPEX - BLOCOS PAN'!R11-VLOOKUP('BLOCOS - AMPLIAR'!$E47,'CAPEX - BLOCOS PAN'!$C$3:$R$52,16,FALSE))*'BLOCOS - AMPLIAR'!T$57</f>
        <v>-1008842.3441459201</v>
      </c>
      <c r="U3" s="1">
        <f>('RECEITAS - BLOCOS PAN'!S11-'OPEX - BLOCOS PAN'!S11-VLOOKUP('BLOCOS - AMPLIAR'!$E47,'CAPEX - BLOCOS PAN'!$C$3:$S$52,17,FALSE))*'BLOCOS - AMPLIAR'!U$57</f>
        <v>-919266.08404868341</v>
      </c>
      <c r="V3" s="1">
        <f>('RECEITAS - BLOCOS PAN'!T11-'OPEX - BLOCOS PAN'!T11-VLOOKUP('BLOCOS - AMPLIAR'!$E47,'CAPEX - BLOCOS PAN'!$C$3:$T$52,18,FALSE))*'BLOCOS - AMPLIAR'!V$57</f>
        <v>-837679.05461564218</v>
      </c>
      <c r="W3" s="1">
        <f>('RECEITAS - BLOCOS PAN'!U11-'OPEX - BLOCOS PAN'!U11-VLOOKUP('BLOCOS - AMPLIAR'!$E47,'CAPEX - BLOCOS PAN'!$C$3:$U$52,19,FALSE))*'BLOCOS - AMPLIAR'!W$57</f>
        <v>-763317.50675878732</v>
      </c>
      <c r="X3" s="1">
        <f>('RECEITAS - BLOCOS PAN'!V11-'OPEX - BLOCOS PAN'!V11-VLOOKUP('BLOCOS - AMPLIAR'!$E47,'CAPEX - BLOCOS PAN'!$C$3:$V$52,20,FALSE))*'BLOCOS - AMPLIAR'!X$57</f>
        <v>-695563.09549449803</v>
      </c>
      <c r="Y3" s="1">
        <f>('RECEITAS - BLOCOS PAN'!W11-'OPEX - BLOCOS PAN'!W11-VLOOKUP('BLOCOS - AMPLIAR'!$E47,'CAPEX - BLOCOS PAN'!$C$3:$W$52,21,FALSE))*'BLOCOS - AMPLIAR'!Y$57</f>
        <v>-633758.96237454342</v>
      </c>
      <c r="Z3" s="1">
        <f>('RECEITAS - BLOCOS PAN'!X11-'OPEX - BLOCOS PAN'!X11-VLOOKUP('BLOCOS - AMPLIAR'!$E47,'CAPEX - BLOCOS PAN'!$C$3:$X$52,22,FALSE))*'BLOCOS - AMPLIAR'!Z$57</f>
        <v>-577424.52344546921</v>
      </c>
      <c r="AA3" s="1">
        <f>('RECEITAS - BLOCOS PAN'!Y11-'OPEX - BLOCOS PAN'!Y11-VLOOKUP('BLOCOS - AMPLIAR'!$E47,'CAPEX - BLOCOS PAN'!$C$3:$Y$52,23,FALSE))*'BLOCOS - AMPLIAR'!AA$57</f>
        <v>-526101.8210118938</v>
      </c>
      <c r="AB3" s="1">
        <f>('RECEITAS - BLOCOS PAN'!Z11-'OPEX - BLOCOS PAN'!Z11-VLOOKUP('BLOCOS - AMPLIAR'!$E47,'CAPEX - BLOCOS PAN'!$C$3:$Z$52,24,FALSE))*'BLOCOS - AMPLIAR'!AB$57</f>
        <v>-479325.26035393396</v>
      </c>
      <c r="AC3" s="1">
        <f>('RECEITAS - BLOCOS PAN'!AA11-'OPEX - BLOCOS PAN'!AA11-VLOOKUP('BLOCOS - AMPLIAR'!$E47,'CAPEX - BLOCOS PAN'!$C$3:$AA$52,25,FALSE))*'BLOCOS - AMPLIAR'!AC$57</f>
        <v>-436655.44616739691</v>
      </c>
      <c r="AD3" s="1">
        <f>('RECEITAS - BLOCOS PAN'!AB11-'OPEX - BLOCOS PAN'!AB11-VLOOKUP('BLOCOS - AMPLIAR'!$E47,'CAPEX - BLOCOS PAN'!$C$3:$AB$52,26,FALSE))*'BLOCOS - AMPLIAR'!AD$57</f>
        <v>-397807.95699618279</v>
      </c>
      <c r="AE3" s="1">
        <f>('RECEITAS - BLOCOS PAN'!AC11-'OPEX - BLOCOS PAN'!AC11-VLOOKUP('BLOCOS - AMPLIAR'!$E47,'CAPEX - BLOCOS PAN'!$C$3:$AC$52,27,FALSE))*'BLOCOS - AMPLIAR'!AE$57</f>
        <v>-362436.23332009115</v>
      </c>
      <c r="AF3" s="1">
        <f>('RECEITAS - BLOCOS PAN'!AD11-'OPEX - BLOCOS PAN'!AD11-VLOOKUP('BLOCOS - AMPLIAR'!$E47,'CAPEX - BLOCOS PAN'!$C$3:$AD$52,28,FALSE))*'BLOCOS - AMPLIAR'!AF$57</f>
        <v>-330179.59847203252</v>
      </c>
      <c r="AG3" s="1">
        <f>('RECEITAS - BLOCOS PAN'!AE11-'OPEX - BLOCOS PAN'!AE11-VLOOKUP('BLOCOS - AMPLIAR'!$E47,'CAPEX - BLOCOS PAN'!$C$3:$AE$52,29,FALSE))*'BLOCOS - AMPLIAR'!AG$57</f>
        <v>-300852.24616869894</v>
      </c>
      <c r="AH3" s="1">
        <f>('RECEITAS - BLOCOS PAN'!AF11-'OPEX - BLOCOS PAN'!AF11-VLOOKUP('BLOCOS - AMPLIAR'!$E47,'CAPEX - BLOCOS PAN'!$C$3:$AF$52,30,FALSE))*'BLOCOS - AMPLIAR'!AH$57</f>
        <v>-274104.25901237683</v>
      </c>
      <c r="AI3" s="1">
        <f>('RECEITAS - BLOCOS PAN'!AG11-'OPEX - BLOCOS PAN'!AG11-VLOOKUP('BLOCOS - AMPLIAR'!$E47,'CAPEX - BLOCOS PAN'!$C$3:$AG$52,31,FALSE))*'BLOCOS - AMPLIAR'!AI$57</f>
        <v>-249766.21303418934</v>
      </c>
      <c r="AJ3" s="1">
        <f>('RECEITAS - BLOCOS PAN'!AH11-'OPEX - BLOCOS PAN'!AH11-VLOOKUP('BLOCOS - AMPLIAR'!$E47,'CAPEX - BLOCOS PAN'!$C$3:$AH$52,32,FALSE))*'BLOCOS - AMPLIAR'!AJ$57</f>
        <v>-227600.46814100287</v>
      </c>
      <c r="AK3" s="1">
        <f>('RECEITAS - BLOCOS PAN'!AI11-'OPEX - BLOCOS PAN'!AI11-VLOOKUP('BLOCOS - AMPLIAR'!$E47,'CAPEX - BLOCOS PAN'!$C$3:$AI$52,33,FALSE))*'BLOCOS - AMPLIAR'!AK$57</f>
        <v>-207397.57195544351</v>
      </c>
      <c r="AL3" s="1">
        <f>('RECEITAS - BLOCOS PAN'!AJ11-'OPEX - BLOCOS PAN'!AJ11-VLOOKUP('BLOCOS - AMPLIAR'!$E47,'CAPEX - BLOCOS PAN'!$C$3:$AJ$52,34,FALSE))*'BLOCOS - AMPLIAR'!AL$57</f>
        <v>-188980.7320879692</v>
      </c>
      <c r="AM3" s="1">
        <f>('RECEITAS - BLOCOS PAN'!AK11-'OPEX - BLOCOS PAN'!AK11-VLOOKUP('BLOCOS - AMPLIAR'!$E47,'CAPEX - BLOCOS PAN'!$C$3:$AK$52,35,FALSE))*'BLOCOS - AMPLIAR'!AM$57</f>
        <v>-172193.6780229733</v>
      </c>
      <c r="AN3" s="1">
        <f>SUM(J3:X3)</f>
        <v>-80470612.766590416</v>
      </c>
      <c r="AO3" s="88">
        <f>SUM(AN3:AN9)</f>
        <v>-383847274.63690668</v>
      </c>
      <c r="AP3" s="44">
        <f>SUM(J3:AM3)</f>
        <v>-85835197.737154618</v>
      </c>
      <c r="AQ3" s="88">
        <f>SUM(AP3:AP9)</f>
        <v>-408454973.95620805</v>
      </c>
      <c r="AR3" s="48">
        <f>VLOOKUP(E3,'Projeção - Demanda PAX'!$C$3:$H$37,6,FALSE)</f>
        <v>4961</v>
      </c>
      <c r="AS3">
        <v>1</v>
      </c>
      <c r="AT3">
        <v>-8.15</v>
      </c>
      <c r="AU3">
        <v>-70.766666666666666</v>
      </c>
    </row>
    <row r="4" spans="1:47" x14ac:dyDescent="0.35">
      <c r="A4" s="89"/>
      <c r="B4" t="s">
        <v>122</v>
      </c>
      <c r="C4" t="s">
        <v>123</v>
      </c>
      <c r="D4">
        <v>130100</v>
      </c>
      <c r="E4" t="s">
        <v>124</v>
      </c>
      <c r="F4" t="s">
        <v>123</v>
      </c>
      <c r="G4" t="s">
        <v>35</v>
      </c>
      <c r="H4" t="s">
        <v>259</v>
      </c>
      <c r="I4" t="s">
        <v>33</v>
      </c>
      <c r="J4" s="1">
        <f>(VLOOKUP($E4,'RECEITAS - BLOCOS PAN'!$D$3:$H$52,5,FALSE)-VLOOKUP('BLOCOS - AMPLIAR'!$E4,'OPEX - BLOCOS PAN'!$D$3:$H$52,5,FALSE)-VLOOKUP('BLOCOS - AMPLIAR'!$E4,'CAPEX - BLOCOS PAN'!$C$3:$H$52,6,FALSE))*'BLOCOS - AMPLIAR'!J$57</f>
        <v>-24307656.595133334</v>
      </c>
      <c r="K4" s="1">
        <f>(VLOOKUP($E4,'RECEITAS - BLOCOS PAN'!$D$3:$I$52,6,FALSE)-VLOOKUP('BLOCOS - AMPLIAR'!$E4,'OPEX - BLOCOS PAN'!$D$3:$I$52,6,FALSE)-VLOOKUP('BLOCOS - AMPLIAR'!$E4,'CAPEX - BLOCOS PAN'!$C$3:$I$52,7,FALSE))*'BLOCOS - AMPLIAR'!K$57</f>
        <v>-22155450.722075157</v>
      </c>
      <c r="L4" s="1">
        <f>(VLOOKUP($E4,'RECEITAS - BLOCOS PAN'!$D$3:$J$52,7,FALSE)-VLOOKUP('BLOCOS - AMPLIAR'!$E4,'OPEX - BLOCOS PAN'!$D$3:$J$52,7,FALSE)-VLOOKUP('BLOCOS - AMPLIAR'!$E4,'CAPEX - BLOCOS PAN'!$C$3:$J$52,8,FALSE))*'BLOCOS - AMPLIAR'!L$57</f>
        <v>-20200866.534860432</v>
      </c>
      <c r="M4" s="1">
        <f>('RECEITAS - BLOCOS PAN'!K25-'OPEX - BLOCOS PAN'!K25-VLOOKUP('BLOCOS - AMPLIAR'!$E18,'CAPEX - BLOCOS PAN'!$C$3:$K$52,9,FALSE))*'BLOCOS - AMPLIAR'!M$57</f>
        <v>-1761859.6578427406</v>
      </c>
      <c r="N4" s="1">
        <f>('RECEITAS - BLOCOS PAN'!L25-'OPEX - BLOCOS PAN'!L25-VLOOKUP('BLOCOS - AMPLIAR'!$E18,'CAPEX - BLOCOS PAN'!$C$3:$L$52,10,FALSE))*'BLOCOS - AMPLIAR'!N$57</f>
        <v>-1597030.5322883478</v>
      </c>
      <c r="O4" s="1">
        <f>('RECEITAS - BLOCOS PAN'!M25-'OPEX - BLOCOS PAN'!M25-VLOOKUP('BLOCOS - AMPLIAR'!$E18,'CAPEX - BLOCOS PAN'!$C$3:$M$52,11,FALSE))*'BLOCOS - AMPLIAR'!O$57</f>
        <v>-1448526.0208327444</v>
      </c>
      <c r="P4" s="1">
        <f>('RECEITAS - BLOCOS PAN'!N25-'OPEX - BLOCOS PAN'!N25-VLOOKUP('BLOCOS - AMPLIAR'!$E18,'CAPEX - BLOCOS PAN'!$C$3:$N$52,12,FALSE))*'BLOCOS - AMPLIAR'!P$57</f>
        <v>-1397812.960275521</v>
      </c>
      <c r="Q4" s="1">
        <f>('RECEITAS - BLOCOS PAN'!O25-'OPEX - BLOCOS PAN'!O25-VLOOKUP('BLOCOS - AMPLIAR'!$E18,'CAPEX - BLOCOS PAN'!$C$3:$O$52,13,FALSE))*'BLOCOS - AMPLIAR'!Q$57</f>
        <v>-1269535.3272900856</v>
      </c>
      <c r="R4" s="1">
        <f>('RECEITAS - BLOCOS PAN'!P25-'OPEX - BLOCOS PAN'!P25-VLOOKUP('BLOCOS - AMPLIAR'!$E18,'CAPEX - BLOCOS PAN'!$C$3:$P$52,14,FALSE))*'BLOCOS - AMPLIAR'!R$57</f>
        <v>-1153529.2294038017</v>
      </c>
      <c r="S4" s="1">
        <f>('RECEITAS - BLOCOS PAN'!Q25-'OPEX - BLOCOS PAN'!Q25-VLOOKUP('BLOCOS - AMPLIAR'!$E18,'CAPEX - BLOCOS PAN'!$C$3:$Q$52,15,FALSE))*'BLOCOS - AMPLIAR'!S$57</f>
        <v>-1048847.9795789057</v>
      </c>
      <c r="T4" s="1">
        <f>('RECEITAS - BLOCOS PAN'!R25-'OPEX - BLOCOS PAN'!R25-VLOOKUP('BLOCOS - AMPLIAR'!$E18,'CAPEX - BLOCOS PAN'!$C$3:$R$52,16,FALSE))*'BLOCOS - AMPLIAR'!T$57</f>
        <v>-953937.80649099417</v>
      </c>
      <c r="U4" s="1">
        <f>('RECEITAS - BLOCOS PAN'!S25-'OPEX - BLOCOS PAN'!S25-VLOOKUP('BLOCOS - AMPLIAR'!$E18,'CAPEX - BLOCOS PAN'!$C$3:$S$52,17,FALSE))*'BLOCOS - AMPLIAR'!U$57</f>
        <v>-867782.53250136098</v>
      </c>
      <c r="V4" s="1">
        <f>('RECEITAS - BLOCOS PAN'!T25-'OPEX - BLOCOS PAN'!T25-VLOOKUP('BLOCOS - AMPLIAR'!$E18,'CAPEX - BLOCOS PAN'!$C$3:$T$52,18,FALSE))*'BLOCOS - AMPLIAR'!V$57</f>
        <v>-789489.67860631028</v>
      </c>
      <c r="W4" s="1">
        <f>('RECEITAS - BLOCOS PAN'!U25-'OPEX - BLOCOS PAN'!U25-VLOOKUP('BLOCOS - AMPLIAR'!$E18,'CAPEX - BLOCOS PAN'!$C$3:$U$52,19,FALSE))*'BLOCOS - AMPLIAR'!W$57</f>
        <v>-718143.36822457425</v>
      </c>
      <c r="X4" s="1">
        <f>('RECEITAS - BLOCOS PAN'!V25-'OPEX - BLOCOS PAN'!V25-VLOOKUP('BLOCOS - AMPLIAR'!$E18,'CAPEX - BLOCOS PAN'!$C$3:$V$52,20,FALSE))*'BLOCOS - AMPLIAR'!X$57</f>
        <v>-653324.24983918539</v>
      </c>
      <c r="Y4" s="1">
        <f>('RECEITAS - BLOCOS PAN'!W25-'OPEX - BLOCOS PAN'!W25-VLOOKUP('BLOCOS - AMPLIAR'!$E18,'CAPEX - BLOCOS PAN'!$C$3:$W$52,21,FALSE))*'BLOCOS - AMPLIAR'!Y$57</f>
        <v>-594443.0432236325</v>
      </c>
      <c r="Z4" s="1">
        <f>('RECEITAS - BLOCOS PAN'!X25-'OPEX - BLOCOS PAN'!X25-VLOOKUP('BLOCOS - AMPLIAR'!$E18,'CAPEX - BLOCOS PAN'!$C$3:$X$52,22,FALSE))*'BLOCOS - AMPLIAR'!Z$57</f>
        <v>-540869.63064060581</v>
      </c>
      <c r="AA4" s="1">
        <f>('RECEITAS - BLOCOS PAN'!Y25-'OPEX - BLOCOS PAN'!Y25-VLOOKUP('BLOCOS - AMPLIAR'!$E18,'CAPEX - BLOCOS PAN'!$C$3:$Y$52,23,FALSE))*'BLOCOS - AMPLIAR'!AA$57</f>
        <v>-492064.83622107439</v>
      </c>
      <c r="AB4" s="1">
        <f>('RECEITAS - BLOCOS PAN'!Z25-'OPEX - BLOCOS PAN'!Z25-VLOOKUP('BLOCOS - AMPLIAR'!$E18,'CAPEX - BLOCOS PAN'!$C$3:$Z$52,24,FALSE))*'BLOCOS - AMPLIAR'!AB$57</f>
        <v>-447622.80580098409</v>
      </c>
      <c r="AC4" s="1">
        <f>('RECEITAS - BLOCOS PAN'!AA25-'OPEX - BLOCOS PAN'!AA25-VLOOKUP('BLOCOS - AMPLIAR'!$E18,'CAPEX - BLOCOS PAN'!$C$3:$AA$52,25,FALSE))*'BLOCOS - AMPLIAR'!AC$57</f>
        <v>-407270.57684588176</v>
      </c>
      <c r="AD4" s="1">
        <f>('RECEITAS - BLOCOS PAN'!AB25-'OPEX - BLOCOS PAN'!AB25-VLOOKUP('BLOCOS - AMPLIAR'!$E18,'CAPEX - BLOCOS PAN'!$C$3:$AB$52,26,FALSE))*'BLOCOS - AMPLIAR'!AD$57</f>
        <v>-370591.1699948695</v>
      </c>
      <c r="AE4" s="1">
        <f>('RECEITAS - BLOCOS PAN'!AC25-'OPEX - BLOCOS PAN'!AC25-VLOOKUP('BLOCOS - AMPLIAR'!$E18,'CAPEX - BLOCOS PAN'!$C$3:$AC$52,27,FALSE))*'BLOCOS - AMPLIAR'!AE$57</f>
        <v>-337217.97549920098</v>
      </c>
      <c r="AF4" s="1">
        <f>('RECEITAS - BLOCOS PAN'!AD25-'OPEX - BLOCOS PAN'!AD25-VLOOKUP('BLOCOS - AMPLIAR'!$E18,'CAPEX - BLOCOS PAN'!$C$3:$AD$52,28,FALSE))*'BLOCOS - AMPLIAR'!AF$57</f>
        <v>-306895.94464715134</v>
      </c>
      <c r="AG4" s="1">
        <f>('RECEITAS - BLOCOS PAN'!AE25-'OPEX - BLOCOS PAN'!AE25-VLOOKUP('BLOCOS - AMPLIAR'!$E18,'CAPEX - BLOCOS PAN'!$C$3:$AE$52,29,FALSE))*'BLOCOS - AMPLIAR'!AG$57</f>
        <v>-279336.65190731396</v>
      </c>
      <c r="AH4" s="1">
        <f>('RECEITAS - BLOCOS PAN'!AF25-'OPEX - BLOCOS PAN'!AF25-VLOOKUP('BLOCOS - AMPLIAR'!$E18,'CAPEX - BLOCOS PAN'!$C$3:$AF$52,30,FALSE))*'BLOCOS - AMPLIAR'!AH$57</f>
        <v>-254284.19671355936</v>
      </c>
      <c r="AI4" s="1">
        <f>('RECEITAS - BLOCOS PAN'!AG25-'OPEX - BLOCOS PAN'!AG25-VLOOKUP('BLOCOS - AMPLIAR'!$E18,'CAPEX - BLOCOS PAN'!$C$3:$AG$52,31,FALSE))*'BLOCOS - AMPLIAR'!AI$57</f>
        <v>-231478.349032742</v>
      </c>
      <c r="AJ4" s="1">
        <f>('RECEITAS - BLOCOS PAN'!AH25-'OPEX - BLOCOS PAN'!AH25-VLOOKUP('BLOCOS - AMPLIAR'!$E18,'CAPEX - BLOCOS PAN'!$C$3:$AH$52,32,FALSE))*'BLOCOS - AMPLIAR'!AJ$57</f>
        <v>-210797.46643824957</v>
      </c>
      <c r="AK4" s="1">
        <f>('RECEITAS - BLOCOS PAN'!AI25-'OPEX - BLOCOS PAN'!AI25-VLOOKUP('BLOCOS - AMPLIAR'!$E18,'CAPEX - BLOCOS PAN'!$C$3:$AI$52,33,FALSE))*'BLOCOS - AMPLIAR'!AK$57</f>
        <v>-191971.62893374971</v>
      </c>
      <c r="AL4" s="1">
        <f>('RECEITAS - BLOCOS PAN'!AJ25-'OPEX - BLOCOS PAN'!AJ25-VLOOKUP('BLOCOS - AMPLIAR'!$E18,'CAPEX - BLOCOS PAN'!$C$3:$AJ$52,34,FALSE))*'BLOCOS - AMPLIAR'!AL$57</f>
        <v>-174827.28530913551</v>
      </c>
      <c r="AM4" s="1">
        <f>('RECEITAS - BLOCOS PAN'!AK25-'OPEX - BLOCOS PAN'!AK25-VLOOKUP('BLOCOS - AMPLIAR'!$E18,'CAPEX - BLOCOS PAN'!$C$3:$AK$52,35,FALSE))*'BLOCOS - AMPLIAR'!AM$57</f>
        <v>-159209.12352715089</v>
      </c>
      <c r="AN4" s="1">
        <f>SUM(J4:X4)</f>
        <v>-80323793.195243508</v>
      </c>
      <c r="AO4" s="88"/>
      <c r="AP4" s="44">
        <f>SUM(J4:AM4)</f>
        <v>-85322673.879978821</v>
      </c>
      <c r="AQ4" s="88"/>
      <c r="AR4" s="48">
        <f>VLOOKUP(E4,'Projeção - Demanda PAX'!$C$3:$H$37,6,FALSE)</f>
        <v>21568</v>
      </c>
      <c r="AS4">
        <v>1</v>
      </c>
      <c r="AT4">
        <v>-4.8666666666666671</v>
      </c>
      <c r="AU4">
        <v>-66.88333333333334</v>
      </c>
    </row>
    <row r="5" spans="1:47" x14ac:dyDescent="0.35">
      <c r="A5" s="89"/>
      <c r="B5" t="s">
        <v>126</v>
      </c>
      <c r="C5" t="s">
        <v>175</v>
      </c>
      <c r="D5">
        <v>130140</v>
      </c>
      <c r="E5" t="s">
        <v>128</v>
      </c>
      <c r="F5" t="s">
        <v>127</v>
      </c>
      <c r="G5" t="s">
        <v>35</v>
      </c>
      <c r="H5" t="s">
        <v>259</v>
      </c>
      <c r="I5" t="s">
        <v>33</v>
      </c>
      <c r="J5" s="1">
        <f>(VLOOKUP($E5,'RECEITAS - BLOCOS PAN'!$D$3:$H$52,5,FALSE)-VLOOKUP('BLOCOS - AMPLIAR'!$E5,'OPEX - BLOCOS PAN'!$D$3:$H$52,5,FALSE)-VLOOKUP('BLOCOS - AMPLIAR'!$E5,'CAPEX - BLOCOS PAN'!$C$3:$H$52,6,FALSE))*'BLOCOS - AMPLIAR'!J$57</f>
        <v>-14879548.6489</v>
      </c>
      <c r="K5" s="1">
        <f>(VLOOKUP($E5,'RECEITAS - BLOCOS PAN'!$D$3:$I$52,6,FALSE)-VLOOKUP('BLOCOS - AMPLIAR'!$E5,'OPEX - BLOCOS PAN'!$D$3:$I$52,6,FALSE)-VLOOKUP('BLOCOS - AMPLIAR'!$E5,'CAPEX - BLOCOS PAN'!$C$3:$I$52,7,FALSE))*'BLOCOS - AMPLIAR'!K$57</f>
        <v>-13555672.983569147</v>
      </c>
      <c r="L5" s="1">
        <f>(VLOOKUP($E5,'RECEITAS - BLOCOS PAN'!$D$3:$J$52,7,FALSE)-VLOOKUP('BLOCOS - AMPLIAR'!$E5,'OPEX - BLOCOS PAN'!$D$3:$J$52,7,FALSE)-VLOOKUP('BLOCOS - AMPLIAR'!$E5,'CAPEX - BLOCOS PAN'!$C$3:$J$52,8,FALSE))*'BLOCOS - AMPLIAR'!L$57</f>
        <v>-12355931.516112657</v>
      </c>
      <c r="M5" s="1">
        <f>('RECEITAS - BLOCOS PAN'!K26-'OPEX - BLOCOS PAN'!K26-VLOOKUP('BLOCOS - AMPLIAR'!$E19,'CAPEX - BLOCOS PAN'!$C$3:$K$52,9,FALSE))*'BLOCOS - AMPLIAR'!M$57</f>
        <v>-1860403.5128070856</v>
      </c>
      <c r="N5" s="1">
        <f>('RECEITAS - BLOCOS PAN'!L26-'OPEX - BLOCOS PAN'!L26-VLOOKUP('BLOCOS - AMPLIAR'!$E19,'CAPEX - BLOCOS PAN'!$C$3:$L$52,10,FALSE))*'BLOCOS - AMPLIAR'!N$57</f>
        <v>-1689651.0214463554</v>
      </c>
      <c r="O5" s="1">
        <f>('RECEITAS - BLOCOS PAN'!M26-'OPEX - BLOCOS PAN'!M26-VLOOKUP('BLOCOS - AMPLIAR'!$E19,'CAPEX - BLOCOS PAN'!$C$3:$M$52,11,FALSE))*'BLOCOS - AMPLIAR'!O$57</f>
        <v>-1535486.3314707095</v>
      </c>
      <c r="P5" s="1">
        <f>('RECEITAS - BLOCOS PAN'!N26-'OPEX - BLOCOS PAN'!N26-VLOOKUP('BLOCOS - AMPLIAR'!$E19,'CAPEX - BLOCOS PAN'!$C$3:$N$52,12,FALSE))*'BLOCOS - AMPLIAR'!P$57</f>
        <v>-1395914.0633645372</v>
      </c>
      <c r="Q5" s="1">
        <f>('RECEITAS - BLOCOS PAN'!O26-'OPEX - BLOCOS PAN'!O26-VLOOKUP('BLOCOS - AMPLIAR'!$E19,'CAPEX - BLOCOS PAN'!$C$3:$O$52,13,FALSE))*'BLOCOS - AMPLIAR'!Q$57</f>
        <v>-1269331.7556830933</v>
      </c>
      <c r="R5" s="1">
        <f>('RECEITAS - BLOCOS PAN'!P26-'OPEX - BLOCOS PAN'!P26-VLOOKUP('BLOCOS - AMPLIAR'!$E19,'CAPEX - BLOCOS PAN'!$C$3:$P$52,14,FALSE))*'BLOCOS - AMPLIAR'!R$57</f>
        <v>-1154659.1791437489</v>
      </c>
      <c r="S5" s="1">
        <f>('RECEITAS - BLOCOS PAN'!Q26-'OPEX - BLOCOS PAN'!Q26-VLOOKUP('BLOCOS - AMPLIAR'!$E19,'CAPEX - BLOCOS PAN'!$C$3:$Q$52,15,FALSE))*'BLOCOS - AMPLIAR'!S$57</f>
        <v>-1050740.5023866126</v>
      </c>
      <c r="T5" s="1">
        <f>('RECEITAS - BLOCOS PAN'!R26-'OPEX - BLOCOS PAN'!R26-VLOOKUP('BLOCOS - AMPLIAR'!$E19,'CAPEX - BLOCOS PAN'!$C$3:$R$52,16,FALSE))*'BLOCOS - AMPLIAR'!T$57</f>
        <v>-956488.50867943396</v>
      </c>
      <c r="U5" s="1">
        <f>('RECEITAS - BLOCOS PAN'!S26-'OPEX - BLOCOS PAN'!S26-VLOOKUP('BLOCOS - AMPLIAR'!$E19,'CAPEX - BLOCOS PAN'!$C$3:$S$52,17,FALSE))*'BLOCOS - AMPLIAR'!U$57</f>
        <v>-870752.62679456046</v>
      </c>
      <c r="V5" s="1">
        <f>('RECEITAS - BLOCOS PAN'!T26-'OPEX - BLOCOS PAN'!T26-VLOOKUP('BLOCOS - AMPLIAR'!$E19,'CAPEX - BLOCOS PAN'!$C$3:$T$52,18,FALSE))*'BLOCOS - AMPLIAR'!V$57</f>
        <v>-792762.98418570461</v>
      </c>
      <c r="W5" s="1">
        <f>('RECEITAS - BLOCOS PAN'!U26-'OPEX - BLOCOS PAN'!U26-VLOOKUP('BLOCOS - AMPLIAR'!$E19,'CAPEX - BLOCOS PAN'!$C$3:$U$52,19,FALSE))*'BLOCOS - AMPLIAR'!W$57</f>
        <v>-721734.52078487724</v>
      </c>
      <c r="X5" s="1">
        <f>('RECEITAS - BLOCOS PAN'!V26-'OPEX - BLOCOS PAN'!V26-VLOOKUP('BLOCOS - AMPLIAR'!$E19,'CAPEX - BLOCOS PAN'!$C$3:$V$52,20,FALSE))*'BLOCOS - AMPLIAR'!X$57</f>
        <v>-657062.57771452679</v>
      </c>
      <c r="Y5" s="1">
        <f>('RECEITAS - BLOCOS PAN'!W26-'OPEX - BLOCOS PAN'!W26-VLOOKUP('BLOCOS - AMPLIAR'!$E19,'CAPEX - BLOCOS PAN'!$C$3:$W$52,21,FALSE))*'BLOCOS - AMPLIAR'!Y$57</f>
        <v>-598261.60522971326</v>
      </c>
      <c r="Z5" s="1">
        <f>('RECEITAS - BLOCOS PAN'!X26-'OPEX - BLOCOS PAN'!X26-VLOOKUP('BLOCOS - AMPLIAR'!$E19,'CAPEX - BLOCOS PAN'!$C$3:$X$52,22,FALSE))*'BLOCOS - AMPLIAR'!Z$57</f>
        <v>-544668.11181281938</v>
      </c>
      <c r="AA5" s="1">
        <f>('RECEITAS - BLOCOS PAN'!Y26-'OPEX - BLOCOS PAN'!Y26-VLOOKUP('BLOCOS - AMPLIAR'!$E19,'CAPEX - BLOCOS PAN'!$C$3:$Y$52,23,FALSE))*'BLOCOS - AMPLIAR'!AA$57</f>
        <v>-495880.73149804882</v>
      </c>
      <c r="AB5" s="1">
        <f>('RECEITAS - BLOCOS PAN'!Z26-'OPEX - BLOCOS PAN'!Z26-VLOOKUP('BLOCOS - AMPLIAR'!$E19,'CAPEX - BLOCOS PAN'!$C$3:$Z$52,24,FALSE))*'BLOCOS - AMPLIAR'!AB$57</f>
        <v>-451414.62275020825</v>
      </c>
      <c r="AC5" s="1">
        <f>('RECEITAS - BLOCOS PAN'!AA26-'OPEX - BLOCOS PAN'!AA26-VLOOKUP('BLOCOS - AMPLIAR'!$E19,'CAPEX - BLOCOS PAN'!$C$3:$AA$52,25,FALSE))*'BLOCOS - AMPLIAR'!AC$57</f>
        <v>-411001.08210929594</v>
      </c>
      <c r="AD5" s="1">
        <f>('RECEITAS - BLOCOS PAN'!AB26-'OPEX - BLOCOS PAN'!AB26-VLOOKUP('BLOCOS - AMPLIAR'!$E19,'CAPEX - BLOCOS PAN'!$C$3:$AB$52,26,FALSE))*'BLOCOS - AMPLIAR'!AD$57</f>
        <v>-374228.50437872572</v>
      </c>
      <c r="AE5" s="1">
        <f>('RECEITAS - BLOCOS PAN'!AC26-'OPEX - BLOCOS PAN'!AC26-VLOOKUP('BLOCOS - AMPLIAR'!$E19,'CAPEX - BLOCOS PAN'!$C$3:$AC$52,27,FALSE))*'BLOCOS - AMPLIAR'!AE$57</f>
        <v>-340722.76971094316</v>
      </c>
      <c r="AF5" s="1">
        <f>('RECEITAS - BLOCOS PAN'!AD26-'OPEX - BLOCOS PAN'!AD26-VLOOKUP('BLOCOS - AMPLIAR'!$E19,'CAPEX - BLOCOS PAN'!$C$3:$AD$52,28,FALSE))*'BLOCOS - AMPLIAR'!AF$57</f>
        <v>-310253.19390987814</v>
      </c>
      <c r="AG5" s="1">
        <f>('RECEITAS - BLOCOS PAN'!AE26-'OPEX - BLOCOS PAN'!AE26-VLOOKUP('BLOCOS - AMPLIAR'!$E19,'CAPEX - BLOCOS PAN'!$C$3:$AE$52,29,FALSE))*'BLOCOS - AMPLIAR'!AG$57</f>
        <v>-282466.376588516</v>
      </c>
      <c r="AH5" s="1">
        <f>('RECEITAS - BLOCOS PAN'!AF26-'OPEX - BLOCOS PAN'!AF26-VLOOKUP('BLOCOS - AMPLIAR'!$E19,'CAPEX - BLOCOS PAN'!$C$3:$AF$52,30,FALSE))*'BLOCOS - AMPLIAR'!AH$57</f>
        <v>-257198.46520701228</v>
      </c>
      <c r="AI5" s="1">
        <f>('RECEITAS - BLOCOS PAN'!AG26-'OPEX - BLOCOS PAN'!AG26-VLOOKUP('BLOCOS - AMPLIAR'!$E19,'CAPEX - BLOCOS PAN'!$C$3:$AG$52,31,FALSE))*'BLOCOS - AMPLIAR'!AI$57</f>
        <v>-234187.9539435003</v>
      </c>
      <c r="AJ5" s="1">
        <f>('RECEITAS - BLOCOS PAN'!AH26-'OPEX - BLOCOS PAN'!AH26-VLOOKUP('BLOCOS - AMPLIAR'!$E19,'CAPEX - BLOCOS PAN'!$C$3:$AH$52,32,FALSE))*'BLOCOS - AMPLIAR'!AJ$57</f>
        <v>-213260.96573891374</v>
      </c>
      <c r="AK5" s="1">
        <f>('RECEITAS - BLOCOS PAN'!AI26-'OPEX - BLOCOS PAN'!AI26-VLOOKUP('BLOCOS - AMPLIAR'!$E19,'CAPEX - BLOCOS PAN'!$C$3:$AI$52,33,FALSE))*'BLOCOS - AMPLIAR'!AK$57</f>
        <v>-194228.86984931375</v>
      </c>
      <c r="AL5" s="1">
        <f>('RECEITAS - BLOCOS PAN'!AJ26-'OPEX - BLOCOS PAN'!AJ26-VLOOKUP('BLOCOS - AMPLIAR'!$E19,'CAPEX - BLOCOS PAN'!$C$3:$AJ$52,34,FALSE))*'BLOCOS - AMPLIAR'!AL$57</f>
        <v>-188085.77922700293</v>
      </c>
      <c r="AM5" s="1">
        <f>('RECEITAS - BLOCOS PAN'!AK26-'OPEX - BLOCOS PAN'!AK26-VLOOKUP('BLOCOS - AMPLIAR'!$E19,'CAPEX - BLOCOS PAN'!$C$3:$AK$52,35,FALSE))*'BLOCOS - AMPLIAR'!AM$57</f>
        <v>-171314.80107467866</v>
      </c>
      <c r="AN5" s="1">
        <f>SUM(J5:X5)</f>
        <v>-54746140.733043052</v>
      </c>
      <c r="AO5" s="88"/>
      <c r="AP5" s="44">
        <f>SUM(J5:AM5)</f>
        <v>-59813314.566071622</v>
      </c>
      <c r="AQ5" s="88"/>
      <c r="AR5" s="48">
        <f>VLOOKUP(E5,'Projeção - Demanda PAX'!$C$3:$H$37,6,FALSE)</f>
        <v>13770</v>
      </c>
      <c r="AS5">
        <v>1</v>
      </c>
      <c r="AT5">
        <v>-6.6333333333333329</v>
      </c>
      <c r="AU5">
        <v>-69.86666666666666</v>
      </c>
    </row>
    <row r="6" spans="1:47" x14ac:dyDescent="0.35">
      <c r="A6" s="89"/>
      <c r="B6" t="s">
        <v>145</v>
      </c>
      <c r="C6" t="s">
        <v>146</v>
      </c>
      <c r="D6">
        <v>130240</v>
      </c>
      <c r="E6" t="s">
        <v>147</v>
      </c>
      <c r="F6" t="s">
        <v>146</v>
      </c>
      <c r="G6" t="s">
        <v>35</v>
      </c>
      <c r="H6" t="s">
        <v>259</v>
      </c>
      <c r="I6" t="s">
        <v>33</v>
      </c>
      <c r="J6" s="1">
        <f>(VLOOKUP($E6,'RECEITAS - BLOCOS PAN'!$D$3:$H$52,5,FALSE)-VLOOKUP('BLOCOS - AMPLIAR'!$E6,'OPEX - BLOCOS PAN'!$D$3:$H$52,5,FALSE)-VLOOKUP('BLOCOS - AMPLIAR'!$E6,'CAPEX - BLOCOS PAN'!$C$3:$H$52,6,FALSE))*'BLOCOS - AMPLIAR'!J$57</f>
        <v>-21387244.780733332</v>
      </c>
      <c r="K6" s="1">
        <f>(VLOOKUP($E6,'RECEITAS - BLOCOS PAN'!$D$3:$I$52,6,FALSE)-VLOOKUP('BLOCOS - AMPLIAR'!$E6,'OPEX - BLOCOS PAN'!$D$3:$I$52,6,FALSE)-VLOOKUP('BLOCOS - AMPLIAR'!$E6,'CAPEX - BLOCOS PAN'!$C$3:$I$52,7,FALSE))*'BLOCOS - AMPLIAR'!K$57</f>
        <v>-19511928.990993459</v>
      </c>
      <c r="L6" s="1">
        <f>(VLOOKUP($E6,'RECEITAS - BLOCOS PAN'!$D$3:$J$52,7,FALSE)-VLOOKUP('BLOCOS - AMPLIAR'!$E6,'OPEX - BLOCOS PAN'!$D$3:$J$52,7,FALSE)-VLOOKUP('BLOCOS - AMPLIAR'!$E6,'CAPEX - BLOCOS PAN'!$C$3:$J$52,8,FALSE))*'BLOCOS - AMPLIAR'!L$57</f>
        <v>-17803378.403233621</v>
      </c>
      <c r="M6" s="1">
        <f>('RECEITAS - BLOCOS PAN'!K32-'OPEX - BLOCOS PAN'!K32-VLOOKUP('BLOCOS - AMPLIAR'!$E25,'CAPEX - BLOCOS PAN'!$C$3:$K$52,9,FALSE))*'BLOCOS - AMPLIAR'!M$57</f>
        <v>-1975117.7958916519</v>
      </c>
      <c r="N6" s="1">
        <f>('RECEITAS - BLOCOS PAN'!L32-'OPEX - BLOCOS PAN'!L32-VLOOKUP('BLOCOS - AMPLIAR'!$E25,'CAPEX - BLOCOS PAN'!$C$3:$L$52,10,FALSE))*'BLOCOS - AMPLIAR'!N$57</f>
        <v>-1798822.9715134236</v>
      </c>
      <c r="O6" s="1">
        <f>('RECEITAS - BLOCOS PAN'!M32-'OPEX - BLOCOS PAN'!M32-VLOOKUP('BLOCOS - AMPLIAR'!$E25,'CAPEX - BLOCOS PAN'!$C$3:$M$52,11,FALSE))*'BLOCOS - AMPLIAR'!O$57</f>
        <v>-1638391.3052267339</v>
      </c>
      <c r="P6" s="1">
        <f>('RECEITAS - BLOCOS PAN'!N32-'OPEX - BLOCOS PAN'!N32-VLOOKUP('BLOCOS - AMPLIAR'!$E25,'CAPEX - BLOCOS PAN'!$C$3:$N$52,12,FALSE))*'BLOCOS - AMPLIAR'!P$57</f>
        <v>-1492454.2664140936</v>
      </c>
      <c r="Q6" s="1">
        <f>('RECEITAS - BLOCOS PAN'!O32-'OPEX - BLOCOS PAN'!O32-VLOOKUP('BLOCOS - AMPLIAR'!$E25,'CAPEX - BLOCOS PAN'!$C$3:$O$52,13,FALSE))*'BLOCOS - AMPLIAR'!Q$57</f>
        <v>-1359721.8731894705</v>
      </c>
      <c r="R6" s="1">
        <f>('RECEITAS - BLOCOS PAN'!P32-'OPEX - BLOCOS PAN'!P32-VLOOKUP('BLOCOS - AMPLIAR'!$E25,'CAPEX - BLOCOS PAN'!$C$3:$P$52,14,FALSE))*'BLOCOS - AMPLIAR'!R$57</f>
        <v>-1238796.3877337524</v>
      </c>
      <c r="S6" s="1">
        <f>('RECEITAS - BLOCOS PAN'!Q32-'OPEX - BLOCOS PAN'!Q32-VLOOKUP('BLOCOS - AMPLIAR'!$E25,'CAPEX - BLOCOS PAN'!$C$3:$Q$52,15,FALSE))*'BLOCOS - AMPLIAR'!S$57</f>
        <v>-1128746.6898915619</v>
      </c>
      <c r="T6" s="1">
        <f>('RECEITAS - BLOCOS PAN'!R32-'OPEX - BLOCOS PAN'!R32-VLOOKUP('BLOCOS - AMPLIAR'!$E25,'CAPEX - BLOCOS PAN'!$C$3:$R$52,16,FALSE))*'BLOCOS - AMPLIAR'!T$57</f>
        <v>-1028579.2982679019</v>
      </c>
      <c r="U6" s="1">
        <f>('RECEITAS - BLOCOS PAN'!S32-'OPEX - BLOCOS PAN'!S32-VLOOKUP('BLOCOS - AMPLIAR'!$E25,'CAPEX - BLOCOS PAN'!$C$3:$S$52,17,FALSE))*'BLOCOS - AMPLIAR'!U$57</f>
        <v>-937282.47287690011</v>
      </c>
      <c r="V6" s="1">
        <f>('RECEITAS - BLOCOS PAN'!T32-'OPEX - BLOCOS PAN'!T32-VLOOKUP('BLOCOS - AMPLIAR'!$E25,'CAPEX - BLOCOS PAN'!$C$3:$T$52,18,FALSE))*'BLOCOS - AMPLIAR'!V$57</f>
        <v>-854081.79358177958</v>
      </c>
      <c r="W6" s="1">
        <f>('RECEITAS - BLOCOS PAN'!U32-'OPEX - BLOCOS PAN'!U32-VLOOKUP('BLOCOS - AMPLIAR'!$E25,'CAPEX - BLOCOS PAN'!$C$3:$U$52,19,FALSE))*'BLOCOS - AMPLIAR'!W$57</f>
        <v>-778220.60370652855</v>
      </c>
      <c r="X6" s="1">
        <f>('RECEITAS - BLOCOS PAN'!V32-'OPEX - BLOCOS PAN'!V32-VLOOKUP('BLOCOS - AMPLIAR'!$E25,'CAPEX - BLOCOS PAN'!$C$3:$V$52,20,FALSE))*'BLOCOS - AMPLIAR'!X$57</f>
        <v>-709043.38935533364</v>
      </c>
      <c r="Y6" s="1">
        <f>('RECEITAS - BLOCOS PAN'!W32-'OPEX - BLOCOS PAN'!W32-VLOOKUP('BLOCOS - AMPLIAR'!$E25,'CAPEX - BLOCOS PAN'!$C$3:$W$52,21,FALSE))*'BLOCOS - AMPLIAR'!Y$57</f>
        <v>-646031.21327575366</v>
      </c>
      <c r="Z6" s="1">
        <f>('RECEITAS - BLOCOS PAN'!X32-'OPEX - BLOCOS PAN'!X32-VLOOKUP('BLOCOS - AMPLIAR'!$E25,'CAPEX - BLOCOS PAN'!$C$3:$X$52,22,FALSE))*'BLOCOS - AMPLIAR'!Z$57</f>
        <v>-588563.80584919988</v>
      </c>
      <c r="AA6" s="1">
        <f>('RECEITAS - BLOCOS PAN'!Y32-'OPEX - BLOCOS PAN'!Y32-VLOOKUP('BLOCOS - AMPLIAR'!$E25,'CAPEX - BLOCOS PAN'!$C$3:$Y$52,23,FALSE))*'BLOCOS - AMPLIAR'!AA$57</f>
        <v>-536221.50556488323</v>
      </c>
      <c r="AB6" s="1">
        <f>('RECEITAS - BLOCOS PAN'!Z32-'OPEX - BLOCOS PAN'!Z32-VLOOKUP('BLOCOS - AMPLIAR'!$E25,'CAPEX - BLOCOS PAN'!$C$3:$Z$52,24,FALSE))*'BLOCOS - AMPLIAR'!AB$57</f>
        <v>-488468.62086654227</v>
      </c>
      <c r="AC6" s="1">
        <f>('RECEITAS - BLOCOS PAN'!AA32-'OPEX - BLOCOS PAN'!AA32-VLOOKUP('BLOCOS - AMPLIAR'!$E25,'CAPEX - BLOCOS PAN'!$C$3:$AA$52,25,FALSE))*'BLOCOS - AMPLIAR'!AC$57</f>
        <v>-444942.78977225506</v>
      </c>
      <c r="AD6" s="1">
        <f>('RECEITAS - BLOCOS PAN'!AB32-'OPEX - BLOCOS PAN'!AB32-VLOOKUP('BLOCOS - AMPLIAR'!$E25,'CAPEX - BLOCOS PAN'!$C$3:$AB$52,26,FALSE))*'BLOCOS - AMPLIAR'!AD$57</f>
        <v>-405312.77889740677</v>
      </c>
      <c r="AE6" s="1">
        <f>('RECEITAS - BLOCOS PAN'!AC32-'OPEX - BLOCOS PAN'!AC32-VLOOKUP('BLOCOS - AMPLIAR'!$E25,'CAPEX - BLOCOS PAN'!$C$3:$AC$52,27,FALSE))*'BLOCOS - AMPLIAR'!AE$57</f>
        <v>-369160.46043003304</v>
      </c>
      <c r="AF6" s="1">
        <f>('RECEITAS - BLOCOS PAN'!AD32-'OPEX - BLOCOS PAN'!AD32-VLOOKUP('BLOCOS - AMPLIAR'!$E25,'CAPEX - BLOCOS PAN'!$C$3:$AD$52,28,FALSE))*'BLOCOS - AMPLIAR'!AF$57</f>
        <v>-336265.73595164716</v>
      </c>
      <c r="AG6" s="1">
        <f>('RECEITAS - BLOCOS PAN'!AE32-'OPEX - BLOCOS PAN'!AE32-VLOOKUP('BLOCOS - AMPLIAR'!$E25,'CAPEX - BLOCOS PAN'!$C$3:$AE$52,29,FALSE))*'BLOCOS - AMPLIAR'!AG$57</f>
        <v>-306195.48653430585</v>
      </c>
      <c r="AH6" s="1">
        <f>('RECEITAS - BLOCOS PAN'!AF32-'OPEX - BLOCOS PAN'!AF32-VLOOKUP('BLOCOS - AMPLIAR'!$E25,'CAPEX - BLOCOS PAN'!$C$3:$AF$52,30,FALSE))*'BLOCOS - AMPLIAR'!AH$57</f>
        <v>-278817.98246941151</v>
      </c>
      <c r="AI6" s="1">
        <f>('RECEITAS - BLOCOS PAN'!AG32-'OPEX - BLOCOS PAN'!AG32-VLOOKUP('BLOCOS - AMPLIAR'!$E25,'CAPEX - BLOCOS PAN'!$C$3:$AG$52,31,FALSE))*'BLOCOS - AMPLIAR'!AI$57</f>
        <v>-253861.37968456565</v>
      </c>
      <c r="AJ6" s="1">
        <f>('RECEITAS - BLOCOS PAN'!AH32-'OPEX - BLOCOS PAN'!AH32-VLOOKUP('BLOCOS - AMPLIAR'!$E25,'CAPEX - BLOCOS PAN'!$C$3:$AH$52,32,FALSE))*'BLOCOS - AMPLIAR'!AJ$57</f>
        <v>-231175.79688482362</v>
      </c>
      <c r="AK6" s="1">
        <f>('RECEITAS - BLOCOS PAN'!AI32-'OPEX - BLOCOS PAN'!AI32-VLOOKUP('BLOCOS - AMPLIAR'!$E25,'CAPEX - BLOCOS PAN'!$C$3:$AI$52,33,FALSE))*'BLOCOS - AMPLIAR'!AK$57</f>
        <v>-210490.64391464519</v>
      </c>
      <c r="AL6" s="1">
        <f>('RECEITAS - BLOCOS PAN'!AJ32-'OPEX - BLOCOS PAN'!AJ32-VLOOKUP('BLOCOS - AMPLIAR'!$E25,'CAPEX - BLOCOS PAN'!$C$3:$AJ$52,34,FALSE))*'BLOCOS - AMPLIAR'!AL$57</f>
        <v>-191644.00921359228</v>
      </c>
      <c r="AM6" s="1">
        <f>('RECEITAS - BLOCOS PAN'!AK32-'OPEX - BLOCOS PAN'!AK32-VLOOKUP('BLOCOS - AMPLIAR'!$E25,'CAPEX - BLOCOS PAN'!$C$3:$AK$52,35,FALSE))*'BLOCOS - AMPLIAR'!AM$57</f>
        <v>-174468.39831765759</v>
      </c>
      <c r="AN6" s="1">
        <f>SUM(J6:X6)</f>
        <v>-73641811.022609532</v>
      </c>
      <c r="AO6" s="88"/>
      <c r="AP6" s="44">
        <f>SUM(J6:AM6)</f>
        <v>-79103431.630236253</v>
      </c>
      <c r="AQ6" s="88"/>
      <c r="AR6" s="48">
        <f>VLOOKUP(E6,'Projeção - Demanda PAX'!$C$3:$H$37,6,FALSE)</f>
        <v>5912</v>
      </c>
      <c r="AS6">
        <v>1</v>
      </c>
      <c r="AT6">
        <v>-7.2666666666666666</v>
      </c>
      <c r="AU6">
        <v>-64.766666666666666</v>
      </c>
    </row>
    <row r="7" spans="1:47" x14ac:dyDescent="0.35">
      <c r="A7" s="89"/>
      <c r="B7" t="s">
        <v>86</v>
      </c>
      <c r="C7" s="5" t="s">
        <v>268</v>
      </c>
      <c r="D7">
        <v>130390</v>
      </c>
      <c r="E7" t="s">
        <v>290</v>
      </c>
      <c r="F7" t="s">
        <v>232</v>
      </c>
      <c r="G7" t="s">
        <v>35</v>
      </c>
      <c r="H7" t="s">
        <v>259</v>
      </c>
      <c r="I7" t="s">
        <v>33</v>
      </c>
      <c r="J7" s="1">
        <f>(VLOOKUP($E7,'RECEITAS - BLOCOS PAN'!$D$3:$H$52,5,FALSE)-VLOOKUP('BLOCOS - AMPLIAR'!$E7,'OPEX - BLOCOS PAN'!$D$3:$H$52,5,FALSE)-VLOOKUP('BLOCOS - AMPLIAR'!$E7,'CAPEX - BLOCOS PAN'!$C$3:$H$52,6,FALSE))*'BLOCOS - AMPLIAR'!J$57</f>
        <v>-9244063.0718212556</v>
      </c>
      <c r="K7" s="1">
        <f>(VLOOKUP($E7,'RECEITAS - BLOCOS PAN'!$D$3:$I$52,6,FALSE)-VLOOKUP('BLOCOS - AMPLIAR'!$E7,'OPEX - BLOCOS PAN'!$D$3:$I$52,6,FALSE)-VLOOKUP('BLOCOS - AMPLIAR'!$E7,'CAPEX - BLOCOS PAN'!$C$3:$I$52,7,FALSE))*'BLOCOS - AMPLIAR'!K$57</f>
        <v>-8438213.6666556429</v>
      </c>
      <c r="L7" s="1">
        <f>(VLOOKUP($E7,'RECEITAS - BLOCOS PAN'!$D$3:$J$52,7,FALSE)-VLOOKUP('BLOCOS - AMPLIAR'!$E7,'OPEX - BLOCOS PAN'!$D$3:$J$52,7,FALSE)-VLOOKUP('BLOCOS - AMPLIAR'!$E7,'CAPEX - BLOCOS PAN'!$C$3:$J$52,8,FALSE))*'BLOCOS - AMPLIAR'!L$57</f>
        <v>-7702614.027070418</v>
      </c>
      <c r="M7" s="1">
        <f>('RECEITAS - BLOCOS PAN'!K39-'OPEX - BLOCOS PAN'!K39-VLOOKUP('BLOCOS - AMPLIAR'!$E32,'CAPEX - BLOCOS PAN'!$C$3:$K$52,9,FALSE))*'BLOCOS - AMPLIAR'!M$57</f>
        <v>-445754.59685049282</v>
      </c>
      <c r="N7" s="1">
        <f>('RECEITAS - BLOCOS PAN'!L39-'OPEX - BLOCOS PAN'!L39-VLOOKUP('BLOCOS - AMPLIAR'!$E32,'CAPEX - BLOCOS PAN'!$C$3:$L$52,10,FALSE))*'BLOCOS - AMPLIAR'!N$57</f>
        <v>-406896.0263354567</v>
      </c>
      <c r="O7" s="1">
        <f>('RECEITAS - BLOCOS PAN'!M39-'OPEX - BLOCOS PAN'!M39-VLOOKUP('BLOCOS - AMPLIAR'!$E32,'CAPEX - BLOCOS PAN'!$C$3:$M$52,11,FALSE))*'BLOCOS - AMPLIAR'!O$57</f>
        <v>-371424.94416746392</v>
      </c>
      <c r="P7" s="1">
        <f>('RECEITAS - BLOCOS PAN'!N39-'OPEX - BLOCOS PAN'!N39-VLOOKUP('BLOCOS - AMPLIAR'!$E32,'CAPEX - BLOCOS PAN'!$C$3:$N$52,12,FALSE))*'BLOCOS - AMPLIAR'!P$57</f>
        <v>-339046.04670695018</v>
      </c>
      <c r="Q7" s="1">
        <f>('RECEITAS - BLOCOS PAN'!O39-'OPEX - BLOCOS PAN'!O39-VLOOKUP('BLOCOS - AMPLIAR'!$E32,'CAPEX - BLOCOS PAN'!$C$3:$O$52,13,FALSE))*'BLOCOS - AMPLIAR'!Q$57</f>
        <v>-309489.77335184865</v>
      </c>
      <c r="R7" s="1">
        <f>('RECEITAS - BLOCOS PAN'!P39-'OPEX - BLOCOS PAN'!P39-VLOOKUP('BLOCOS - AMPLIAR'!$E32,'CAPEX - BLOCOS PAN'!$C$3:$P$52,14,FALSE))*'BLOCOS - AMPLIAR'!R$57</f>
        <v>-282510.06239328953</v>
      </c>
      <c r="S7" s="1">
        <f>('RECEITAS - BLOCOS PAN'!Q39-'OPEX - BLOCOS PAN'!Q39-VLOOKUP('BLOCOS - AMPLIAR'!$E32,'CAPEX - BLOCOS PAN'!$C$3:$Q$52,15,FALSE))*'BLOCOS - AMPLIAR'!S$57</f>
        <v>-257882.30250414379</v>
      </c>
      <c r="T7" s="1">
        <f>('RECEITAS - BLOCOS PAN'!R39-'OPEX - BLOCOS PAN'!R39-VLOOKUP('BLOCOS - AMPLIAR'!$E32,'CAPEX - BLOCOS PAN'!$C$3:$R$52,16,FALSE))*'BLOCOS - AMPLIAR'!T$57</f>
        <v>-235401.46280615596</v>
      </c>
      <c r="U7" s="1">
        <f>('RECEITAS - BLOCOS PAN'!S39-'OPEX - BLOCOS PAN'!S39-VLOOKUP('BLOCOS - AMPLIAR'!$E32,'CAPEX - BLOCOS PAN'!$C$3:$S$52,17,FALSE))*'BLOCOS - AMPLIAR'!U$57</f>
        <v>-214880.38594811133</v>
      </c>
      <c r="V7" s="1">
        <f>('RECEITAS - BLOCOS PAN'!T39-'OPEX - BLOCOS PAN'!T39-VLOOKUP('BLOCOS - AMPLIAR'!$E32,'CAPEX - BLOCOS PAN'!$C$3:$T$52,18,FALSE))*'BLOCOS - AMPLIAR'!V$57</f>
        <v>-196148.2299845836</v>
      </c>
      <c r="W7" s="1">
        <f>('RECEITAS - BLOCOS PAN'!U39-'OPEX - BLOCOS PAN'!U39-VLOOKUP('BLOCOS - AMPLIAR'!$E32,'CAPEX - BLOCOS PAN'!$C$3:$U$52,19,FALSE))*'BLOCOS - AMPLIAR'!W$57</f>
        <v>-179049.04608359982</v>
      </c>
      <c r="X7" s="1">
        <f>('RECEITAS - BLOCOS PAN'!V39-'OPEX - BLOCOS PAN'!V39-VLOOKUP('BLOCOS - AMPLIAR'!$E32,'CAPEX - BLOCOS PAN'!$C$3:$V$52,20,FALSE))*'BLOCOS - AMPLIAR'!X$57</f>
        <v>-163440.48022236404</v>
      </c>
      <c r="Y7" s="1">
        <f>('RECEITAS - BLOCOS PAN'!W39-'OPEX - BLOCOS PAN'!W39-VLOOKUP('BLOCOS - AMPLIAR'!$E32,'CAPEX - BLOCOS PAN'!$C$3:$W$52,21,FALSE))*'BLOCOS - AMPLIAR'!Y$57</f>
        <v>-149192.58806240442</v>
      </c>
      <c r="Z7" s="1">
        <f>('RECEITAS - BLOCOS PAN'!X39-'OPEX - BLOCOS PAN'!X39-VLOOKUP('BLOCOS - AMPLIAR'!$E32,'CAPEX - BLOCOS PAN'!$C$3:$X$52,22,FALSE))*'BLOCOS - AMPLIAR'!Z$57</f>
        <v>-136186.75313774939</v>
      </c>
      <c r="AA7" s="1">
        <f>('RECEITAS - BLOCOS PAN'!Y39-'OPEX - BLOCOS PAN'!Y39-VLOOKUP('BLOCOS - AMPLIAR'!$E32,'CAPEX - BLOCOS PAN'!$C$3:$Y$52,23,FALSE))*'BLOCOS - AMPLIAR'!AA$57</f>
        <v>-124314.69934983969</v>
      </c>
      <c r="AB7" s="1">
        <f>('RECEITAS - BLOCOS PAN'!Z39-'OPEX - BLOCOS PAN'!Z39-VLOOKUP('BLOCOS - AMPLIAR'!$E32,'CAPEX - BLOCOS PAN'!$C$3:$Z$52,24,FALSE))*'BLOCOS - AMPLIAR'!AB$57</f>
        <v>-113477.58954800523</v>
      </c>
      <c r="AC7" s="1">
        <f>('RECEITAS - BLOCOS PAN'!AA39-'OPEX - BLOCOS PAN'!AA39-VLOOKUP('BLOCOS - AMPLIAR'!$E32,'CAPEX - BLOCOS PAN'!$C$3:$AA$52,25,FALSE))*'BLOCOS - AMPLIAR'!AC$57</f>
        <v>-103585.20269101343</v>
      </c>
      <c r="AD7" s="1">
        <f>('RECEITAS - BLOCOS PAN'!AB39-'OPEX - BLOCOS PAN'!AB39-VLOOKUP('BLOCOS - AMPLIAR'!$E32,'CAPEX - BLOCOS PAN'!$C$3:$AB$52,26,FALSE))*'BLOCOS - AMPLIAR'!AD$57</f>
        <v>-94555.182739400683</v>
      </c>
      <c r="AE7" s="1">
        <f>('RECEITAS - BLOCOS PAN'!AC39-'OPEX - BLOCOS PAN'!AC39-VLOOKUP('BLOCOS - AMPLIAR'!$E32,'CAPEX - BLOCOS PAN'!$C$3:$AC$52,27,FALSE))*'BLOCOS - AMPLIAR'!AE$57</f>
        <v>-86312.353025468445</v>
      </c>
      <c r="AF7" s="1">
        <f>('RECEITAS - BLOCOS PAN'!AD39-'OPEX - BLOCOS PAN'!AD39-VLOOKUP('BLOCOS - AMPLIAR'!$E32,'CAPEX - BLOCOS PAN'!$C$3:$AD$52,28,FALSE))*'BLOCOS - AMPLIAR'!AF$57</f>
        <v>-78788.090392942438</v>
      </c>
      <c r="AG7" s="1">
        <f>('RECEITAS - BLOCOS PAN'!AE39-'OPEX - BLOCOS PAN'!AE39-VLOOKUP('BLOCOS - AMPLIAR'!$E32,'CAPEX - BLOCOS PAN'!$C$3:$AE$52,29,FALSE))*'BLOCOS - AMPLIAR'!AG$57</f>
        <v>-71919.753895885398</v>
      </c>
      <c r="AH7" s="1">
        <f>('RECEITAS - BLOCOS PAN'!AF39-'OPEX - BLOCOS PAN'!AF39-VLOOKUP('BLOCOS - AMPLIAR'!$E32,'CAPEX - BLOCOS PAN'!$C$3:$AF$52,30,FALSE))*'BLOCOS - AMPLIAR'!AH$57</f>
        <v>-65650.163300671295</v>
      </c>
      <c r="AI7" s="1">
        <f>('RECEITAS - BLOCOS PAN'!AG39-'OPEX - BLOCOS PAN'!AG39-VLOOKUP('BLOCOS - AMPLIAR'!$E32,'CAPEX - BLOCOS PAN'!$C$3:$AG$52,31,FALSE))*'BLOCOS - AMPLIAR'!AI$57</f>
        <v>-59927.123049448921</v>
      </c>
      <c r="AJ7" s="1">
        <f>('RECEITAS - BLOCOS PAN'!AH39-'OPEX - BLOCOS PAN'!AH39-VLOOKUP('BLOCOS - AMPLIAR'!$E32,'CAPEX - BLOCOS PAN'!$C$3:$AH$52,32,FALSE))*'BLOCOS - AMPLIAR'!AJ$57</f>
        <v>-54702.987721998099</v>
      </c>
      <c r="AK7" s="1">
        <f>('RECEITAS - BLOCOS PAN'!AI39-'OPEX - BLOCOS PAN'!AI39-VLOOKUP('BLOCOS - AMPLIAR'!$E32,'CAPEX - BLOCOS PAN'!$C$3:$AI$52,33,FALSE))*'BLOCOS - AMPLIAR'!AK$57</f>
        <v>-49934.265378364318</v>
      </c>
      <c r="AL7" s="1">
        <f>('RECEITAS - BLOCOS PAN'!AJ39-'OPEX - BLOCOS PAN'!AJ39-VLOOKUP('BLOCOS - AMPLIAR'!$E32,'CAPEX - BLOCOS PAN'!$C$3:$AJ$52,34,FALSE))*'BLOCOS - AMPLIAR'!AL$57</f>
        <v>-45581.255480022199</v>
      </c>
      <c r="AM7" s="1">
        <f>('RECEITAS - BLOCOS PAN'!AK39-'OPEX - BLOCOS PAN'!AK39-VLOOKUP('BLOCOS - AMPLIAR'!$E32,'CAPEX - BLOCOS PAN'!$C$3:$AK$52,35,FALSE))*'BLOCOS - AMPLIAR'!AM$57</f>
        <v>-41607.718375191413</v>
      </c>
      <c r="AN7" s="1">
        <f>SUM(J7:X7)</f>
        <v>-28786814.122901775</v>
      </c>
      <c r="AO7" s="88"/>
      <c r="AP7" s="44">
        <f>SUM(J7:AM7)</f>
        <v>-30062549.849050183</v>
      </c>
      <c r="AQ7" s="88"/>
      <c r="AR7" s="48">
        <v>0</v>
      </c>
      <c r="AS7">
        <v>1</v>
      </c>
      <c r="AT7">
        <v>-3.4666666666666668</v>
      </c>
      <c r="AU7">
        <v>-68.916666666666671</v>
      </c>
    </row>
    <row r="8" spans="1:47" x14ac:dyDescent="0.35">
      <c r="A8" s="89"/>
      <c r="B8" t="s">
        <v>114</v>
      </c>
      <c r="C8" s="5" t="s">
        <v>278</v>
      </c>
      <c r="D8">
        <v>120035</v>
      </c>
      <c r="E8" t="s">
        <v>294</v>
      </c>
      <c r="F8" t="s">
        <v>236</v>
      </c>
      <c r="G8" t="s">
        <v>41</v>
      </c>
      <c r="H8" t="s">
        <v>259</v>
      </c>
      <c r="I8" t="s">
        <v>33</v>
      </c>
      <c r="J8" s="1">
        <f>(VLOOKUP($E8,'RECEITAS - BLOCOS PAN'!$D$3:$H$52,5,FALSE)-VLOOKUP('BLOCOS - AMPLIAR'!$E8,'OPEX - BLOCOS PAN'!$D$3:$H$52,5,FALSE)-VLOOKUP('BLOCOS - AMPLIAR'!$E8,'CAPEX - BLOCOS PAN'!$C$3:$H$52,6,FALSE))*'BLOCOS - AMPLIAR'!J$57</f>
        <v>-7567340.5377000002</v>
      </c>
      <c r="K8" s="1">
        <f>(VLOOKUP($E8,'RECEITAS - BLOCOS PAN'!$D$3:$I$52,6,FALSE)-VLOOKUP('BLOCOS - AMPLIAR'!$E8,'OPEX - BLOCOS PAN'!$D$3:$I$52,6,FALSE)-VLOOKUP('BLOCOS - AMPLIAR'!$E8,'CAPEX - BLOCOS PAN'!$C$3:$I$52,7,FALSE))*'BLOCOS - AMPLIAR'!K$57</f>
        <v>-6907659.0942035606</v>
      </c>
      <c r="L8" s="1">
        <f>(VLOOKUP($E8,'RECEITAS - BLOCOS PAN'!$D$3:$J$52,7,FALSE)-VLOOKUP('BLOCOS - AMPLIAR'!$E8,'OPEX - BLOCOS PAN'!$D$3:$J$52,7,FALSE)-VLOOKUP('BLOCOS - AMPLIAR'!$E8,'CAPEX - BLOCOS PAN'!$C$3:$J$52,8,FALSE))*'BLOCOS - AMPLIAR'!L$57</f>
        <v>-6305485.2525819819</v>
      </c>
      <c r="M8" s="1">
        <f>('RECEITAS - BLOCOS PAN'!K41-'OPEX - BLOCOS PAN'!K41-VLOOKUP('BLOCOS - AMPLIAR'!$E34,'CAPEX - BLOCOS PAN'!$C$3:$K$52,9,FALSE))*'BLOCOS - AMPLIAR'!M$57</f>
        <v>-393777.96348925913</v>
      </c>
      <c r="N8" s="1">
        <f>('RECEITAS - BLOCOS PAN'!L41-'OPEX - BLOCOS PAN'!L41-VLOOKUP('BLOCOS - AMPLIAR'!$E34,'CAPEX - BLOCOS PAN'!$C$3:$L$52,10,FALSE))*'BLOCOS - AMPLIAR'!N$57</f>
        <v>-359450.44590530277</v>
      </c>
      <c r="O8" s="1">
        <f>('RECEITAS - BLOCOS PAN'!M41-'OPEX - BLOCOS PAN'!M41-VLOOKUP('BLOCOS - AMPLIAR'!$E34,'CAPEX - BLOCOS PAN'!$C$3:$M$52,11,FALSE))*'BLOCOS - AMPLIAR'!O$57</f>
        <v>-328115.42300803534</v>
      </c>
      <c r="P8" s="1">
        <f>('RECEITAS - BLOCOS PAN'!N41-'OPEX - BLOCOS PAN'!N41-VLOOKUP('BLOCOS - AMPLIAR'!$E34,'CAPEX - BLOCOS PAN'!$C$3:$N$52,12,FALSE))*'BLOCOS - AMPLIAR'!P$57</f>
        <v>-299512.02465361514</v>
      </c>
      <c r="Q8" s="1">
        <f>('RECEITAS - BLOCOS PAN'!O41-'OPEX - BLOCOS PAN'!O41-VLOOKUP('BLOCOS - AMPLIAR'!$E34,'CAPEX - BLOCOS PAN'!$C$3:$O$52,13,FALSE))*'BLOCOS - AMPLIAR'!Q$57</f>
        <v>-273402.12200238719</v>
      </c>
      <c r="R8" s="1">
        <f>('RECEITAS - BLOCOS PAN'!P41-'OPEX - BLOCOS PAN'!P41-VLOOKUP('BLOCOS - AMPLIAR'!$E34,'CAPEX - BLOCOS PAN'!$C$3:$P$52,14,FALSE))*'BLOCOS - AMPLIAR'!R$57</f>
        <v>-249568.34505010242</v>
      </c>
      <c r="S8" s="1">
        <f>('RECEITAS - BLOCOS PAN'!Q41-'OPEX - BLOCOS PAN'!Q41-VLOOKUP('BLOCOS - AMPLIAR'!$E34,'CAPEX - BLOCOS PAN'!$C$3:$Q$52,15,FALSE))*'BLOCOS - AMPLIAR'!S$57</f>
        <v>-227812.27298046774</v>
      </c>
      <c r="T8" s="1">
        <f>('RECEITAS - BLOCOS PAN'!R41-'OPEX - BLOCOS PAN'!R41-VLOOKUP('BLOCOS - AMPLIAR'!$E34,'CAPEX - BLOCOS PAN'!$C$3:$R$52,16,FALSE))*'BLOCOS - AMPLIAR'!T$57</f>
        <v>-207952.78227336172</v>
      </c>
      <c r="U8" s="1">
        <f>('RECEITAS - BLOCOS PAN'!S41-'OPEX - BLOCOS PAN'!S41-VLOOKUP('BLOCOS - AMPLIAR'!$E34,'CAPEX - BLOCOS PAN'!$C$3:$S$52,17,FALSE))*'BLOCOS - AMPLIAR'!U$57</f>
        <v>-189824.53881639591</v>
      </c>
      <c r="V8" s="1">
        <f>('RECEITAS - BLOCOS PAN'!T41-'OPEX - BLOCOS PAN'!T41-VLOOKUP('BLOCOS - AMPLIAR'!$E34,'CAPEX - BLOCOS PAN'!$C$3:$T$52,18,FALSE))*'BLOCOS - AMPLIAR'!V$57</f>
        <v>-173276.62146635869</v>
      </c>
      <c r="W8" s="1">
        <f>('RECEITAS - BLOCOS PAN'!U41-'OPEX - BLOCOS PAN'!U41-VLOOKUP('BLOCOS - AMPLIAR'!$E34,'CAPEX - BLOCOS PAN'!$C$3:$U$52,19,FALSE))*'BLOCOS - AMPLIAR'!W$57</f>
        <v>-158171.26560142281</v>
      </c>
      <c r="X8" s="1">
        <f>('RECEITAS - BLOCOS PAN'!V41-'OPEX - BLOCOS PAN'!V41-VLOOKUP('BLOCOS - AMPLIAR'!$E34,'CAPEX - BLOCOS PAN'!$C$3:$V$52,20,FALSE))*'BLOCOS - AMPLIAR'!X$57</f>
        <v>-144382.71620394595</v>
      </c>
      <c r="Y8" s="1">
        <f>('RECEITAS - BLOCOS PAN'!W41-'OPEX - BLOCOS PAN'!W41-VLOOKUP('BLOCOS - AMPLIAR'!$E34,'CAPEX - BLOCOS PAN'!$C$3:$W$52,21,FALSE))*'BLOCOS - AMPLIAR'!Y$57</f>
        <v>-131796.18092555544</v>
      </c>
      <c r="Z8" s="1">
        <f>('RECEITAS - BLOCOS PAN'!X41-'OPEX - BLOCOS PAN'!X41-VLOOKUP('BLOCOS - AMPLIAR'!$E34,'CAPEX - BLOCOS PAN'!$C$3:$X$52,22,FALSE))*'BLOCOS - AMPLIAR'!Z$57</f>
        <v>-120306.87441858096</v>
      </c>
      <c r="AA8" s="1">
        <f>('RECEITAS - BLOCOS PAN'!Y41-'OPEX - BLOCOS PAN'!Y41-VLOOKUP('BLOCOS - AMPLIAR'!$E34,'CAPEX - BLOCOS PAN'!$C$3:$Y$52,23,FALSE))*'BLOCOS - AMPLIAR'!AA$57</f>
        <v>-109819.14597770968</v>
      </c>
      <c r="AB8" s="1">
        <f>('RECEITAS - BLOCOS PAN'!Z41-'OPEX - BLOCOS PAN'!Z41-VLOOKUP('BLOCOS - AMPLIAR'!$E34,'CAPEX - BLOCOS PAN'!$C$3:$Z$52,24,FALSE))*'BLOCOS - AMPLIAR'!AB$57</f>
        <v>-100245.68322931055</v>
      </c>
      <c r="AC8" s="1">
        <f>('RECEITAS - BLOCOS PAN'!AA41-'OPEX - BLOCOS PAN'!AA41-VLOOKUP('BLOCOS - AMPLIAR'!$E34,'CAPEX - BLOCOS PAN'!$C$3:$AA$52,25,FALSE))*'BLOCOS - AMPLIAR'!AC$57</f>
        <v>-91506.785238987257</v>
      </c>
      <c r="AD8" s="1">
        <f>('RECEITAS - BLOCOS PAN'!AB41-'OPEX - BLOCOS PAN'!AB41-VLOOKUP('BLOCOS - AMPLIAR'!$E34,'CAPEX - BLOCOS PAN'!$C$3:$AB$52,26,FALSE))*'BLOCOS - AMPLIAR'!AD$57</f>
        <v>-83529.698985839597</v>
      </c>
      <c r="AE8" s="1">
        <f>('RECEITAS - BLOCOS PAN'!AC41-'OPEX - BLOCOS PAN'!AC41-VLOOKUP('BLOCOS - AMPLIAR'!$E34,'CAPEX - BLOCOS PAN'!$C$3:$AC$52,27,FALSE))*'BLOCOS - AMPLIAR'!AE$57</f>
        <v>-76248.013679451935</v>
      </c>
      <c r="AF8" s="1">
        <f>('RECEITAS - BLOCOS PAN'!AD41-'OPEX - BLOCOS PAN'!AD41-VLOOKUP('BLOCOS - AMPLIAR'!$E34,'CAPEX - BLOCOS PAN'!$C$3:$AD$52,28,FALSE))*'BLOCOS - AMPLIAR'!AF$57</f>
        <v>-69601.10787718113</v>
      </c>
      <c r="AG8" s="1">
        <f>('RECEITAS - BLOCOS PAN'!AE41-'OPEX - BLOCOS PAN'!AE41-VLOOKUP('BLOCOS - AMPLIAR'!$E34,'CAPEX - BLOCOS PAN'!$C$3:$AE$52,29,FALSE))*'BLOCOS - AMPLIAR'!AG$57</f>
        <v>-63533.644798887399</v>
      </c>
      <c r="AH8" s="1">
        <f>('RECEITAS - BLOCOS PAN'!AF41-'OPEX - BLOCOS PAN'!AF41-VLOOKUP('BLOCOS - AMPLIAR'!$E34,'CAPEX - BLOCOS PAN'!$C$3:$AF$52,30,FALSE))*'BLOCOS - AMPLIAR'!AH$57</f>
        <v>-57995.111637505615</v>
      </c>
      <c r="AI8" s="1">
        <f>('RECEITAS - BLOCOS PAN'!AG41-'OPEX - BLOCOS PAN'!AG41-VLOOKUP('BLOCOS - AMPLIAR'!$E34,'CAPEX - BLOCOS PAN'!$C$3:$AG$52,31,FALSE))*'BLOCOS - AMPLIAR'!AI$57</f>
        <v>-52939.399030128356</v>
      </c>
      <c r="AJ8" s="1">
        <f>('RECEITAS - BLOCOS PAN'!AH41-'OPEX - BLOCOS PAN'!AH41-VLOOKUP('BLOCOS - AMPLIAR'!$E34,'CAPEX - BLOCOS PAN'!$C$3:$AH$52,32,FALSE))*'BLOCOS - AMPLIAR'!AJ$57</f>
        <v>-48324.417188615567</v>
      </c>
      <c r="AK8" s="1">
        <f>('RECEITAS - BLOCOS PAN'!AI41-'OPEX - BLOCOS PAN'!AI41-VLOOKUP('BLOCOS - AMPLIAR'!$E34,'CAPEX - BLOCOS PAN'!$C$3:$AI$52,33,FALSE))*'BLOCOS - AMPLIAR'!AK$57</f>
        <v>-44111.745493943934</v>
      </c>
      <c r="AL8" s="1">
        <f>('RECEITAS - BLOCOS PAN'!AJ41-'OPEX - BLOCOS PAN'!AJ41-VLOOKUP('BLOCOS - AMPLIAR'!$E34,'CAPEX - BLOCOS PAN'!$C$3:$AJ$52,34,FALSE))*'BLOCOS - AMPLIAR'!AL$57</f>
        <v>-40266.312637100804</v>
      </c>
      <c r="AM8" s="1">
        <f>('RECEITAS - BLOCOS PAN'!AK41-'OPEX - BLOCOS PAN'!AK41-VLOOKUP('BLOCOS - AMPLIAR'!$E34,'CAPEX - BLOCOS PAN'!$C$3:$AK$52,35,FALSE))*'BLOCOS - AMPLIAR'!AM$57</f>
        <v>-36756.104643633778</v>
      </c>
      <c r="AN8" s="1">
        <f>SUM(J8:X8)</f>
        <v>-23785731.405936196</v>
      </c>
      <c r="AO8" s="88"/>
      <c r="AP8" s="44">
        <f>SUM(J8:AM8)</f>
        <v>-24912711.631698634</v>
      </c>
      <c r="AQ8" s="88"/>
      <c r="AR8" s="48">
        <v>0</v>
      </c>
      <c r="AS8">
        <v>1</v>
      </c>
      <c r="AT8" s="49">
        <v>-8.9499999999999993</v>
      </c>
      <c r="AU8" s="49">
        <v>-72.766666666666666</v>
      </c>
    </row>
    <row r="9" spans="1:47" x14ac:dyDescent="0.35">
      <c r="A9" s="89"/>
      <c r="B9" t="s">
        <v>134</v>
      </c>
      <c r="C9" s="5" t="s">
        <v>273</v>
      </c>
      <c r="D9">
        <v>130370</v>
      </c>
      <c r="E9" t="s">
        <v>296</v>
      </c>
      <c r="F9" t="s">
        <v>237</v>
      </c>
      <c r="G9" t="s">
        <v>35</v>
      </c>
      <c r="H9" t="s">
        <v>259</v>
      </c>
      <c r="I9" t="s">
        <v>33</v>
      </c>
      <c r="J9" s="1">
        <f>(VLOOKUP($E9,'RECEITAS - BLOCOS PAN'!$D$3:$H$52,5,FALSE)-VLOOKUP('BLOCOS - AMPLIAR'!$E9,'OPEX - BLOCOS PAN'!$D$3:$H$52,5,FALSE)-VLOOKUP('BLOCOS - AMPLIAR'!$E9,'CAPEX - BLOCOS PAN'!$C$3:$H$52,6,FALSE))*'BLOCOS - AMPLIAR'!J$57</f>
        <v>-14053445.479048483</v>
      </c>
      <c r="K9" s="1">
        <f>(VLOOKUP($E9,'RECEITAS - BLOCOS PAN'!$D$3:$I$52,6,FALSE)-VLOOKUP('BLOCOS - AMPLIAR'!$E9,'OPEX - BLOCOS PAN'!$D$3:$I$52,6,FALSE)-VLOOKUP('BLOCOS - AMPLIAR'!$E9,'CAPEX - BLOCOS PAN'!$C$3:$I$52,7,FALSE))*'BLOCOS - AMPLIAR'!K$57</f>
        <v>-12828339.095434491</v>
      </c>
      <c r="L9" s="1">
        <f>(VLOOKUP($E9,'RECEITAS - BLOCOS PAN'!$D$3:$J$52,7,FALSE)-VLOOKUP('BLOCOS - AMPLIAR'!$E9,'OPEX - BLOCOS PAN'!$D$3:$J$52,7,FALSE)-VLOOKUP('BLOCOS - AMPLIAR'!$E9,'CAPEX - BLOCOS PAN'!$C$3:$J$52,8,FALSE))*'BLOCOS - AMPLIAR'!L$57</f>
        <v>-11710031.123171603</v>
      </c>
      <c r="M9" s="1">
        <f>('RECEITAS - BLOCOS PAN'!K48-'OPEX - BLOCOS PAN'!K48-VLOOKUP('BLOCOS - AMPLIAR'!$E41,'CAPEX - BLOCOS PAN'!$C$3:$K$52,9,FALSE))*'BLOCOS - AMPLIAR'!M$57</f>
        <v>-458678.40857740701</v>
      </c>
      <c r="N9" s="1">
        <f>('RECEITAS - BLOCOS PAN'!L48-'OPEX - BLOCOS PAN'!L48-VLOOKUP('BLOCOS - AMPLIAR'!$E41,'CAPEX - BLOCOS PAN'!$C$3:$L$52,10,FALSE))*'BLOCOS - AMPLIAR'!N$57</f>
        <v>-418693.20728197816</v>
      </c>
      <c r="O9" s="1">
        <f>('RECEITAS - BLOCOS PAN'!M48-'OPEX - BLOCOS PAN'!M48-VLOOKUP('BLOCOS - AMPLIAR'!$E41,'CAPEX - BLOCOS PAN'!$C$3:$M$52,11,FALSE))*'BLOCOS - AMPLIAR'!O$57</f>
        <v>-382193.70815333468</v>
      </c>
      <c r="P9" s="1">
        <f>('RECEITAS - BLOCOS PAN'!N48-'OPEX - BLOCOS PAN'!N48-VLOOKUP('BLOCOS - AMPLIAR'!$E41,'CAPEX - BLOCOS PAN'!$C$3:$N$52,12,FALSE))*'BLOCOS - AMPLIAR'!P$57</f>
        <v>-348876.04578122747</v>
      </c>
      <c r="Q9" s="1">
        <f>('RECEITAS - BLOCOS PAN'!O48-'OPEX - BLOCOS PAN'!O48-VLOOKUP('BLOCOS - AMPLIAR'!$E41,'CAPEX - BLOCOS PAN'!$C$3:$O$52,13,FALSE))*'BLOCOS - AMPLIAR'!Q$57</f>
        <v>-318462.84416360338</v>
      </c>
      <c r="R9" s="1">
        <f>('RECEITAS - BLOCOS PAN'!P48-'OPEX - BLOCOS PAN'!P48-VLOOKUP('BLOCOS - AMPLIAR'!$E41,'CAPEX - BLOCOS PAN'!$C$3:$P$52,14,FALSE))*'BLOCOS - AMPLIAR'!R$57</f>
        <v>-290700.90749758412</v>
      </c>
      <c r="S9" s="1">
        <f>('RECEITAS - BLOCOS PAN'!Q48-'OPEX - BLOCOS PAN'!Q48-VLOOKUP('BLOCOS - AMPLIAR'!$E41,'CAPEX - BLOCOS PAN'!$C$3:$Q$52,15,FALSE))*'BLOCOS - AMPLIAR'!S$57</f>
        <v>-265359.11227529356</v>
      </c>
      <c r="T9" s="1">
        <f>('RECEITAS - BLOCOS PAN'!R48-'OPEX - BLOCOS PAN'!R48-VLOOKUP('BLOCOS - AMPLIAR'!$E41,'CAPEX - BLOCOS PAN'!$C$3:$R$52,16,FALSE))*'BLOCOS - AMPLIAR'!T$57</f>
        <v>-242226.48313582258</v>
      </c>
      <c r="U9" s="1">
        <f>('RECEITAS - BLOCOS PAN'!S48-'OPEX - BLOCOS PAN'!S48-VLOOKUP('BLOCOS - AMPLIAR'!$E41,'CAPEX - BLOCOS PAN'!$C$3:$S$52,17,FALSE))*'BLOCOS - AMPLIAR'!U$57</f>
        <v>-221110.43645442498</v>
      </c>
      <c r="V9" s="1">
        <f>('RECEITAS - BLOCOS PAN'!T48-'OPEX - BLOCOS PAN'!T48-VLOOKUP('BLOCOS - AMPLIAR'!$E41,'CAPEX - BLOCOS PAN'!$C$3:$T$52,18,FALSE))*'BLOCOS - AMPLIAR'!V$57</f>
        <v>-201835.17704648562</v>
      </c>
      <c r="W9" s="1">
        <f>('RECEITAS - BLOCOS PAN'!U48-'OPEX - BLOCOS PAN'!U48-VLOOKUP('BLOCOS - AMPLIAR'!$E41,'CAPEX - BLOCOS PAN'!$C$3:$U$52,19,FALSE))*'BLOCOS - AMPLIAR'!W$57</f>
        <v>-184240.23463850809</v>
      </c>
      <c r="X9" s="1">
        <f>('RECEITAS - BLOCOS PAN'!V48-'OPEX - BLOCOS PAN'!V48-VLOOKUP('BLOCOS - AMPLIAR'!$E41,'CAPEX - BLOCOS PAN'!$C$3:$V$52,20,FALSE))*'BLOCOS - AMPLIAR'!X$57</f>
        <v>-168179.12792196084</v>
      </c>
      <c r="Y9" s="1">
        <f>('RECEITAS - BLOCOS PAN'!W48-'OPEX - BLOCOS PAN'!W48-VLOOKUP('BLOCOS - AMPLIAR'!$E41,'CAPEX - BLOCOS PAN'!$C$3:$W$52,21,FALSE))*'BLOCOS - AMPLIAR'!Y$57</f>
        <v>-153518.14506796974</v>
      </c>
      <c r="Z9" s="1">
        <f>('RECEITAS - BLOCOS PAN'!X48-'OPEX - BLOCOS PAN'!X48-VLOOKUP('BLOCOS - AMPLIAR'!$E41,'CAPEX - BLOCOS PAN'!$C$3:$X$52,22,FALSE))*'BLOCOS - AMPLIAR'!Z$57</f>
        <v>-140135.23055040598</v>
      </c>
      <c r="AA9" s="1">
        <f>('RECEITAS - BLOCOS PAN'!Y48-'OPEX - BLOCOS PAN'!Y48-VLOOKUP('BLOCOS - AMPLIAR'!$E41,'CAPEX - BLOCOS PAN'!$C$3:$Y$52,23,FALSE))*'BLOCOS - AMPLIAR'!AA$57</f>
        <v>-127918.96900995525</v>
      </c>
      <c r="AB9" s="1">
        <f>('RECEITAS - BLOCOS PAN'!Z48-'OPEX - BLOCOS PAN'!Z48-VLOOKUP('BLOCOS - AMPLIAR'!$E41,'CAPEX - BLOCOS PAN'!$C$3:$Z$52,24,FALSE))*'BLOCOS - AMPLIAR'!AB$57</f>
        <v>-116767.65769963969</v>
      </c>
      <c r="AC9" s="1">
        <f>('RECEITAS - BLOCOS PAN'!AA48-'OPEX - BLOCOS PAN'!AA48-VLOOKUP('BLOCOS - AMPLIAR'!$E41,'CAPEX - BLOCOS PAN'!$C$3:$AA$52,25,FALSE))*'BLOCOS - AMPLIAR'!AC$57</f>
        <v>-106588.4597897213</v>
      </c>
      <c r="AD9" s="1">
        <f>('RECEITAS - BLOCOS PAN'!AB48-'OPEX - BLOCOS PAN'!AB48-VLOOKUP('BLOCOS - AMPLIAR'!$E41,'CAPEX - BLOCOS PAN'!$C$3:$AB$52,26,FALSE))*'BLOCOS - AMPLIAR'!AD$57</f>
        <v>-97296.631483086545</v>
      </c>
      <c r="AE9" s="1">
        <f>('RECEITAS - BLOCOS PAN'!AC48-'OPEX - BLOCOS PAN'!AC48-VLOOKUP('BLOCOS - AMPLIAR'!$E41,'CAPEX - BLOCOS PAN'!$C$3:$AC$52,27,FALSE))*'BLOCOS - AMPLIAR'!AE$57</f>
        <v>-88814.816506696981</v>
      </c>
      <c r="AF9" s="1">
        <f>('RECEITAS - BLOCOS PAN'!AD48-'OPEX - BLOCOS PAN'!AD48-VLOOKUP('BLOCOS - AMPLIAR'!$E41,'CAPEX - BLOCOS PAN'!$C$3:$AD$52,28,FALSE))*'BLOCOS - AMPLIAR'!AF$57</f>
        <v>-81072.402105611123</v>
      </c>
      <c r="AG9" s="1">
        <f>('RECEITAS - BLOCOS PAN'!AE48-'OPEX - BLOCOS PAN'!AE48-VLOOKUP('BLOCOS - AMPLIAR'!$E41,'CAPEX - BLOCOS PAN'!$C$3:$AE$52,29,FALSE))*'BLOCOS - AMPLIAR'!AG$57</f>
        <v>-74004.931178102357</v>
      </c>
      <c r="AH9" s="1">
        <f>('RECEITAS - BLOCOS PAN'!AF48-'OPEX - BLOCOS PAN'!AF48-VLOOKUP('BLOCOS - AMPLIAR'!$E41,'CAPEX - BLOCOS PAN'!$C$3:$AF$52,30,FALSE))*'BLOCOS - AMPLIAR'!AH$57</f>
        <v>-67553.565657783998</v>
      </c>
      <c r="AI9" s="1">
        <f>('RECEITAS - BLOCOS PAN'!AG48-'OPEX - BLOCOS PAN'!AG48-VLOOKUP('BLOCOS - AMPLIAR'!$E41,'CAPEX - BLOCOS PAN'!$C$3:$AG$52,31,FALSE))*'BLOCOS - AMPLIAR'!AI$57</f>
        <v>-61664.596675293462</v>
      </c>
      <c r="AJ9" s="1">
        <f>('RECEITAS - BLOCOS PAN'!AH48-'OPEX - BLOCOS PAN'!AH48-VLOOKUP('BLOCOS - AMPLIAR'!$E41,'CAPEX - BLOCOS PAN'!$C$3:$AH$52,32,FALSE))*'BLOCOS - AMPLIAR'!AJ$57</f>
        <v>-56288.997421536711</v>
      </c>
      <c r="AK9" s="1">
        <f>('RECEITAS - BLOCOS PAN'!AI48-'OPEX - BLOCOS PAN'!AI48-VLOOKUP('BLOCOS - AMPLIAR'!$E41,'CAPEX - BLOCOS PAN'!$C$3:$AI$52,33,FALSE))*'BLOCOS - AMPLIAR'!AK$57</f>
        <v>-51382.014989992444</v>
      </c>
      <c r="AL9" s="1">
        <f>('RECEITAS - BLOCOS PAN'!AJ48-'OPEX - BLOCOS PAN'!AJ48-VLOOKUP('BLOCOS - AMPLIAR'!$E41,'CAPEX - BLOCOS PAN'!$C$3:$AJ$52,34,FALSE))*'BLOCOS - AMPLIAR'!AL$57</f>
        <v>-46902.79780008438</v>
      </c>
      <c r="AM9" s="1">
        <f>('RECEITAS - BLOCOS PAN'!AK48-'OPEX - BLOCOS PAN'!AK48-VLOOKUP('BLOCOS - AMPLIAR'!$E41,'CAPEX - BLOCOS PAN'!$C$3:$AK$52,35,FALSE))*'BLOCOS - AMPLIAR'!AM$57</f>
        <v>-42814.055499848815</v>
      </c>
      <c r="AN9" s="1">
        <f>SUM(J9:X9)</f>
        <v>-42092371.390582196</v>
      </c>
      <c r="AO9" s="88"/>
      <c r="AP9" s="44">
        <f>SUM(J9:AM9)</f>
        <v>-43405094.662017941</v>
      </c>
      <c r="AQ9" s="88"/>
      <c r="AR9" s="48">
        <v>0</v>
      </c>
      <c r="AS9">
        <v>1</v>
      </c>
      <c r="AT9">
        <v>-2.9333333333333336</v>
      </c>
      <c r="AU9">
        <v>-69.683333333333337</v>
      </c>
    </row>
    <row r="10" spans="1:47" x14ac:dyDescent="0.35">
      <c r="A10" s="89" t="str">
        <f>VLOOKUP(E10,'FLUXO DE CAIXA DESC.-SEM MULT.'!$D$3:$AT$52,43,FALSE)</f>
        <v>Bloco 2 - AM1</v>
      </c>
      <c r="B10" t="s">
        <v>50</v>
      </c>
      <c r="C10" t="s">
        <v>51</v>
      </c>
      <c r="D10">
        <v>130040</v>
      </c>
      <c r="E10" t="s">
        <v>52</v>
      </c>
      <c r="F10" t="s">
        <v>51</v>
      </c>
      <c r="G10" t="s">
        <v>35</v>
      </c>
      <c r="H10" t="s">
        <v>259</v>
      </c>
      <c r="I10" t="s">
        <v>33</v>
      </c>
      <c r="J10" s="1">
        <f>(VLOOKUP($E10,'RECEITAS - BLOCOS PAN'!$D$3:$H$52,5,FALSE)-VLOOKUP('BLOCOS - AMPLIAR'!$E10,'OPEX - BLOCOS PAN'!$D$3:$H$52,5,FALSE)-VLOOKUP('BLOCOS - AMPLIAR'!$E10,'CAPEX - BLOCOS PAN'!$C$3:$H$52,6,FALSE))*'BLOCOS - AMPLIAR'!J$57</f>
        <v>-22890549.1217</v>
      </c>
      <c r="K10" s="1">
        <f>(VLOOKUP($E10,'RECEITAS - BLOCOS PAN'!$D$3:$I$52,6,FALSE)-VLOOKUP('BLOCOS - AMPLIAR'!$E10,'OPEX - BLOCOS PAN'!$D$3:$I$52,6,FALSE)-VLOOKUP('BLOCOS - AMPLIAR'!$E10,'CAPEX - BLOCOS PAN'!$C$3:$I$52,7,FALSE))*'BLOCOS - AMPLIAR'!K$57</f>
        <v>-20892172.230670929</v>
      </c>
      <c r="L10" s="1">
        <f>(VLOOKUP($E10,'RECEITAS - BLOCOS PAN'!$D$3:$J$52,7,FALSE)-VLOOKUP('BLOCOS - AMPLIAR'!$E10,'OPEX - BLOCOS PAN'!$D$3:$J$52,7,FALSE)-VLOOKUP('BLOCOS - AMPLIAR'!$E10,'CAPEX - BLOCOS PAN'!$C$3:$J$52,8,FALSE))*'BLOCOS - AMPLIAR'!L$57</f>
        <v>-19068906.377340104</v>
      </c>
      <c r="M10" s="1">
        <f>('RECEITAS - BLOCOS PAN'!K5-'OPEX - BLOCOS PAN'!K5-VLOOKUP('BLOCOS - AMPLIAR'!$E5,'CAPEX - BLOCOS PAN'!$C$3:$K$52,9,FALSE))*'BLOCOS - AMPLIAR'!M$57</f>
        <v>-2038771.4731732842</v>
      </c>
      <c r="N10" s="1">
        <f>('RECEITAS - BLOCOS PAN'!L5-'OPEX - BLOCOS PAN'!L5-VLOOKUP('BLOCOS - AMPLIAR'!$E5,'CAPEX - BLOCOS PAN'!$C$3:$L$52,10,FALSE))*'BLOCOS - AMPLIAR'!N$57</f>
        <v>-1859999.4809403422</v>
      </c>
      <c r="O10" s="1">
        <f>('RECEITAS - BLOCOS PAN'!M5-'OPEX - BLOCOS PAN'!M5-VLOOKUP('BLOCOS - AMPLIAR'!$E5,'CAPEX - BLOCOS PAN'!$C$3:$M$52,11,FALSE))*'BLOCOS - AMPLIAR'!O$57</f>
        <v>-1696975.2839940933</v>
      </c>
      <c r="P10" s="1">
        <f>('RECEITAS - BLOCOS PAN'!N5-'OPEX - BLOCOS PAN'!N5-VLOOKUP('BLOCOS - AMPLIAR'!$E5,'CAPEX - BLOCOS PAN'!$C$3:$N$52,12,FALSE))*'BLOCOS - AMPLIAR'!P$57</f>
        <v>-1548297.2355039928</v>
      </c>
      <c r="Q10" s="1">
        <f>('RECEITAS - BLOCOS PAN'!O5-'OPEX - BLOCOS PAN'!O5-VLOOKUP('BLOCOS - AMPLIAR'!$E5,'CAPEX - BLOCOS PAN'!$C$3:$O$52,13,FALSE))*'BLOCOS - AMPLIAR'!Q$57</f>
        <v>-1412675.2803874707</v>
      </c>
      <c r="R10" s="1">
        <f>('RECEITAS - BLOCOS PAN'!P5-'OPEX - BLOCOS PAN'!P5-VLOOKUP('BLOCOS - AMPLIAR'!$E5,'CAPEX - BLOCOS PAN'!$C$3:$P$52,14,FALSE))*'BLOCOS - AMPLIAR'!R$57</f>
        <v>-1288987.9053097682</v>
      </c>
      <c r="S10" s="1">
        <f>('RECEITAS - BLOCOS PAN'!Q5-'OPEX - BLOCOS PAN'!Q5-VLOOKUP('BLOCOS - AMPLIAR'!$E5,'CAPEX - BLOCOS PAN'!$C$3:$Q$52,15,FALSE))*'BLOCOS - AMPLIAR'!S$57</f>
        <v>-1176167.5793331361</v>
      </c>
      <c r="T10" s="1">
        <f>('RECEITAS - BLOCOS PAN'!R5-'OPEX - BLOCOS PAN'!R5-VLOOKUP('BLOCOS - AMPLIAR'!$E5,'CAPEX - BLOCOS PAN'!$C$3:$R$52,16,FALSE))*'BLOCOS - AMPLIAR'!T$57</f>
        <v>-1073250.5584972315</v>
      </c>
      <c r="U10" s="1">
        <f>('RECEITAS - BLOCOS PAN'!S5-'OPEX - BLOCOS PAN'!S5-VLOOKUP('BLOCOS - AMPLIAR'!$E5,'CAPEX - BLOCOS PAN'!$C$3:$S$52,17,FALSE))*'BLOCOS - AMPLIAR'!U$57</f>
        <v>-979331.72820585617</v>
      </c>
      <c r="V10" s="1">
        <f>('RECEITAS - BLOCOS PAN'!T5-'OPEX - BLOCOS PAN'!T5-VLOOKUP('BLOCOS - AMPLIAR'!$E5,'CAPEX - BLOCOS PAN'!$C$3:$T$52,18,FALSE))*'BLOCOS - AMPLIAR'!V$57</f>
        <v>-893633.0391519909</v>
      </c>
      <c r="W10" s="1">
        <f>('RECEITAS - BLOCOS PAN'!U5-'OPEX - BLOCOS PAN'!U5-VLOOKUP('BLOCOS - AMPLIAR'!$E5,'CAPEX - BLOCOS PAN'!$C$3:$U$52,19,FALSE))*'BLOCOS - AMPLIAR'!W$57</f>
        <v>-815442.40715189499</v>
      </c>
      <c r="X10" s="1">
        <f>('RECEITAS - BLOCOS PAN'!V5-'OPEX - BLOCOS PAN'!V5-VLOOKUP('BLOCOS - AMPLIAR'!$E5,'CAPEX - BLOCOS PAN'!$C$3:$V$52,20,FALSE))*'BLOCOS - AMPLIAR'!X$57</f>
        <v>-744093.16456707031</v>
      </c>
      <c r="Y10" s="1">
        <f>('RECEITAS - BLOCOS PAN'!W5-'OPEX - BLOCOS PAN'!W5-VLOOKUP('BLOCOS - AMPLIAR'!$E5,'CAPEX - BLOCOS PAN'!$C$3:$W$52,21,FALSE))*'BLOCOS - AMPLIAR'!Y$57</f>
        <v>-678986.72375453392</v>
      </c>
      <c r="Z10" s="1">
        <f>('RECEITAS - BLOCOS PAN'!X5-'OPEX - BLOCOS PAN'!X5-VLOOKUP('BLOCOS - AMPLIAR'!$E5,'CAPEX - BLOCOS PAN'!$C$3:$X$52,22,FALSE))*'BLOCOS - AMPLIAR'!Z$57</f>
        <v>-619583.51514733967</v>
      </c>
      <c r="AA10" s="1">
        <f>('RECEITAS - BLOCOS PAN'!Y5-'OPEX - BLOCOS PAN'!Y5-VLOOKUP('BLOCOS - AMPLIAR'!$E5,'CAPEX - BLOCOS PAN'!$C$3:$Y$52,23,FALSE))*'BLOCOS - AMPLIAR'!AA$57</f>
        <v>-565368.20939806418</v>
      </c>
      <c r="AB10" s="1">
        <f>('RECEITAS - BLOCOS PAN'!Z5-'OPEX - BLOCOS PAN'!Z5-VLOOKUP('BLOCOS - AMPLIAR'!$E5,'CAPEX - BLOCOS PAN'!$C$3:$Z$52,24,FALSE))*'BLOCOS - AMPLIAR'!AB$57</f>
        <v>-515896.82918905915</v>
      </c>
      <c r="AC10" s="1">
        <f>('RECEITAS - BLOCOS PAN'!AA5-'OPEX - BLOCOS PAN'!AA5-VLOOKUP('BLOCOS - AMPLIAR'!$E5,'CAPEX - BLOCOS PAN'!$C$3:$AA$52,25,FALSE))*'BLOCOS - AMPLIAR'!AC$57</f>
        <v>-470749.22435904387</v>
      </c>
      <c r="AD10" s="1">
        <f>('RECEITAS - BLOCOS PAN'!AB5-'OPEX - BLOCOS PAN'!AB5-VLOOKUP('BLOCOS - AMPLIAR'!$E5,'CAPEX - BLOCOS PAN'!$C$3:$AB$52,26,FALSE))*'BLOCOS - AMPLIAR'!AD$57</f>
        <v>-429564.09226354555</v>
      </c>
      <c r="AE10" s="1">
        <f>('RECEITAS - BLOCOS PAN'!AC5-'OPEX - BLOCOS PAN'!AC5-VLOOKUP('BLOCOS - AMPLIAR'!$E5,'CAPEX - BLOCOS PAN'!$C$3:$AC$52,27,FALSE))*'BLOCOS - AMPLIAR'!AE$57</f>
        <v>-391980.03228465241</v>
      </c>
      <c r="AF10" s="1">
        <f>('RECEITAS - BLOCOS PAN'!AD5-'OPEX - BLOCOS PAN'!AD5-VLOOKUP('BLOCOS - AMPLIAR'!$E5,'CAPEX - BLOCOS PAN'!$C$3:$AD$52,28,FALSE))*'BLOCOS - AMPLIAR'!AF$57</f>
        <v>-357686.21150751878</v>
      </c>
      <c r="AG10" s="1">
        <f>('RECEITAS - BLOCOS PAN'!AE5-'OPEX - BLOCOS PAN'!AE5-VLOOKUP('BLOCOS - AMPLIAR'!$E5,'CAPEX - BLOCOS PAN'!$C$3:$AE$52,29,FALSE))*'BLOCOS - AMPLIAR'!AG$57</f>
        <v>-326397.93821358396</v>
      </c>
      <c r="AH10" s="1">
        <f>('RECEITAS - BLOCOS PAN'!AF5-'OPEX - BLOCOS PAN'!AF5-VLOOKUP('BLOCOS - AMPLIAR'!$E5,'CAPEX - BLOCOS PAN'!$C$3:$AF$52,30,FALSE))*'BLOCOS - AMPLIAR'!AH$57</f>
        <v>-297851.35168716463</v>
      </c>
      <c r="AI10" s="1">
        <f>('RECEITAS - BLOCOS PAN'!AG5-'OPEX - BLOCOS PAN'!AG5-VLOOKUP('BLOCOS - AMPLIAR'!$E5,'CAPEX - BLOCOS PAN'!$C$3:$AG$52,31,FALSE))*'BLOCOS - AMPLIAR'!AI$57</f>
        <v>-271801.40767810051</v>
      </c>
      <c r="AJ10" s="1">
        <f>('RECEITAS - BLOCOS PAN'!AH5-'OPEX - BLOCOS PAN'!AH5-VLOOKUP('BLOCOS - AMPLIAR'!$E5,'CAPEX - BLOCOS PAN'!$C$3:$AH$52,32,FALSE))*'BLOCOS - AMPLIAR'!AJ$57</f>
        <v>-248033.76004790072</v>
      </c>
      <c r="AK10" s="1">
        <f>('RECEITAS - BLOCOS PAN'!AI5-'OPEX - BLOCOS PAN'!AI5-VLOOKUP('BLOCOS - AMPLIAR'!$E5,'CAPEX - BLOCOS PAN'!$C$3:$AI$52,33,FALSE))*'BLOCOS - AMPLIAR'!AK$57</f>
        <v>-226345.67069786691</v>
      </c>
      <c r="AL10" s="1">
        <f>('RECEITAS - BLOCOS PAN'!AJ5-'OPEX - BLOCOS PAN'!AJ5-VLOOKUP('BLOCOS - AMPLIAR'!$E5,'CAPEX - BLOCOS PAN'!$C$3:$AJ$52,34,FALSE))*'BLOCOS - AMPLIAR'!AL$57</f>
        <v>-206553.9718688885</v>
      </c>
      <c r="AM10" s="1">
        <f>('RECEITAS - BLOCOS PAN'!AK5-'OPEX - BLOCOS PAN'!AK5-VLOOKUP('BLOCOS - AMPLIAR'!$E5,'CAPEX - BLOCOS PAN'!$C$3:$AK$52,35,FALSE))*'BLOCOS - AMPLIAR'!AM$57</f>
        <v>-188491.83102985783</v>
      </c>
      <c r="AN10" s="1">
        <f>SUM(J10:X10)</f>
        <v>-78379252.865927175</v>
      </c>
      <c r="AO10" s="88">
        <f>SUM(AN10:AN14)</f>
        <v>-353507068.0268603</v>
      </c>
      <c r="AP10" s="44">
        <f>SUM(J10:AM10)</f>
        <v>-84174543.635054305</v>
      </c>
      <c r="AQ10" s="88">
        <f>SUM(AP10:AP14)</f>
        <v>-371803420.4257108</v>
      </c>
      <c r="AR10" s="48">
        <f>VLOOKUP(E10,'Projeção - Demanda PAX'!$C$3:$H$37,6,FALSE)</f>
        <v>1501</v>
      </c>
      <c r="AS10">
        <v>1</v>
      </c>
      <c r="AT10">
        <v>-0.96666666666666667</v>
      </c>
      <c r="AU10">
        <v>-62.916666666666664</v>
      </c>
    </row>
    <row r="11" spans="1:47" x14ac:dyDescent="0.35">
      <c r="A11" s="89"/>
      <c r="B11" t="s">
        <v>64</v>
      </c>
      <c r="C11" t="s">
        <v>65</v>
      </c>
      <c r="D11">
        <v>130270</v>
      </c>
      <c r="E11" t="s">
        <v>66</v>
      </c>
      <c r="F11" t="s">
        <v>65</v>
      </c>
      <c r="G11" t="s">
        <v>35</v>
      </c>
      <c r="H11" t="s">
        <v>259</v>
      </c>
      <c r="I11" t="s">
        <v>33</v>
      </c>
      <c r="J11" s="1">
        <f>(VLOOKUP($E11,'RECEITAS - BLOCOS PAN'!$D$3:$H$52,5,FALSE)-VLOOKUP('BLOCOS - AMPLIAR'!$E11,'OPEX - BLOCOS PAN'!$D$3:$H$52,5,FALSE)-VLOOKUP('BLOCOS - AMPLIAR'!$E11,'CAPEX - BLOCOS PAN'!$C$3:$H$52,6,FALSE))*'BLOCOS - AMPLIAR'!J$57</f>
        <v>-14179164.816299999</v>
      </c>
      <c r="K11" s="1">
        <f>(VLOOKUP($E11,'RECEITAS - BLOCOS PAN'!$D$3:$I$52,6,FALSE)-VLOOKUP('BLOCOS - AMPLIAR'!$E11,'OPEX - BLOCOS PAN'!$D$3:$I$52,6,FALSE)-VLOOKUP('BLOCOS - AMPLIAR'!$E11,'CAPEX - BLOCOS PAN'!$C$3:$I$52,7,FALSE))*'BLOCOS - AMPLIAR'!K$57</f>
        <v>-12923844.889183022</v>
      </c>
      <c r="L11" s="1">
        <f>(VLOOKUP($E11,'RECEITAS - BLOCOS PAN'!$D$3:$J$52,7,FALSE)-VLOOKUP('BLOCOS - AMPLIAR'!$E11,'OPEX - BLOCOS PAN'!$D$3:$J$52,7,FALSE)-VLOOKUP('BLOCOS - AMPLIAR'!$E11,'CAPEX - BLOCOS PAN'!$C$3:$J$52,8,FALSE))*'BLOCOS - AMPLIAR'!L$57</f>
        <v>-11782336.183561606</v>
      </c>
      <c r="M11" s="1">
        <f>('RECEITAS - BLOCOS PAN'!K9-'OPEX - BLOCOS PAN'!K9-VLOOKUP('BLOCOS - AMPLIAR'!$E9,'CAPEX - BLOCOS PAN'!$C$3:$K$52,9,FALSE))*'BLOCOS - AMPLIAR'!M$57</f>
        <v>-1900077.3949048908</v>
      </c>
      <c r="N11" s="1">
        <f>('RECEITAS - BLOCOS PAN'!L9-'OPEX - BLOCOS PAN'!L9-VLOOKUP('BLOCOS - AMPLIAR'!$E9,'CAPEX - BLOCOS PAN'!$C$3:$L$52,10,FALSE))*'BLOCOS - AMPLIAR'!N$57</f>
        <v>-1725596.2385925788</v>
      </c>
      <c r="O11" s="1">
        <f>('RECEITAS - BLOCOS PAN'!M9-'OPEX - BLOCOS PAN'!M9-VLOOKUP('BLOCOS - AMPLIAR'!$E9,'CAPEX - BLOCOS PAN'!$C$3:$M$52,11,FALSE))*'BLOCOS - AMPLIAR'!O$57</f>
        <v>-1567246.7329788073</v>
      </c>
      <c r="P11" s="1">
        <f>('RECEITAS - BLOCOS PAN'!N9-'OPEX - BLOCOS PAN'!N9-VLOOKUP('BLOCOS - AMPLIAR'!$E9,'CAPEX - BLOCOS PAN'!$C$3:$N$52,12,FALSE))*'BLOCOS - AMPLIAR'!P$57</f>
        <v>-1424045.0679601908</v>
      </c>
      <c r="Q11" s="1">
        <f>('RECEITAS - BLOCOS PAN'!O9-'OPEX - BLOCOS PAN'!O9-VLOOKUP('BLOCOS - AMPLIAR'!$E9,'CAPEX - BLOCOS PAN'!$C$3:$O$52,13,FALSE))*'BLOCOS - AMPLIAR'!Q$57</f>
        <v>-1293530.6034470147</v>
      </c>
      <c r="R11" s="1">
        <f>('RECEITAS - BLOCOS PAN'!P9-'OPEX - BLOCOS PAN'!P9-VLOOKUP('BLOCOS - AMPLIAR'!$E9,'CAPEX - BLOCOS PAN'!$C$3:$P$52,14,FALSE))*'BLOCOS - AMPLIAR'!R$57</f>
        <v>-1175070.9316775829</v>
      </c>
      <c r="S11" s="1">
        <f>('RECEITAS - BLOCOS PAN'!Q9-'OPEX - BLOCOS PAN'!Q9-VLOOKUP('BLOCOS - AMPLIAR'!$E9,'CAPEX - BLOCOS PAN'!$C$3:$Q$52,15,FALSE))*'BLOCOS - AMPLIAR'!S$57</f>
        <v>-1067990.2998139011</v>
      </c>
      <c r="T11" s="1">
        <f>('RECEITAS - BLOCOS PAN'!R9-'OPEX - BLOCOS PAN'!R9-VLOOKUP('BLOCOS - AMPLIAR'!$E9,'CAPEX - BLOCOS PAN'!$C$3:$R$52,16,FALSE))*'BLOCOS - AMPLIAR'!T$57</f>
        <v>-970758.59643885517</v>
      </c>
      <c r="U11" s="1">
        <f>('RECEITAS - BLOCOS PAN'!S9-'OPEX - BLOCOS PAN'!S9-VLOOKUP('BLOCOS - AMPLIAR'!$E9,'CAPEX - BLOCOS PAN'!$C$3:$S$52,17,FALSE))*'BLOCOS - AMPLIAR'!U$57</f>
        <v>-882074.49453808391</v>
      </c>
      <c r="V11" s="1">
        <f>('RECEITAS - BLOCOS PAN'!T9-'OPEX - BLOCOS PAN'!T9-VLOOKUP('BLOCOS - AMPLIAR'!$E9,'CAPEX - BLOCOS PAN'!$C$3:$T$52,18,FALSE))*'BLOCOS - AMPLIAR'!V$57</f>
        <v>-801690.75889777543</v>
      </c>
      <c r="W11" s="1">
        <f>('RECEITAS - BLOCOS PAN'!U9-'OPEX - BLOCOS PAN'!U9-VLOOKUP('BLOCOS - AMPLIAR'!$E9,'CAPEX - BLOCOS PAN'!$C$3:$U$52,19,FALSE))*'BLOCOS - AMPLIAR'!W$57</f>
        <v>-728306.86885298323</v>
      </c>
      <c r="X11" s="1">
        <f>('RECEITAS - BLOCOS PAN'!V9-'OPEX - BLOCOS PAN'!V9-VLOOKUP('BLOCOS - AMPLIAR'!$E9,'CAPEX - BLOCOS PAN'!$C$3:$V$52,20,FALSE))*'BLOCOS - AMPLIAR'!X$57</f>
        <v>-661526.74863964366</v>
      </c>
      <c r="Y11" s="1">
        <f>('RECEITAS - BLOCOS PAN'!W9-'OPEX - BLOCOS PAN'!W9-VLOOKUP('BLOCOS - AMPLIAR'!$E9,'CAPEX - BLOCOS PAN'!$C$3:$W$52,21,FALSE))*'BLOCOS - AMPLIAR'!Y$57</f>
        <v>-600970.16943987599</v>
      </c>
      <c r="Z11" s="1">
        <f>('RECEITAS - BLOCOS PAN'!X9-'OPEX - BLOCOS PAN'!X9-VLOOKUP('BLOCOS - AMPLIAR'!$E9,'CAPEX - BLOCOS PAN'!$C$3:$X$52,22,FALSE))*'BLOCOS - AMPLIAR'!Z$57</f>
        <v>-545754.7361305115</v>
      </c>
      <c r="AA11" s="1">
        <f>('RECEITAS - BLOCOS PAN'!Y9-'OPEX - BLOCOS PAN'!Y9-VLOOKUP('BLOCOS - AMPLIAR'!$E9,'CAPEX - BLOCOS PAN'!$C$3:$Y$52,23,FALSE))*'BLOCOS - AMPLIAR'!AA$57</f>
        <v>-495571.33207891812</v>
      </c>
      <c r="AB11" s="1">
        <f>('RECEITAS - BLOCOS PAN'!Z9-'OPEX - BLOCOS PAN'!Z9-VLOOKUP('BLOCOS - AMPLIAR'!$E9,'CAPEX - BLOCOS PAN'!$C$3:$Z$52,24,FALSE))*'BLOCOS - AMPLIAR'!AB$57</f>
        <v>-449955.41344920656</v>
      </c>
      <c r="AC11" s="1">
        <f>('RECEITAS - BLOCOS PAN'!AA9-'OPEX - BLOCOS PAN'!AA9-VLOOKUP('BLOCOS - AMPLIAR'!$E9,'CAPEX - BLOCOS PAN'!$C$3:$AA$52,25,FALSE))*'BLOCOS - AMPLIAR'!AC$57</f>
        <v>-408395.20900405524</v>
      </c>
      <c r="AD11" s="1">
        <f>('RECEITAS - BLOCOS PAN'!AB9-'OPEX - BLOCOS PAN'!AB9-VLOOKUP('BLOCOS - AMPLIAR'!$E9,'CAPEX - BLOCOS PAN'!$C$3:$AB$52,26,FALSE))*'BLOCOS - AMPLIAR'!AD$57</f>
        <v>-370684.58255448041</v>
      </c>
      <c r="AE11" s="1">
        <f>('RECEITAS - BLOCOS PAN'!AC9-'OPEX - BLOCOS PAN'!AC9-VLOOKUP('BLOCOS - AMPLIAR'!$E9,'CAPEX - BLOCOS PAN'!$C$3:$AC$52,27,FALSE))*'BLOCOS - AMPLIAR'!AE$57</f>
        <v>-336324.48867136938</v>
      </c>
      <c r="AF11" s="1">
        <f>('RECEITAS - BLOCOS PAN'!AD9-'OPEX - BLOCOS PAN'!AD9-VLOOKUP('BLOCOS - AMPLIAR'!$E9,'CAPEX - BLOCOS PAN'!$C$3:$AD$52,28,FALSE))*'BLOCOS - AMPLIAR'!AF$57</f>
        <v>-324586.49052613415</v>
      </c>
      <c r="AG11" s="1">
        <f>('RECEITAS - BLOCOS PAN'!AE9-'OPEX - BLOCOS PAN'!AE9-VLOOKUP('BLOCOS - AMPLIAR'!$E9,'CAPEX - BLOCOS PAN'!$C$3:$AE$52,29,FALSE))*'BLOCOS - AMPLIAR'!AG$57</f>
        <v>-294596.76305414544</v>
      </c>
      <c r="AH11" s="1">
        <f>('RECEITAS - BLOCOS PAN'!AF9-'OPEX - BLOCOS PAN'!AF9-VLOOKUP('BLOCOS - AMPLIAR'!$E9,'CAPEX - BLOCOS PAN'!$C$3:$AF$52,30,FALSE))*'BLOCOS - AMPLIAR'!AH$57</f>
        <v>-267217.22712318844</v>
      </c>
      <c r="AI11" s="1">
        <f>('RECEITAS - BLOCOS PAN'!AG9-'OPEX - BLOCOS PAN'!AG9-VLOOKUP('BLOCOS - AMPLIAR'!$E9,'CAPEX - BLOCOS PAN'!$C$3:$AG$52,31,FALSE))*'BLOCOS - AMPLIAR'!AI$57</f>
        <v>-242441.06365834683</v>
      </c>
      <c r="AJ11" s="1">
        <f>('RECEITAS - BLOCOS PAN'!AH9-'OPEX - BLOCOS PAN'!AH9-VLOOKUP('BLOCOS - AMPLIAR'!$E9,'CAPEX - BLOCOS PAN'!$C$3:$AH$52,32,FALSE))*'BLOCOS - AMPLIAR'!AJ$57</f>
        <v>-219925.95964768867</v>
      </c>
      <c r="AK11" s="1">
        <f>('RECEITAS - BLOCOS PAN'!AI9-'OPEX - BLOCOS PAN'!AI9-VLOOKUP('BLOCOS - AMPLIAR'!$E9,'CAPEX - BLOCOS PAN'!$C$3:$AI$52,33,FALSE))*'BLOCOS - AMPLIAR'!AK$57</f>
        <v>-199441.74838332314</v>
      </c>
      <c r="AL11" s="1">
        <f>('RECEITAS - BLOCOS PAN'!AJ9-'OPEX - BLOCOS PAN'!AJ9-VLOOKUP('BLOCOS - AMPLIAR'!$E9,'CAPEX - BLOCOS PAN'!$C$3:$AJ$52,34,FALSE))*'BLOCOS - AMPLIAR'!AL$57</f>
        <v>-180817.65709703666</v>
      </c>
      <c r="AM11" s="1">
        <f>('RECEITAS - BLOCOS PAN'!AK9-'OPEX - BLOCOS PAN'!AK9-VLOOKUP('BLOCOS - AMPLIAR'!$E9,'CAPEX - BLOCOS PAN'!$C$3:$AK$52,35,FALSE))*'BLOCOS - AMPLIAR'!AM$57</f>
        <v>-163889.58772679823</v>
      </c>
      <c r="AN11" s="1">
        <f>SUM(J11:X11)</f>
        <v>-53083260.625786923</v>
      </c>
      <c r="AO11" s="88"/>
      <c r="AP11" s="44">
        <f>SUM(J11:AM11)</f>
        <v>-58183833.054331996</v>
      </c>
      <c r="AQ11" s="88"/>
      <c r="AR11" s="48">
        <f>VLOOKUP(E11,'Projeção - Demanda PAX'!$C$3:$H$37,6,FALSE)</f>
        <v>11043</v>
      </c>
      <c r="AS11">
        <v>1</v>
      </c>
      <c r="AT11">
        <v>-5.8166666666666664</v>
      </c>
      <c r="AU11">
        <v>-61.283333333333331</v>
      </c>
    </row>
    <row r="12" spans="1:47" x14ac:dyDescent="0.35">
      <c r="A12" s="89"/>
      <c r="B12" t="s">
        <v>77</v>
      </c>
      <c r="C12" t="s">
        <v>78</v>
      </c>
      <c r="D12">
        <v>130380</v>
      </c>
      <c r="E12" t="s">
        <v>79</v>
      </c>
      <c r="F12" t="s">
        <v>78</v>
      </c>
      <c r="G12" t="s">
        <v>35</v>
      </c>
      <c r="H12" t="s">
        <v>259</v>
      </c>
      <c r="I12" t="s">
        <v>33</v>
      </c>
      <c r="J12" s="1">
        <f>(VLOOKUP($E12,'RECEITAS - BLOCOS PAN'!$D$3:$H$52,5,FALSE)-VLOOKUP('BLOCOS - AMPLIAR'!$E12,'OPEX - BLOCOS PAN'!$D$3:$H$52,5,FALSE)-VLOOKUP('BLOCOS - AMPLIAR'!$E12,'CAPEX - BLOCOS PAN'!$C$3:$H$52,6,FALSE))*'BLOCOS - AMPLIAR'!J$57</f>
        <v>-49873462.890699998</v>
      </c>
      <c r="K12" s="1">
        <f>(VLOOKUP($E12,'RECEITAS - BLOCOS PAN'!$D$3:$I$52,6,FALSE)-VLOOKUP('BLOCOS - AMPLIAR'!$E12,'OPEX - BLOCOS PAN'!$D$3:$I$52,6,FALSE)-VLOOKUP('BLOCOS - AMPLIAR'!$E12,'CAPEX - BLOCOS PAN'!$C$3:$I$52,7,FALSE))*'BLOCOS - AMPLIAR'!K$57</f>
        <v>-45590060.560474671</v>
      </c>
      <c r="L12" s="1">
        <f>(VLOOKUP($E12,'RECEITAS - BLOCOS PAN'!$D$3:$J$52,7,FALSE)-VLOOKUP('BLOCOS - AMPLIAR'!$E12,'OPEX - BLOCOS PAN'!$D$3:$J$52,7,FALSE)-VLOOKUP('BLOCOS - AMPLIAR'!$E12,'CAPEX - BLOCOS PAN'!$C$3:$J$52,8,FALSE))*'BLOCOS - AMPLIAR'!L$57</f>
        <v>-41575153.514991522</v>
      </c>
      <c r="M12" s="1">
        <f>('RECEITAS - BLOCOS PAN'!K13-'OPEX - BLOCOS PAN'!K13-VLOOKUP('BLOCOS - AMPLIAR'!$E49,'CAPEX - BLOCOS PAN'!$C$3:$K$52,9,FALSE))*'BLOCOS - AMPLIAR'!M$57</f>
        <v>-1781087.1781411159</v>
      </c>
      <c r="N12" s="1">
        <f>('RECEITAS - BLOCOS PAN'!L13-'OPEX - BLOCOS PAN'!L13-VLOOKUP('BLOCOS - AMPLIAR'!$E49,'CAPEX - BLOCOS PAN'!$C$3:$L$52,10,FALSE))*'BLOCOS - AMPLIAR'!N$57</f>
        <v>-1611504.4452879415</v>
      </c>
      <c r="O12" s="1">
        <f>('RECEITAS - BLOCOS PAN'!M13-'OPEX - BLOCOS PAN'!M13-VLOOKUP('BLOCOS - AMPLIAR'!$E49,'CAPEX - BLOCOS PAN'!$C$3:$M$52,11,FALSE))*'BLOCOS - AMPLIAR'!O$57</f>
        <v>-1459688.331442147</v>
      </c>
      <c r="P12" s="1">
        <f>('RECEITAS - BLOCOS PAN'!N13-'OPEX - BLOCOS PAN'!N13-VLOOKUP('BLOCOS - AMPLIAR'!$E49,'CAPEX - BLOCOS PAN'!$C$3:$N$52,12,FALSE))*'BLOCOS - AMPLIAR'!P$57</f>
        <v>-1323810.6974560162</v>
      </c>
      <c r="Q12" s="1">
        <f>('RECEITAS - BLOCOS PAN'!O13-'OPEX - BLOCOS PAN'!O13-VLOOKUP('BLOCOS - AMPLIAR'!$E49,'CAPEX - BLOCOS PAN'!$C$3:$O$52,13,FALSE))*'BLOCOS - AMPLIAR'!Q$57</f>
        <v>-1201366.530270875</v>
      </c>
      <c r="R12" s="1">
        <f>('RECEITAS - BLOCOS PAN'!P13-'OPEX - BLOCOS PAN'!P13-VLOOKUP('BLOCOS - AMPLIAR'!$E49,'CAPEX - BLOCOS PAN'!$C$3:$P$52,14,FALSE))*'BLOCOS - AMPLIAR'!R$57</f>
        <v>-1091585.1904100198</v>
      </c>
      <c r="S12" s="1">
        <f>('RECEITAS - BLOCOS PAN'!Q13-'OPEX - BLOCOS PAN'!Q13-VLOOKUP('BLOCOS - AMPLIAR'!$E49,'CAPEX - BLOCOS PAN'!$C$3:$Q$52,15,FALSE))*'BLOCOS - AMPLIAR'!S$57</f>
        <v>-992278.50954280887</v>
      </c>
      <c r="T12" s="1">
        <f>('RECEITAS - BLOCOS PAN'!R13-'OPEX - BLOCOS PAN'!R13-VLOOKUP('BLOCOS - AMPLIAR'!$E49,'CAPEX - BLOCOS PAN'!$C$3:$R$52,16,FALSE))*'BLOCOS - AMPLIAR'!T$57</f>
        <v>-902609.33716169454</v>
      </c>
      <c r="U12" s="1">
        <f>('RECEITAS - BLOCOS PAN'!S13-'OPEX - BLOCOS PAN'!S13-VLOOKUP('BLOCOS - AMPLIAR'!$E49,'CAPEX - BLOCOS PAN'!$C$3:$S$52,17,FALSE))*'BLOCOS - AMPLIAR'!U$57</f>
        <v>-821650.14532736549</v>
      </c>
      <c r="V12" s="1">
        <f>('RECEITAS - BLOCOS PAN'!T13-'OPEX - BLOCOS PAN'!T13-VLOOKUP('BLOCOS - AMPLIAR'!$E49,'CAPEX - BLOCOS PAN'!$C$3:$T$52,18,FALSE))*'BLOCOS - AMPLIAR'!V$57</f>
        <v>-747636.37862672366</v>
      </c>
      <c r="W12" s="1">
        <f>('RECEITAS - BLOCOS PAN'!U13-'OPEX - BLOCOS PAN'!U13-VLOOKUP('BLOCOS - AMPLIAR'!$E49,'CAPEX - BLOCOS PAN'!$C$3:$U$52,19,FALSE))*'BLOCOS - AMPLIAR'!W$57</f>
        <v>-680208.93558352441</v>
      </c>
      <c r="X12" s="1">
        <f>('RECEITAS - BLOCOS PAN'!V13-'OPEX - BLOCOS PAN'!V13-VLOOKUP('BLOCOS - AMPLIAR'!$E49,'CAPEX - BLOCOS PAN'!$C$3:$V$52,20,FALSE))*'BLOCOS - AMPLIAR'!X$57</f>
        <v>-619233.61972834333</v>
      </c>
      <c r="Y12" s="1">
        <f>('RECEITAS - BLOCOS PAN'!W13-'OPEX - BLOCOS PAN'!W13-VLOOKUP('BLOCOS - AMPLIAR'!$E49,'CAPEX - BLOCOS PAN'!$C$3:$W$52,21,FALSE))*'BLOCOS - AMPLIAR'!Y$57</f>
        <v>-563487.61526199919</v>
      </c>
      <c r="Z12" s="1">
        <f>('RECEITAS - BLOCOS PAN'!X13-'OPEX - BLOCOS PAN'!X13-VLOOKUP('BLOCOS - AMPLIAR'!$E49,'CAPEX - BLOCOS PAN'!$C$3:$X$52,22,FALSE))*'BLOCOS - AMPLIAR'!Z$57</f>
        <v>-512682.32403304451</v>
      </c>
      <c r="AA12" s="1">
        <f>('RECEITAS - BLOCOS PAN'!Y13-'OPEX - BLOCOS PAN'!Y13-VLOOKUP('BLOCOS - AMPLIAR'!$E49,'CAPEX - BLOCOS PAN'!$C$3:$Y$52,23,FALSE))*'BLOCOS - AMPLIAR'!AA$57</f>
        <v>-466688.65918784449</v>
      </c>
      <c r="AB12" s="1">
        <f>('RECEITAS - BLOCOS PAN'!Z13-'OPEX - BLOCOS PAN'!Z13-VLOOKUP('BLOCOS - AMPLIAR'!$E49,'CAPEX - BLOCOS PAN'!$C$3:$Z$52,24,FALSE))*'BLOCOS - AMPLIAR'!AB$57</f>
        <v>-424693.49015017773</v>
      </c>
      <c r="AC12" s="1">
        <f>('RECEITAS - BLOCOS PAN'!AA13-'OPEX - BLOCOS PAN'!AA13-VLOOKUP('BLOCOS - AMPLIAR'!$E49,'CAPEX - BLOCOS PAN'!$C$3:$AA$52,25,FALSE))*'BLOCOS - AMPLIAR'!AC$57</f>
        <v>-386395.56966257049</v>
      </c>
      <c r="AD12" s="1">
        <f>('RECEITAS - BLOCOS PAN'!AB13-'OPEX - BLOCOS PAN'!AB13-VLOOKUP('BLOCOS - AMPLIAR'!$E49,'CAPEX - BLOCOS PAN'!$C$3:$AB$52,26,FALSE))*'BLOCOS - AMPLIAR'!AD$57</f>
        <v>-351871.8442348619</v>
      </c>
      <c r="AE12" s="1">
        <f>('RECEITAS - BLOCOS PAN'!AC13-'OPEX - BLOCOS PAN'!AC13-VLOOKUP('BLOCOS - AMPLIAR'!$E49,'CAPEX - BLOCOS PAN'!$C$3:$AC$52,27,FALSE))*'BLOCOS - AMPLIAR'!AE$57</f>
        <v>-320243.91232908535</v>
      </c>
      <c r="AF12" s="1">
        <f>('RECEITAS - BLOCOS PAN'!AD13-'OPEX - BLOCOS PAN'!AD13-VLOOKUP('BLOCOS - AMPLIAR'!$E49,'CAPEX - BLOCOS PAN'!$C$3:$AD$52,28,FALSE))*'BLOCOS - AMPLIAR'!AF$57</f>
        <v>-291628.89307250653</v>
      </c>
      <c r="AG12" s="1">
        <f>('RECEITAS - BLOCOS PAN'!AE13-'OPEX - BLOCOS PAN'!AE13-VLOOKUP('BLOCOS - AMPLIAR'!$E49,'CAPEX - BLOCOS PAN'!$C$3:$AE$52,29,FALSE))*'BLOCOS - AMPLIAR'!AG$57</f>
        <v>-265513.21590829827</v>
      </c>
      <c r="AH12" s="1">
        <f>('RECEITAS - BLOCOS PAN'!AF13-'OPEX - BLOCOS PAN'!AF13-VLOOKUP('BLOCOS - AMPLIAR'!$E49,'CAPEX - BLOCOS PAN'!$C$3:$AF$52,30,FALSE))*'BLOCOS - AMPLIAR'!AH$57</f>
        <v>-241696.2409833445</v>
      </c>
      <c r="AI12" s="1">
        <f>('RECEITAS - BLOCOS PAN'!AG13-'OPEX - BLOCOS PAN'!AG13-VLOOKUP('BLOCOS - AMPLIAR'!$E49,'CAPEX - BLOCOS PAN'!$C$3:$AG$52,31,FALSE))*'BLOCOS - AMPLIAR'!AI$57</f>
        <v>-220083.91660387532</v>
      </c>
      <c r="AJ12" s="1">
        <f>('RECEITAS - BLOCOS PAN'!AH13-'OPEX - BLOCOS PAN'!AH13-VLOOKUP('BLOCOS - AMPLIAR'!$E49,'CAPEX - BLOCOS PAN'!$C$3:$AH$52,32,FALSE))*'BLOCOS - AMPLIAR'!AJ$57</f>
        <v>-200438.93470917022</v>
      </c>
      <c r="AK12" s="1">
        <f>('RECEITAS - BLOCOS PAN'!AI13-'OPEX - BLOCOS PAN'!AI13-VLOOKUP('BLOCOS - AMPLIAR'!$E49,'CAPEX - BLOCOS PAN'!$C$3:$AI$52,33,FALSE))*'BLOCOS - AMPLIAR'!AK$57</f>
        <v>-182555.03678267688</v>
      </c>
      <c r="AL12" s="1">
        <f>('RECEITAS - BLOCOS PAN'!AJ13-'OPEX - BLOCOS PAN'!AJ13-VLOOKUP('BLOCOS - AMPLIAR'!$E49,'CAPEX - BLOCOS PAN'!$C$3:$AJ$52,34,FALSE))*'BLOCOS - AMPLIAR'!AL$57</f>
        <v>-166264.85541743744</v>
      </c>
      <c r="AM12" s="1">
        <f>('RECEITAS - BLOCOS PAN'!AK13-'OPEX - BLOCOS PAN'!AK13-VLOOKUP('BLOCOS - AMPLIAR'!$E49,'CAPEX - BLOCOS PAN'!$C$3:$AK$52,35,FALSE))*'BLOCOS - AMPLIAR'!AM$57</f>
        <v>-225491.43402203752</v>
      </c>
      <c r="AN12" s="1">
        <f>SUM(J12:X12)</f>
        <v>-150271336.2651448</v>
      </c>
      <c r="AO12" s="88"/>
      <c r="AP12" s="44">
        <f>SUM(J12:AM12)</f>
        <v>-155091072.20750371</v>
      </c>
      <c r="AQ12" s="88"/>
      <c r="AR12" s="48">
        <f>VLOOKUP(E12,'Projeção - Demanda PAX'!$C$3:$H$37,6,FALSE)</f>
        <v>25074</v>
      </c>
      <c r="AS12">
        <v>1</v>
      </c>
      <c r="AT12">
        <v>-0.13333333333333333</v>
      </c>
      <c r="AU12">
        <v>-66.983333333333334</v>
      </c>
    </row>
    <row r="13" spans="1:47" x14ac:dyDescent="0.35">
      <c r="A13" s="89"/>
      <c r="B13" t="s">
        <v>151</v>
      </c>
      <c r="C13" s="5" t="s">
        <v>274</v>
      </c>
      <c r="D13">
        <v>130160</v>
      </c>
      <c r="E13" t="s">
        <v>297</v>
      </c>
      <c r="F13" t="s">
        <v>238</v>
      </c>
      <c r="G13" t="s">
        <v>35</v>
      </c>
      <c r="H13" t="s">
        <v>259</v>
      </c>
      <c r="I13" t="s">
        <v>33</v>
      </c>
      <c r="J13" s="1">
        <f>(VLOOKUP($E13,'RECEITAS - BLOCOS PAN'!$D$3:$H$52,5,FALSE)-VLOOKUP('BLOCOS - AMPLIAR'!$E13,'OPEX - BLOCOS PAN'!$D$3:$H$52,5,FALSE)-VLOOKUP('BLOCOS - AMPLIAR'!$E13,'CAPEX - BLOCOS PAN'!$C$3:$H$52,6,FALSE))*'BLOCOS - AMPLIAR'!J$57</f>
        <v>-11662811.809094688</v>
      </c>
      <c r="K13" s="1">
        <f>(VLOOKUP($E13,'RECEITAS - BLOCOS PAN'!$D$3:$I$52,6,FALSE)-VLOOKUP('BLOCOS - AMPLIAR'!$E13,'OPEX - BLOCOS PAN'!$D$3:$I$52,6,FALSE)-VLOOKUP('BLOCOS - AMPLIAR'!$E13,'CAPEX - BLOCOS PAN'!$C$3:$I$52,7,FALSE))*'BLOCOS - AMPLIAR'!K$57</f>
        <v>-10646108.451934906</v>
      </c>
      <c r="L13" s="1">
        <f>(VLOOKUP($E13,'RECEITAS - BLOCOS PAN'!$D$3:$J$52,7,FALSE)-VLOOKUP('BLOCOS - AMPLIAR'!$E13,'OPEX - BLOCOS PAN'!$D$3:$J$52,7,FALSE)-VLOOKUP('BLOCOS - AMPLIAR'!$E13,'CAPEX - BLOCOS PAN'!$C$3:$J$52,8,FALSE))*'BLOCOS - AMPLIAR'!L$57</f>
        <v>-9718036.0127201322</v>
      </c>
      <c r="M13" s="1">
        <f>('RECEITAS - BLOCOS PAN'!K49-'OPEX - BLOCOS PAN'!K49-VLOOKUP('BLOCOS - AMPLIAR'!$E42,'CAPEX - BLOCOS PAN'!$C$3:$K$52,9,FALSE))*'BLOCOS - AMPLIAR'!M$57</f>
        <v>-454594.84303953411</v>
      </c>
      <c r="N13" s="1">
        <f>('RECEITAS - BLOCOS PAN'!L49-'OPEX - BLOCOS PAN'!L49-VLOOKUP('BLOCOS - AMPLIAR'!$E42,'CAPEX - BLOCOS PAN'!$C$3:$L$52,10,FALSE))*'BLOCOS - AMPLIAR'!N$57</f>
        <v>-414965.62577775825</v>
      </c>
      <c r="O13" s="1">
        <f>('RECEITAS - BLOCOS PAN'!M49-'OPEX - BLOCOS PAN'!M49-VLOOKUP('BLOCOS - AMPLIAR'!$E42,'CAPEX - BLOCOS PAN'!$C$3:$M$52,11,FALSE))*'BLOCOS - AMPLIAR'!O$57</f>
        <v>-378791.07784368622</v>
      </c>
      <c r="P13" s="1">
        <f>('RECEITAS - BLOCOS PAN'!N49-'OPEX - BLOCOS PAN'!N49-VLOOKUP('BLOCOS - AMPLIAR'!$E42,'CAPEX - BLOCOS PAN'!$C$3:$N$52,12,FALSE))*'BLOCOS - AMPLIAR'!P$57</f>
        <v>-345770.03910879616</v>
      </c>
      <c r="Q13" s="1">
        <f>('RECEITAS - BLOCOS PAN'!O49-'OPEX - BLOCOS PAN'!O49-VLOOKUP('BLOCOS - AMPLIAR'!$E42,'CAPEX - BLOCOS PAN'!$C$3:$O$52,13,FALSE))*'BLOCOS - AMPLIAR'!Q$57</f>
        <v>-315627.60302035254</v>
      </c>
      <c r="R13" s="1">
        <f>('RECEITAS - BLOCOS PAN'!P49-'OPEX - BLOCOS PAN'!P49-VLOOKUP('BLOCOS - AMPLIAR'!$E42,'CAPEX - BLOCOS PAN'!$C$3:$P$52,14,FALSE))*'BLOCOS - AMPLIAR'!R$57</f>
        <v>-288112.82795102929</v>
      </c>
      <c r="S13" s="1">
        <f>('RECEITAS - BLOCOS PAN'!Q49-'OPEX - BLOCOS PAN'!Q49-VLOOKUP('BLOCOS - AMPLIAR'!$E42,'CAPEX - BLOCOS PAN'!$C$3:$Q$52,15,FALSE))*'BLOCOS - AMPLIAR'!S$57</f>
        <v>-262996.64806118602</v>
      </c>
      <c r="T13" s="1">
        <f>('RECEITAS - BLOCOS PAN'!R49-'OPEX - BLOCOS PAN'!R49-VLOOKUP('BLOCOS - AMPLIAR'!$E42,'CAPEX - BLOCOS PAN'!$C$3:$R$52,16,FALSE))*'BLOCOS - AMPLIAR'!T$57</f>
        <v>-240069.96628132</v>
      </c>
      <c r="U13" s="1">
        <f>('RECEITAS - BLOCOS PAN'!S49-'OPEX - BLOCOS PAN'!S49-VLOOKUP('BLOCOS - AMPLIAR'!$E42,'CAPEX - BLOCOS PAN'!$C$3:$S$52,17,FALSE))*'BLOCOS - AMPLIAR'!U$57</f>
        <v>-219141.91353840256</v>
      </c>
      <c r="V13" s="1">
        <f>('RECEITAS - BLOCOS PAN'!T49-'OPEX - BLOCOS PAN'!T49-VLOOKUP('BLOCOS - AMPLIAR'!$E42,'CAPEX - BLOCOS PAN'!$C$3:$T$52,18,FALSE))*'BLOCOS - AMPLIAR'!V$57</f>
        <v>-200038.25973382252</v>
      </c>
      <c r="W13" s="1">
        <f>('RECEITAS - BLOCOS PAN'!U49-'OPEX - BLOCOS PAN'!U49-VLOOKUP('BLOCOS - AMPLIAR'!$E42,'CAPEX - BLOCOS PAN'!$C$3:$U$52,19,FALSE))*'BLOCOS - AMPLIAR'!W$57</f>
        <v>-182599.96324401873</v>
      </c>
      <c r="X13" s="1">
        <f>('RECEITAS - BLOCOS PAN'!V49-'OPEX - BLOCOS PAN'!V49-VLOOKUP('BLOCOS - AMPLIAR'!$E42,'CAPEX - BLOCOS PAN'!$C$3:$V$52,20,FALSE))*'BLOCOS - AMPLIAR'!X$57</f>
        <v>-166681.84686811385</v>
      </c>
      <c r="Y13" s="1">
        <f>('RECEITAS - BLOCOS PAN'!W49-'OPEX - BLOCOS PAN'!W49-VLOOKUP('BLOCOS - AMPLIAR'!$E42,'CAPEX - BLOCOS PAN'!$C$3:$W$52,21,FALSE))*'BLOCOS - AMPLIAR'!Y$57</f>
        <v>-152151.38919955623</v>
      </c>
      <c r="Z13" s="1">
        <f>('RECEITAS - BLOCOS PAN'!X49-'OPEX - BLOCOS PAN'!X49-VLOOKUP('BLOCOS - AMPLIAR'!$E42,'CAPEX - BLOCOS PAN'!$C$3:$X$52,22,FALSE))*'BLOCOS - AMPLIAR'!Z$57</f>
        <v>-138887.62135970447</v>
      </c>
      <c r="AA13" s="1">
        <f>('RECEITAS - BLOCOS PAN'!Y49-'OPEX - BLOCOS PAN'!Y49-VLOOKUP('BLOCOS - AMPLIAR'!$E42,'CAPEX - BLOCOS PAN'!$C$3:$Y$52,23,FALSE))*'BLOCOS - AMPLIAR'!AA$57</f>
        <v>-126780.11990844771</v>
      </c>
      <c r="AB13" s="1">
        <f>('RECEITAS - BLOCOS PAN'!Z49-'OPEX - BLOCOS PAN'!Z49-VLOOKUP('BLOCOS - AMPLIAR'!$E42,'CAPEX - BLOCOS PAN'!$C$3:$Z$52,24,FALSE))*'BLOCOS - AMPLIAR'!AB$57</f>
        <v>-115728.08754764742</v>
      </c>
      <c r="AC13" s="1">
        <f>('RECEITAS - BLOCOS PAN'!AA49-'OPEX - BLOCOS PAN'!AA49-VLOOKUP('BLOCOS - AMPLIAR'!$E42,'CAPEX - BLOCOS PAN'!$C$3:$AA$52,25,FALSE))*'BLOCOS - AMPLIAR'!AC$57</f>
        <v>-105639.51396407797</v>
      </c>
      <c r="AD13" s="1">
        <f>('RECEITAS - BLOCOS PAN'!AB49-'OPEX - BLOCOS PAN'!AB49-VLOOKUP('BLOCOS - AMPLIAR'!$E42,'CAPEX - BLOCOS PAN'!$C$3:$AB$52,26,FALSE))*'BLOCOS - AMPLIAR'!AD$57</f>
        <v>-96430.409825721566</v>
      </c>
      <c r="AE13" s="1">
        <f>('RECEITAS - BLOCOS PAN'!AC49-'OPEX - BLOCOS PAN'!AC49-VLOOKUP('BLOCOS - AMPLIAR'!$E42,'CAPEX - BLOCOS PAN'!$C$3:$AC$52,27,FALSE))*'BLOCOS - AMPLIAR'!AE$57</f>
        <v>-88024.10755428714</v>
      </c>
      <c r="AF13" s="1">
        <f>('RECEITAS - BLOCOS PAN'!AD49-'OPEX - BLOCOS PAN'!AD49-VLOOKUP('BLOCOS - AMPLIAR'!$E42,'CAPEX - BLOCOS PAN'!$C$3:$AD$52,28,FALSE))*'BLOCOS - AMPLIAR'!AF$57</f>
        <v>-80350.623052749565</v>
      </c>
      <c r="AG13" s="1">
        <f>('RECEITAS - BLOCOS PAN'!AE49-'OPEX - BLOCOS PAN'!AE49-VLOOKUP('BLOCOS - AMPLIAR'!$E42,'CAPEX - BLOCOS PAN'!$C$3:$AE$52,29,FALSE))*'BLOCOS - AMPLIAR'!AG$57</f>
        <v>-73346.073074166663</v>
      </c>
      <c r="AH13" s="1">
        <f>('RECEITAS - BLOCOS PAN'!AF49-'OPEX - BLOCOS PAN'!AF49-VLOOKUP('BLOCOS - AMPLIAR'!$E42,'CAPEX - BLOCOS PAN'!$C$3:$AF$52,30,FALSE))*'BLOCOS - AMPLIAR'!AH$57</f>
        <v>-66952.143381256654</v>
      </c>
      <c r="AI13" s="1">
        <f>('RECEITAS - BLOCOS PAN'!AG49-'OPEX - BLOCOS PAN'!AG49-VLOOKUP('BLOCOS - AMPLIAR'!$E42,'CAPEX - BLOCOS PAN'!$C$3:$AG$52,31,FALSE))*'BLOCOS - AMPLIAR'!AI$57</f>
        <v>-61115.603269061299</v>
      </c>
      <c r="AJ13" s="1">
        <f>('RECEITAS - BLOCOS PAN'!AH49-'OPEX - BLOCOS PAN'!AH49-VLOOKUP('BLOCOS - AMPLIAR'!$E42,'CAPEX - BLOCOS PAN'!$C$3:$AH$52,32,FALSE))*'BLOCOS - AMPLIAR'!AJ$57</f>
        <v>-55787.862409001638</v>
      </c>
      <c r="AK13" s="1">
        <f>('RECEITAS - BLOCOS PAN'!AI49-'OPEX - BLOCOS PAN'!AI49-VLOOKUP('BLOCOS - AMPLIAR'!$E42,'CAPEX - BLOCOS PAN'!$C$3:$AI$52,33,FALSE))*'BLOCOS - AMPLIAR'!AK$57</f>
        <v>-50924.566324967273</v>
      </c>
      <c r="AL13" s="1">
        <f>('RECEITAS - BLOCOS PAN'!AJ49-'OPEX - BLOCOS PAN'!AJ49-VLOOKUP('BLOCOS - AMPLIAR'!$E42,'CAPEX - BLOCOS PAN'!$C$3:$AJ$52,34,FALSE))*'BLOCOS - AMPLIAR'!AL$57</f>
        <v>-46485.227133699016</v>
      </c>
      <c r="AM13" s="1">
        <f>('RECEITAS - BLOCOS PAN'!AK49-'OPEX - BLOCOS PAN'!AK49-VLOOKUP('BLOCOS - AMPLIAR'!$E42,'CAPEX - BLOCOS PAN'!$C$3:$AK$52,35,FALSE))*'BLOCOS - AMPLIAR'!AM$57</f>
        <v>-42432.886475307176</v>
      </c>
      <c r="AN13" s="1">
        <f>SUM(J13:X13)</f>
        <v>-35496346.888217747</v>
      </c>
      <c r="AO13" s="88"/>
      <c r="AP13" s="44">
        <f>SUM(J13:AM13)</f>
        <v>-36797383.122697398</v>
      </c>
      <c r="AQ13" s="88"/>
      <c r="AR13" s="48">
        <v>0</v>
      </c>
      <c r="AS13">
        <v>1</v>
      </c>
      <c r="AT13">
        <v>-2.5333333333333332</v>
      </c>
      <c r="AU13">
        <v>-66.066666666666663</v>
      </c>
    </row>
    <row r="14" spans="1:47" x14ac:dyDescent="0.35">
      <c r="A14" s="89"/>
      <c r="B14" t="s">
        <v>156</v>
      </c>
      <c r="C14" s="5" t="s">
        <v>275</v>
      </c>
      <c r="D14">
        <v>130360</v>
      </c>
      <c r="E14" t="s">
        <v>299</v>
      </c>
      <c r="F14" t="s">
        <v>240</v>
      </c>
      <c r="G14" t="s">
        <v>35</v>
      </c>
      <c r="H14" t="s">
        <v>259</v>
      </c>
      <c r="I14" t="s">
        <v>33</v>
      </c>
      <c r="J14" s="1">
        <f>(VLOOKUP($E14,'RECEITAS - BLOCOS PAN'!$D$3:$H$52,5,FALSE)-VLOOKUP('BLOCOS - AMPLIAR'!$E14,'OPEX - BLOCOS PAN'!$D$3:$H$52,5,FALSE)-VLOOKUP('BLOCOS - AMPLIAR'!$E14,'CAPEX - BLOCOS PAN'!$C$3:$H$52,6,FALSE))*'BLOCOS - AMPLIAR'!J$57</f>
        <v>-11967747.059274809</v>
      </c>
      <c r="K14" s="1">
        <f>(VLOOKUP($E14,'RECEITAS - BLOCOS PAN'!$D$3:$I$52,6,FALSE)-VLOOKUP('BLOCOS - AMPLIAR'!$E14,'OPEX - BLOCOS PAN'!$D$3:$I$52,6,FALSE)-VLOOKUP('BLOCOS - AMPLIAR'!$E14,'CAPEX - BLOCOS PAN'!$C$3:$I$52,7,FALSE))*'BLOCOS - AMPLIAR'!K$57</f>
        <v>-10924461.030830497</v>
      </c>
      <c r="L14" s="1">
        <f>(VLOOKUP($E14,'RECEITAS - BLOCOS PAN'!$D$3:$J$52,7,FALSE)-VLOOKUP('BLOCOS - AMPLIAR'!$E14,'OPEX - BLOCOS PAN'!$D$3:$J$52,7,FALSE)-VLOOKUP('BLOCOS - AMPLIAR'!$E14,'CAPEX - BLOCOS PAN'!$C$3:$J$52,8,FALSE))*'BLOCOS - AMPLIAR'!L$57</f>
        <v>-9972123.2595440429</v>
      </c>
      <c r="M14" s="1">
        <f>('RECEITAS - BLOCOS PAN'!K51-'OPEX - BLOCOS PAN'!K51-VLOOKUP('BLOCOS - AMPLIAR'!$E44,'CAPEX - BLOCOS PAN'!$C$3:$K$52,9,FALSE))*'BLOCOS - AMPLIAR'!M$57</f>
        <v>-447145.70155487955</v>
      </c>
      <c r="N14" s="1">
        <f>('RECEITAS - BLOCOS PAN'!L51-'OPEX - BLOCOS PAN'!L51-VLOOKUP('BLOCOS - AMPLIAR'!$E44,'CAPEX - BLOCOS PAN'!$C$3:$L$52,10,FALSE))*'BLOCOS - AMPLIAR'!N$57</f>
        <v>-408165.86175707862</v>
      </c>
      <c r="O14" s="1">
        <f>('RECEITAS - BLOCOS PAN'!M51-'OPEX - BLOCOS PAN'!M51-VLOOKUP('BLOCOS - AMPLIAR'!$E44,'CAPEX - BLOCOS PAN'!$C$3:$M$52,11,FALSE))*'BLOCOS - AMPLIAR'!O$57</f>
        <v>-372584.08193252265</v>
      </c>
      <c r="P14" s="1">
        <f>('RECEITAS - BLOCOS PAN'!N51-'OPEX - BLOCOS PAN'!N51-VLOOKUP('BLOCOS - AMPLIAR'!$E44,'CAPEX - BLOCOS PAN'!$C$3:$N$52,12,FALSE))*'BLOCOS - AMPLIAR'!P$57</f>
        <v>-340104.1368621841</v>
      </c>
      <c r="Q14" s="1">
        <f>('RECEITAS - BLOCOS PAN'!O51-'OPEX - BLOCOS PAN'!O51-VLOOKUP('BLOCOS - AMPLIAR'!$E44,'CAPEX - BLOCOS PAN'!$C$3:$O$52,13,FALSE))*'BLOCOS - AMPLIAR'!Q$57</f>
        <v>-310455.62470304349</v>
      </c>
      <c r="R14" s="1">
        <f>('RECEITAS - BLOCOS PAN'!P51-'OPEX - BLOCOS PAN'!P51-VLOOKUP('BLOCOS - AMPLIAR'!$E44,'CAPEX - BLOCOS PAN'!$C$3:$P$52,14,FALSE))*'BLOCOS - AMPLIAR'!R$57</f>
        <v>-283391.71584029531</v>
      </c>
      <c r="S14" s="1">
        <f>('RECEITAS - BLOCOS PAN'!Q51-'OPEX - BLOCOS PAN'!Q51-VLOOKUP('BLOCOS - AMPLIAR'!$E44,'CAPEX - BLOCOS PAN'!$C$3:$Q$52,15,FALSE))*'BLOCOS - AMPLIAR'!S$57</f>
        <v>-258687.09798292589</v>
      </c>
      <c r="T14" s="1">
        <f>('RECEITAS - BLOCOS PAN'!R51-'OPEX - BLOCOS PAN'!R51-VLOOKUP('BLOCOS - AMPLIAR'!$E44,'CAPEX - BLOCOS PAN'!$C$3:$R$52,16,FALSE))*'BLOCOS - AMPLIAR'!T$57</f>
        <v>-236136.1003951857</v>
      </c>
      <c r="U14" s="1">
        <f>('RECEITAS - BLOCOS PAN'!S51-'OPEX - BLOCOS PAN'!S51-VLOOKUP('BLOCOS - AMPLIAR'!$E44,'CAPEX - BLOCOS PAN'!$C$3:$S$52,17,FALSE))*'BLOCOS - AMPLIAR'!U$57</f>
        <v>-215550.98164781899</v>
      </c>
      <c r="V14" s="1">
        <f>('RECEITAS - BLOCOS PAN'!T51-'OPEX - BLOCOS PAN'!T51-VLOOKUP('BLOCOS - AMPLIAR'!$E44,'CAPEX - BLOCOS PAN'!$C$3:$T$52,18,FALSE))*'BLOCOS - AMPLIAR'!V$57</f>
        <v>-196760.36663424829</v>
      </c>
      <c r="W14" s="1">
        <f>('RECEITAS - BLOCOS PAN'!U51-'OPEX - BLOCOS PAN'!U51-VLOOKUP('BLOCOS - AMPLIAR'!$E44,'CAPEX - BLOCOS PAN'!$C$3:$U$52,19,FALSE))*'BLOCOS - AMPLIAR'!W$57</f>
        <v>-179607.81983956939</v>
      </c>
      <c r="X14" s="1">
        <f>('RECEITAS - BLOCOS PAN'!V51-'OPEX - BLOCOS PAN'!V51-VLOOKUP('BLOCOS - AMPLIAR'!$E44,'CAPEX - BLOCOS PAN'!$C$3:$V$52,20,FALSE))*'BLOCOS - AMPLIAR'!X$57</f>
        <v>-163950.54298454532</v>
      </c>
      <c r="Y14" s="1">
        <f>('RECEITAS - BLOCOS PAN'!W51-'OPEX - BLOCOS PAN'!W51-VLOOKUP('BLOCOS - AMPLIAR'!$E44,'CAPEX - BLOCOS PAN'!$C$3:$W$52,21,FALSE))*'BLOCOS - AMPLIAR'!Y$57</f>
        <v>-149658.18620223217</v>
      </c>
      <c r="Z14" s="1">
        <f>('RECEITAS - BLOCOS PAN'!X51-'OPEX - BLOCOS PAN'!X51-VLOOKUP('BLOCOS - AMPLIAR'!$E44,'CAPEX - BLOCOS PAN'!$C$3:$X$52,22,FALSE))*'BLOCOS - AMPLIAR'!Z$57</f>
        <v>-136611.76285005221</v>
      </c>
      <c r="AA14" s="1">
        <f>('RECEITAS - BLOCOS PAN'!Y51-'OPEX - BLOCOS PAN'!Y51-VLOOKUP('BLOCOS - AMPLIAR'!$E44,'CAPEX - BLOCOS PAN'!$C$3:$Y$52,23,FALSE))*'BLOCOS - AMPLIAR'!AA$57</f>
        <v>-124702.65892291391</v>
      </c>
      <c r="AB14" s="1">
        <f>('RECEITAS - BLOCOS PAN'!Z51-'OPEX - BLOCOS PAN'!Z51-VLOOKUP('BLOCOS - AMPLIAR'!$E44,'CAPEX - BLOCOS PAN'!$C$3:$Z$52,24,FALSE))*'BLOCOS - AMPLIAR'!AB$57</f>
        <v>-113831.72882055129</v>
      </c>
      <c r="AC14" s="1">
        <f>('RECEITAS - BLOCOS PAN'!AA51-'OPEX - BLOCOS PAN'!AA51-VLOOKUP('BLOCOS - AMPLIAR'!$E44,'CAPEX - BLOCOS PAN'!$C$3:$AA$52,25,FALSE))*'BLOCOS - AMPLIAR'!AC$57</f>
        <v>-103908.46994116959</v>
      </c>
      <c r="AD14" s="1">
        <f>('RECEITAS - BLOCOS PAN'!AB51-'OPEX - BLOCOS PAN'!AB51-VLOOKUP('BLOCOS - AMPLIAR'!$E44,'CAPEX - BLOCOS PAN'!$C$3:$AB$52,26,FALSE))*'BLOCOS - AMPLIAR'!AD$57</f>
        <v>-94850.269229730358</v>
      </c>
      <c r="AE14" s="1">
        <f>('RECEITAS - BLOCOS PAN'!AC51-'OPEX - BLOCOS PAN'!AC51-VLOOKUP('BLOCOS - AMPLIAR'!$E44,'CAPEX - BLOCOS PAN'!$C$3:$AC$52,27,FALSE))*'BLOCOS - AMPLIAR'!AE$57</f>
        <v>-86581.715408243137</v>
      </c>
      <c r="AF14" s="1">
        <f>('RECEITAS - BLOCOS PAN'!AD51-'OPEX - BLOCOS PAN'!AD51-VLOOKUP('BLOCOS - AMPLIAR'!$E44,'CAPEX - BLOCOS PAN'!$C$3:$AD$52,28,FALSE))*'BLOCOS - AMPLIAR'!AF$57</f>
        <v>-79033.971162248417</v>
      </c>
      <c r="AG14" s="1">
        <f>('RECEITAS - BLOCOS PAN'!AE51-'OPEX - BLOCOS PAN'!AE51-VLOOKUP('BLOCOS - AMPLIAR'!$E44,'CAPEX - BLOCOS PAN'!$C$3:$AE$52,29,FALSE))*'BLOCOS - AMPLIAR'!AG$57</f>
        <v>-72144.200056821923</v>
      </c>
      <c r="AH14" s="1">
        <f>('RECEITAS - BLOCOS PAN'!AF51-'OPEX - BLOCOS PAN'!AF51-VLOOKUP('BLOCOS - AMPLIAR'!$E44,'CAPEX - BLOCOS PAN'!$C$3:$AF$52,30,FALSE))*'BLOCOS - AMPLIAR'!AH$57</f>
        <v>-65855.043411065213</v>
      </c>
      <c r="AI14" s="1">
        <f>('RECEITAS - BLOCOS PAN'!AG51-'OPEX - BLOCOS PAN'!AG51-VLOOKUP('BLOCOS - AMPLIAR'!$E44,'CAPEX - BLOCOS PAN'!$C$3:$AG$52,31,FALSE))*'BLOCOS - AMPLIAR'!AI$57</f>
        <v>-60114.142775960936</v>
      </c>
      <c r="AJ14" s="1">
        <f>('RECEITAS - BLOCOS PAN'!AH51-'OPEX - BLOCOS PAN'!AH51-VLOOKUP('BLOCOS - AMPLIAR'!$E44,'CAPEX - BLOCOS PAN'!$C$3:$AH$52,32,FALSE))*'BLOCOS - AMPLIAR'!AJ$57</f>
        <v>-54873.70404012865</v>
      </c>
      <c r="AK14" s="1">
        <f>('RECEITAS - BLOCOS PAN'!AI51-'OPEX - BLOCOS PAN'!AI51-VLOOKUP('BLOCOS - AMPLIAR'!$E44,'CAPEX - BLOCOS PAN'!$C$3:$AI$52,33,FALSE))*'BLOCOS - AMPLIAR'!AK$57</f>
        <v>-50090.099534576591</v>
      </c>
      <c r="AL14" s="1">
        <f>('RECEITAS - BLOCOS PAN'!AJ51-'OPEX - BLOCOS PAN'!AJ51-VLOOKUP('BLOCOS - AMPLIAR'!$E44,'CAPEX - BLOCOS PAN'!$C$3:$AJ$52,34,FALSE))*'BLOCOS - AMPLIAR'!AL$57</f>
        <v>-45723.504823894655</v>
      </c>
      <c r="AM14" s="1">
        <f>('RECEITAS - BLOCOS PAN'!AK51-'OPEX - BLOCOS PAN'!AK51-VLOOKUP('BLOCOS - AMPLIAR'!$E44,'CAPEX - BLOCOS PAN'!$C$3:$AK$52,35,FALSE))*'BLOCOS - AMPLIAR'!AM$57</f>
        <v>-41737.567160104656</v>
      </c>
      <c r="AN14" s="1">
        <f>SUM(J14:X14)</f>
        <v>-36276871.381783642</v>
      </c>
      <c r="AO14" s="88"/>
      <c r="AP14" s="44">
        <f>SUM(J14:AM14)</f>
        <v>-37556588.406123348</v>
      </c>
      <c r="AQ14" s="88"/>
      <c r="AR14" s="48">
        <v>0</v>
      </c>
      <c r="AS14">
        <v>1</v>
      </c>
      <c r="AT14">
        <v>-0.41666666666666669</v>
      </c>
      <c r="AU14">
        <v>-65.033333333333331</v>
      </c>
    </row>
    <row r="15" spans="1:47" x14ac:dyDescent="0.35">
      <c r="A15" s="89" t="str">
        <f>VLOOKUP(E15,'FLUXO DE CAIXA DESC.-SEM MULT.'!$D$3:$AT$52,43,FALSE)</f>
        <v>Bloco 3 - AM2</v>
      </c>
      <c r="B15" t="s">
        <v>57</v>
      </c>
      <c r="C15" t="s">
        <v>58</v>
      </c>
      <c r="D15">
        <v>130190</v>
      </c>
      <c r="E15" t="s">
        <v>59</v>
      </c>
      <c r="F15" t="s">
        <v>58</v>
      </c>
      <c r="G15" t="s">
        <v>35</v>
      </c>
      <c r="H15" t="s">
        <v>259</v>
      </c>
      <c r="I15" t="s">
        <v>33</v>
      </c>
      <c r="J15" s="1">
        <f>(VLOOKUP($E15,'RECEITAS - BLOCOS PAN'!$D$3:$H$52,5,FALSE)-VLOOKUP('BLOCOS - AMPLIAR'!$E15,'OPEX - BLOCOS PAN'!$D$3:$H$52,5,FALSE)-VLOOKUP('BLOCOS - AMPLIAR'!$E15,'CAPEX - BLOCOS PAN'!$C$3:$H$52,6,FALSE))*'BLOCOS - AMPLIAR'!J$57</f>
        <v>-46082684.2249</v>
      </c>
      <c r="K15" s="1">
        <f>(VLOOKUP($E15,'RECEITAS - BLOCOS PAN'!$D$3:$I$52,6,FALSE)-VLOOKUP('BLOCOS - AMPLIAR'!$E15,'OPEX - BLOCOS PAN'!$D$3:$I$52,6,FALSE)-VLOOKUP('BLOCOS - AMPLIAR'!$E15,'CAPEX - BLOCOS PAN'!$C$3:$I$52,7,FALSE))*'BLOCOS - AMPLIAR'!K$57</f>
        <v>-41935587.404564127</v>
      </c>
      <c r="L15" s="1">
        <f>(VLOOKUP($E15,'RECEITAS - BLOCOS PAN'!$D$3:$J$52,7,FALSE)-VLOOKUP('BLOCOS - AMPLIAR'!$E15,'OPEX - BLOCOS PAN'!$D$3:$J$52,7,FALSE)-VLOOKUP('BLOCOS - AMPLIAR'!$E15,'CAPEX - BLOCOS PAN'!$C$3:$J$52,8,FALSE))*'BLOCOS - AMPLIAR'!L$57</f>
        <v>-38169200.25264135</v>
      </c>
      <c r="M15" s="1">
        <f>('RECEITAS - BLOCOS PAN'!K7-'OPEX - BLOCOS PAN'!K7-VLOOKUP('BLOCOS - AMPLIAR'!$E7,'CAPEX - BLOCOS PAN'!$C$3:$K$52,9,FALSE))*'BLOCOS - AMPLIAR'!M$57</f>
        <v>-2083930.885371397</v>
      </c>
      <c r="N15" s="1">
        <f>('RECEITAS - BLOCOS PAN'!L7-'OPEX - BLOCOS PAN'!L7-VLOOKUP('BLOCOS - AMPLIAR'!$E7,'CAPEX - BLOCOS PAN'!$C$3:$L$52,10,FALSE))*'BLOCOS - AMPLIAR'!N$57</f>
        <v>-1837105.4737469563</v>
      </c>
      <c r="O15" s="1">
        <f>('RECEITAS - BLOCOS PAN'!M7-'OPEX - BLOCOS PAN'!M7-VLOOKUP('BLOCOS - AMPLIAR'!$E7,'CAPEX - BLOCOS PAN'!$C$3:$M$52,11,FALSE))*'BLOCOS - AMPLIAR'!O$57</f>
        <v>-1628852.4018741234</v>
      </c>
      <c r="P15" s="1">
        <f>('RECEITAS - BLOCOS PAN'!N7-'OPEX - BLOCOS PAN'!N7-VLOOKUP('BLOCOS - AMPLIAR'!$E7,'CAPEX - BLOCOS PAN'!$C$3:$N$52,12,FALSE))*'BLOCOS - AMPLIAR'!P$57</f>
        <v>-1450220.868499819</v>
      </c>
      <c r="Q15" s="1">
        <f>('RECEITAS - BLOCOS PAN'!O7-'OPEX - BLOCOS PAN'!O7-VLOOKUP('BLOCOS - AMPLIAR'!$E7,'CAPEX - BLOCOS PAN'!$C$3:$O$52,13,FALSE))*'BLOCOS - AMPLIAR'!Q$57</f>
        <v>-1288655.5714937025</v>
      </c>
      <c r="R15" s="1">
        <f>('RECEITAS - BLOCOS PAN'!P7-'OPEX - BLOCOS PAN'!P7-VLOOKUP('BLOCOS - AMPLIAR'!$E7,'CAPEX - BLOCOS PAN'!$C$3:$P$52,14,FALSE))*'BLOCOS - AMPLIAR'!R$57</f>
        <v>-1148522.8306692045</v>
      </c>
      <c r="S15" s="1">
        <f>('RECEITAS - BLOCOS PAN'!Q7-'OPEX - BLOCOS PAN'!Q7-VLOOKUP('BLOCOS - AMPLIAR'!$E7,'CAPEX - BLOCOS PAN'!$C$3:$Q$52,15,FALSE))*'BLOCOS - AMPLIAR'!S$57</f>
        <v>-1022124.5104834118</v>
      </c>
      <c r="T15" s="1">
        <f>('RECEITAS - BLOCOS PAN'!R7-'OPEX - BLOCOS PAN'!R7-VLOOKUP('BLOCOS - AMPLIAR'!$E7,'CAPEX - BLOCOS PAN'!$C$3:$R$52,16,FALSE))*'BLOCOS - AMPLIAR'!T$57</f>
        <v>-912809.8154298719</v>
      </c>
      <c r="U15" s="1">
        <f>('RECEITAS - BLOCOS PAN'!S7-'OPEX - BLOCOS PAN'!S7-VLOOKUP('BLOCOS - AMPLIAR'!$E7,'CAPEX - BLOCOS PAN'!$C$3:$S$52,17,FALSE))*'BLOCOS - AMPLIAR'!U$57</f>
        <v>-812568.87008575792</v>
      </c>
      <c r="V15" s="1">
        <f>('RECEITAS - BLOCOS PAN'!T7-'OPEX - BLOCOS PAN'!T7-VLOOKUP('BLOCOS - AMPLIAR'!$E7,'CAPEX - BLOCOS PAN'!$C$3:$T$52,18,FALSE))*'BLOCOS - AMPLIAR'!V$57</f>
        <v>-725105.38052071759</v>
      </c>
      <c r="W15" s="1">
        <f>('RECEITAS - BLOCOS PAN'!U7-'OPEX - BLOCOS PAN'!U7-VLOOKUP('BLOCOS - AMPLIAR'!$E7,'CAPEX - BLOCOS PAN'!$C$3:$U$52,19,FALSE))*'BLOCOS - AMPLIAR'!W$57</f>
        <v>-643933.80206528481</v>
      </c>
      <c r="X15" s="1">
        <f>('RECEITAS - BLOCOS PAN'!V7-'OPEX - BLOCOS PAN'!V7-VLOOKUP('BLOCOS - AMPLIAR'!$E7,'CAPEX - BLOCOS PAN'!$C$3:$V$52,20,FALSE))*'BLOCOS - AMPLIAR'!X$57</f>
        <v>-573724.16246925364</v>
      </c>
      <c r="Y15" s="1">
        <f>('RECEITAS - BLOCOS PAN'!W7-'OPEX - BLOCOS PAN'!W7-VLOOKUP('BLOCOS - AMPLIAR'!$E7,'CAPEX - BLOCOS PAN'!$C$3:$W$52,21,FALSE))*'BLOCOS - AMPLIAR'!Y$57</f>
        <v>-508833.37455261499</v>
      </c>
      <c r="Z15" s="1">
        <f>('RECEITAS - BLOCOS PAN'!X7-'OPEX - BLOCOS PAN'!X7-VLOOKUP('BLOCOS - AMPLIAR'!$E7,'CAPEX - BLOCOS PAN'!$C$3:$X$52,22,FALSE))*'BLOCOS - AMPLIAR'!Z$57</f>
        <v>-452741.43711052393</v>
      </c>
      <c r="AA15" s="1">
        <f>('RECEITAS - BLOCOS PAN'!Y7-'OPEX - BLOCOS PAN'!Y7-VLOOKUP('BLOCOS - AMPLIAR'!$E7,'CAPEX - BLOCOS PAN'!$C$3:$Y$52,23,FALSE))*'BLOCOS - AMPLIAR'!AA$57</f>
        <v>-400453.96138351952</v>
      </c>
      <c r="AB15" s="1">
        <f>('RECEITAS - BLOCOS PAN'!Z7-'OPEX - BLOCOS PAN'!Z7-VLOOKUP('BLOCOS - AMPLIAR'!$E7,'CAPEX - BLOCOS PAN'!$C$3:$Z$52,24,FALSE))*'BLOCOS - AMPLIAR'!AB$57</f>
        <v>-355806.04740956682</v>
      </c>
      <c r="AC15" s="1">
        <f>('RECEITAS - BLOCOS PAN'!AA7-'OPEX - BLOCOS PAN'!AA7-VLOOKUP('BLOCOS - AMPLIAR'!$E7,'CAPEX - BLOCOS PAN'!$C$3:$AA$52,25,FALSE))*'BLOCOS - AMPLIAR'!AC$57</f>
        <v>-314064.11041757866</v>
      </c>
      <c r="AD15" s="1">
        <f>('RECEITAS - BLOCOS PAN'!AB7-'OPEX - BLOCOS PAN'!AB7-VLOOKUP('BLOCOS - AMPLIAR'!$E7,'CAPEX - BLOCOS PAN'!$C$3:$AB$52,26,FALSE))*'BLOCOS - AMPLIAR'!AD$57</f>
        <v>-278274.19407376758</v>
      </c>
      <c r="AE15" s="1">
        <f>('RECEITAS - BLOCOS PAN'!AC7-'OPEX - BLOCOS PAN'!AC7-VLOOKUP('BLOCOS - AMPLIAR'!$E7,'CAPEX - BLOCOS PAN'!$C$3:$AC$52,27,FALSE))*'BLOCOS - AMPLIAR'!AE$57</f>
        <v>-244998.275610935</v>
      </c>
      <c r="AF15" s="1">
        <f>('RECEITAS - BLOCOS PAN'!AD7-'OPEX - BLOCOS PAN'!AD7-VLOOKUP('BLOCOS - AMPLIAR'!$E7,'CAPEX - BLOCOS PAN'!$C$3:$AD$52,28,FALSE))*'BLOCOS - AMPLIAR'!AF$57</f>
        <v>-216403.48724790374</v>
      </c>
      <c r="AG15" s="1">
        <f>('RECEITAS - BLOCOS PAN'!AE7-'OPEX - BLOCOS PAN'!AE7-VLOOKUP('BLOCOS - AMPLIAR'!$E7,'CAPEX - BLOCOS PAN'!$C$3:$AE$52,29,FALSE))*'BLOCOS - AMPLIAR'!AG$57</f>
        <v>-190744.67657181498</v>
      </c>
      <c r="AH15" s="1">
        <f>('RECEITAS - BLOCOS PAN'!AF7-'OPEX - BLOCOS PAN'!AF7-VLOOKUP('BLOCOS - AMPLIAR'!$E7,'CAPEX - BLOCOS PAN'!$C$3:$AF$52,30,FALSE))*'BLOCOS - AMPLIAR'!AH$57</f>
        <v>-168796.8076041977</v>
      </c>
      <c r="AI15" s="1">
        <f>('RECEITAS - BLOCOS PAN'!AG7-'OPEX - BLOCOS PAN'!AG7-VLOOKUP('BLOCOS - AMPLIAR'!$E7,'CAPEX - BLOCOS PAN'!$C$3:$AG$52,31,FALSE))*'BLOCOS - AMPLIAR'!AI$57</f>
        <v>-148189.72153267055</v>
      </c>
      <c r="AJ15" s="1">
        <f>('RECEITAS - BLOCOS PAN'!AH7-'OPEX - BLOCOS PAN'!AH7-VLOOKUP('BLOCOS - AMPLIAR'!$E7,'CAPEX - BLOCOS PAN'!$C$3:$AH$52,32,FALSE))*'BLOCOS - AMPLIAR'!AJ$57</f>
        <v>-130935.31406411795</v>
      </c>
      <c r="AK15" s="1">
        <f>('RECEITAS - BLOCOS PAN'!AI7-'OPEX - BLOCOS PAN'!AI7-VLOOKUP('BLOCOS - AMPLIAR'!$E7,'CAPEX - BLOCOS PAN'!$C$3:$AI$52,33,FALSE))*'BLOCOS - AMPLIAR'!AK$57</f>
        <v>-114722.31277114179</v>
      </c>
      <c r="AL15" s="1">
        <f>('RECEITAS - BLOCOS PAN'!AJ7-'OPEX - BLOCOS PAN'!AJ7-VLOOKUP('BLOCOS - AMPLIAR'!$E7,'CAPEX - BLOCOS PAN'!$C$3:$AJ$52,34,FALSE))*'BLOCOS - AMPLIAR'!AL$57</f>
        <v>-100250.23316545674</v>
      </c>
      <c r="AM15" s="1">
        <f>('RECEITAS - BLOCOS PAN'!AK7-'OPEX - BLOCOS PAN'!AK7-VLOOKUP('BLOCOS - AMPLIAR'!$E7,'CAPEX - BLOCOS PAN'!$C$3:$AK$52,35,FALSE))*'BLOCOS - AMPLIAR'!AM$57</f>
        <v>-87345.000547481381</v>
      </c>
      <c r="AN15" s="1">
        <f>SUM(J15:X15)</f>
        <v>-140315026.45481497</v>
      </c>
      <c r="AO15" s="88">
        <f>SUM(AN15:AN19)</f>
        <v>-396842859.29061538</v>
      </c>
      <c r="AP15" s="44">
        <f>SUM(J15:AM15)</f>
        <v>-144027585.40887821</v>
      </c>
      <c r="AQ15" s="88">
        <f>SUM(AP15:AP19)</f>
        <v>-413838404.21711123</v>
      </c>
      <c r="AR15" s="48">
        <f>VLOOKUP(E15,'Projeção - Demanda PAX'!$C$3:$H$37,6,FALSE)</f>
        <v>51486</v>
      </c>
      <c r="AS15">
        <v>1</v>
      </c>
      <c r="AT15">
        <v>-3.1166666666666667</v>
      </c>
      <c r="AU15">
        <v>-58.466666666666669</v>
      </c>
    </row>
    <row r="16" spans="1:47" x14ac:dyDescent="0.35">
      <c r="A16" s="89"/>
      <c r="B16" t="s">
        <v>119</v>
      </c>
      <c r="C16" t="s">
        <v>120</v>
      </c>
      <c r="D16">
        <v>130080</v>
      </c>
      <c r="E16" t="s">
        <v>121</v>
      </c>
      <c r="F16" t="s">
        <v>120</v>
      </c>
      <c r="G16" t="s">
        <v>35</v>
      </c>
      <c r="H16" t="s">
        <v>259</v>
      </c>
      <c r="I16" t="s">
        <v>33</v>
      </c>
      <c r="J16" s="1">
        <f>(VLOOKUP($E16,'RECEITAS - BLOCOS PAN'!$D$3:$H$52,5,FALSE)-VLOOKUP('BLOCOS - AMPLIAR'!$E16,'OPEX - BLOCOS PAN'!$D$3:$H$52,5,FALSE)-VLOOKUP('BLOCOS - AMPLIAR'!$E16,'CAPEX - BLOCOS PAN'!$C$3:$H$52,6,FALSE))*'BLOCOS - AMPLIAR'!J$57</f>
        <v>-20667660.143166669</v>
      </c>
      <c r="K16" s="1">
        <f>(VLOOKUP($E16,'RECEITAS - BLOCOS PAN'!$D$3:$I$52,6,FALSE)-VLOOKUP('BLOCOS - AMPLIAR'!$E16,'OPEX - BLOCOS PAN'!$D$3:$I$52,6,FALSE)-VLOOKUP('BLOCOS - AMPLIAR'!$E16,'CAPEX - BLOCOS PAN'!$C$3:$I$52,7,FALSE))*'BLOCOS - AMPLIAR'!K$57</f>
        <v>-18854766.90631371</v>
      </c>
      <c r="L16" s="1">
        <f>(VLOOKUP($E16,'RECEITAS - BLOCOS PAN'!$D$3:$J$52,7,FALSE)-VLOOKUP('BLOCOS - AMPLIAR'!$E16,'OPEX - BLOCOS PAN'!$D$3:$J$52,7,FALSE)-VLOOKUP('BLOCOS - AMPLIAR'!$E16,'CAPEX - BLOCOS PAN'!$C$3:$J$52,8,FALSE))*'BLOCOS - AMPLIAR'!L$57</f>
        <v>-17201525.904397223</v>
      </c>
      <c r="M16" s="1">
        <f>('RECEITAS - BLOCOS PAN'!K24-'OPEX - BLOCOS PAN'!K24-VLOOKUP('BLOCOS - AMPLIAR'!$E17,'CAPEX - BLOCOS PAN'!$C$3:$K$52,9,FALSE))*'BLOCOS - AMPLIAR'!M$57</f>
        <v>-1982169.2964077883</v>
      </c>
      <c r="N16" s="1">
        <f>('RECEITAS - BLOCOS PAN'!L24-'OPEX - BLOCOS PAN'!L24-VLOOKUP('BLOCOS - AMPLIAR'!$E17,'CAPEX - BLOCOS PAN'!$C$3:$L$52,10,FALSE))*'BLOCOS - AMPLIAR'!N$57</f>
        <v>-1803542.9196069855</v>
      </c>
      <c r="O16" s="1">
        <f>('RECEITAS - BLOCOS PAN'!M24-'OPEX - BLOCOS PAN'!M24-VLOOKUP('BLOCOS - AMPLIAR'!$E17,'CAPEX - BLOCOS PAN'!$C$3:$M$52,11,FALSE))*'BLOCOS - AMPLIAR'!O$57</f>
        <v>-1641874.984064647</v>
      </c>
      <c r="P16" s="1">
        <f>('RECEITAS - BLOCOS PAN'!N24-'OPEX - BLOCOS PAN'!N24-VLOOKUP('BLOCOS - AMPLIAR'!$E17,'CAPEX - BLOCOS PAN'!$C$3:$N$52,12,FALSE))*'BLOCOS - AMPLIAR'!P$57</f>
        <v>-1495308.4025164067</v>
      </c>
      <c r="Q16" s="1">
        <f>('RECEITAS - BLOCOS PAN'!O24-'OPEX - BLOCOS PAN'!O24-VLOOKUP('BLOCOS - AMPLIAR'!$E17,'CAPEX - BLOCOS PAN'!$C$3:$O$52,13,FALSE))*'BLOCOS - AMPLIAR'!Q$57</f>
        <v>-1361723.0663207744</v>
      </c>
      <c r="R16" s="1">
        <f>('RECEITAS - BLOCOS PAN'!P24-'OPEX - BLOCOS PAN'!P24-VLOOKUP('BLOCOS - AMPLIAR'!$E17,'CAPEX - BLOCOS PAN'!$C$3:$P$52,14,FALSE))*'BLOCOS - AMPLIAR'!R$57</f>
        <v>-1240368.0729040888</v>
      </c>
      <c r="S16" s="1">
        <f>('RECEITAS - BLOCOS PAN'!Q24-'OPEX - BLOCOS PAN'!Q24-VLOOKUP('BLOCOS - AMPLIAR'!$E17,'CAPEX - BLOCOS PAN'!$C$3:$Q$52,15,FALSE))*'BLOCOS - AMPLIAR'!S$57</f>
        <v>-1129804.056603844</v>
      </c>
      <c r="T16" s="1">
        <f>('RECEITAS - BLOCOS PAN'!R24-'OPEX - BLOCOS PAN'!R24-VLOOKUP('BLOCOS - AMPLIAR'!$E17,'CAPEX - BLOCOS PAN'!$C$3:$R$52,16,FALSE))*'BLOCOS - AMPLIAR'!T$57</f>
        <v>-1029343.2357311446</v>
      </c>
      <c r="U16" s="1">
        <f>('RECEITAS - BLOCOS PAN'!S24-'OPEX - BLOCOS PAN'!S24-VLOOKUP('BLOCOS - AMPLIAR'!$E17,'CAPEX - BLOCOS PAN'!$C$3:$S$52,17,FALSE))*'BLOCOS - AMPLIAR'!U$57</f>
        <v>-937633.76512403553</v>
      </c>
      <c r="V16" s="1">
        <f>('RECEITAS - BLOCOS PAN'!T24-'OPEX - BLOCOS PAN'!T24-VLOOKUP('BLOCOS - AMPLIAR'!$E17,'CAPEX - BLOCOS PAN'!$C$3:$T$52,18,FALSE))*'BLOCOS - AMPLIAR'!V$57</f>
        <v>-854287.59549717419</v>
      </c>
      <c r="W16" s="1">
        <f>('RECEITAS - BLOCOS PAN'!U24-'OPEX - BLOCOS PAN'!U24-VLOOKUP('BLOCOS - AMPLIAR'!$E17,'CAPEX - BLOCOS PAN'!$C$3:$U$52,19,FALSE))*'BLOCOS - AMPLIAR'!W$57</f>
        <v>-778107.01308823354</v>
      </c>
      <c r="X16" s="1">
        <f>('RECEITAS - BLOCOS PAN'!V24-'OPEX - BLOCOS PAN'!V24-VLOOKUP('BLOCOS - AMPLIAR'!$E17,'CAPEX - BLOCOS PAN'!$C$3:$V$52,20,FALSE))*'BLOCOS - AMPLIAR'!X$57</f>
        <v>-708907.79695303878</v>
      </c>
      <c r="Y16" s="1">
        <f>('RECEITAS - BLOCOS PAN'!W24-'OPEX - BLOCOS PAN'!W24-VLOOKUP('BLOCOS - AMPLIAR'!$E17,'CAPEX - BLOCOS PAN'!$C$3:$W$52,21,FALSE))*'BLOCOS - AMPLIAR'!Y$57</f>
        <v>-645678.09846154635</v>
      </c>
      <c r="Z16" s="1">
        <f>('RECEITAS - BLOCOS PAN'!X24-'OPEX - BLOCOS PAN'!X24-VLOOKUP('BLOCOS - AMPLIAR'!$E17,'CAPEX - BLOCOS PAN'!$C$3:$X$52,22,FALSE))*'BLOCOS - AMPLIAR'!Z$57</f>
        <v>-588224.85878554243</v>
      </c>
      <c r="AA16" s="1">
        <f>('RECEITAS - BLOCOS PAN'!Y24-'OPEX - BLOCOS PAN'!Y24-VLOOKUP('BLOCOS - AMPLIAR'!$E17,'CAPEX - BLOCOS PAN'!$C$3:$Y$52,23,FALSE))*'BLOCOS - AMPLIAR'!AA$57</f>
        <v>-535702.80636088387</v>
      </c>
      <c r="AB16" s="1">
        <f>('RECEITAS - BLOCOS PAN'!Z24-'OPEX - BLOCOS PAN'!Z24-VLOOKUP('BLOCOS - AMPLIAR'!$E17,'CAPEX - BLOCOS PAN'!$C$3:$Z$52,24,FALSE))*'BLOCOS - AMPLIAR'!AB$57</f>
        <v>-488047.74839788745</v>
      </c>
      <c r="AC16" s="1">
        <f>('RECEITAS - BLOCOS PAN'!AA24-'OPEX - BLOCOS PAN'!AA24-VLOOKUP('BLOCOS - AMPLIAR'!$E17,'CAPEX - BLOCOS PAN'!$C$3:$AA$52,25,FALSE))*'BLOCOS - AMPLIAR'!AC$57</f>
        <v>-444439.71756362787</v>
      </c>
      <c r="AD16" s="1">
        <f>('RECEITAS - BLOCOS PAN'!AB24-'OPEX - BLOCOS PAN'!AB24-VLOOKUP('BLOCOS - AMPLIAR'!$E17,'CAPEX - BLOCOS PAN'!$C$3:$AB$52,26,FALSE))*'BLOCOS - AMPLIAR'!AD$57</f>
        <v>-404881.33544426656</v>
      </c>
      <c r="AE16" s="1">
        <f>('RECEITAS - BLOCOS PAN'!AC24-'OPEX - BLOCOS PAN'!AC24-VLOOKUP('BLOCOS - AMPLIAR'!$E17,'CAPEX - BLOCOS PAN'!$C$3:$AC$52,27,FALSE))*'BLOCOS - AMPLIAR'!AE$57</f>
        <v>-368692.91607027885</v>
      </c>
      <c r="AF16" s="1">
        <f>('RECEITAS - BLOCOS PAN'!AD24-'OPEX - BLOCOS PAN'!AD24-VLOOKUP('BLOCOS - AMPLIAR'!$E17,'CAPEX - BLOCOS PAN'!$C$3:$AD$52,28,FALSE))*'BLOCOS - AMPLIAR'!AF$57</f>
        <v>-335835.10485266318</v>
      </c>
      <c r="AG16" s="1">
        <f>('RECEITAS - BLOCOS PAN'!AE24-'OPEX - BLOCOS PAN'!AE24-VLOOKUP('BLOCOS - AMPLIAR'!$E17,'CAPEX - BLOCOS PAN'!$C$3:$AE$52,29,FALSE))*'BLOCOS - AMPLIAR'!AG$57</f>
        <v>-305918.21698876121</v>
      </c>
      <c r="AH16" s="1">
        <f>('RECEITAS - BLOCOS PAN'!AF24-'OPEX - BLOCOS PAN'!AF24-VLOOKUP('BLOCOS - AMPLIAR'!$E17,'CAPEX - BLOCOS PAN'!$C$3:$AF$52,30,FALSE))*'BLOCOS - AMPLIAR'!AH$57</f>
        <v>-278745.89740155218</v>
      </c>
      <c r="AI16" s="1">
        <f>('RECEITAS - BLOCOS PAN'!AG24-'OPEX - BLOCOS PAN'!AG24-VLOOKUP('BLOCOS - AMPLIAR'!$E17,'CAPEX - BLOCOS PAN'!$C$3:$AG$52,31,FALSE))*'BLOCOS - AMPLIAR'!AI$57</f>
        <v>-253890.6245516825</v>
      </c>
      <c r="AJ16" s="1">
        <f>('RECEITAS - BLOCOS PAN'!AH24-'OPEX - BLOCOS PAN'!AH24-VLOOKUP('BLOCOS - AMPLIAR'!$E17,'CAPEX - BLOCOS PAN'!$C$3:$AH$52,32,FALSE))*'BLOCOS - AMPLIAR'!AJ$57</f>
        <v>-231334.63509893429</v>
      </c>
      <c r="AK16" s="1">
        <f>('RECEITAS - BLOCOS PAN'!AI24-'OPEX - BLOCOS PAN'!AI24-VLOOKUP('BLOCOS - AMPLIAR'!$E17,'CAPEX - BLOCOS PAN'!$C$3:$AI$52,33,FALSE))*'BLOCOS - AMPLIAR'!AK$57</f>
        <v>-210718.48770337304</v>
      </c>
      <c r="AL16" s="1">
        <f>('RECEITAS - BLOCOS PAN'!AJ24-'OPEX - BLOCOS PAN'!AJ24-VLOOKUP('BLOCOS - AMPLIAR'!$E17,'CAPEX - BLOCOS PAN'!$C$3:$AJ$52,34,FALSE))*'BLOCOS - AMPLIAR'!AL$57</f>
        <v>-191929.8447622699</v>
      </c>
      <c r="AM16" s="1">
        <f>('RECEITAS - BLOCOS PAN'!AK24-'OPEX - BLOCOS PAN'!AK24-VLOOKUP('BLOCOS - AMPLIAR'!$E17,'CAPEX - BLOCOS PAN'!$C$3:$AK$52,35,FALSE))*'BLOCOS - AMPLIAR'!AM$57</f>
        <v>-174803.42912618347</v>
      </c>
      <c r="AN16" s="1">
        <f>SUM(J16:X16)</f>
        <v>-71687023.158695757</v>
      </c>
      <c r="AO16" s="88"/>
      <c r="AP16" s="44">
        <f>SUM(J16:AM16)</f>
        <v>-77145866.880265221</v>
      </c>
      <c r="AQ16" s="88"/>
      <c r="AR16" s="48">
        <f>VLOOKUP(E16,'Projeção - Demanda PAX'!$C$3:$H$37,6,FALSE)</f>
        <v>4718</v>
      </c>
      <c r="AS16">
        <v>1</v>
      </c>
      <c r="AT16">
        <v>-4.4000000000000004</v>
      </c>
      <c r="AU16">
        <v>-59.583333333333336</v>
      </c>
    </row>
    <row r="17" spans="1:47" x14ac:dyDescent="0.35">
      <c r="A17" s="89"/>
      <c r="B17" t="s">
        <v>148</v>
      </c>
      <c r="C17" t="s">
        <v>149</v>
      </c>
      <c r="D17">
        <v>130290</v>
      </c>
      <c r="E17" t="s">
        <v>150</v>
      </c>
      <c r="F17" t="s">
        <v>149</v>
      </c>
      <c r="G17" t="s">
        <v>35</v>
      </c>
      <c r="H17" t="s">
        <v>259</v>
      </c>
      <c r="I17" t="s">
        <v>33</v>
      </c>
      <c r="J17" s="1">
        <f>(VLOOKUP($E17,'RECEITAS - BLOCOS PAN'!$D$3:$H$52,5,FALSE)-VLOOKUP('BLOCOS - AMPLIAR'!$E17,'OPEX - BLOCOS PAN'!$D$3:$H$52,5,FALSE)-VLOOKUP('BLOCOS - AMPLIAR'!$E17,'CAPEX - BLOCOS PAN'!$C$3:$H$52,6,FALSE))*'BLOCOS - AMPLIAR'!J$57</f>
        <v>-6171897.2343333326</v>
      </c>
      <c r="K17" s="1">
        <f>(VLOOKUP($E17,'RECEITAS - BLOCOS PAN'!$D$3:$I$52,6,FALSE)-VLOOKUP('BLOCOS - AMPLIAR'!$E17,'OPEX - BLOCOS PAN'!$D$3:$I$52,6,FALSE)-VLOOKUP('BLOCOS - AMPLIAR'!$E17,'CAPEX - BLOCOS PAN'!$C$3:$I$52,7,FALSE))*'BLOCOS - AMPLIAR'!K$57</f>
        <v>-5633113.7419747459</v>
      </c>
      <c r="L17" s="1">
        <f>(VLOOKUP($E17,'RECEITAS - BLOCOS PAN'!$D$3:$J$52,7,FALSE)-VLOOKUP('BLOCOS - AMPLIAR'!$E17,'OPEX - BLOCOS PAN'!$D$3:$J$52,7,FALSE)-VLOOKUP('BLOCOS - AMPLIAR'!$E17,'CAPEX - BLOCOS PAN'!$C$3:$J$52,8,FALSE))*'BLOCOS - AMPLIAR'!L$57</f>
        <v>-5141528.4288664684</v>
      </c>
      <c r="M17" s="1">
        <f>('RECEITAS - BLOCOS PAN'!K33-'OPEX - BLOCOS PAN'!K33-VLOOKUP('BLOCOS - AMPLIAR'!$E26,'CAPEX - BLOCOS PAN'!$C$3:$K$52,9,FALSE))*'BLOCOS - AMPLIAR'!M$57</f>
        <v>-1089696.0975281459</v>
      </c>
      <c r="N17" s="1">
        <f>('RECEITAS - BLOCOS PAN'!L33-'OPEX - BLOCOS PAN'!L33-VLOOKUP('BLOCOS - AMPLIAR'!$E26,'CAPEX - BLOCOS PAN'!$C$3:$L$52,10,FALSE))*'BLOCOS - AMPLIAR'!N$57</f>
        <v>-994457.28315844899</v>
      </c>
      <c r="O17" s="1">
        <f>('RECEITAS - BLOCOS PAN'!M33-'OPEX - BLOCOS PAN'!M33-VLOOKUP('BLOCOS - AMPLIAR'!$E26,'CAPEX - BLOCOS PAN'!$C$3:$M$52,11,FALSE))*'BLOCOS - AMPLIAR'!O$57</f>
        <v>-907568.0113982039</v>
      </c>
      <c r="P17" s="1">
        <f>('RECEITAS - BLOCOS PAN'!N33-'OPEX - BLOCOS PAN'!N33-VLOOKUP('BLOCOS - AMPLIAR'!$E26,'CAPEX - BLOCOS PAN'!$C$3:$N$52,12,FALSE))*'BLOCOS - AMPLIAR'!P$57</f>
        <v>-828278.37015844032</v>
      </c>
      <c r="Q17" s="1">
        <f>('RECEITAS - BLOCOS PAN'!O33-'OPEX - BLOCOS PAN'!O33-VLOOKUP('BLOCOS - AMPLIAR'!$E26,'CAPEX - BLOCOS PAN'!$C$3:$O$52,13,FALSE))*'BLOCOS - AMPLIAR'!Q$57</f>
        <v>-755930.15309992817</v>
      </c>
      <c r="R17" s="1">
        <f>('RECEITAS - BLOCOS PAN'!P33-'OPEX - BLOCOS PAN'!P33-VLOOKUP('BLOCOS - AMPLIAR'!$E26,'CAPEX - BLOCOS PAN'!$C$3:$P$52,14,FALSE))*'BLOCOS - AMPLIAR'!R$57</f>
        <v>-689897.70751550607</v>
      </c>
      <c r="S17" s="1">
        <f>('RECEITAS - BLOCOS PAN'!Q33-'OPEX - BLOCOS PAN'!Q33-VLOOKUP('BLOCOS - AMPLIAR'!$E26,'CAPEX - BLOCOS PAN'!$C$3:$Q$52,15,FALSE))*'BLOCOS - AMPLIAR'!S$57</f>
        <v>-629636.67843795312</v>
      </c>
      <c r="T17" s="1">
        <f>('RECEITAS - BLOCOS PAN'!R33-'OPEX - BLOCOS PAN'!R33-VLOOKUP('BLOCOS - AMPLIAR'!$E26,'CAPEX - BLOCOS PAN'!$C$3:$R$52,16,FALSE))*'BLOCOS - AMPLIAR'!T$57</f>
        <v>-574655.63485982677</v>
      </c>
      <c r="U17" s="1">
        <f>('RECEITAS - BLOCOS PAN'!S33-'OPEX - BLOCOS PAN'!S33-VLOOKUP('BLOCOS - AMPLIAR'!$E26,'CAPEX - BLOCOS PAN'!$C$3:$S$52,17,FALSE))*'BLOCOS - AMPLIAR'!U$57</f>
        <v>-524470.6524691059</v>
      </c>
      <c r="V17" s="1">
        <f>('RECEITAS - BLOCOS PAN'!T33-'OPEX - BLOCOS PAN'!T33-VLOOKUP('BLOCOS - AMPLIAR'!$E26,'CAPEX - BLOCOS PAN'!$C$3:$T$52,18,FALSE))*'BLOCOS - AMPLIAR'!V$57</f>
        <v>-478672.87561317428</v>
      </c>
      <c r="W17" s="1">
        <f>('RECEITAS - BLOCOS PAN'!U33-'OPEX - BLOCOS PAN'!U33-VLOOKUP('BLOCOS - AMPLIAR'!$E26,'CAPEX - BLOCOS PAN'!$C$3:$U$52,19,FALSE))*'BLOCOS - AMPLIAR'!W$57</f>
        <v>-436874.2368353114</v>
      </c>
      <c r="X17" s="1">
        <f>('RECEITAS - BLOCOS PAN'!V33-'OPEX - BLOCOS PAN'!V33-VLOOKUP('BLOCOS - AMPLIAR'!$E26,'CAPEX - BLOCOS PAN'!$C$3:$V$52,20,FALSE))*'BLOCOS - AMPLIAR'!X$57</f>
        <v>-398725.52515035612</v>
      </c>
      <c r="Y17" s="1">
        <f>('RECEITAS - BLOCOS PAN'!W33-'OPEX - BLOCOS PAN'!W33-VLOOKUP('BLOCOS - AMPLIAR'!$E26,'CAPEX - BLOCOS PAN'!$C$3:$W$52,21,FALSE))*'BLOCOS - AMPLIAR'!Y$57</f>
        <v>-363908.02407527313</v>
      </c>
      <c r="Z17" s="1">
        <f>('RECEITAS - BLOCOS PAN'!X33-'OPEX - BLOCOS PAN'!X33-VLOOKUP('BLOCOS - AMPLIAR'!$E26,'CAPEX - BLOCOS PAN'!$C$3:$X$52,22,FALSE))*'BLOCOS - AMPLIAR'!Z$57</f>
        <v>-332130.84757271281</v>
      </c>
      <c r="AA17" s="1">
        <f>('RECEITAS - BLOCOS PAN'!Y33-'OPEX - BLOCOS PAN'!Y33-VLOOKUP('BLOCOS - AMPLIAR'!$E26,'CAPEX - BLOCOS PAN'!$C$3:$Y$52,23,FALSE))*'BLOCOS - AMPLIAR'!AA$57</f>
        <v>-303128.50960345351</v>
      </c>
      <c r="AB17" s="1">
        <f>('RECEITAS - BLOCOS PAN'!Z33-'OPEX - BLOCOS PAN'!Z33-VLOOKUP('BLOCOS - AMPLIAR'!$E26,'CAPEX - BLOCOS PAN'!$C$3:$Z$52,24,FALSE))*'BLOCOS - AMPLIAR'!AB$57</f>
        <v>-276654.61380247591</v>
      </c>
      <c r="AC17" s="1">
        <f>('RECEITAS - BLOCOS PAN'!AA33-'OPEX - BLOCOS PAN'!AA33-VLOOKUP('BLOCOS - AMPLIAR'!$E26,'CAPEX - BLOCOS PAN'!$C$3:$AA$52,25,FALSE))*'BLOCOS - AMPLIAR'!AC$57</f>
        <v>-252489.36937887868</v>
      </c>
      <c r="AD17" s="1">
        <f>('RECEITAS - BLOCOS PAN'!AB33-'OPEX - BLOCOS PAN'!AB33-VLOOKUP('BLOCOS - AMPLIAR'!$E26,'CAPEX - BLOCOS PAN'!$C$3:$AB$52,26,FALSE))*'BLOCOS - AMPLIAR'!AD$57</f>
        <v>-230441.46689138049</v>
      </c>
      <c r="AE17" s="1">
        <f>('RECEITAS - BLOCOS PAN'!AC33-'OPEX - BLOCOS PAN'!AC33-VLOOKUP('BLOCOS - AMPLIAR'!$E26,'CAPEX - BLOCOS PAN'!$C$3:$AC$52,27,FALSE))*'BLOCOS - AMPLIAR'!AE$57</f>
        <v>-210318.82826482446</v>
      </c>
      <c r="AF17" s="1">
        <f>('RECEITAS - BLOCOS PAN'!AD33-'OPEX - BLOCOS PAN'!AD33-VLOOKUP('BLOCOS - AMPLIAR'!$E26,'CAPEX - BLOCOS PAN'!$C$3:$AD$52,28,FALSE))*'BLOCOS - AMPLIAR'!AF$57</f>
        <v>-191953.33608581341</v>
      </c>
      <c r="AG17" s="1">
        <f>('RECEITAS - BLOCOS PAN'!AE33-'OPEX - BLOCOS PAN'!AE33-VLOOKUP('BLOCOS - AMPLIAR'!$E26,'CAPEX - BLOCOS PAN'!$C$3:$AE$52,29,FALSE))*'BLOCOS - AMPLIAR'!AG$57</f>
        <v>-175191.55371844734</v>
      </c>
      <c r="AH17" s="1">
        <f>('RECEITAS - BLOCOS PAN'!AF33-'OPEX - BLOCOS PAN'!AF33-VLOOKUP('BLOCOS - AMPLIAR'!$E26,'CAPEX - BLOCOS PAN'!$C$3:$AF$52,30,FALSE))*'BLOCOS - AMPLIAR'!AH$57</f>
        <v>-159893.44233655665</v>
      </c>
      <c r="AI17" s="1">
        <f>('RECEITAS - BLOCOS PAN'!AG33-'OPEX - BLOCOS PAN'!AG33-VLOOKUP('BLOCOS - AMPLIAR'!$E26,'CAPEX - BLOCOS PAN'!$C$3:$AG$52,31,FALSE))*'BLOCOS - AMPLIAR'!AI$57</f>
        <v>-145927.03233212599</v>
      </c>
      <c r="AJ17" s="1">
        <f>('RECEITAS - BLOCOS PAN'!AH33-'OPEX - BLOCOS PAN'!AH33-VLOOKUP('BLOCOS - AMPLIAR'!$E26,'CAPEX - BLOCOS PAN'!$C$3:$AH$52,32,FALSE))*'BLOCOS - AMPLIAR'!AJ$57</f>
        <v>-133184.35568378522</v>
      </c>
      <c r="AK17" s="1">
        <f>('RECEITAS - BLOCOS PAN'!AI33-'OPEX - BLOCOS PAN'!AI33-VLOOKUP('BLOCOS - AMPLIAR'!$E26,'CAPEX - BLOCOS PAN'!$C$3:$AI$52,33,FALSE))*'BLOCOS - AMPLIAR'!AK$57</f>
        <v>-121556.70573201971</v>
      </c>
      <c r="AL17" s="1">
        <f>('RECEITAS - BLOCOS PAN'!AJ33-'OPEX - BLOCOS PAN'!AJ33-VLOOKUP('BLOCOS - AMPLIAR'!$E26,'CAPEX - BLOCOS PAN'!$C$3:$AJ$52,34,FALSE))*'BLOCOS - AMPLIAR'!AL$57</f>
        <v>-110938.34191651722</v>
      </c>
      <c r="AM17" s="1">
        <f>('RECEITAS - BLOCOS PAN'!AK33-'OPEX - BLOCOS PAN'!AK33-VLOOKUP('BLOCOS - AMPLIAR'!$E26,'CAPEX - BLOCOS PAN'!$C$3:$AK$52,35,FALSE))*'BLOCOS - AMPLIAR'!AM$57</f>
        <v>-101250.94823112944</v>
      </c>
      <c r="AN17" s="1">
        <f>SUM(J17:X17)</f>
        <v>-25255402.631398946</v>
      </c>
      <c r="AO17" s="88"/>
      <c r="AP17" s="44">
        <f>SUM(J17:AM17)</f>
        <v>-28364370.007024348</v>
      </c>
      <c r="AQ17" s="88"/>
      <c r="AR17" s="48">
        <f>VLOOKUP(E17,'Projeção - Demanda PAX'!$C$3:$H$37,6,FALSE)</f>
        <v>397</v>
      </c>
      <c r="AS17">
        <v>1</v>
      </c>
      <c r="AT17">
        <v>-3.3666666666666667</v>
      </c>
      <c r="AU17">
        <v>-57.716666666666669</v>
      </c>
    </row>
    <row r="18" spans="1:47" x14ac:dyDescent="0.35">
      <c r="A18" s="89"/>
      <c r="B18" t="s">
        <v>152</v>
      </c>
      <c r="C18" t="s">
        <v>153</v>
      </c>
      <c r="D18">
        <v>130340</v>
      </c>
      <c r="E18" t="s">
        <v>154</v>
      </c>
      <c r="F18" t="s">
        <v>153</v>
      </c>
      <c r="G18" t="s">
        <v>35</v>
      </c>
      <c r="H18" t="s">
        <v>259</v>
      </c>
      <c r="I18" t="s">
        <v>33</v>
      </c>
      <c r="J18" s="1">
        <f>(VLOOKUP($E18,'RECEITAS - BLOCOS PAN'!$D$3:$H$52,5,FALSE)-VLOOKUP('BLOCOS - AMPLIAR'!$E18,'OPEX - BLOCOS PAN'!$D$3:$H$52,5,FALSE)-VLOOKUP('BLOCOS - AMPLIAR'!$E18,'CAPEX - BLOCOS PAN'!$C$3:$H$52,6,FALSE))*'BLOCOS - AMPLIAR'!J$57</f>
        <v>-41253016.314199999</v>
      </c>
      <c r="K18" s="1">
        <f>(VLOOKUP($E18,'RECEITAS - BLOCOS PAN'!$D$3:$I$52,6,FALSE)-VLOOKUP('BLOCOS - AMPLIAR'!$E18,'OPEX - BLOCOS PAN'!$D$3:$I$52,6,FALSE)-VLOOKUP('BLOCOS - AMPLIAR'!$E18,'CAPEX - BLOCOS PAN'!$C$3:$I$52,7,FALSE))*'BLOCOS - AMPLIAR'!K$57</f>
        <v>-37516265.649931543</v>
      </c>
      <c r="L18" s="1">
        <f>(VLOOKUP($E18,'RECEITAS - BLOCOS PAN'!$D$3:$J$52,7,FALSE)-VLOOKUP('BLOCOS - AMPLIAR'!$E18,'OPEX - BLOCOS PAN'!$D$3:$J$52,7,FALSE)-VLOOKUP('BLOCOS - AMPLIAR'!$E18,'CAPEX - BLOCOS PAN'!$C$3:$J$52,8,FALSE))*'BLOCOS - AMPLIAR'!L$57</f>
        <v>-34144230.045030907</v>
      </c>
      <c r="M18" s="1">
        <f>('RECEITAS - BLOCOS PAN'!K34-'OPEX - BLOCOS PAN'!K34-VLOOKUP('BLOCOS - AMPLIAR'!$E27,'CAPEX - BLOCOS PAN'!$C$3:$K$52,9,FALSE))*'BLOCOS - AMPLIAR'!M$57</f>
        <v>-2033398.0686087059</v>
      </c>
      <c r="N18" s="1">
        <f>('RECEITAS - BLOCOS PAN'!L34-'OPEX - BLOCOS PAN'!L34-VLOOKUP('BLOCOS - AMPLIAR'!$E27,'CAPEX - BLOCOS PAN'!$C$3:$L$52,10,FALSE))*'BLOCOS - AMPLIAR'!N$57</f>
        <v>-1800807.2754031483</v>
      </c>
      <c r="O18" s="1">
        <f>('RECEITAS - BLOCOS PAN'!M34-'OPEX - BLOCOS PAN'!M34-VLOOKUP('BLOCOS - AMPLIAR'!$E27,'CAPEX - BLOCOS PAN'!$C$3:$M$52,11,FALSE))*'BLOCOS - AMPLIAR'!O$57</f>
        <v>-1597736.3027433758</v>
      </c>
      <c r="P18" s="1">
        <f>('RECEITAS - BLOCOS PAN'!N34-'OPEX - BLOCOS PAN'!N34-VLOOKUP('BLOCOS - AMPLIAR'!$E27,'CAPEX - BLOCOS PAN'!$C$3:$N$52,12,FALSE))*'BLOCOS - AMPLIAR'!P$57</f>
        <v>-1418976.6285601633</v>
      </c>
      <c r="Q18" s="1">
        <f>('RECEITAS - BLOCOS PAN'!O34-'OPEX - BLOCOS PAN'!O34-VLOOKUP('BLOCOS - AMPLIAR'!$E27,'CAPEX - BLOCOS PAN'!$C$3:$O$52,13,FALSE))*'BLOCOS - AMPLIAR'!Q$57</f>
        <v>-1260157.3141067002</v>
      </c>
      <c r="R18" s="1">
        <f>('RECEITAS - BLOCOS PAN'!P34-'OPEX - BLOCOS PAN'!P34-VLOOKUP('BLOCOS - AMPLIAR'!$E27,'CAPEX - BLOCOS PAN'!$C$3:$P$52,14,FALSE))*'BLOCOS - AMPLIAR'!R$57</f>
        <v>-1119961.835806879</v>
      </c>
      <c r="S18" s="1">
        <f>('RECEITAS - BLOCOS PAN'!Q34-'OPEX - BLOCOS PAN'!Q34-VLOOKUP('BLOCOS - AMPLIAR'!$E27,'CAPEX - BLOCOS PAN'!$C$3:$Q$52,15,FALSE))*'BLOCOS - AMPLIAR'!S$57</f>
        <v>-996090.63314762735</v>
      </c>
      <c r="T18" s="1">
        <f>('RECEITAS - BLOCOS PAN'!R34-'OPEX - BLOCOS PAN'!R34-VLOOKUP('BLOCOS - AMPLIAR'!$E27,'CAPEX - BLOCOS PAN'!$C$3:$R$52,16,FALSE))*'BLOCOS - AMPLIAR'!T$57</f>
        <v>-886771.90897840436</v>
      </c>
      <c r="U18" s="1">
        <f>('RECEITAS - BLOCOS PAN'!S34-'OPEX - BLOCOS PAN'!S34-VLOOKUP('BLOCOS - AMPLIAR'!$E27,'CAPEX - BLOCOS PAN'!$C$3:$S$52,17,FALSE))*'BLOCOS - AMPLIAR'!U$57</f>
        <v>-788399.16287290014</v>
      </c>
      <c r="V18" s="1">
        <f>('RECEITAS - BLOCOS PAN'!T34-'OPEX - BLOCOS PAN'!T34-VLOOKUP('BLOCOS - AMPLIAR'!$E27,'CAPEX - BLOCOS PAN'!$C$3:$T$52,18,FALSE))*'BLOCOS - AMPLIAR'!V$57</f>
        <v>-700749.50417240942</v>
      </c>
      <c r="W18" s="1">
        <f>('RECEITAS - BLOCOS PAN'!U34-'OPEX - BLOCOS PAN'!U34-VLOOKUP('BLOCOS - AMPLIAR'!$E27,'CAPEX - BLOCOS PAN'!$C$3:$U$52,19,FALSE))*'BLOCOS - AMPLIAR'!W$57</f>
        <v>-621576.90607958194</v>
      </c>
      <c r="X18" s="1">
        <f>('RECEITAS - BLOCOS PAN'!V34-'OPEX - BLOCOS PAN'!V34-VLOOKUP('BLOCOS - AMPLIAR'!$E27,'CAPEX - BLOCOS PAN'!$C$3:$V$52,20,FALSE))*'BLOCOS - AMPLIAR'!X$57</f>
        <v>-551255.17870863411</v>
      </c>
      <c r="Y18" s="1">
        <f>('RECEITAS - BLOCOS PAN'!W34-'OPEX - BLOCOS PAN'!W34-VLOOKUP('BLOCOS - AMPLIAR'!$E27,'CAPEX - BLOCOS PAN'!$C$3:$W$52,21,FALSE))*'BLOCOS - AMPLIAR'!Y$57</f>
        <v>-487913.64615537616</v>
      </c>
      <c r="Z18" s="1">
        <f>('RECEITAS - BLOCOS PAN'!X34-'OPEX - BLOCOS PAN'!X34-VLOOKUP('BLOCOS - AMPLIAR'!$E27,'CAPEX - BLOCOS PAN'!$C$3:$X$52,22,FALSE))*'BLOCOS - AMPLIAR'!Z$57</f>
        <v>-431460.29291539919</v>
      </c>
      <c r="AA18" s="1">
        <f>('RECEITAS - BLOCOS PAN'!Y34-'OPEX - BLOCOS PAN'!Y34-VLOOKUP('BLOCOS - AMPLIAR'!$E27,'CAPEX - BLOCOS PAN'!$C$3:$Y$52,23,FALSE))*'BLOCOS - AMPLIAR'!AA$57</f>
        <v>-380580.28784006304</v>
      </c>
      <c r="AB18" s="1">
        <f>('RECEITAS - BLOCOS PAN'!Z34-'OPEX - BLOCOS PAN'!Z34-VLOOKUP('BLOCOS - AMPLIAR'!$E27,'CAPEX - BLOCOS PAN'!$C$3:$Z$52,24,FALSE))*'BLOCOS - AMPLIAR'!AB$57</f>
        <v>-335257.65062910941</v>
      </c>
      <c r="AC18" s="1">
        <f>('RECEITAS - BLOCOS PAN'!AA34-'OPEX - BLOCOS PAN'!AA34-VLOOKUP('BLOCOS - AMPLIAR'!$E27,'CAPEX - BLOCOS PAN'!$C$3:$AA$52,25,FALSE))*'BLOCOS - AMPLIAR'!AC$57</f>
        <v>-294444.33403268101</v>
      </c>
      <c r="AD18" s="1">
        <f>('RECEITAS - BLOCOS PAN'!AB34-'OPEX - BLOCOS PAN'!AB34-VLOOKUP('BLOCOS - AMPLIAR'!$E27,'CAPEX - BLOCOS PAN'!$C$3:$AB$52,26,FALSE))*'BLOCOS - AMPLIAR'!AD$57</f>
        <v>-258515.83912139211</v>
      </c>
      <c r="AE18" s="1">
        <f>('RECEITAS - BLOCOS PAN'!AC34-'OPEX - BLOCOS PAN'!AC34-VLOOKUP('BLOCOS - AMPLIAR'!$E27,'CAPEX - BLOCOS PAN'!$C$3:$AC$52,27,FALSE))*'BLOCOS - AMPLIAR'!AE$57</f>
        <v>-226249.20974622073</v>
      </c>
      <c r="AF18" s="1">
        <f>('RECEITAS - BLOCOS PAN'!AD34-'OPEX - BLOCOS PAN'!AD34-VLOOKUP('BLOCOS - AMPLIAR'!$E27,'CAPEX - BLOCOS PAN'!$C$3:$AD$52,28,FALSE))*'BLOCOS - AMPLIAR'!AF$57</f>
        <v>-197781.96811621613</v>
      </c>
      <c r="AG18" s="1">
        <f>('RECEITAS - BLOCOS PAN'!AE34-'OPEX - BLOCOS PAN'!AE34-VLOOKUP('BLOCOS - AMPLIAR'!$E27,'CAPEX - BLOCOS PAN'!$C$3:$AE$52,29,FALSE))*'BLOCOS - AMPLIAR'!AG$57</f>
        <v>-172445.72459595246</v>
      </c>
      <c r="AH18" s="1">
        <f>('RECEITAS - BLOCOS PAN'!AF34-'OPEX - BLOCOS PAN'!AF34-VLOOKUP('BLOCOS - AMPLIAR'!$E27,'CAPEX - BLOCOS PAN'!$C$3:$AF$52,30,FALSE))*'BLOCOS - AMPLIAR'!AH$57</f>
        <v>-150065.87144654323</v>
      </c>
      <c r="AI18" s="1">
        <f>('RECEITAS - BLOCOS PAN'!AG34-'OPEX - BLOCOS PAN'!AG34-VLOOKUP('BLOCOS - AMPLIAR'!$E27,'CAPEX - BLOCOS PAN'!$C$3:$AG$52,31,FALSE))*'BLOCOS - AMPLIAR'!AI$57</f>
        <v>-129996.25140607535</v>
      </c>
      <c r="AJ18" s="1">
        <f>('RECEITAS - BLOCOS PAN'!AH34-'OPEX - BLOCOS PAN'!AH34-VLOOKUP('BLOCOS - AMPLIAR'!$E27,'CAPEX - BLOCOS PAN'!$C$3:$AH$52,32,FALSE))*'BLOCOS - AMPLIAR'!AJ$57</f>
        <v>-112497.21970708881</v>
      </c>
      <c r="AK18" s="1">
        <f>('RECEITAS - BLOCOS PAN'!AI34-'OPEX - BLOCOS PAN'!AI34-VLOOKUP('BLOCOS - AMPLIAR'!$E27,'CAPEX - BLOCOS PAN'!$C$3:$AI$52,33,FALSE))*'BLOCOS - AMPLIAR'!AK$57</f>
        <v>-96835.322303960173</v>
      </c>
      <c r="AL18" s="1">
        <f>('RECEITAS - BLOCOS PAN'!AJ34-'OPEX - BLOCOS PAN'!AJ34-VLOOKUP('BLOCOS - AMPLIAR'!$E27,'CAPEX - BLOCOS PAN'!$C$3:$AJ$52,34,FALSE))*'BLOCOS - AMPLIAR'!AL$57</f>
        <v>-82949.677159444123</v>
      </c>
      <c r="AM18" s="1">
        <f>('RECEITAS - BLOCOS PAN'!AK34-'OPEX - BLOCOS PAN'!AK34-VLOOKUP('BLOCOS - AMPLIAR'!$E27,'CAPEX - BLOCOS PAN'!$C$3:$AK$52,35,FALSE))*'BLOCOS - AMPLIAR'!AM$57</f>
        <v>-70630.388040023652</v>
      </c>
      <c r="AN18" s="1">
        <f>SUM(J18:X18)</f>
        <v>-126689392.72835095</v>
      </c>
      <c r="AO18" s="88"/>
      <c r="AP18" s="44">
        <f>SUM(J18:AM18)</f>
        <v>-130117016.4115665</v>
      </c>
      <c r="AQ18" s="88"/>
      <c r="AR18" s="48">
        <f>VLOOKUP(E18,'Projeção - Demanda PAX'!$C$3:$H$37,6,FALSE)</f>
        <v>58695</v>
      </c>
      <c r="AS18">
        <v>1</v>
      </c>
      <c r="AT18">
        <v>-2.6666666666666665</v>
      </c>
      <c r="AU18">
        <v>-56.766666666666666</v>
      </c>
    </row>
    <row r="19" spans="1:47" x14ac:dyDescent="0.35">
      <c r="A19" s="89"/>
      <c r="B19" t="s">
        <v>160</v>
      </c>
      <c r="C19" s="5" t="s">
        <v>276</v>
      </c>
      <c r="D19">
        <v>130014</v>
      </c>
      <c r="E19" t="s">
        <v>300</v>
      </c>
      <c r="F19" t="s">
        <v>241</v>
      </c>
      <c r="G19" t="s">
        <v>35</v>
      </c>
      <c r="H19" t="s">
        <v>259</v>
      </c>
      <c r="I19" t="s">
        <v>33</v>
      </c>
      <c r="J19" s="1">
        <f>(VLOOKUP($E19,'RECEITAS - BLOCOS PAN'!$D$3:$H$52,5,FALSE)-VLOOKUP('BLOCOS - AMPLIAR'!$E19,'OPEX - BLOCOS PAN'!$D$3:$H$52,5,FALSE)-VLOOKUP('BLOCOS - AMPLIAR'!$E19,'CAPEX - BLOCOS PAN'!$C$3:$H$52,6,FALSE))*'BLOCOS - AMPLIAR'!J$57</f>
        <v>-10728979.762042485</v>
      </c>
      <c r="K19" s="1">
        <f>(VLOOKUP($E19,'RECEITAS - BLOCOS PAN'!$D$3:$I$52,6,FALSE)-VLOOKUP('BLOCOS - AMPLIAR'!$E19,'OPEX - BLOCOS PAN'!$D$3:$I$52,6,FALSE)-VLOOKUP('BLOCOS - AMPLIAR'!$E19,'CAPEX - BLOCOS PAN'!$C$3:$I$52,7,FALSE))*'BLOCOS - AMPLIAR'!K$57</f>
        <v>-9793683.0324440766</v>
      </c>
      <c r="L19" s="1">
        <f>(VLOOKUP($E19,'RECEITAS - BLOCOS PAN'!$D$3:$J$52,7,FALSE)-VLOOKUP('BLOCOS - AMPLIAR'!$E19,'OPEX - BLOCOS PAN'!$D$3:$J$52,7,FALSE)-VLOOKUP('BLOCOS - AMPLIAR'!$E19,'CAPEX - BLOCOS PAN'!$C$3:$J$52,8,FALSE))*'BLOCOS - AMPLIAR'!L$57</f>
        <v>-8939920.6138238944</v>
      </c>
      <c r="M19" s="1">
        <f>('RECEITAS - BLOCOS PAN'!K52-'OPEX - BLOCOS PAN'!K52-VLOOKUP('BLOCOS - AMPLIAR'!$E45,'CAPEX - BLOCOS PAN'!$C$3:$K$52,9,FALSE))*'BLOCOS - AMPLIAR'!M$57</f>
        <v>-449883.03671404003</v>
      </c>
      <c r="N19" s="1">
        <f>('RECEITAS - BLOCOS PAN'!L52-'OPEX - BLOCOS PAN'!L52-VLOOKUP('BLOCOS - AMPLIAR'!$E45,'CAPEX - BLOCOS PAN'!$C$3:$L$52,10,FALSE))*'BLOCOS - AMPLIAR'!N$57</f>
        <v>-410664.57025471481</v>
      </c>
      <c r="O19" s="1">
        <f>('RECEITAS - BLOCOS PAN'!M52-'OPEX - BLOCOS PAN'!M52-VLOOKUP('BLOCOS - AMPLIAR'!$E45,'CAPEX - BLOCOS PAN'!$C$3:$M$52,11,FALSE))*'BLOCOS - AMPLIAR'!O$57</f>
        <v>-374864.96600156534</v>
      </c>
      <c r="P19" s="1">
        <f>('RECEITAS - BLOCOS PAN'!N52-'OPEX - BLOCOS PAN'!N52-VLOOKUP('BLOCOS - AMPLIAR'!$E45,'CAPEX - BLOCOS PAN'!$C$3:$N$52,12,FALSE))*'BLOCOS - AMPLIAR'!P$57</f>
        <v>-342186.18530494324</v>
      </c>
      <c r="Q19" s="1">
        <f>('RECEITAS - BLOCOS PAN'!O52-'OPEX - BLOCOS PAN'!O52-VLOOKUP('BLOCOS - AMPLIAR'!$E45,'CAPEX - BLOCOS PAN'!$C$3:$O$52,13,FALSE))*'BLOCOS - AMPLIAR'!Q$57</f>
        <v>-312356.17097667122</v>
      </c>
      <c r="R19" s="1">
        <f>('RECEITAS - BLOCOS PAN'!P52-'OPEX - BLOCOS PAN'!P52-VLOOKUP('BLOCOS - AMPLIAR'!$E45,'CAPEX - BLOCOS PAN'!$C$3:$P$52,14,FALSE))*'BLOCOS - AMPLIAR'!R$57</f>
        <v>-285126.58236117865</v>
      </c>
      <c r="S19" s="1">
        <f>('RECEITAS - BLOCOS PAN'!Q52-'OPEX - BLOCOS PAN'!Q52-VLOOKUP('BLOCOS - AMPLIAR'!$E45,'CAPEX - BLOCOS PAN'!$C$3:$Q$52,15,FALSE))*'BLOCOS - AMPLIAR'!S$57</f>
        <v>-260270.72785137256</v>
      </c>
      <c r="T19" s="1">
        <f>('RECEITAS - BLOCOS PAN'!R52-'OPEX - BLOCOS PAN'!R52-VLOOKUP('BLOCOS - AMPLIAR'!$E45,'CAPEX - BLOCOS PAN'!$C$3:$R$52,16,FALSE))*'BLOCOS - AMPLIAR'!T$57</f>
        <v>-237581.6776370357</v>
      </c>
      <c r="U19" s="1">
        <f>('RECEITAS - BLOCOS PAN'!S52-'OPEX - BLOCOS PAN'!S52-VLOOKUP('BLOCOS - AMPLIAR'!$E45,'CAPEX - BLOCOS PAN'!$C$3:$S$52,17,FALSE))*'BLOCOS - AMPLIAR'!U$57</f>
        <v>-216870.54097401709</v>
      </c>
      <c r="V19" s="1">
        <f>('RECEITAS - BLOCOS PAN'!T52-'OPEX - BLOCOS PAN'!T52-VLOOKUP('BLOCOS - AMPLIAR'!$E45,'CAPEX - BLOCOS PAN'!$C$3:$T$52,18,FALSE))*'BLOCOS - AMPLIAR'!V$57</f>
        <v>-197964.89363214705</v>
      </c>
      <c r="W19" s="1">
        <f>('RECEITAS - BLOCOS PAN'!U52-'OPEX - BLOCOS PAN'!U52-VLOOKUP('BLOCOS - AMPLIAR'!$E45,'CAPEX - BLOCOS PAN'!$C$3:$U$52,19,FALSE))*'BLOCOS - AMPLIAR'!W$57</f>
        <v>-180707.34243007487</v>
      </c>
      <c r="X19" s="1">
        <f>('RECEITAS - BLOCOS PAN'!V52-'OPEX - BLOCOS PAN'!V52-VLOOKUP('BLOCOS - AMPLIAR'!$E45,'CAPEX - BLOCOS PAN'!$C$3:$V$52,20,FALSE))*'BLOCOS - AMPLIAR'!X$57</f>
        <v>-164954.21490650377</v>
      </c>
      <c r="Y19" s="1">
        <f>('RECEITAS - BLOCOS PAN'!W52-'OPEX - BLOCOS PAN'!W52-VLOOKUP('BLOCOS - AMPLIAR'!$E45,'CAPEX - BLOCOS PAN'!$C$3:$W$52,21,FALSE))*'BLOCOS - AMPLIAR'!Y$57</f>
        <v>-150574.36321908151</v>
      </c>
      <c r="Z19" s="1">
        <f>('RECEITAS - BLOCOS PAN'!X52-'OPEX - BLOCOS PAN'!X52-VLOOKUP('BLOCOS - AMPLIAR'!$E45,'CAPEX - BLOCOS PAN'!$C$3:$X$52,22,FALSE))*'BLOCOS - AMPLIAR'!Z$57</f>
        <v>-137448.07231317347</v>
      </c>
      <c r="AA19" s="1">
        <f>('RECEITAS - BLOCOS PAN'!Y52-'OPEX - BLOCOS PAN'!Y52-VLOOKUP('BLOCOS - AMPLIAR'!$E45,'CAPEX - BLOCOS PAN'!$C$3:$Y$52,23,FALSE))*'BLOCOS - AMPLIAR'!AA$57</f>
        <v>-125466.06327081101</v>
      </c>
      <c r="AB19" s="1">
        <f>('RECEITAS - BLOCOS PAN'!Z52-'OPEX - BLOCOS PAN'!Z52-VLOOKUP('BLOCOS - AMPLIAR'!$E45,'CAPEX - BLOCOS PAN'!$C$3:$Z$52,24,FALSE))*'BLOCOS - AMPLIAR'!AB$57</f>
        <v>-114528.58354250208</v>
      </c>
      <c r="AC19" s="1">
        <f>('RECEITAS - BLOCOS PAN'!AA52-'OPEX - BLOCOS PAN'!AA52-VLOOKUP('BLOCOS - AMPLIAR'!$E45,'CAPEX - BLOCOS PAN'!$C$3:$AA$52,25,FALSE))*'BLOCOS - AMPLIAR'!AC$57</f>
        <v>-104544.57648790696</v>
      </c>
      <c r="AD19" s="1">
        <f>('RECEITAS - BLOCOS PAN'!AB52-'OPEX - BLOCOS PAN'!AB52-VLOOKUP('BLOCOS - AMPLIAR'!$E45,'CAPEX - BLOCOS PAN'!$C$3:$AB$52,26,FALSE))*'BLOCOS - AMPLIAR'!AD$57</f>
        <v>-95430.923311644889</v>
      </c>
      <c r="AE19" s="1">
        <f>('RECEITAS - BLOCOS PAN'!AC52-'OPEX - BLOCOS PAN'!AC52-VLOOKUP('BLOCOS - AMPLIAR'!$E45,'CAPEX - BLOCOS PAN'!$C$3:$AC$52,27,FALSE))*'BLOCOS - AMPLIAR'!AE$57</f>
        <v>-87111.751083199342</v>
      </c>
      <c r="AF19" s="1">
        <f>('RECEITAS - BLOCOS PAN'!AD52-'OPEX - BLOCOS PAN'!AD52-VLOOKUP('BLOCOS - AMPLIAR'!$E45,'CAPEX - BLOCOS PAN'!$C$3:$AD$52,28,FALSE))*'BLOCOS - AMPLIAR'!AF$57</f>
        <v>-79517.801080054182</v>
      </c>
      <c r="AG19" s="1">
        <f>('RECEITAS - BLOCOS PAN'!AE52-'OPEX - BLOCOS PAN'!AE52-VLOOKUP('BLOCOS - AMPLIAR'!$E45,'CAPEX - BLOCOS PAN'!$C$3:$AE$52,29,FALSE))*'BLOCOS - AMPLIAR'!AG$57</f>
        <v>-72585.852195394051</v>
      </c>
      <c r="AH19" s="1">
        <f>('RECEITAS - BLOCOS PAN'!AF52-'OPEX - BLOCOS PAN'!AF52-VLOOKUP('BLOCOS - AMPLIAR'!$E45,'CAPEX - BLOCOS PAN'!$C$3:$AF$52,30,FALSE))*'BLOCOS - AMPLIAR'!AH$57</f>
        <v>-66258.194610126942</v>
      </c>
      <c r="AI19" s="1">
        <f>('RECEITAS - BLOCOS PAN'!AG52-'OPEX - BLOCOS PAN'!AG52-VLOOKUP('BLOCOS - AMPLIAR'!$E45,'CAPEX - BLOCOS PAN'!$C$3:$AG$52,31,FALSE))*'BLOCOS - AMPLIAR'!AI$57</f>
        <v>-60482.149347445855</v>
      </c>
      <c r="AJ19" s="1">
        <f>('RECEITAS - BLOCOS PAN'!AH52-'OPEX - BLOCOS PAN'!AH52-VLOOKUP('BLOCOS - AMPLIAR'!$E45,'CAPEX - BLOCOS PAN'!$C$3:$AH$52,32,FALSE))*'BLOCOS - AMPLIAR'!AJ$57</f>
        <v>-55209.629710128575</v>
      </c>
      <c r="AK19" s="1">
        <f>('RECEITAS - BLOCOS PAN'!AI52-'OPEX - BLOCOS PAN'!AI52-VLOOKUP('BLOCOS - AMPLIAR'!$E45,'CAPEX - BLOCOS PAN'!$C$3:$AI$52,33,FALSE))*'BLOCOS - AMPLIAR'!AK$57</f>
        <v>-50396.740949455576</v>
      </c>
      <c r="AL19" s="1">
        <f>('RECEITAS - BLOCOS PAN'!AJ52-'OPEX - BLOCOS PAN'!AJ52-VLOOKUP('BLOCOS - AMPLIAR'!$E45,'CAPEX - BLOCOS PAN'!$C$3:$AJ$52,34,FALSE))*'BLOCOS - AMPLIAR'!AL$57</f>
        <v>-46003.414832912436</v>
      </c>
      <c r="AM19" s="1">
        <f>('RECEITAS - BLOCOS PAN'!AK52-'OPEX - BLOCOS PAN'!AK52-VLOOKUP('BLOCOS - AMPLIAR'!$E45,'CAPEX - BLOCOS PAN'!$C$3:$AK$52,35,FALSE))*'BLOCOS - AMPLIAR'!AM$57</f>
        <v>-41993.076068381961</v>
      </c>
      <c r="AN19" s="1">
        <f>SUM(J19:X19)</f>
        <v>-32896014.31735472</v>
      </c>
      <c r="AO19" s="88"/>
      <c r="AP19" s="44">
        <f>SUM(J19:AM19)</f>
        <v>-34183565.509376943</v>
      </c>
      <c r="AQ19" s="88"/>
      <c r="AR19" s="48">
        <v>0</v>
      </c>
      <c r="AS19">
        <v>1</v>
      </c>
      <c r="AT19">
        <v>-7.166666666666667</v>
      </c>
      <c r="AU19">
        <v>-59.833333333333336</v>
      </c>
    </row>
    <row r="20" spans="1:47" x14ac:dyDescent="0.35">
      <c r="A20" s="89" t="str">
        <f>VLOOKUP(E20,'FLUXO DE CAIXA DESC.-SEM MULT.'!$D$3:$AT$52,43,FALSE)</f>
        <v>Bloco 4 - PA3</v>
      </c>
      <c r="B20" t="s">
        <v>60</v>
      </c>
      <c r="C20" t="s">
        <v>61</v>
      </c>
      <c r="D20">
        <v>150050</v>
      </c>
      <c r="E20" t="s">
        <v>62</v>
      </c>
      <c r="F20" t="s">
        <v>63</v>
      </c>
      <c r="G20" t="s">
        <v>29</v>
      </c>
      <c r="H20" t="s">
        <v>259</v>
      </c>
      <c r="I20" t="s">
        <v>33</v>
      </c>
      <c r="J20" s="1">
        <f>(VLOOKUP($E20,'RECEITAS - BLOCOS PAN'!$D$3:$H$52,5,FALSE)-VLOOKUP('BLOCOS - AMPLIAR'!$E20,'OPEX - BLOCOS PAN'!$D$3:$H$52,5,FALSE)-VLOOKUP('BLOCOS - AMPLIAR'!$E20,'CAPEX - BLOCOS PAN'!$C$3:$H$52,6,FALSE))*'BLOCOS - AMPLIAR'!J$57</f>
        <v>-49365149.537933335</v>
      </c>
      <c r="K20" s="1">
        <f>(VLOOKUP($E20,'RECEITAS - BLOCOS PAN'!$D$3:$I$52,6,FALSE)-VLOOKUP('BLOCOS - AMPLIAR'!$E20,'OPEX - BLOCOS PAN'!$D$3:$I$52,6,FALSE)-VLOOKUP('BLOCOS - AMPLIAR'!$E20,'CAPEX - BLOCOS PAN'!$C$3:$I$52,7,FALSE))*'BLOCOS - AMPLIAR'!K$57</f>
        <v>-45028244.107561238</v>
      </c>
      <c r="L20" s="1">
        <f>(VLOOKUP($E20,'RECEITAS - BLOCOS PAN'!$D$3:$J$52,7,FALSE)-VLOOKUP('BLOCOS - AMPLIAR'!$E20,'OPEX - BLOCOS PAN'!$D$3:$J$52,7,FALSE)-VLOOKUP('BLOCOS - AMPLIAR'!$E20,'CAPEX - BLOCOS PAN'!$C$3:$J$52,8,FALSE))*'BLOCOS - AMPLIAR'!L$57</f>
        <v>-41077102.863095045</v>
      </c>
      <c r="M20" s="1">
        <f>('RECEITAS - BLOCOS PAN'!K8-'OPEX - BLOCOS PAN'!K8-VLOOKUP('BLOCOS - AMPLIAR'!$E8,'CAPEX - BLOCOS PAN'!$C$3:$K$52,9,FALSE))*'BLOCOS - AMPLIAR'!M$57</f>
        <v>-1871038.7908944171</v>
      </c>
      <c r="N20" s="1">
        <f>('RECEITAS - BLOCOS PAN'!L8-'OPEX - BLOCOS PAN'!L8-VLOOKUP('BLOCOS - AMPLIAR'!$E8,'CAPEX - BLOCOS PAN'!$C$3:$L$52,10,FALSE))*'BLOCOS - AMPLIAR'!N$57</f>
        <v>-1692164.634179007</v>
      </c>
      <c r="O20" s="1">
        <f>('RECEITAS - BLOCOS PAN'!M8-'OPEX - BLOCOS PAN'!M8-VLOOKUP('BLOCOS - AMPLIAR'!$E8,'CAPEX - BLOCOS PAN'!$C$3:$M$52,11,FALSE))*'BLOCOS - AMPLIAR'!O$57</f>
        <v>-1530829.2212418679</v>
      </c>
      <c r="P20" s="1">
        <f>('RECEITAS - BLOCOS PAN'!N8-'OPEX - BLOCOS PAN'!N8-VLOOKUP('BLOCOS - AMPLIAR'!$E8,'CAPEX - BLOCOS PAN'!$C$3:$N$52,12,FALSE))*'BLOCOS - AMPLIAR'!P$57</f>
        <v>-1475013.303242502</v>
      </c>
      <c r="Q20" s="1">
        <f>('RECEITAS - BLOCOS PAN'!O8-'OPEX - BLOCOS PAN'!O8-VLOOKUP('BLOCOS - AMPLIAR'!$E8,'CAPEX - BLOCOS PAN'!$C$3:$O$52,13,FALSE))*'BLOCOS - AMPLIAR'!Q$57</f>
        <v>-1335155.7220262066</v>
      </c>
      <c r="R20" s="1">
        <f>('RECEITAS - BLOCOS PAN'!P8-'OPEX - BLOCOS PAN'!P8-VLOOKUP('BLOCOS - AMPLIAR'!$E8,'CAPEX - BLOCOS PAN'!$C$3:$P$52,14,FALSE))*'BLOCOS - AMPLIAR'!R$57</f>
        <v>-1208631.0742751348</v>
      </c>
      <c r="S20" s="1">
        <f>('RECEITAS - BLOCOS PAN'!Q8-'OPEX - BLOCOS PAN'!Q8-VLOOKUP('BLOCOS - AMPLIAR'!$E8,'CAPEX - BLOCOS PAN'!$C$3:$Q$52,15,FALSE))*'BLOCOS - AMPLIAR'!S$57</f>
        <v>-1094402.2695907748</v>
      </c>
      <c r="T20" s="1">
        <f>('RECEITAS - BLOCOS PAN'!R8-'OPEX - BLOCOS PAN'!R8-VLOOKUP('BLOCOS - AMPLIAR'!$E8,'CAPEX - BLOCOS PAN'!$C$3:$R$52,16,FALSE))*'BLOCOS - AMPLIAR'!T$57</f>
        <v>-991116.21459551586</v>
      </c>
      <c r="U20" s="1">
        <f>('RECEITAS - BLOCOS PAN'!S8-'OPEX - BLOCOS PAN'!S8-VLOOKUP('BLOCOS - AMPLIAR'!$E8,'CAPEX - BLOCOS PAN'!$C$3:$S$52,17,FALSE))*'BLOCOS - AMPLIAR'!U$57</f>
        <v>-897312.0511456005</v>
      </c>
      <c r="V20" s="1">
        <f>('RECEITAS - BLOCOS PAN'!T8-'OPEX - BLOCOS PAN'!T8-VLOOKUP('BLOCOS - AMPLIAR'!$E8,'CAPEX - BLOCOS PAN'!$C$3:$T$52,18,FALSE))*'BLOCOS - AMPLIAR'!V$57</f>
        <v>-812163.62781062105</v>
      </c>
      <c r="W20" s="1">
        <f>('RECEITAS - BLOCOS PAN'!U8-'OPEX - BLOCOS PAN'!U8-VLOOKUP('BLOCOS - AMPLIAR'!$E8,'CAPEX - BLOCOS PAN'!$C$3:$U$52,19,FALSE))*'BLOCOS - AMPLIAR'!W$57</f>
        <v>-734749.93668130424</v>
      </c>
      <c r="X20" s="1">
        <f>('RECEITAS - BLOCOS PAN'!V8-'OPEX - BLOCOS PAN'!V8-VLOOKUP('BLOCOS - AMPLIAR'!$E8,'CAPEX - BLOCOS PAN'!$C$3:$V$52,20,FALSE))*'BLOCOS - AMPLIAR'!X$57</f>
        <v>-664641.3149024786</v>
      </c>
      <c r="Y20" s="1">
        <f>('RECEITAS - BLOCOS PAN'!W8-'OPEX - BLOCOS PAN'!W8-VLOOKUP('BLOCOS - AMPLIAR'!$E8,'CAPEX - BLOCOS PAN'!$C$3:$W$52,21,FALSE))*'BLOCOS - AMPLIAR'!Y$57</f>
        <v>-600892.88788695459</v>
      </c>
      <c r="Z20" s="1">
        <f>('RECEITAS - BLOCOS PAN'!X8-'OPEX - BLOCOS PAN'!X8-VLOOKUP('BLOCOS - AMPLIAR'!$E8,'CAPEX - BLOCOS PAN'!$C$3:$X$52,22,FALSE))*'BLOCOS - AMPLIAR'!Z$57</f>
        <v>-543145.1073006792</v>
      </c>
      <c r="AA20" s="1">
        <f>('RECEITAS - BLOCOS PAN'!Y8-'OPEX - BLOCOS PAN'!Y8-VLOOKUP('BLOCOS - AMPLIAR'!$E8,'CAPEX - BLOCOS PAN'!$C$3:$Y$52,23,FALSE))*'BLOCOS - AMPLIAR'!AA$57</f>
        <v>-490596.69194664509</v>
      </c>
      <c r="AB20" s="1">
        <f>('RECEITAS - BLOCOS PAN'!Z8-'OPEX - BLOCOS PAN'!Z8-VLOOKUP('BLOCOS - AMPLIAR'!$E8,'CAPEX - BLOCOS PAN'!$C$3:$Z$52,24,FALSE))*'BLOCOS - AMPLIAR'!AB$57</f>
        <v>-442955.45700910006</v>
      </c>
      <c r="AC20" s="1">
        <f>('RECEITAS - BLOCOS PAN'!AA8-'OPEX - BLOCOS PAN'!AA8-VLOOKUP('BLOCOS - AMPLIAR'!$E8,'CAPEX - BLOCOS PAN'!$C$3:$AA$52,25,FALSE))*'BLOCOS - AMPLIAR'!AC$57</f>
        <v>-588272.52811492758</v>
      </c>
      <c r="AD20" s="1">
        <f>('RECEITAS - BLOCOS PAN'!AB8-'OPEX - BLOCOS PAN'!AB8-VLOOKUP('BLOCOS - AMPLIAR'!$E8,'CAPEX - BLOCOS PAN'!$C$3:$AB$52,26,FALSE))*'BLOCOS - AMPLIAR'!AD$57</f>
        <v>-532322.00190296548</v>
      </c>
      <c r="AE20" s="1">
        <f>('RECEITAS - BLOCOS PAN'!AC8-'OPEX - BLOCOS PAN'!AC8-VLOOKUP('BLOCOS - AMPLIAR'!$E8,'CAPEX - BLOCOS PAN'!$C$3:$AC$52,27,FALSE))*'BLOCOS - AMPLIAR'!AE$57</f>
        <v>-481539.96040151914</v>
      </c>
      <c r="AF20" s="1">
        <f>('RECEITAS - BLOCOS PAN'!AD8-'OPEX - BLOCOS PAN'!AD8-VLOOKUP('BLOCOS - AMPLIAR'!$E8,'CAPEX - BLOCOS PAN'!$C$3:$AD$52,28,FALSE))*'BLOCOS - AMPLIAR'!AF$57</f>
        <v>-435437.5669637628</v>
      </c>
      <c r="AG20" s="1">
        <f>('RECEITAS - BLOCOS PAN'!AE8-'OPEX - BLOCOS PAN'!AE8-VLOOKUP('BLOCOS - AMPLIAR'!$E8,'CAPEX - BLOCOS PAN'!$C$3:$AE$52,29,FALSE))*'BLOCOS - AMPLIAR'!AG$57</f>
        <v>-393494.17055484909</v>
      </c>
      <c r="AH20" s="1">
        <f>('RECEITAS - BLOCOS PAN'!AF8-'OPEX - BLOCOS PAN'!AF8-VLOOKUP('BLOCOS - AMPLIAR'!$E8,'CAPEX - BLOCOS PAN'!$C$3:$AF$52,30,FALSE))*'BLOCOS - AMPLIAR'!AH$57</f>
        <v>-355394.07310123538</v>
      </c>
      <c r="AI20" s="1">
        <f>('RECEITAS - BLOCOS PAN'!AG8-'OPEX - BLOCOS PAN'!AG8-VLOOKUP('BLOCOS - AMPLIAR'!$E8,'CAPEX - BLOCOS PAN'!$C$3:$AG$52,31,FALSE))*'BLOCOS - AMPLIAR'!AI$57</f>
        <v>-320851.60735129815</v>
      </c>
      <c r="AJ20" s="1">
        <f>('RECEITAS - BLOCOS PAN'!AH8-'OPEX - BLOCOS PAN'!AH8-VLOOKUP('BLOCOS - AMPLIAR'!$E8,'CAPEX - BLOCOS PAN'!$C$3:$AH$52,32,FALSE))*'BLOCOS - AMPLIAR'!AJ$57</f>
        <v>-289597.02365034982</v>
      </c>
      <c r="AK20" s="1">
        <f>('RECEITAS - BLOCOS PAN'!AI8-'OPEX - BLOCOS PAN'!AI8-VLOOKUP('BLOCOS - AMPLIAR'!$E8,'CAPEX - BLOCOS PAN'!$C$3:$AI$52,33,FALSE))*'BLOCOS - AMPLIAR'!AK$57</f>
        <v>-261243.68399290959</v>
      </c>
      <c r="AL20" s="1">
        <f>('RECEITAS - BLOCOS PAN'!AJ8-'OPEX - BLOCOS PAN'!AJ8-VLOOKUP('BLOCOS - AMPLIAR'!$E8,'CAPEX - BLOCOS PAN'!$C$3:$AJ$52,34,FALSE))*'BLOCOS - AMPLIAR'!AL$57</f>
        <v>-235531.89914070716</v>
      </c>
      <c r="AM20" s="1">
        <f>('RECEITAS - BLOCOS PAN'!AK8-'OPEX - BLOCOS PAN'!AK8-VLOOKUP('BLOCOS - AMPLIAR'!$E8,'CAPEX - BLOCOS PAN'!$C$3:$AK$52,35,FALSE))*'BLOCOS - AMPLIAR'!AM$57</f>
        <v>-212204.43821358524</v>
      </c>
      <c r="AN20" s="1">
        <f>SUM(J20:X20)</f>
        <v>-149777714.66917506</v>
      </c>
      <c r="AO20" s="88">
        <f>SUM(AN20:AN22)</f>
        <v>-385060205.03025663</v>
      </c>
      <c r="AP20" s="44">
        <f>SUM(J20:AM20)</f>
        <v>-155961193.76670653</v>
      </c>
      <c r="AQ20" s="88">
        <f>SUM(AP20:AP22)</f>
        <v>-401584790.08016717</v>
      </c>
      <c r="AR20" s="48">
        <f>VLOOKUP(E20,'Projeção - Demanda PAX'!$C$3:$H$37,6,FALSE)</f>
        <v>19347</v>
      </c>
      <c r="AS20">
        <v>1</v>
      </c>
      <c r="AT20">
        <v>-0.8833333333333333</v>
      </c>
      <c r="AU20">
        <v>-52.6</v>
      </c>
    </row>
    <row r="21" spans="1:47" x14ac:dyDescent="0.35">
      <c r="A21" s="89"/>
      <c r="B21" t="s">
        <v>108</v>
      </c>
      <c r="C21" t="s">
        <v>109</v>
      </c>
      <c r="D21">
        <v>150180</v>
      </c>
      <c r="E21" t="s">
        <v>110</v>
      </c>
      <c r="F21" t="s">
        <v>109</v>
      </c>
      <c r="G21" t="s">
        <v>29</v>
      </c>
      <c r="H21" t="s">
        <v>259</v>
      </c>
      <c r="I21" t="s">
        <v>33</v>
      </c>
      <c r="J21" s="1">
        <f>(VLOOKUP($E21,'RECEITAS - BLOCOS PAN'!$D$3:$H$52,5,FALSE)-VLOOKUP('BLOCOS - AMPLIAR'!$E21,'OPEX - BLOCOS PAN'!$D$3:$H$52,5,FALSE)-VLOOKUP('BLOCOS - AMPLIAR'!$E21,'CAPEX - BLOCOS PAN'!$C$3:$H$52,6,FALSE))*'BLOCOS - AMPLIAR'!J$57</f>
        <v>-19837632.531966668</v>
      </c>
      <c r="K21" s="1">
        <f>(VLOOKUP($E21,'RECEITAS - BLOCOS PAN'!$D$3:$I$52,6,FALSE)-VLOOKUP('BLOCOS - AMPLIAR'!$E21,'OPEX - BLOCOS PAN'!$D$3:$I$52,6,FALSE)-VLOOKUP('BLOCOS - AMPLIAR'!$E21,'CAPEX - BLOCOS PAN'!$C$3:$I$52,7,FALSE))*'BLOCOS - AMPLIAR'!K$57</f>
        <v>-18076187.721831739</v>
      </c>
      <c r="L21" s="1">
        <f>(VLOOKUP($E21,'RECEITAS - BLOCOS PAN'!$D$3:$J$52,7,FALSE)-VLOOKUP('BLOCOS - AMPLIAR'!$E21,'OPEX - BLOCOS PAN'!$D$3:$J$52,7,FALSE)-VLOOKUP('BLOCOS - AMPLIAR'!$E21,'CAPEX - BLOCOS PAN'!$C$3:$J$52,8,FALSE))*'BLOCOS - AMPLIAR'!L$57</f>
        <v>-16476933.628081577</v>
      </c>
      <c r="M21" s="1">
        <f>('RECEITAS - BLOCOS PAN'!K21-'OPEX - BLOCOS PAN'!K21-VLOOKUP('BLOCOS - AMPLIAR'!$E14,'CAPEX - BLOCOS PAN'!$C$3:$K$52,9,FALSE))*'BLOCOS - AMPLIAR'!M$57</f>
        <v>-1889224.3454710387</v>
      </c>
      <c r="N21" s="1">
        <f>('RECEITAS - BLOCOS PAN'!L21-'OPEX - BLOCOS PAN'!L21-VLOOKUP('BLOCOS - AMPLIAR'!$E14,'CAPEX - BLOCOS PAN'!$C$3:$L$52,10,FALSE))*'BLOCOS - AMPLIAR'!N$57</f>
        <v>-1711451.614108661</v>
      </c>
      <c r="O21" s="1">
        <f>('RECEITAS - BLOCOS PAN'!M21-'OPEX - BLOCOS PAN'!M21-VLOOKUP('BLOCOS - AMPLIAR'!$E14,'CAPEX - BLOCOS PAN'!$C$3:$M$52,11,FALSE))*'BLOCOS - AMPLIAR'!O$57</f>
        <v>-1551493.0118637038</v>
      </c>
      <c r="P21" s="1">
        <f>('RECEITAS - BLOCOS PAN'!N21-'OPEX - BLOCOS PAN'!N21-VLOOKUP('BLOCOS - AMPLIAR'!$E14,'CAPEX - BLOCOS PAN'!$C$3:$N$52,12,FALSE))*'BLOCOS - AMPLIAR'!P$57</f>
        <v>-1406678.4861291714</v>
      </c>
      <c r="Q21" s="1">
        <f>('RECEITAS - BLOCOS PAN'!O21-'OPEX - BLOCOS PAN'!O21-VLOOKUP('BLOCOS - AMPLIAR'!$E14,'CAPEX - BLOCOS PAN'!$C$3:$O$52,13,FALSE))*'BLOCOS - AMPLIAR'!Q$57</f>
        <v>-1275736.8837418049</v>
      </c>
      <c r="R21" s="1">
        <f>('RECEITAS - BLOCOS PAN'!P21-'OPEX - BLOCOS PAN'!P21-VLOOKUP('BLOCOS - AMPLIAR'!$E14,'CAPEX - BLOCOS PAN'!$C$3:$P$52,14,FALSE))*'BLOCOS - AMPLIAR'!R$57</f>
        <v>-1157263.3231895783</v>
      </c>
      <c r="S21" s="1">
        <f>('RECEITAS - BLOCOS PAN'!Q21-'OPEX - BLOCOS PAN'!Q21-VLOOKUP('BLOCOS - AMPLIAR'!$E14,'CAPEX - BLOCOS PAN'!$C$3:$Q$52,15,FALSE))*'BLOCOS - AMPLIAR'!S$57</f>
        <v>-1118918.9018233649</v>
      </c>
      <c r="T21" s="1">
        <f>('RECEITAS - BLOCOS PAN'!R21-'OPEX - BLOCOS PAN'!R21-VLOOKUP('BLOCOS - AMPLIAR'!$E14,'CAPEX - BLOCOS PAN'!$C$3:$R$52,16,FALSE))*'BLOCOS - AMPLIAR'!T$57</f>
        <v>-1015987.2168432447</v>
      </c>
      <c r="U21" s="1">
        <f>('RECEITAS - BLOCOS PAN'!S21-'OPEX - BLOCOS PAN'!S21-VLOOKUP('BLOCOS - AMPLIAR'!$E14,'CAPEX - BLOCOS PAN'!$C$3:$S$52,17,FALSE))*'BLOCOS - AMPLIAR'!U$57</f>
        <v>-922801.96234666195</v>
      </c>
      <c r="V21" s="1">
        <f>('RECEITAS - BLOCOS PAN'!T21-'OPEX - BLOCOS PAN'!T21-VLOOKUP('BLOCOS - AMPLIAR'!$E14,'CAPEX - BLOCOS PAN'!$C$3:$T$52,18,FALSE))*'BLOCOS - AMPLIAR'!V$57</f>
        <v>-837941.90481202351</v>
      </c>
      <c r="W21" s="1">
        <f>('RECEITAS - BLOCOS PAN'!U21-'OPEX - BLOCOS PAN'!U21-VLOOKUP('BLOCOS - AMPLIAR'!$E14,'CAPEX - BLOCOS PAN'!$C$3:$U$52,19,FALSE))*'BLOCOS - AMPLIAR'!W$57</f>
        <v>-761038.84876861877</v>
      </c>
      <c r="X21" s="1">
        <f>('RECEITAS - BLOCOS PAN'!V21-'OPEX - BLOCOS PAN'!V21-VLOOKUP('BLOCOS - AMPLIAR'!$E14,'CAPEX - BLOCOS PAN'!$C$3:$V$52,20,FALSE))*'BLOCOS - AMPLIAR'!X$57</f>
        <v>-691008.70351061877</v>
      </c>
      <c r="Y21" s="1">
        <f>('RECEITAS - BLOCOS PAN'!W21-'OPEX - BLOCOS PAN'!W21-VLOOKUP('BLOCOS - AMPLIAR'!$E14,'CAPEX - BLOCOS PAN'!$C$3:$W$52,21,FALSE))*'BLOCOS - AMPLIAR'!Y$57</f>
        <v>-627441.11429679813</v>
      </c>
      <c r="Z21" s="1">
        <f>('RECEITAS - BLOCOS PAN'!X21-'OPEX - BLOCOS PAN'!X21-VLOOKUP('BLOCOS - AMPLIAR'!$E14,'CAPEX - BLOCOS PAN'!$C$3:$X$52,22,FALSE))*'BLOCOS - AMPLIAR'!Z$57</f>
        <v>-569649.04628351703</v>
      </c>
      <c r="AA21" s="1">
        <f>('RECEITAS - BLOCOS PAN'!Y21-'OPEX - BLOCOS PAN'!Y21-VLOOKUP('BLOCOS - AMPLIAR'!$E14,'CAPEX - BLOCOS PAN'!$C$3:$Y$52,23,FALSE))*'BLOCOS - AMPLIAR'!AA$57</f>
        <v>-517179.78130765457</v>
      </c>
      <c r="AB21" s="1">
        <f>('RECEITAS - BLOCOS PAN'!Z21-'OPEX - BLOCOS PAN'!Z21-VLOOKUP('BLOCOS - AMPLIAR'!$E14,'CAPEX - BLOCOS PAN'!$C$3:$Z$52,24,FALSE))*'BLOCOS - AMPLIAR'!AB$57</f>
        <v>-469413.52638589835</v>
      </c>
      <c r="AC21" s="1">
        <f>('RECEITAS - BLOCOS PAN'!AA21-'OPEX - BLOCOS PAN'!AA21-VLOOKUP('BLOCOS - AMPLIAR'!$E14,'CAPEX - BLOCOS PAN'!$C$3:$AA$52,25,FALSE))*'BLOCOS - AMPLIAR'!AC$57</f>
        <v>-426077.96478508966</v>
      </c>
      <c r="AD21" s="1">
        <f>('RECEITAS - BLOCOS PAN'!AB21-'OPEX - BLOCOS PAN'!AB21-VLOOKUP('BLOCOS - AMPLIAR'!$E14,'CAPEX - BLOCOS PAN'!$C$3:$AB$52,26,FALSE))*'BLOCOS - AMPLIAR'!AD$57</f>
        <v>-386700.58489194984</v>
      </c>
      <c r="AE21" s="1">
        <f>('RECEITAS - BLOCOS PAN'!AC21-'OPEX - BLOCOS PAN'!AC21-VLOOKUP('BLOCOS - AMPLIAR'!$E14,'CAPEX - BLOCOS PAN'!$C$3:$AC$52,27,FALSE))*'BLOCOS - AMPLIAR'!AE$57</f>
        <v>-350996.88272286212</v>
      </c>
      <c r="AF21" s="1">
        <f>('RECEITAS - BLOCOS PAN'!AD21-'OPEX - BLOCOS PAN'!AD21-VLOOKUP('BLOCOS - AMPLIAR'!$E14,'CAPEX - BLOCOS PAN'!$C$3:$AD$52,28,FALSE))*'BLOCOS - AMPLIAR'!AF$57</f>
        <v>-318544.97803943814</v>
      </c>
      <c r="AG21" s="1">
        <f>('RECEITAS - BLOCOS PAN'!AE21-'OPEX - BLOCOS PAN'!AE21-VLOOKUP('BLOCOS - AMPLIAR'!$E14,'CAPEX - BLOCOS PAN'!$C$3:$AE$52,29,FALSE))*'BLOCOS - AMPLIAR'!AG$57</f>
        <v>-289293.58249747002</v>
      </c>
      <c r="AH21" s="1">
        <f>('RECEITAS - BLOCOS PAN'!AF21-'OPEX - BLOCOS PAN'!AF21-VLOOKUP('BLOCOS - AMPLIAR'!$E14,'CAPEX - BLOCOS PAN'!$C$3:$AF$52,30,FALSE))*'BLOCOS - AMPLIAR'!AH$57</f>
        <v>-262604.77986448747</v>
      </c>
      <c r="AI21" s="1">
        <f>('RECEITAS - BLOCOS PAN'!AG21-'OPEX - BLOCOS PAN'!AG21-VLOOKUP('BLOCOS - AMPLIAR'!$E14,'CAPEX - BLOCOS PAN'!$C$3:$AG$52,31,FALSE))*'BLOCOS - AMPLIAR'!AI$57</f>
        <v>-238448.03832791408</v>
      </c>
      <c r="AJ21" s="1">
        <f>('RECEITAS - BLOCOS PAN'!AH21-'OPEX - BLOCOS PAN'!AH21-VLOOKUP('BLOCOS - AMPLIAR'!$E14,'CAPEX - BLOCOS PAN'!$C$3:$AH$52,32,FALSE))*'BLOCOS - AMPLIAR'!AJ$57</f>
        <v>-216456.72300428676</v>
      </c>
      <c r="AK21" s="1">
        <f>('RECEITAS - BLOCOS PAN'!AI21-'OPEX - BLOCOS PAN'!AI21-VLOOKUP('BLOCOS - AMPLIAR'!$E14,'CAPEX - BLOCOS PAN'!$C$3:$AI$52,33,FALSE))*'BLOCOS - AMPLIAR'!AK$57</f>
        <v>-196557.98223729254</v>
      </c>
      <c r="AL21" s="1">
        <f>('RECEITAS - BLOCOS PAN'!AJ21-'OPEX - BLOCOS PAN'!AJ21-VLOOKUP('BLOCOS - AMPLIAR'!$E14,'CAPEX - BLOCOS PAN'!$C$3:$AJ$52,34,FALSE))*'BLOCOS - AMPLIAR'!AL$57</f>
        <v>-178470.37016013692</v>
      </c>
      <c r="AM21" s="1">
        <f>('RECEITAS - BLOCOS PAN'!AK21-'OPEX - BLOCOS PAN'!AK21-VLOOKUP('BLOCOS - AMPLIAR'!$E14,'CAPEX - BLOCOS PAN'!$C$3:$AK$52,35,FALSE))*'BLOCOS - AMPLIAR'!AM$57</f>
        <v>-162023.31166666292</v>
      </c>
      <c r="AN21" s="1">
        <f>SUM(J21:X21)</f>
        <v>-68730299.084488481</v>
      </c>
      <c r="AO21" s="88"/>
      <c r="AP21" s="44">
        <f>SUM(J21:AM21)</f>
        <v>-73940157.750959933</v>
      </c>
      <c r="AQ21" s="88"/>
      <c r="AR21" s="48">
        <f>VLOOKUP(E21,'Projeção - Demanda PAX'!$C$3:$H$37,6,FALSE)</f>
        <v>18258</v>
      </c>
      <c r="AS21">
        <v>1</v>
      </c>
      <c r="AT21">
        <v>-1.6333333333333333</v>
      </c>
      <c r="AU21">
        <v>-50.43333333333333</v>
      </c>
    </row>
    <row r="22" spans="1:47" x14ac:dyDescent="0.35">
      <c r="A22" s="89"/>
      <c r="B22" t="s">
        <v>260</v>
      </c>
      <c r="C22" t="s">
        <v>261</v>
      </c>
      <c r="D22">
        <v>150620</v>
      </c>
      <c r="E22" t="s">
        <v>286</v>
      </c>
      <c r="F22" t="s">
        <v>261</v>
      </c>
      <c r="G22" t="s">
        <v>29</v>
      </c>
      <c r="H22" t="s">
        <v>259</v>
      </c>
      <c r="I22" t="s">
        <v>33</v>
      </c>
      <c r="J22" s="1">
        <f>(VLOOKUP($E22,'RECEITAS - BLOCOS PAN'!$D$3:$H$52,5,FALSE)-VLOOKUP('BLOCOS - AMPLIAR'!$E22,'OPEX - BLOCOS PAN'!$D$3:$H$52,5,FALSE)-VLOOKUP('BLOCOS - AMPLIAR'!$E22,'CAPEX - BLOCOS PAN'!$C$3:$H$52,6,FALSE))*'BLOCOS - AMPLIAR'!J$57</f>
        <v>-54043520.896266662</v>
      </c>
      <c r="K22" s="1">
        <f>(VLOOKUP($E22,'RECEITAS - BLOCOS PAN'!$D$3:$I$52,6,FALSE)-VLOOKUP('BLOCOS - AMPLIAR'!$E22,'OPEX - BLOCOS PAN'!$D$3:$I$52,6,FALSE)-VLOOKUP('BLOCOS - AMPLIAR'!$E22,'CAPEX - BLOCOS PAN'!$C$3:$I$52,7,FALSE))*'BLOCOS - AMPLIAR'!K$57</f>
        <v>-49249667.737075917</v>
      </c>
      <c r="L22" s="1">
        <f>(VLOOKUP($E22,'RECEITAS - BLOCOS PAN'!$D$3:$J$52,7,FALSE)-VLOOKUP('BLOCOS - AMPLIAR'!$E22,'OPEX - BLOCOS PAN'!$D$3:$J$52,7,FALSE)-VLOOKUP('BLOCOS - AMPLIAR'!$E22,'CAPEX - BLOCOS PAN'!$C$3:$J$52,8,FALSE))*'BLOCOS - AMPLIAR'!L$57</f>
        <v>-45778974.065696061</v>
      </c>
      <c r="M22" s="1">
        <f>('RECEITAS - BLOCOS PAN'!K36-'OPEX - BLOCOS PAN'!K36-VLOOKUP('BLOCOS - AMPLIAR'!$E29,'CAPEX - BLOCOS PAN'!$C$3:$K$52,9,FALSE))*'BLOCOS - AMPLIAR'!M$57</f>
        <v>-2473039.0183988139</v>
      </c>
      <c r="N22" s="1">
        <f>('RECEITAS - BLOCOS PAN'!L36-'OPEX - BLOCOS PAN'!L36-VLOOKUP('BLOCOS - AMPLIAR'!$E29,'CAPEX - BLOCOS PAN'!$C$3:$L$52,10,FALSE))*'BLOCOS - AMPLIAR'!N$57</f>
        <v>-2214575.8036806621</v>
      </c>
      <c r="O22" s="1">
        <f>('RECEITAS - BLOCOS PAN'!M36-'OPEX - BLOCOS PAN'!M36-VLOOKUP('BLOCOS - AMPLIAR'!$E29,'CAPEX - BLOCOS PAN'!$C$3:$M$52,11,FALSE))*'BLOCOS - AMPLIAR'!O$57</f>
        <v>-1988285.8352788647</v>
      </c>
      <c r="P22" s="1">
        <f>('RECEITAS - BLOCOS PAN'!N36-'OPEX - BLOCOS PAN'!N36-VLOOKUP('BLOCOS - AMPLIAR'!$E29,'CAPEX - BLOCOS PAN'!$C$3:$N$52,12,FALSE))*'BLOCOS - AMPLIAR'!P$57</f>
        <v>-1781591.3912951567</v>
      </c>
      <c r="Q22" s="1">
        <f>('RECEITAS - BLOCOS PAN'!O36-'OPEX - BLOCOS PAN'!O36-VLOOKUP('BLOCOS - AMPLIAR'!$E29,'CAPEX - BLOCOS PAN'!$C$3:$O$52,13,FALSE))*'BLOCOS - AMPLIAR'!Q$57</f>
        <v>-1599422.3696401108</v>
      </c>
      <c r="R22" s="1">
        <f>('RECEITAS - BLOCOS PAN'!P36-'OPEX - BLOCOS PAN'!P36-VLOOKUP('BLOCOS - AMPLIAR'!$E29,'CAPEX - BLOCOS PAN'!$C$3:$P$52,14,FALSE))*'BLOCOS - AMPLIAR'!R$57</f>
        <v>-1432471.8475895273</v>
      </c>
      <c r="S22" s="1">
        <f>('RECEITAS - BLOCOS PAN'!Q36-'OPEX - BLOCOS PAN'!Q36-VLOOKUP('BLOCOS - AMPLIAR'!$E29,'CAPEX - BLOCOS PAN'!$C$3:$Q$52,15,FALSE))*'BLOCOS - AMPLIAR'!S$57</f>
        <v>-1286957.4106907626</v>
      </c>
      <c r="T22" s="1">
        <f>('RECEITAS - BLOCOS PAN'!R36-'OPEX - BLOCOS PAN'!R36-VLOOKUP('BLOCOS - AMPLIAR'!$E29,'CAPEX - BLOCOS PAN'!$C$3:$R$52,16,FALSE))*'BLOCOS - AMPLIAR'!T$57</f>
        <v>-1154726.9120340548</v>
      </c>
      <c r="U22" s="1">
        <f>('RECEITAS - BLOCOS PAN'!S36-'OPEX - BLOCOS PAN'!S36-VLOOKUP('BLOCOS - AMPLIAR'!$E29,'CAPEX - BLOCOS PAN'!$C$3:$S$52,17,FALSE))*'BLOCOS - AMPLIAR'!U$57</f>
        <v>-1037186.6521828671</v>
      </c>
      <c r="V22" s="1">
        <f>('RECEITAS - BLOCOS PAN'!T36-'OPEX - BLOCOS PAN'!T36-VLOOKUP('BLOCOS - AMPLIAR'!$E29,'CAPEX - BLOCOS PAN'!$C$3:$T$52,18,FALSE))*'BLOCOS - AMPLIAR'!V$57</f>
        <v>-929830.49730736681</v>
      </c>
      <c r="W22" s="1">
        <f>('RECEITAS - BLOCOS PAN'!U36-'OPEX - BLOCOS PAN'!U36-VLOOKUP('BLOCOS - AMPLIAR'!$E29,'CAPEX - BLOCOS PAN'!$C$3:$U$52,19,FALSE))*'BLOCOS - AMPLIAR'!W$57</f>
        <v>-834592.42591381015</v>
      </c>
      <c r="X22" s="1">
        <f>('RECEITAS - BLOCOS PAN'!V36-'OPEX - BLOCOS PAN'!V36-VLOOKUP('BLOCOS - AMPLIAR'!$E29,'CAPEX - BLOCOS PAN'!$C$3:$V$52,20,FALSE))*'BLOCOS - AMPLIAR'!X$57</f>
        <v>-747348.4135424362</v>
      </c>
      <c r="Y22" s="1">
        <f>('RECEITAS - BLOCOS PAN'!W36-'OPEX - BLOCOS PAN'!W36-VLOOKUP('BLOCOS - AMPLIAR'!$E29,'CAPEX - BLOCOS PAN'!$C$3:$W$52,21,FALSE))*'BLOCOS - AMPLIAR'!Y$57</f>
        <v>-670393.59954131988</v>
      </c>
      <c r="Z22" s="1">
        <f>('RECEITAS - BLOCOS PAN'!X36-'OPEX - BLOCOS PAN'!X36-VLOOKUP('BLOCOS - AMPLIAR'!$E29,'CAPEX - BLOCOS PAN'!$C$3:$X$52,22,FALSE))*'BLOCOS - AMPLIAR'!Z$57</f>
        <v>-599856.46441521449</v>
      </c>
      <c r="AA22" s="1">
        <f>('RECEITAS - BLOCOS PAN'!Y36-'OPEX - BLOCOS PAN'!Y36-VLOOKUP('BLOCOS - AMPLIAR'!$E29,'CAPEX - BLOCOS PAN'!$C$3:$Y$52,23,FALSE))*'BLOCOS - AMPLIAR'!AA$57</f>
        <v>-537749.84061907686</v>
      </c>
      <c r="AB22" s="1">
        <f>('RECEITAS - BLOCOS PAN'!Z36-'OPEX - BLOCOS PAN'!Z36-VLOOKUP('BLOCOS - AMPLIAR'!$E29,'CAPEX - BLOCOS PAN'!$C$3:$Z$52,24,FALSE))*'BLOCOS - AMPLIAR'!AB$57</f>
        <v>-480568.2737400239</v>
      </c>
      <c r="AC22" s="1">
        <f>('RECEITAS - BLOCOS PAN'!AA36-'OPEX - BLOCOS PAN'!AA36-VLOOKUP('BLOCOS - AMPLIAR'!$E29,'CAPEX - BLOCOS PAN'!$C$3:$AA$52,25,FALSE))*'BLOCOS - AMPLIAR'!AC$57</f>
        <v>-430609.56774259661</v>
      </c>
      <c r="AD22" s="1">
        <f>('RECEITAS - BLOCOS PAN'!AB36-'OPEX - BLOCOS PAN'!AB36-VLOOKUP('BLOCOS - AMPLIAR'!$E29,'CAPEX - BLOCOS PAN'!$C$3:$AB$52,26,FALSE))*'BLOCOS - AMPLIAR'!AD$57</f>
        <v>-384562.97942054848</v>
      </c>
      <c r="AE22" s="1">
        <f>('RECEITAS - BLOCOS PAN'!AC36-'OPEX - BLOCOS PAN'!AC36-VLOOKUP('BLOCOS - AMPLIAR'!$E29,'CAPEX - BLOCOS PAN'!$C$3:$AC$52,27,FALSE))*'BLOCOS - AMPLIAR'!AE$57</f>
        <v>-344351.04498769954</v>
      </c>
      <c r="AF22" s="1">
        <f>('RECEITAS - BLOCOS PAN'!AD36-'OPEX - BLOCOS PAN'!AD36-VLOOKUP('BLOCOS - AMPLIAR'!$E29,'CAPEX - BLOCOS PAN'!$C$3:$AD$52,28,FALSE))*'BLOCOS - AMPLIAR'!AF$57</f>
        <v>-307007.86614399729</v>
      </c>
      <c r="AG22" s="1">
        <f>('RECEITAS - BLOCOS PAN'!AE36-'OPEX - BLOCOS PAN'!AE36-VLOOKUP('BLOCOS - AMPLIAR'!$E29,'CAPEX - BLOCOS PAN'!$C$3:$AE$52,29,FALSE))*'BLOCOS - AMPLIAR'!AG$57</f>
        <v>-275757.99564612255</v>
      </c>
      <c r="AH22" s="1">
        <f>('RECEITAS - BLOCOS PAN'!AF36-'OPEX - BLOCOS PAN'!AF36-VLOOKUP('BLOCOS - AMPLIAR'!$E29,'CAPEX - BLOCOS PAN'!$C$3:$AF$52,30,FALSE))*'BLOCOS - AMPLIAR'!AH$57</f>
        <v>-246582.91181935373</v>
      </c>
      <c r="AI22" s="1">
        <f>('RECEITAS - BLOCOS PAN'!AG36-'OPEX - BLOCOS PAN'!AG36-VLOOKUP('BLOCOS - AMPLIAR'!$E29,'CAPEX - BLOCOS PAN'!$C$3:$AG$52,31,FALSE))*'BLOCOS - AMPLIAR'!AI$57</f>
        <v>-211178.78015991999</v>
      </c>
      <c r="AJ22" s="1">
        <f>('RECEITAS - BLOCOS PAN'!AH36-'OPEX - BLOCOS PAN'!AH36-VLOOKUP('BLOCOS - AMPLIAR'!$E29,'CAPEX - BLOCOS PAN'!$C$3:$AH$52,32,FALSE))*'BLOCOS - AMPLIAR'!AJ$57</f>
        <v>-188121.16573994386</v>
      </c>
      <c r="AK22" s="1">
        <f>('RECEITAS - BLOCOS PAN'!AI36-'OPEX - BLOCOS PAN'!AI36-VLOOKUP('BLOCOS - AMPLIAR'!$E29,'CAPEX - BLOCOS PAN'!$C$3:$AI$52,33,FALSE))*'BLOCOS - AMPLIAR'!AK$57</f>
        <v>-168560.11039934243</v>
      </c>
      <c r="AL22" s="1">
        <f>('RECEITAS - BLOCOS PAN'!AJ36-'OPEX - BLOCOS PAN'!AJ36-VLOOKUP('BLOCOS - AMPLIAR'!$E29,'CAPEX - BLOCOS PAN'!$C$3:$AJ$52,34,FALSE))*'BLOCOS - AMPLIAR'!AL$57</f>
        <v>-150921.63360497338</v>
      </c>
      <c r="AM22" s="1">
        <f>('RECEITAS - BLOCOS PAN'!AK36-'OPEX - BLOCOS PAN'!AK36-VLOOKUP('BLOCOS - AMPLIAR'!$E29,'CAPEX - BLOCOS PAN'!$C$3:$AK$52,35,FALSE))*'BLOCOS - AMPLIAR'!AM$57</f>
        <v>-135025.05192747017</v>
      </c>
      <c r="AN22" s="1">
        <f>SUM(J22:X22)</f>
        <v>-166552191.27659309</v>
      </c>
      <c r="AO22" s="88"/>
      <c r="AP22" s="44">
        <f>SUM(J22:AM22)</f>
        <v>-171683438.56250072</v>
      </c>
      <c r="AQ22" s="88"/>
      <c r="AR22" s="48">
        <f>VLOOKUP(E22,'Projeção - Demanda PAX'!$C$3:$H$37,6,FALSE)</f>
        <v>39679</v>
      </c>
      <c r="AS22">
        <v>1</v>
      </c>
      <c r="AT22">
        <v>-0.68333333333333335</v>
      </c>
      <c r="AU22">
        <v>-47.333333333333336</v>
      </c>
    </row>
    <row r="23" spans="1:47" x14ac:dyDescent="0.35">
      <c r="A23" s="89" t="str">
        <f>VLOOKUP(E23,'FLUXO DE CAIXA DESC.-SEM MULT.'!$D$3:$AT$52,43,FALSE)</f>
        <v>Bloco 5 - PA1</v>
      </c>
      <c r="B23" t="s">
        <v>43</v>
      </c>
      <c r="C23" t="s">
        <v>44</v>
      </c>
      <c r="D23">
        <v>150360</v>
      </c>
      <c r="E23" t="s">
        <v>45</v>
      </c>
      <c r="F23" t="s">
        <v>44</v>
      </c>
      <c r="G23" t="s">
        <v>29</v>
      </c>
      <c r="H23" t="s">
        <v>259</v>
      </c>
      <c r="I23" t="s">
        <v>33</v>
      </c>
      <c r="J23" s="1">
        <f>(VLOOKUP($E23,'RECEITAS - BLOCOS PAN'!$D$3:$H$52,5,FALSE)-VLOOKUP('BLOCOS - AMPLIAR'!$E23,'OPEX - BLOCOS PAN'!$D$3:$H$52,5,FALSE)-VLOOKUP('BLOCOS - AMPLIAR'!$E23,'CAPEX - BLOCOS PAN'!$C$3:$H$52,6,FALSE))*'BLOCOS - AMPLIAR'!J$57</f>
        <v>-47608527.052166663</v>
      </c>
      <c r="K23" s="1">
        <f>(VLOOKUP($E23,'RECEITAS - BLOCOS PAN'!$D$3:$I$52,6,FALSE)-VLOOKUP('BLOCOS - AMPLIAR'!$E23,'OPEX - BLOCOS PAN'!$D$3:$I$52,6,FALSE)-VLOOKUP('BLOCOS - AMPLIAR'!$E23,'CAPEX - BLOCOS PAN'!$C$3:$I$52,7,FALSE))*'BLOCOS - AMPLIAR'!K$57</f>
        <v>-43401894.095542371</v>
      </c>
      <c r="L23" s="1">
        <f>(VLOOKUP($E23,'RECEITAS - BLOCOS PAN'!$D$3:$J$52,7,FALSE)-VLOOKUP('BLOCOS - AMPLIAR'!$E23,'OPEX - BLOCOS PAN'!$D$3:$J$52,7,FALSE)-VLOOKUP('BLOCOS - AMPLIAR'!$E23,'CAPEX - BLOCOS PAN'!$C$3:$J$52,8,FALSE))*'BLOCOS - AMPLIAR'!L$57</f>
        <v>-39711884.949334592</v>
      </c>
      <c r="M23" s="1">
        <f>('RECEITAS - BLOCOS PAN'!K3-'OPEX - BLOCOS PAN'!K3-VLOOKUP('BLOCOS - AMPLIAR'!$E3,'CAPEX - BLOCOS PAN'!$C$3:$K$52,9,FALSE))*'BLOCOS - AMPLIAR'!M$57</f>
        <v>-1918931.4263862341</v>
      </c>
      <c r="N23" s="1">
        <f>('RECEITAS - BLOCOS PAN'!L3-'OPEX - BLOCOS PAN'!L3-VLOOKUP('BLOCOS - AMPLIAR'!$E3,'CAPEX - BLOCOS PAN'!$C$3:$L$52,10,FALSE))*'BLOCOS - AMPLIAR'!N$57</f>
        <v>-1735599.5335262136</v>
      </c>
      <c r="O23" s="1">
        <f>('RECEITAS - BLOCOS PAN'!M3-'OPEX - BLOCOS PAN'!M3-VLOOKUP('BLOCOS - AMPLIAR'!$E3,'CAPEX - BLOCOS PAN'!$C$3:$M$52,11,FALSE))*'BLOCOS - AMPLIAR'!O$57</f>
        <v>-1571600.7818335164</v>
      </c>
      <c r="P23" s="1">
        <f>('RECEITAS - BLOCOS PAN'!N3-'OPEX - BLOCOS PAN'!N3-VLOOKUP('BLOCOS - AMPLIAR'!$E3,'CAPEX - BLOCOS PAN'!$C$3:$N$52,12,FALSE))*'BLOCOS - AMPLIAR'!P$57</f>
        <v>-1424069.7663215392</v>
      </c>
      <c r="Q23" s="1">
        <f>('RECEITAS - BLOCOS PAN'!O3-'OPEX - BLOCOS PAN'!O3-VLOOKUP('BLOCOS - AMPLIAR'!$E3,'CAPEX - BLOCOS PAN'!$C$3:$O$52,13,FALSE))*'BLOCOS - AMPLIAR'!Q$57</f>
        <v>-1290995.1789252956</v>
      </c>
      <c r="R23" s="1">
        <f>('RECEITAS - BLOCOS PAN'!P3-'OPEX - BLOCOS PAN'!P3-VLOOKUP('BLOCOS - AMPLIAR'!$E3,'CAPEX - BLOCOS PAN'!$C$3:$P$52,14,FALSE))*'BLOCOS - AMPLIAR'!R$57</f>
        <v>-1171063.2930885006</v>
      </c>
      <c r="S23" s="1">
        <f>('RECEITAS - BLOCOS PAN'!Q3-'OPEX - BLOCOS PAN'!Q3-VLOOKUP('BLOCOS - AMPLIAR'!$E3,'CAPEX - BLOCOS PAN'!$C$3:$Q$52,15,FALSE))*'BLOCOS - AMPLIAR'!S$57</f>
        <v>-1062910.7496039348</v>
      </c>
      <c r="T23" s="1">
        <f>('RECEITAS - BLOCOS PAN'!R3-'OPEX - BLOCOS PAN'!R3-VLOOKUP('BLOCOS - AMPLIAR'!$E3,'CAPEX - BLOCOS PAN'!$C$3:$R$52,16,FALSE))*'BLOCOS - AMPLIAR'!T$57</f>
        <v>-965214.34649920929</v>
      </c>
      <c r="U23" s="1">
        <f>('RECEITAS - BLOCOS PAN'!S3-'OPEX - BLOCOS PAN'!S3-VLOOKUP('BLOCOS - AMPLIAR'!$E3,'CAPEX - BLOCOS PAN'!$C$3:$S$52,17,FALSE))*'BLOCOS - AMPLIAR'!U$57</f>
        <v>-876575.46251306904</v>
      </c>
      <c r="V23" s="1">
        <f>('RECEITAS - BLOCOS PAN'!T3-'OPEX - BLOCOS PAN'!T3-VLOOKUP('BLOCOS - AMPLIAR'!$E3,'CAPEX - BLOCOS PAN'!$C$3:$T$52,18,FALSE))*'BLOCOS - AMPLIAR'!V$57</f>
        <v>-796136.55304512288</v>
      </c>
      <c r="W23" s="1">
        <f>('RECEITAS - BLOCOS PAN'!U3-'OPEX - BLOCOS PAN'!U3-VLOOKUP('BLOCOS - AMPLIAR'!$E3,'CAPEX - BLOCOS PAN'!$C$3:$U$52,19,FALSE))*'BLOCOS - AMPLIAR'!W$57</f>
        <v>-722964.80141333211</v>
      </c>
      <c r="X23" s="1">
        <f>('RECEITAS - BLOCOS PAN'!V3-'OPEX - BLOCOS PAN'!V3-VLOOKUP('BLOCOS - AMPLIAR'!$E3,'CAPEX - BLOCOS PAN'!$C$3:$V$52,20,FALSE))*'BLOCOS - AMPLIAR'!X$57</f>
        <v>-656639.69336526783</v>
      </c>
      <c r="Y23" s="1">
        <f>('RECEITAS - BLOCOS PAN'!W3-'OPEX - BLOCOS PAN'!W3-VLOOKUP('BLOCOS - AMPLIAR'!$E3,'CAPEX - BLOCOS PAN'!$C$3:$W$52,21,FALSE))*'BLOCOS - AMPLIAR'!Y$57</f>
        <v>-596351.36966277903</v>
      </c>
      <c r="Z23" s="1">
        <f>('RECEITAS - BLOCOS PAN'!X3-'OPEX - BLOCOS PAN'!X3-VLOOKUP('BLOCOS - AMPLIAR'!$E3,'CAPEX - BLOCOS PAN'!$C$3:$X$52,22,FALSE))*'BLOCOS - AMPLIAR'!Z$57</f>
        <v>-541620.79794215993</v>
      </c>
      <c r="AA23" s="1">
        <f>('RECEITAS - BLOCOS PAN'!Y3-'OPEX - BLOCOS PAN'!Y3-VLOOKUP('BLOCOS - AMPLIAR'!$E3,'CAPEX - BLOCOS PAN'!$C$3:$Y$52,23,FALSE))*'BLOCOS - AMPLIAR'!AA$57</f>
        <v>-491824.77818049421</v>
      </c>
      <c r="AB23" s="1">
        <f>('RECEITAS - BLOCOS PAN'!Z3-'OPEX - BLOCOS PAN'!Z3-VLOOKUP('BLOCOS - AMPLIAR'!$E3,'CAPEX - BLOCOS PAN'!$C$3:$Z$52,24,FALSE))*'BLOCOS - AMPLIAR'!AB$57</f>
        <v>-446586.37355232873</v>
      </c>
      <c r="AC23" s="1">
        <f>('RECEITAS - BLOCOS PAN'!AA3-'OPEX - BLOCOS PAN'!AA3-VLOOKUP('BLOCOS - AMPLIAR'!$E3,'CAPEX - BLOCOS PAN'!$C$3:$AA$52,25,FALSE))*'BLOCOS - AMPLIAR'!AC$57</f>
        <v>-405480.14451948169</v>
      </c>
      <c r="AD23" s="1">
        <f>('RECEITAS - BLOCOS PAN'!AB3-'OPEX - BLOCOS PAN'!AB3-VLOOKUP('BLOCOS - AMPLIAR'!$E3,'CAPEX - BLOCOS PAN'!$C$3:$AB$52,26,FALSE))*'BLOCOS - AMPLIAR'!AD$57</f>
        <v>-368238.88360174379</v>
      </c>
      <c r="AE23" s="1">
        <f>('RECEITAS - BLOCOS PAN'!AC3-'OPEX - BLOCOS PAN'!AC3-VLOOKUP('BLOCOS - AMPLIAR'!$E3,'CAPEX - BLOCOS PAN'!$C$3:$AC$52,27,FALSE))*'BLOCOS - AMPLIAR'!AE$57</f>
        <v>-334400.8942152175</v>
      </c>
      <c r="AF23" s="1">
        <f>('RECEITAS - BLOCOS PAN'!AD3-'OPEX - BLOCOS PAN'!AD3-VLOOKUP('BLOCOS - AMPLIAR'!$E3,'CAPEX - BLOCOS PAN'!$C$3:$AD$52,28,FALSE))*'BLOCOS - AMPLIAR'!AF$57</f>
        <v>-447079.61170888122</v>
      </c>
      <c r="AG23" s="1">
        <f>('RECEITAS - BLOCOS PAN'!AE3-'OPEX - BLOCOS PAN'!AE3-VLOOKUP('BLOCOS - AMPLIAR'!$E3,'CAPEX - BLOCOS PAN'!$C$3:$AE$52,29,FALSE))*'BLOCOS - AMPLIAR'!AG$57</f>
        <v>-406615.68910738506</v>
      </c>
      <c r="AH23" s="1">
        <f>('RECEITAS - BLOCOS PAN'!AF3-'OPEX - BLOCOS PAN'!AF3-VLOOKUP('BLOCOS - AMPLIAR'!$E3,'CAPEX - BLOCOS PAN'!$C$3:$AF$52,30,FALSE))*'BLOCOS - AMPLIAR'!AH$57</f>
        <v>-369873.87604262022</v>
      </c>
      <c r="AI23" s="1">
        <f>('RECEITAS - BLOCOS PAN'!AG3-'OPEX - BLOCOS PAN'!AG3-VLOOKUP('BLOCOS - AMPLIAR'!$E3,'CAPEX - BLOCOS PAN'!$C$3:$AG$52,31,FALSE))*'BLOCOS - AMPLIAR'!AI$57</f>
        <v>-336451.11863274052</v>
      </c>
      <c r="AJ23" s="1">
        <f>('RECEITAS - BLOCOS PAN'!AH3-'OPEX - BLOCOS PAN'!AH3-VLOOKUP('BLOCOS - AMPLIAR'!$E3,'CAPEX - BLOCOS PAN'!$C$3:$AH$52,32,FALSE))*'BLOCOS - AMPLIAR'!AJ$57</f>
        <v>-306117.18475035555</v>
      </c>
      <c r="AK23" s="1">
        <f>('RECEITAS - BLOCOS PAN'!AI3-'OPEX - BLOCOS PAN'!AI3-VLOOKUP('BLOCOS - AMPLIAR'!$E3,'CAPEX - BLOCOS PAN'!$C$3:$AI$52,33,FALSE))*'BLOCOS - AMPLIAR'!AK$57</f>
        <v>-278524.37421542028</v>
      </c>
      <c r="AL23" s="1">
        <f>('RECEITAS - BLOCOS PAN'!AJ3-'OPEX - BLOCOS PAN'!AJ3-VLOOKUP('BLOCOS - AMPLIAR'!$E3,'CAPEX - BLOCOS PAN'!$C$3:$AJ$52,34,FALSE))*'BLOCOS - AMPLIAR'!AL$57</f>
        <v>-253386.16755602779</v>
      </c>
      <c r="AM23" s="1">
        <f>('RECEITAS - BLOCOS PAN'!AK3-'OPEX - BLOCOS PAN'!AK3-VLOOKUP('BLOCOS - AMPLIAR'!$E3,'CAPEX - BLOCOS PAN'!$C$3:$AK$52,35,FALSE))*'BLOCOS - AMPLIAR'!AM$57</f>
        <v>-230505.08381424163</v>
      </c>
      <c r="AN23" s="1">
        <f>SUM(J23:X23)</f>
        <v>-144915007.68356487</v>
      </c>
      <c r="AO23" s="88">
        <f>SUM(AN23:AN26)</f>
        <v>-372645000.43285096</v>
      </c>
      <c r="AP23" s="44">
        <f>SUM(J23:AM23)</f>
        <v>-150728064.03106675</v>
      </c>
      <c r="AQ23" s="88">
        <f>SUM(AP23:AP26)</f>
        <v>-385813105.78222573</v>
      </c>
      <c r="AR23" s="48">
        <f>VLOOKUP(E23,'Projeção - Demanda PAX'!$C$3:$H$37,6,FALSE)</f>
        <v>22897</v>
      </c>
      <c r="AS23">
        <v>1</v>
      </c>
      <c r="AT23">
        <v>-4.2333333333333334</v>
      </c>
      <c r="AU23">
        <v>-56</v>
      </c>
    </row>
    <row r="24" spans="1:47" x14ac:dyDescent="0.35">
      <c r="A24" s="89"/>
      <c r="B24" t="s">
        <v>67</v>
      </c>
      <c r="C24" t="s">
        <v>68</v>
      </c>
      <c r="D24">
        <v>150530</v>
      </c>
      <c r="E24" t="s">
        <v>69</v>
      </c>
      <c r="F24" t="s">
        <v>70</v>
      </c>
      <c r="G24" t="s">
        <v>29</v>
      </c>
      <c r="H24" t="s">
        <v>259</v>
      </c>
      <c r="I24" t="s">
        <v>33</v>
      </c>
      <c r="J24" s="1">
        <f>(VLOOKUP($E24,'RECEITAS - BLOCOS PAN'!$D$3:$H$52,5,FALSE)-VLOOKUP('BLOCOS - AMPLIAR'!$E24,'OPEX - BLOCOS PAN'!$D$3:$H$52,5,FALSE)-VLOOKUP('BLOCOS - AMPLIAR'!$E24,'CAPEX - BLOCOS PAN'!$C$3:$H$52,6,FALSE))*'BLOCOS - AMPLIAR'!J$57</f>
        <v>-45067065.994233333</v>
      </c>
      <c r="K24" s="1">
        <f>(VLOOKUP($E24,'RECEITAS - BLOCOS PAN'!$D$3:$I$52,6,FALSE)-VLOOKUP('BLOCOS - AMPLIAR'!$E24,'OPEX - BLOCOS PAN'!$D$3:$I$52,6,FALSE)-VLOOKUP('BLOCOS - AMPLIAR'!$E24,'CAPEX - BLOCOS PAN'!$C$3:$I$52,7,FALSE))*'BLOCOS - AMPLIAR'!K$57</f>
        <v>-41107351.381043665</v>
      </c>
      <c r="L24" s="1">
        <f>(VLOOKUP($E24,'RECEITAS - BLOCOS PAN'!$D$3:$J$52,7,FALSE)-VLOOKUP('BLOCOS - AMPLIAR'!$E24,'OPEX - BLOCOS PAN'!$D$3:$J$52,7,FALSE)-VLOOKUP('BLOCOS - AMPLIAR'!$E24,'CAPEX - BLOCOS PAN'!$C$3:$J$52,8,FALSE))*'BLOCOS - AMPLIAR'!L$57</f>
        <v>-37500788.981465265</v>
      </c>
      <c r="M24" s="1">
        <f>('RECEITAS - BLOCOS PAN'!K10-'OPEX - BLOCOS PAN'!K10-VLOOKUP('BLOCOS - AMPLIAR'!$E46,'CAPEX - BLOCOS PAN'!$C$3:$K$52,9,FALSE))*'BLOCOS - AMPLIAR'!M$57</f>
        <v>-1919371.1661332131</v>
      </c>
      <c r="N24" s="1">
        <f>('RECEITAS - BLOCOS PAN'!L10-'OPEX - BLOCOS PAN'!L10-VLOOKUP('BLOCOS - AMPLIAR'!$E46,'CAPEX - BLOCOS PAN'!$C$3:$L$52,10,FALSE))*'BLOCOS - AMPLIAR'!N$57</f>
        <v>-1738673.2264343947</v>
      </c>
      <c r="O24" s="1">
        <f>('RECEITAS - BLOCOS PAN'!M10-'OPEX - BLOCOS PAN'!M10-VLOOKUP('BLOCOS - AMPLIAR'!$E46,'CAPEX - BLOCOS PAN'!$C$3:$M$52,11,FALSE))*'BLOCOS - AMPLIAR'!O$57</f>
        <v>-1575685.4515814739</v>
      </c>
      <c r="P24" s="1">
        <f>('RECEITAS - BLOCOS PAN'!N10-'OPEX - BLOCOS PAN'!N10-VLOOKUP('BLOCOS - AMPLIAR'!$E46,'CAPEX - BLOCOS PAN'!$C$3:$N$52,12,FALSE))*'BLOCOS - AMPLIAR'!P$57</f>
        <v>-1428126.7158497004</v>
      </c>
      <c r="Q24" s="1">
        <f>('RECEITAS - BLOCOS PAN'!O10-'OPEX - BLOCOS PAN'!O10-VLOOKUP('BLOCOS - AMPLIAR'!$E46,'CAPEX - BLOCOS PAN'!$C$3:$O$52,13,FALSE))*'BLOCOS - AMPLIAR'!Q$57</f>
        <v>-1294503.0773929404</v>
      </c>
      <c r="R24" s="1">
        <f>('RECEITAS - BLOCOS PAN'!P10-'OPEX - BLOCOS PAN'!P10-VLOOKUP('BLOCOS - AMPLIAR'!$E46,'CAPEX - BLOCOS PAN'!$C$3:$P$52,14,FALSE))*'BLOCOS - AMPLIAR'!R$57</f>
        <v>-1173706.9815146518</v>
      </c>
      <c r="S24" s="1">
        <f>('RECEITAS - BLOCOS PAN'!Q10-'OPEX - BLOCOS PAN'!Q10-VLOOKUP('BLOCOS - AMPLIAR'!$E46,'CAPEX - BLOCOS PAN'!$C$3:$Q$52,15,FALSE))*'BLOCOS - AMPLIAR'!S$57</f>
        <v>-1064398.1749831804</v>
      </c>
      <c r="T24" s="1">
        <f>('RECEITAS - BLOCOS PAN'!R10-'OPEX - BLOCOS PAN'!R10-VLOOKUP('BLOCOS - AMPLIAR'!$E46,'CAPEX - BLOCOS PAN'!$C$3:$R$52,16,FALSE))*'BLOCOS - AMPLIAR'!T$57</f>
        <v>-965449.95598453504</v>
      </c>
      <c r="U24" s="1">
        <f>('RECEITAS - BLOCOS PAN'!S10-'OPEX - BLOCOS PAN'!S10-VLOOKUP('BLOCOS - AMPLIAR'!$E46,'CAPEX - BLOCOS PAN'!$C$3:$S$52,17,FALSE))*'BLOCOS - AMPLIAR'!U$57</f>
        <v>-932694.52825903555</v>
      </c>
      <c r="V24" s="1">
        <f>('RECEITAS - BLOCOS PAN'!T10-'OPEX - BLOCOS PAN'!T10-VLOOKUP('BLOCOS - AMPLIAR'!$E46,'CAPEX - BLOCOS PAN'!$C$3:$T$52,18,FALSE))*'BLOCOS - AMPLIAR'!V$57</f>
        <v>-846160.727840523</v>
      </c>
      <c r="W24" s="1">
        <f>('RECEITAS - BLOCOS PAN'!U10-'OPEX - BLOCOS PAN'!U10-VLOOKUP('BLOCOS - AMPLIAR'!$E46,'CAPEX - BLOCOS PAN'!$C$3:$U$52,19,FALSE))*'BLOCOS - AMPLIAR'!W$57</f>
        <v>-767447.67906561506</v>
      </c>
      <c r="X24" s="1">
        <f>('RECEITAS - BLOCOS PAN'!V10-'OPEX - BLOCOS PAN'!V10-VLOOKUP('BLOCOS - AMPLIAR'!$E46,'CAPEX - BLOCOS PAN'!$C$3:$V$52,20,FALSE))*'BLOCOS - AMPLIAR'!X$57</f>
        <v>-695983.93644631701</v>
      </c>
      <c r="Y24" s="1">
        <f>('RECEITAS - BLOCOS PAN'!W10-'OPEX - BLOCOS PAN'!W10-VLOOKUP('BLOCOS - AMPLIAR'!$E46,'CAPEX - BLOCOS PAN'!$C$3:$W$52,21,FALSE))*'BLOCOS - AMPLIAR'!Y$57</f>
        <v>-631024.26592607843</v>
      </c>
      <c r="Z24" s="1">
        <f>('RECEITAS - BLOCOS PAN'!X10-'OPEX - BLOCOS PAN'!X10-VLOOKUP('BLOCOS - AMPLIAR'!$E46,'CAPEX - BLOCOS PAN'!$C$3:$X$52,22,FALSE))*'BLOCOS - AMPLIAR'!Z$57</f>
        <v>-572051.49015941052</v>
      </c>
      <c r="AA24" s="1">
        <f>('RECEITAS - BLOCOS PAN'!Y10-'OPEX - BLOCOS PAN'!Y10-VLOOKUP('BLOCOS - AMPLIAR'!$E46,'CAPEX - BLOCOS PAN'!$C$3:$Y$52,23,FALSE))*'BLOCOS - AMPLIAR'!AA$57</f>
        <v>-518407.86775362759</v>
      </c>
      <c r="AB24" s="1">
        <f>('RECEITAS - BLOCOS PAN'!Z10-'OPEX - BLOCOS PAN'!Z10-VLOOKUP('BLOCOS - AMPLIAR'!$E46,'CAPEX - BLOCOS PAN'!$C$3:$Z$52,24,FALSE))*'BLOCOS - AMPLIAR'!AB$57</f>
        <v>-469675.83609021205</v>
      </c>
      <c r="AC24" s="1">
        <f>('RECEITAS - BLOCOS PAN'!AA10-'OPEX - BLOCOS PAN'!AA10-VLOOKUP('BLOCOS - AMPLIAR'!$E46,'CAPEX - BLOCOS PAN'!$C$3:$AA$52,25,FALSE))*'BLOCOS - AMPLIAR'!AC$57</f>
        <v>-425387.24464716553</v>
      </c>
      <c r="AD24" s="1">
        <f>('RECEITAS - BLOCOS PAN'!AB10-'OPEX - BLOCOS PAN'!AB10-VLOOKUP('BLOCOS - AMPLIAR'!$E46,'CAPEX - BLOCOS PAN'!$C$3:$AB$52,26,FALSE))*'BLOCOS - AMPLIAR'!AD$57</f>
        <v>-385264.82241887436</v>
      </c>
      <c r="AE24" s="1">
        <f>('RECEITAS - BLOCOS PAN'!AC10-'OPEX - BLOCOS PAN'!AC10-VLOOKUP('BLOCOS - AMPLIAR'!$E46,'CAPEX - BLOCOS PAN'!$C$3:$AC$52,27,FALSE))*'BLOCOS - AMPLIAR'!AE$57</f>
        <v>-348833.71306253428</v>
      </c>
      <c r="AF24" s="1">
        <f>('RECEITAS - BLOCOS PAN'!AD10-'OPEX - BLOCOS PAN'!AD10-VLOOKUP('BLOCOS - AMPLIAR'!$E46,'CAPEX - BLOCOS PAN'!$C$3:$AD$52,28,FALSE))*'BLOCOS - AMPLIAR'!AF$57</f>
        <v>-315791.9576374311</v>
      </c>
      <c r="AG24" s="1">
        <f>('RECEITAS - BLOCOS PAN'!AE10-'OPEX - BLOCOS PAN'!AE10-VLOOKUP('BLOCOS - AMPLIAR'!$E46,'CAPEX - BLOCOS PAN'!$C$3:$AE$52,29,FALSE))*'BLOCOS - AMPLIAR'!AG$57</f>
        <v>-285823.32690282911</v>
      </c>
      <c r="AH24" s="1">
        <f>('RECEITAS - BLOCOS PAN'!AF10-'OPEX - BLOCOS PAN'!AF10-VLOOKUP('BLOCOS - AMPLIAR'!$E46,'CAPEX - BLOCOS PAN'!$C$3:$AF$52,30,FALSE))*'BLOCOS - AMPLIAR'!AH$57</f>
        <v>-258631.9488971575</v>
      </c>
      <c r="AI24" s="1">
        <f>('RECEITAS - BLOCOS PAN'!AG10-'OPEX - BLOCOS PAN'!AG10-VLOOKUP('BLOCOS - AMPLIAR'!$E46,'CAPEX - BLOCOS PAN'!$C$3:$AG$52,31,FALSE))*'BLOCOS - AMPLIAR'!AI$57</f>
        <v>-233961.15875173654</v>
      </c>
      <c r="AJ24" s="1">
        <f>('RECEITAS - BLOCOS PAN'!AH10-'OPEX - BLOCOS PAN'!AH10-VLOOKUP('BLOCOS - AMPLIAR'!$E46,'CAPEX - BLOCOS PAN'!$C$3:$AH$52,32,FALSE))*'BLOCOS - AMPLIAR'!AJ$57</f>
        <v>-311229.64022465871</v>
      </c>
      <c r="AK24" s="1">
        <f>('RECEITAS - BLOCOS PAN'!AI10-'OPEX - BLOCOS PAN'!AI10-VLOOKUP('BLOCOS - AMPLIAR'!$E46,'CAPEX - BLOCOS PAN'!$C$3:$AI$52,33,FALSE))*'BLOCOS - AMPLIAR'!AK$57</f>
        <v>-282119.7209206032</v>
      </c>
      <c r="AL24" s="1">
        <f>('RECEITAS - BLOCOS PAN'!AJ10-'OPEX - BLOCOS PAN'!AJ10-VLOOKUP('BLOCOS - AMPLIAR'!$E46,'CAPEX - BLOCOS PAN'!$C$3:$AJ$52,34,FALSE))*'BLOCOS - AMPLIAR'!AL$57</f>
        <v>-255667.16309013267</v>
      </c>
      <c r="AM24" s="1">
        <f>('RECEITAS - BLOCOS PAN'!AK10-'OPEX - BLOCOS PAN'!AK10-VLOOKUP('BLOCOS - AMPLIAR'!$E46,'CAPEX - BLOCOS PAN'!$C$3:$AK$52,35,FALSE))*'BLOCOS - AMPLIAR'!AM$57</f>
        <v>-231627.54325690621</v>
      </c>
      <c r="AN24" s="1">
        <f>SUM(J24:X24)</f>
        <v>-138077407.97822782</v>
      </c>
      <c r="AO24" s="88"/>
      <c r="AP24" s="44">
        <f>SUM(J24:AM24)</f>
        <v>-143602905.67796719</v>
      </c>
      <c r="AQ24" s="88"/>
      <c r="AR24" s="48">
        <f>VLOOKUP(E24,'Projeção - Demanda PAX'!$C$3:$H$37,6,FALSE)</f>
        <v>15585</v>
      </c>
      <c r="AS24">
        <v>1</v>
      </c>
      <c r="AT24">
        <v>-1.4833333333333334</v>
      </c>
      <c r="AU24">
        <v>-56.383333333333333</v>
      </c>
    </row>
    <row r="25" spans="1:47" x14ac:dyDescent="0.35">
      <c r="A25" s="89"/>
      <c r="B25" t="s">
        <v>53</v>
      </c>
      <c r="C25" s="5" t="s">
        <v>266</v>
      </c>
      <c r="D25">
        <v>150375</v>
      </c>
      <c r="E25" t="s">
        <v>289</v>
      </c>
      <c r="F25" t="s">
        <v>228</v>
      </c>
      <c r="G25" t="s">
        <v>29</v>
      </c>
      <c r="H25" t="s">
        <v>259</v>
      </c>
      <c r="I25" t="s">
        <v>33</v>
      </c>
      <c r="J25" s="1">
        <f>(VLOOKUP($E25,'RECEITAS - BLOCOS PAN'!$D$3:$H$52,5,FALSE)-VLOOKUP('BLOCOS - AMPLIAR'!$E25,'OPEX - BLOCOS PAN'!$D$3:$H$52,5,FALSE)-VLOOKUP('BLOCOS - AMPLIAR'!$E25,'CAPEX - BLOCOS PAN'!$C$3:$H$52,6,FALSE))*'BLOCOS - AMPLIAR'!J$57</f>
        <v>-16106203.924560167</v>
      </c>
      <c r="K25" s="1">
        <f>(VLOOKUP($E25,'RECEITAS - BLOCOS PAN'!$D$3:$I$52,6,FALSE)-VLOOKUP('BLOCOS - AMPLIAR'!$E25,'OPEX - BLOCOS PAN'!$D$3:$I$52,6,FALSE)-VLOOKUP('BLOCOS - AMPLIAR'!$E25,'CAPEX - BLOCOS PAN'!$C$3:$I$52,7,FALSE))*'BLOCOS - AMPLIAR'!K$57</f>
        <v>-14702148.721643239</v>
      </c>
      <c r="L25" s="1">
        <f>(VLOOKUP($E25,'RECEITAS - BLOCOS PAN'!$D$3:$J$52,7,FALSE)-VLOOKUP('BLOCOS - AMPLIAR'!$E25,'OPEX - BLOCOS PAN'!$D$3:$J$52,7,FALSE)-VLOOKUP('BLOCOS - AMPLIAR'!$E25,'CAPEX - BLOCOS PAN'!$C$3:$J$52,8,FALSE))*'BLOCOS - AMPLIAR'!L$57</f>
        <v>-13420491.758688489</v>
      </c>
      <c r="M25" s="1">
        <f>('RECEITAS - BLOCOS PAN'!K38-'OPEX - BLOCOS PAN'!K38-VLOOKUP('BLOCOS - AMPLIAR'!$E31,'CAPEX - BLOCOS PAN'!$C$3:$K$52,9,FALSE))*'BLOCOS - AMPLIAR'!M$57</f>
        <v>-256515.83224967206</v>
      </c>
      <c r="N25" s="1">
        <f>('RECEITAS - BLOCOS PAN'!L38-'OPEX - BLOCOS PAN'!L38-VLOOKUP('BLOCOS - AMPLIAR'!$E31,'CAPEX - BLOCOS PAN'!$C$3:$L$52,10,FALSE))*'BLOCOS - AMPLIAR'!N$57</f>
        <v>-234154.11433105622</v>
      </c>
      <c r="O25" s="1">
        <f>('RECEITAS - BLOCOS PAN'!M38-'OPEX - BLOCOS PAN'!M38-VLOOKUP('BLOCOS - AMPLIAR'!$E31,'CAPEX - BLOCOS PAN'!$C$3:$M$52,11,FALSE))*'BLOCOS - AMPLIAR'!O$57</f>
        <v>-213741.77483437353</v>
      </c>
      <c r="P25" s="1">
        <f>('RECEITAS - BLOCOS PAN'!N38-'OPEX - BLOCOS PAN'!N38-VLOOKUP('BLOCOS - AMPLIAR'!$E31,'CAPEX - BLOCOS PAN'!$C$3:$N$52,12,FALSE))*'BLOCOS - AMPLIAR'!P$57</f>
        <v>-195108.87707382342</v>
      </c>
      <c r="Q25" s="1">
        <f>('RECEITAS - BLOCOS PAN'!O38-'OPEX - BLOCOS PAN'!O38-VLOOKUP('BLOCOS - AMPLIAR'!$E31,'CAPEX - BLOCOS PAN'!$C$3:$O$52,13,FALSE))*'BLOCOS - AMPLIAR'!Q$57</f>
        <v>-178100.29856122631</v>
      </c>
      <c r="R25" s="1">
        <f>('RECEITAS - BLOCOS PAN'!P38-'OPEX - BLOCOS PAN'!P38-VLOOKUP('BLOCOS - AMPLIAR'!$E31,'CAPEX - BLOCOS PAN'!$C$3:$P$52,14,FALSE))*'BLOCOS - AMPLIAR'!R$57</f>
        <v>-162574.43958121983</v>
      </c>
      <c r="S25" s="1">
        <f>('RECEITAS - BLOCOS PAN'!Q38-'OPEX - BLOCOS PAN'!Q38-VLOOKUP('BLOCOS - AMPLIAR'!$E31,'CAPEX - BLOCOS PAN'!$C$3:$Q$52,15,FALSE))*'BLOCOS - AMPLIAR'!S$57</f>
        <v>-148402.04434616142</v>
      </c>
      <c r="T25" s="1">
        <f>('RECEITAS - BLOCOS PAN'!R38-'OPEX - BLOCOS PAN'!R38-VLOOKUP('BLOCOS - AMPLIAR'!$E31,'CAPEX - BLOCOS PAN'!$C$3:$R$52,16,FALSE))*'BLOCOS - AMPLIAR'!T$57</f>
        <v>-135465.12491662387</v>
      </c>
      <c r="U25" s="1">
        <f>('RECEITAS - BLOCOS PAN'!S38-'OPEX - BLOCOS PAN'!S38-VLOOKUP('BLOCOS - AMPLIAR'!$E31,'CAPEX - BLOCOS PAN'!$C$3:$S$52,17,FALSE))*'BLOCOS - AMPLIAR'!U$57</f>
        <v>-123655.97892891271</v>
      </c>
      <c r="V25" s="1">
        <f>('RECEITAS - BLOCOS PAN'!T38-'OPEX - BLOCOS PAN'!T38-VLOOKUP('BLOCOS - AMPLIAR'!$E31,'CAPEX - BLOCOS PAN'!$C$3:$T$52,18,FALSE))*'BLOCOS - AMPLIAR'!V$57</f>
        <v>-112876.29295199701</v>
      </c>
      <c r="W25" s="1">
        <f>('RECEITAS - BLOCOS PAN'!U38-'OPEX - BLOCOS PAN'!U38-VLOOKUP('BLOCOS - AMPLIAR'!$E31,'CAPEX - BLOCOS PAN'!$C$3:$U$52,19,FALSE))*'BLOCOS - AMPLIAR'!W$57</f>
        <v>-103036.32400912551</v>
      </c>
      <c r="X25" s="1">
        <f>('RECEITAS - BLOCOS PAN'!V38-'OPEX - BLOCOS PAN'!V38-VLOOKUP('BLOCOS - AMPLIAR'!$E31,'CAPEX - BLOCOS PAN'!$C$3:$V$52,20,FALSE))*'BLOCOS - AMPLIAR'!X$57</f>
        <v>-94054.152450137379</v>
      </c>
      <c r="Y25" s="1">
        <f>('RECEITAS - BLOCOS PAN'!W38-'OPEX - BLOCOS PAN'!W38-VLOOKUP('BLOCOS - AMPLIAR'!$E31,'CAPEX - BLOCOS PAN'!$C$3:$W$52,21,FALSE))*'BLOCOS - AMPLIAR'!Y$57</f>
        <v>-85854.999954484156</v>
      </c>
      <c r="Z25" s="1">
        <f>('RECEITAS - BLOCOS PAN'!X38-'OPEX - BLOCOS PAN'!X38-VLOOKUP('BLOCOS - AMPLIAR'!$E31,'CAPEX - BLOCOS PAN'!$C$3:$X$52,22,FALSE))*'BLOCOS - AMPLIAR'!Z$57</f>
        <v>-78370.606987205989</v>
      </c>
      <c r="AA25" s="1">
        <f>('RECEITAS - BLOCOS PAN'!Y38-'OPEX - BLOCOS PAN'!Y38-VLOOKUP('BLOCOS - AMPLIAR'!$E31,'CAPEX - BLOCOS PAN'!$C$3:$Y$52,23,FALSE))*'BLOCOS - AMPLIAR'!AA$57</f>
        <v>-71538.664525062515</v>
      </c>
      <c r="AB25" s="1">
        <f>('RECEITAS - BLOCOS PAN'!Z38-'OPEX - BLOCOS PAN'!Z38-VLOOKUP('BLOCOS - AMPLIAR'!$E31,'CAPEX - BLOCOS PAN'!$C$3:$Z$52,24,FALSE))*'BLOCOS - AMPLIAR'!AB$57</f>
        <v>-65302.295321827965</v>
      </c>
      <c r="AC25" s="1">
        <f>('RECEITAS - BLOCOS PAN'!AA38-'OPEX - BLOCOS PAN'!AA38-VLOOKUP('BLOCOS - AMPLIAR'!$E31,'CAPEX - BLOCOS PAN'!$C$3:$AA$52,25,FALSE))*'BLOCOS - AMPLIAR'!AC$57</f>
        <v>-59609.580394183446</v>
      </c>
      <c r="AD25" s="1">
        <f>('RECEITAS - BLOCOS PAN'!AB38-'OPEX - BLOCOS PAN'!AB38-VLOOKUP('BLOCOS - AMPLIAR'!$E31,'CAPEX - BLOCOS PAN'!$C$3:$AB$52,26,FALSE))*'BLOCOS - AMPLIAR'!AD$57</f>
        <v>-54413.126786109948</v>
      </c>
      <c r="AE25" s="1">
        <f>('RECEITAS - BLOCOS PAN'!AC38-'OPEX - BLOCOS PAN'!AC38-VLOOKUP('BLOCOS - AMPLIAR'!$E31,'CAPEX - BLOCOS PAN'!$C$3:$AC$52,27,FALSE))*'BLOCOS - AMPLIAR'!AE$57</f>
        <v>-49669.673013336331</v>
      </c>
      <c r="AF25" s="1">
        <f>('RECEITAS - BLOCOS PAN'!AD38-'OPEX - BLOCOS PAN'!AD38-VLOOKUP('BLOCOS - AMPLIAR'!$E31,'CAPEX - BLOCOS PAN'!$C$3:$AD$52,28,FALSE))*'BLOCOS - AMPLIAR'!AF$57</f>
        <v>-45339.728903091127</v>
      </c>
      <c r="AG25" s="1">
        <f>('RECEITAS - BLOCOS PAN'!AE38-'OPEX - BLOCOS PAN'!AE38-VLOOKUP('BLOCOS - AMPLIAR'!$E31,'CAPEX - BLOCOS PAN'!$C$3:$AE$52,29,FALSE))*'BLOCOS - AMPLIAR'!AG$57</f>
        <v>-41387.246830754113</v>
      </c>
      <c r="AH25" s="1">
        <f>('RECEITAS - BLOCOS PAN'!AF38-'OPEX - BLOCOS PAN'!AF38-VLOOKUP('BLOCOS - AMPLIAR'!$E31,'CAPEX - BLOCOS PAN'!$C$3:$AF$52,30,FALSE))*'BLOCOS - AMPLIAR'!AH$57</f>
        <v>-37779.321616388974</v>
      </c>
      <c r="AI25" s="1">
        <f>('RECEITAS - BLOCOS PAN'!AG38-'OPEX - BLOCOS PAN'!AG38-VLOOKUP('BLOCOS - AMPLIAR'!$E31,'CAPEX - BLOCOS PAN'!$C$3:$AG$52,31,FALSE))*'BLOCOS - AMPLIAR'!AI$57</f>
        <v>-34485.91658273754</v>
      </c>
      <c r="AJ25" s="1">
        <f>('RECEITAS - BLOCOS PAN'!AH38-'OPEX - BLOCOS PAN'!AH38-VLOOKUP('BLOCOS - AMPLIAR'!$E31,'CAPEX - BLOCOS PAN'!$C$3:$AH$52,32,FALSE))*'BLOCOS - AMPLIAR'!AJ$57</f>
        <v>-31479.613494055258</v>
      </c>
      <c r="AK25" s="1">
        <f>('RECEITAS - BLOCOS PAN'!AI38-'OPEX - BLOCOS PAN'!AI38-VLOOKUP('BLOCOS - AMPLIAR'!$E31,'CAPEX - BLOCOS PAN'!$C$3:$AI$52,33,FALSE))*'BLOCOS - AMPLIAR'!AK$57</f>
        <v>-28735.384293980162</v>
      </c>
      <c r="AL25" s="1">
        <f>('RECEITAS - BLOCOS PAN'!AJ38-'OPEX - BLOCOS PAN'!AJ38-VLOOKUP('BLOCOS - AMPLIAR'!$E31,'CAPEX - BLOCOS PAN'!$C$3:$AJ$52,34,FALSE))*'BLOCOS - AMPLIAR'!AL$57</f>
        <v>-26230.38274210877</v>
      </c>
      <c r="AM25" s="1">
        <f>('RECEITAS - BLOCOS PAN'!AK38-'OPEX - BLOCOS PAN'!AK38-VLOOKUP('BLOCOS - AMPLIAR'!$E31,'CAPEX - BLOCOS PAN'!$C$3:$AK$52,35,FALSE))*'BLOCOS - AMPLIAR'!AM$57</f>
        <v>-23943.754214613207</v>
      </c>
      <c r="AN25" s="1">
        <f>SUM(J25:X25)</f>
        <v>-46186529.659126222</v>
      </c>
      <c r="AO25" s="88"/>
      <c r="AP25" s="44">
        <f>SUM(J25:AM25)</f>
        <v>-46920669.954786174</v>
      </c>
      <c r="AQ25" s="88"/>
      <c r="AR25" s="48">
        <v>0</v>
      </c>
      <c r="AS25">
        <v>1</v>
      </c>
      <c r="AT25">
        <v>-6.2333333333333334</v>
      </c>
      <c r="AU25">
        <v>-57.766666666666666</v>
      </c>
    </row>
    <row r="26" spans="1:47" x14ac:dyDescent="0.35">
      <c r="A26" s="89"/>
      <c r="B26" t="s">
        <v>87</v>
      </c>
      <c r="C26" s="5" t="s">
        <v>279</v>
      </c>
      <c r="D26">
        <v>150503</v>
      </c>
      <c r="E26" t="s">
        <v>291</v>
      </c>
      <c r="F26" t="s">
        <v>233</v>
      </c>
      <c r="G26" t="s">
        <v>29</v>
      </c>
      <c r="H26" t="s">
        <v>259</v>
      </c>
      <c r="I26" t="s">
        <v>33</v>
      </c>
      <c r="J26" s="1">
        <f>(VLOOKUP($E26,'RECEITAS - BLOCOS PAN'!$D$3:$H$52,5,FALSE)-VLOOKUP('BLOCOS - AMPLIAR'!$E26,'OPEX - BLOCOS PAN'!$D$3:$H$52,5,FALSE)-VLOOKUP('BLOCOS - AMPLIAR'!$E26,'CAPEX - BLOCOS PAN'!$C$3:$H$52,6,FALSE))*'BLOCOS - AMPLIAR'!J$57</f>
        <v>-14764706.643615702</v>
      </c>
      <c r="K26" s="1">
        <f>(VLOOKUP($E26,'RECEITAS - BLOCOS PAN'!$D$3:$I$52,6,FALSE)-VLOOKUP('BLOCOS - AMPLIAR'!$E26,'OPEX - BLOCOS PAN'!$D$3:$I$52,6,FALSE)-VLOOKUP('BLOCOS - AMPLIAR'!$E26,'CAPEX - BLOCOS PAN'!$C$3:$I$52,7,FALSE))*'BLOCOS - AMPLIAR'!K$57</f>
        <v>-13477596.205947697</v>
      </c>
      <c r="L26" s="1">
        <f>(VLOOKUP($E26,'RECEITAS - BLOCOS PAN'!$D$3:$J$52,7,FALSE)-VLOOKUP('BLOCOS - AMPLIAR'!$E26,'OPEX - BLOCOS PAN'!$D$3:$J$52,7,FALSE)-VLOOKUP('BLOCOS - AMPLIAR'!$E26,'CAPEX - BLOCOS PAN'!$C$3:$J$52,8,FALSE))*'BLOCOS - AMPLIAR'!L$57</f>
        <v>-12302689.3710157</v>
      </c>
      <c r="M26" s="1">
        <f>('RECEITAS - BLOCOS PAN'!K42-'OPEX - BLOCOS PAN'!K42-VLOOKUP('BLOCOS - AMPLIAR'!$E35,'CAPEX - BLOCOS PAN'!$C$3:$K$52,9,FALSE))*'BLOCOS - AMPLIAR'!M$57</f>
        <v>-382747.3681013647</v>
      </c>
      <c r="N26" s="1">
        <f>('RECEITAS - BLOCOS PAN'!L42-'OPEX - BLOCOS PAN'!L42-VLOOKUP('BLOCOS - AMPLIAR'!$E35,'CAPEX - BLOCOS PAN'!$C$3:$L$52,10,FALSE))*'BLOCOS - AMPLIAR'!N$57</f>
        <v>-349381.44053068443</v>
      </c>
      <c r="O26" s="1">
        <f>('RECEITAS - BLOCOS PAN'!M42-'OPEX - BLOCOS PAN'!M42-VLOOKUP('BLOCOS - AMPLIAR'!$E35,'CAPEX - BLOCOS PAN'!$C$3:$M$52,11,FALSE))*'BLOCOS - AMPLIAR'!O$57</f>
        <v>-318924.18122381048</v>
      </c>
      <c r="P26" s="1">
        <f>('RECEITAS - BLOCOS PAN'!N42-'OPEX - BLOCOS PAN'!N42-VLOOKUP('BLOCOS - AMPLIAR'!$E35,'CAPEX - BLOCOS PAN'!$C$3:$N$52,12,FALSE))*'BLOCOS - AMPLIAR'!P$57</f>
        <v>-291122.02758905571</v>
      </c>
      <c r="Q26" s="1">
        <f>('RECEITAS - BLOCOS PAN'!O42-'OPEX - BLOCOS PAN'!O42-VLOOKUP('BLOCOS - AMPLIAR'!$E35,'CAPEX - BLOCOS PAN'!$C$3:$O$52,13,FALSE))*'BLOCOS - AMPLIAR'!Q$57</f>
        <v>-265743.52130447805</v>
      </c>
      <c r="R26" s="1">
        <f>('RECEITAS - BLOCOS PAN'!P42-'OPEX - BLOCOS PAN'!P42-VLOOKUP('BLOCOS - AMPLIAR'!$E35,'CAPEX - BLOCOS PAN'!$C$3:$P$52,14,FALSE))*'BLOCOS - AMPLIAR'!R$57</f>
        <v>-242577.38138245375</v>
      </c>
      <c r="S26" s="1">
        <f>('RECEITAS - BLOCOS PAN'!Q42-'OPEX - BLOCOS PAN'!Q42-VLOOKUP('BLOCOS - AMPLIAR'!$E35,'CAPEX - BLOCOS PAN'!$C$3:$Q$52,15,FALSE))*'BLOCOS - AMPLIAR'!S$57</f>
        <v>-221430.74521447168</v>
      </c>
      <c r="T26" s="1">
        <f>('RECEITAS - BLOCOS PAN'!R42-'OPEX - BLOCOS PAN'!R42-VLOOKUP('BLOCOS - AMPLIAR'!$E35,'CAPEX - BLOCOS PAN'!$C$3:$R$52,16,FALSE))*'BLOCOS - AMPLIAR'!T$57</f>
        <v>-202127.56295250729</v>
      </c>
      <c r="U26" s="1">
        <f>('RECEITAS - BLOCOS PAN'!S42-'OPEX - BLOCOS PAN'!S42-VLOOKUP('BLOCOS - AMPLIAR'!$E35,'CAPEX - BLOCOS PAN'!$C$3:$S$52,17,FALSE))*'BLOCOS - AMPLIAR'!U$57</f>
        <v>-184507.13185988797</v>
      </c>
      <c r="V26" s="1">
        <f>('RECEITAS - BLOCOS PAN'!T42-'OPEX - BLOCOS PAN'!T42-VLOOKUP('BLOCOS - AMPLIAR'!$E35,'CAPEX - BLOCOS PAN'!$C$3:$T$52,18,FALSE))*'BLOCOS - AMPLIAR'!V$57</f>
        <v>-168422.75842983843</v>
      </c>
      <c r="W26" s="1">
        <f>('RECEITAS - BLOCOS PAN'!U42-'OPEX - BLOCOS PAN'!U42-VLOOKUP('BLOCOS - AMPLIAR'!$E35,'CAPEX - BLOCOS PAN'!$C$3:$U$52,19,FALSE))*'BLOCOS - AMPLIAR'!W$57</f>
        <v>-153740.53713358138</v>
      </c>
      <c r="X26" s="1">
        <f>('RECEITAS - BLOCOS PAN'!V42-'OPEX - BLOCOS PAN'!V42-VLOOKUP('BLOCOS - AMPLIAR'!$E35,'CAPEX - BLOCOS PAN'!$C$3:$V$52,20,FALSE))*'BLOCOS - AMPLIAR'!X$57</f>
        <v>-140338.23563083651</v>
      </c>
      <c r="Y26" s="1">
        <f>('RECEITAS - BLOCOS PAN'!W42-'OPEX - BLOCOS PAN'!W42-VLOOKUP('BLOCOS - AMPLIAR'!$E35,'CAPEX - BLOCOS PAN'!$C$3:$W$52,21,FALSE))*'BLOCOS - AMPLIAR'!Y$57</f>
        <v>-128104.27716187724</v>
      </c>
      <c r="Z26" s="1">
        <f>('RECEITAS - BLOCOS PAN'!X42-'OPEX - BLOCOS PAN'!X42-VLOOKUP('BLOCOS - AMPLIAR'!$E35,'CAPEX - BLOCOS PAN'!$C$3:$X$52,22,FALSE))*'BLOCOS - AMPLIAR'!Z$57</f>
        <v>-116936.81164936308</v>
      </c>
      <c r="AA26" s="1">
        <f>('RECEITAS - BLOCOS PAN'!Y42-'OPEX - BLOCOS PAN'!Y42-VLOOKUP('BLOCOS - AMPLIAR'!$E35,'CAPEX - BLOCOS PAN'!$C$3:$Y$52,23,FALSE))*'BLOCOS - AMPLIAR'!AA$57</f>
        <v>-106742.86777668925</v>
      </c>
      <c r="AB26" s="1">
        <f>('RECEITAS - BLOCOS PAN'!Z42-'OPEX - BLOCOS PAN'!Z42-VLOOKUP('BLOCOS - AMPLIAR'!$E35,'CAPEX - BLOCOS PAN'!$C$3:$Z$52,24,FALSE))*'BLOCOS - AMPLIAR'!AB$57</f>
        <v>-97437.578983741929</v>
      </c>
      <c r="AC26" s="1">
        <f>('RECEITAS - BLOCOS PAN'!AA42-'OPEX - BLOCOS PAN'!AA42-VLOOKUP('BLOCOS - AMPLIAR'!$E35,'CAPEX - BLOCOS PAN'!$C$3:$AA$52,25,FALSE))*'BLOCOS - AMPLIAR'!AC$57</f>
        <v>-88943.476936323073</v>
      </c>
      <c r="AD26" s="1">
        <f>('RECEITAS - BLOCOS PAN'!AB42-'OPEX - BLOCOS PAN'!AB42-VLOOKUP('BLOCOS - AMPLIAR'!$E35,'CAPEX - BLOCOS PAN'!$C$3:$AB$52,26,FALSE))*'BLOCOS - AMPLIAR'!AD$57</f>
        <v>-81189.846587241511</v>
      </c>
      <c r="AE26" s="1">
        <f>('RECEITAS - BLOCOS PAN'!AC42-'OPEX - BLOCOS PAN'!AC42-VLOOKUP('BLOCOS - AMPLIAR'!$E35,'CAPEX - BLOCOS PAN'!$C$3:$AC$52,27,FALSE))*'BLOCOS - AMPLIAR'!AE$57</f>
        <v>-74112.137459827936</v>
      </c>
      <c r="AF26" s="1">
        <f>('RECEITAS - BLOCOS PAN'!AD42-'OPEX - BLOCOS PAN'!AD42-VLOOKUP('BLOCOS - AMPLIAR'!$E35,'CAPEX - BLOCOS PAN'!$C$3:$AD$52,28,FALSE))*'BLOCOS - AMPLIAR'!AF$57</f>
        <v>-67651.426252695528</v>
      </c>
      <c r="AG26" s="1">
        <f>('RECEITAS - BLOCOS PAN'!AE42-'OPEX - BLOCOS PAN'!AE42-VLOOKUP('BLOCOS - AMPLIAR'!$E35,'CAPEX - BLOCOS PAN'!$C$3:$AE$52,29,FALSE))*'BLOCOS - AMPLIAR'!AG$57</f>
        <v>-61753.926291826137</v>
      </c>
      <c r="AH26" s="1">
        <f>('RECEITAS - BLOCOS PAN'!AF42-'OPEX - BLOCOS PAN'!AF42-VLOOKUP('BLOCOS - AMPLIAR'!$E35,'CAPEX - BLOCOS PAN'!$C$3:$AF$52,30,FALSE))*'BLOCOS - AMPLIAR'!AH$57</f>
        <v>-56370.53974607589</v>
      </c>
      <c r="AI26" s="1">
        <f>('RECEITAS - BLOCOS PAN'!AG42-'OPEX - BLOCOS PAN'!AG42-VLOOKUP('BLOCOS - AMPLIAR'!$E35,'CAPEX - BLOCOS PAN'!$C$3:$AG$52,31,FALSE))*'BLOCOS - AMPLIAR'!AI$57</f>
        <v>-51456.448878207113</v>
      </c>
      <c r="AJ26" s="1">
        <f>('RECEITAS - BLOCOS PAN'!AH42-'OPEX - BLOCOS PAN'!AH42-VLOOKUP('BLOCOS - AMPLIAR'!$E35,'CAPEX - BLOCOS PAN'!$C$3:$AH$52,32,FALSE))*'BLOCOS - AMPLIAR'!AJ$57</f>
        <v>-46970.74292853228</v>
      </c>
      <c r="AK26" s="1">
        <f>('RECEITAS - BLOCOS PAN'!AI42-'OPEX - BLOCOS PAN'!AI42-VLOOKUP('BLOCOS - AMPLIAR'!$E35,'CAPEX - BLOCOS PAN'!$C$3:$AI$52,33,FALSE))*'BLOCOS - AMPLIAR'!AK$57</f>
        <v>-42876.077524903958</v>
      </c>
      <c r="AL26" s="1">
        <f>('RECEITAS - BLOCOS PAN'!AJ42-'OPEX - BLOCOS PAN'!AJ42-VLOOKUP('BLOCOS - AMPLIAR'!$E35,'CAPEX - BLOCOS PAN'!$C$3:$AJ$52,34,FALSE))*'BLOCOS - AMPLIAR'!AL$57</f>
        <v>-39138.363783572757</v>
      </c>
      <c r="AM26" s="1">
        <f>('RECEITAS - BLOCOS PAN'!AK42-'OPEX - BLOCOS PAN'!AK42-VLOOKUP('BLOCOS - AMPLIAR'!$E35,'CAPEX - BLOCOS PAN'!$C$3:$AK$52,35,FALSE))*'BLOCOS - AMPLIAR'!AM$57</f>
        <v>-35726.484512617761</v>
      </c>
      <c r="AN26" s="1">
        <f>SUM(J26:X26)</f>
        <v>-43466055.111932069</v>
      </c>
      <c r="AO26" s="88"/>
      <c r="AP26" s="44">
        <f>SUM(J26:AM26)</f>
        <v>-44561466.118405558</v>
      </c>
      <c r="AQ26" s="88"/>
      <c r="AR26" s="48">
        <v>0</v>
      </c>
      <c r="AS26">
        <v>1</v>
      </c>
      <c r="AT26">
        <v>-7.1166666666666663</v>
      </c>
      <c r="AU26">
        <v>-55.4</v>
      </c>
    </row>
    <row r="27" spans="1:47" x14ac:dyDescent="0.35">
      <c r="A27" s="89" t="str">
        <f>VLOOKUP(E27,'FLUXO DE CAIXA DESC.-SEM MULT.'!$D$3:$AT$52,43,FALSE)</f>
        <v>Bloco 6 - PA2</v>
      </c>
      <c r="B27" t="s">
        <v>74</v>
      </c>
      <c r="C27" t="s">
        <v>75</v>
      </c>
      <c r="D27">
        <v>150810</v>
      </c>
      <c r="E27" t="s">
        <v>76</v>
      </c>
      <c r="F27" t="s">
        <v>75</v>
      </c>
      <c r="G27" t="s">
        <v>29</v>
      </c>
      <c r="H27" t="s">
        <v>259</v>
      </c>
      <c r="I27" t="s">
        <v>33</v>
      </c>
      <c r="J27" s="1">
        <f>(VLOOKUP($E27,'RECEITAS - BLOCOS PAN'!$D$3:$H$52,5,FALSE)-VLOOKUP('BLOCOS - AMPLIAR'!$E27,'OPEX - BLOCOS PAN'!$D$3:$H$52,5,FALSE)-VLOOKUP('BLOCOS - AMPLIAR'!$E27,'CAPEX - BLOCOS PAN'!$C$3:$H$52,6,FALSE))*'BLOCOS - AMPLIAR'!J$57</f>
        <v>-57297531.987266667</v>
      </c>
      <c r="K27" s="1">
        <f>(VLOOKUP($E27,'RECEITAS - BLOCOS PAN'!$D$3:$I$52,6,FALSE)-VLOOKUP('BLOCOS - AMPLIAR'!$E27,'OPEX - BLOCOS PAN'!$D$3:$I$52,6,FALSE)-VLOOKUP('BLOCOS - AMPLIAR'!$E27,'CAPEX - BLOCOS PAN'!$C$3:$I$52,7,FALSE))*'BLOCOS - AMPLIAR'!K$57</f>
        <v>-52265332.651270352</v>
      </c>
      <c r="L27" s="1">
        <f>(VLOOKUP($E27,'RECEITAS - BLOCOS PAN'!$D$3:$J$52,7,FALSE)-VLOOKUP('BLOCOS - AMPLIAR'!$E27,'OPEX - BLOCOS PAN'!$D$3:$J$52,7,FALSE)-VLOOKUP('BLOCOS - AMPLIAR'!$E27,'CAPEX - BLOCOS PAN'!$C$3:$J$52,8,FALSE))*'BLOCOS - AMPLIAR'!L$57</f>
        <v>-47682624.246250883</v>
      </c>
      <c r="M27" s="1">
        <f>('RECEITAS - BLOCOS PAN'!K12-'OPEX - BLOCOS PAN'!K12-VLOOKUP('BLOCOS - AMPLIAR'!$E48,'CAPEX - BLOCOS PAN'!$C$3:$K$52,9,FALSE))*'BLOCOS - AMPLIAR'!M$57</f>
        <v>-1942848.2278064922</v>
      </c>
      <c r="N27" s="1">
        <f>('RECEITAS - BLOCOS PAN'!L12-'OPEX - BLOCOS PAN'!L12-VLOOKUP('BLOCOS - AMPLIAR'!$E48,'CAPEX - BLOCOS PAN'!$C$3:$L$52,10,FALSE))*'BLOCOS - AMPLIAR'!N$57</f>
        <v>-1760629.3034196</v>
      </c>
      <c r="O27" s="1">
        <f>('RECEITAS - BLOCOS PAN'!M12-'OPEX - BLOCOS PAN'!M12-VLOOKUP('BLOCOS - AMPLIAR'!$E48,'CAPEX - BLOCOS PAN'!$C$3:$M$52,11,FALSE))*'BLOCOS - AMPLIAR'!O$57</f>
        <v>-1597566.5466534339</v>
      </c>
      <c r="P27" s="1">
        <f>('RECEITAS - BLOCOS PAN'!N12-'OPEX - BLOCOS PAN'!N12-VLOOKUP('BLOCOS - AMPLIAR'!$E48,'CAPEX - BLOCOS PAN'!$C$3:$N$52,12,FALSE))*'BLOCOS - AMPLIAR'!P$57</f>
        <v>-1449215.6711226557</v>
      </c>
      <c r="Q27" s="1">
        <f>('RECEITAS - BLOCOS PAN'!O12-'OPEX - BLOCOS PAN'!O12-VLOOKUP('BLOCOS - AMPLIAR'!$E48,'CAPEX - BLOCOS PAN'!$C$3:$O$52,13,FALSE))*'BLOCOS - AMPLIAR'!Q$57</f>
        <v>-1315651.2480311953</v>
      </c>
      <c r="R27" s="1">
        <f>('RECEITAS - BLOCOS PAN'!P12-'OPEX - BLOCOS PAN'!P12-VLOOKUP('BLOCOS - AMPLIAR'!$E48,'CAPEX - BLOCOS PAN'!$C$3:$P$52,14,FALSE))*'BLOCOS - AMPLIAR'!R$57</f>
        <v>-1193920.2329935697</v>
      </c>
      <c r="S27" s="1">
        <f>('RECEITAS - BLOCOS PAN'!Q12-'OPEX - BLOCOS PAN'!Q12-VLOOKUP('BLOCOS - AMPLIAR'!$E48,'CAPEX - BLOCOS PAN'!$C$3:$Q$52,15,FALSE))*'BLOCOS - AMPLIAR'!S$57</f>
        <v>-1084839.1381346707</v>
      </c>
      <c r="T27" s="1">
        <f>('RECEITAS - BLOCOS PAN'!R12-'OPEX - BLOCOS PAN'!R12-VLOOKUP('BLOCOS - AMPLIAR'!$E48,'CAPEX - BLOCOS PAN'!$C$3:$R$52,16,FALSE))*'BLOCOS - AMPLIAR'!T$57</f>
        <v>-985348.29696603667</v>
      </c>
      <c r="U27" s="1">
        <f>('RECEITAS - BLOCOS PAN'!S12-'OPEX - BLOCOS PAN'!S12-VLOOKUP('BLOCOS - AMPLIAR'!$E48,'CAPEX - BLOCOS PAN'!$C$3:$S$52,17,FALSE))*'BLOCOS - AMPLIAR'!U$57</f>
        <v>-895544.8179092072</v>
      </c>
      <c r="V27" s="1">
        <f>('RECEITAS - BLOCOS PAN'!T12-'OPEX - BLOCOS PAN'!T12-VLOOKUP('BLOCOS - AMPLIAR'!$E48,'CAPEX - BLOCOS PAN'!$C$3:$T$52,18,FALSE))*'BLOCOS - AMPLIAR'!V$57</f>
        <v>-813404.75302134606</v>
      </c>
      <c r="W27" s="1">
        <f>('RECEITAS - BLOCOS PAN'!U12-'OPEX - BLOCOS PAN'!U12-VLOOKUP('BLOCOS - AMPLIAR'!$E48,'CAPEX - BLOCOS PAN'!$C$3:$U$52,19,FALSE))*'BLOCOS - AMPLIAR'!W$57</f>
        <v>-739180.74070413539</v>
      </c>
      <c r="X27" s="1">
        <f>('RECEITAS - BLOCOS PAN'!V12-'OPEX - BLOCOS PAN'!V12-VLOOKUP('BLOCOS - AMPLIAR'!$E48,'CAPEX - BLOCOS PAN'!$C$3:$V$52,20,FALSE))*'BLOCOS - AMPLIAR'!X$57</f>
        <v>-671203.31427750853</v>
      </c>
      <c r="Y27" s="1">
        <f>('RECEITAS - BLOCOS PAN'!W12-'OPEX - BLOCOS PAN'!W12-VLOOKUP('BLOCOS - AMPLIAR'!$E48,'CAPEX - BLOCOS PAN'!$C$3:$W$52,21,FALSE))*'BLOCOS - AMPLIAR'!Y$57</f>
        <v>-609965.03373031388</v>
      </c>
      <c r="Z27" s="1">
        <f>('RECEITAS - BLOCOS PAN'!X12-'OPEX - BLOCOS PAN'!X12-VLOOKUP('BLOCOS - AMPLIAR'!$E48,'CAPEX - BLOCOS PAN'!$C$3:$X$52,22,FALSE))*'BLOCOS - AMPLIAR'!Z$57</f>
        <v>-553792.38356327254</v>
      </c>
      <c r="AA27" s="1">
        <f>('RECEITAS - BLOCOS PAN'!Y12-'OPEX - BLOCOS PAN'!Y12-VLOOKUP('BLOCOS - AMPLIAR'!$E48,'CAPEX - BLOCOS PAN'!$C$3:$Y$52,23,FALSE))*'BLOCOS - AMPLIAR'!AA$57</f>
        <v>-503225.83350352861</v>
      </c>
      <c r="AB27" s="1">
        <f>('RECEITAS - BLOCOS PAN'!Z12-'OPEX - BLOCOS PAN'!Z12-VLOOKUP('BLOCOS - AMPLIAR'!$E48,'CAPEX - BLOCOS PAN'!$C$3:$Z$52,24,FALSE))*'BLOCOS - AMPLIAR'!AB$57</f>
        <v>-456791.97978245589</v>
      </c>
      <c r="AC27" s="1">
        <f>('RECEITAS - BLOCOS PAN'!AA12-'OPEX - BLOCOS PAN'!AA12-VLOOKUP('BLOCOS - AMPLIAR'!$E48,'CAPEX - BLOCOS PAN'!$C$3:$AA$52,25,FALSE))*'BLOCOS - AMPLIAR'!AC$57</f>
        <v>-414959.79136924492</v>
      </c>
      <c r="AD27" s="1">
        <f>('RECEITAS - BLOCOS PAN'!AB12-'OPEX - BLOCOS PAN'!AB12-VLOOKUP('BLOCOS - AMPLIAR'!$E48,'CAPEX - BLOCOS PAN'!$C$3:$AB$52,26,FALSE))*'BLOCOS - AMPLIAR'!AD$57</f>
        <v>-376687.48592999839</v>
      </c>
      <c r="AE27" s="1">
        <f>('RECEITAS - BLOCOS PAN'!AC12-'OPEX - BLOCOS PAN'!AC12-VLOOKUP('BLOCOS - AMPLIAR'!$E48,'CAPEX - BLOCOS PAN'!$C$3:$AC$52,27,FALSE))*'BLOCOS - AMPLIAR'!AE$57</f>
        <v>-342192.70004545606</v>
      </c>
      <c r="AF27" s="1">
        <f>('RECEITAS - BLOCOS PAN'!AD12-'OPEX - BLOCOS PAN'!AD12-VLOOKUP('BLOCOS - AMPLIAR'!$E48,'CAPEX - BLOCOS PAN'!$C$3:$AD$52,28,FALSE))*'BLOCOS - AMPLIAR'!AF$57</f>
        <v>-310556.22542078589</v>
      </c>
      <c r="AG27" s="1">
        <f>('RECEITAS - BLOCOS PAN'!AE12-'OPEX - BLOCOS PAN'!AE12-VLOOKUP('BLOCOS - AMPLIAR'!$E48,'CAPEX - BLOCOS PAN'!$C$3:$AE$52,29,FALSE))*'BLOCOS - AMPLIAR'!AG$57</f>
        <v>-281994.24790429865</v>
      </c>
      <c r="AH27" s="1">
        <f>('RECEITAS - BLOCOS PAN'!AF12-'OPEX - BLOCOS PAN'!AF12-VLOOKUP('BLOCOS - AMPLIAR'!$E48,'CAPEX - BLOCOS PAN'!$C$3:$AF$52,30,FALSE))*'BLOCOS - AMPLIAR'!AH$57</f>
        <v>-255802.78882099871</v>
      </c>
      <c r="AI27" s="1">
        <f>('RECEITAS - BLOCOS PAN'!AG12-'OPEX - BLOCOS PAN'!AG12-VLOOKUP('BLOCOS - AMPLIAR'!$E48,'CAPEX - BLOCOS PAN'!$C$3:$AG$52,31,FALSE))*'BLOCOS - AMPLIAR'!AI$57</f>
        <v>-232225.88613331257</v>
      </c>
      <c r="AJ27" s="1">
        <f>('RECEITAS - BLOCOS PAN'!AH12-'OPEX - BLOCOS PAN'!AH12-VLOOKUP('BLOCOS - AMPLIAR'!$E48,'CAPEX - BLOCOS PAN'!$C$3:$AH$52,32,FALSE))*'BLOCOS - AMPLIAR'!AJ$57</f>
        <v>-310172.16947518243</v>
      </c>
      <c r="AK27" s="1">
        <f>('RECEITAS - BLOCOS PAN'!AI12-'OPEX - BLOCOS PAN'!AI12-VLOOKUP('BLOCOS - AMPLIAR'!$E48,'CAPEX - BLOCOS PAN'!$C$3:$AI$52,33,FALSE))*'BLOCOS - AMPLIAR'!AK$57</f>
        <v>-282045.67156273714</v>
      </c>
      <c r="AL27" s="1">
        <f>('RECEITAS - BLOCOS PAN'!AJ12-'OPEX - BLOCOS PAN'!AJ12-VLOOKUP('BLOCOS - AMPLIAR'!$E48,'CAPEX - BLOCOS PAN'!$C$3:$AJ$52,34,FALSE))*'BLOCOS - AMPLIAR'!AL$57</f>
        <v>-256458.96797924055</v>
      </c>
      <c r="AM27" s="1">
        <f>('RECEITAS - BLOCOS PAN'!AK12-'OPEX - BLOCOS PAN'!AK12-VLOOKUP('BLOCOS - AMPLIAR'!$E48,'CAPEX - BLOCOS PAN'!$C$3:$AK$52,35,FALSE))*'BLOCOS - AMPLIAR'!AM$57</f>
        <v>-233170.08306197354</v>
      </c>
      <c r="AN27" s="1">
        <f>SUM(J27:X27)</f>
        <v>-171694841.17582777</v>
      </c>
      <c r="AO27" s="88">
        <f>SUM(AN27:AN30)</f>
        <v>-487066473.49979591</v>
      </c>
      <c r="AP27" s="44">
        <f>SUM(J27:AM27)</f>
        <v>-177114882.42411059</v>
      </c>
      <c r="AQ27" s="88">
        <f>SUM(AP27:AP30)</f>
        <v>-509106335.21969569</v>
      </c>
      <c r="AR27" s="48">
        <f>VLOOKUP(E27,'Projeção - Demanda PAX'!$C$3:$H$37,6,FALSE)</f>
        <v>23561</v>
      </c>
      <c r="AS27">
        <v>1</v>
      </c>
      <c r="AT27">
        <v>-3.7666666666666666</v>
      </c>
      <c r="AU27">
        <v>-49.716666666666669</v>
      </c>
    </row>
    <row r="28" spans="1:47" x14ac:dyDescent="0.35">
      <c r="A28" s="89"/>
      <c r="B28" t="s">
        <v>90</v>
      </c>
      <c r="C28" t="s">
        <v>91</v>
      </c>
      <c r="D28">
        <v>150613</v>
      </c>
      <c r="E28" t="s">
        <v>92</v>
      </c>
      <c r="F28" t="s">
        <v>91</v>
      </c>
      <c r="G28" t="s">
        <v>29</v>
      </c>
      <c r="H28" t="s">
        <v>259</v>
      </c>
      <c r="I28" t="s">
        <v>33</v>
      </c>
      <c r="J28" s="1">
        <f>(VLOOKUP($E28,'RECEITAS - BLOCOS PAN'!$D$3:$H$52,5,FALSE)-VLOOKUP('BLOCOS - AMPLIAR'!$E28,'OPEX - BLOCOS PAN'!$D$3:$H$52,5,FALSE)-VLOOKUP('BLOCOS - AMPLIAR'!$E28,'CAPEX - BLOCOS PAN'!$C$3:$H$52,6,FALSE))*'BLOCOS - AMPLIAR'!J$57</f>
        <v>-17427614.374499999</v>
      </c>
      <c r="K28" s="1">
        <f>(VLOOKUP($E28,'RECEITAS - BLOCOS PAN'!$D$3:$I$52,6,FALSE)-VLOOKUP('BLOCOS - AMPLIAR'!$E28,'OPEX - BLOCOS PAN'!$D$3:$I$52,6,FALSE)-VLOOKUP('BLOCOS - AMPLIAR'!$E28,'CAPEX - BLOCOS PAN'!$C$3:$I$52,7,FALSE))*'BLOCOS - AMPLIAR'!K$57</f>
        <v>-15892322.57708809</v>
      </c>
      <c r="L28" s="1">
        <f>(VLOOKUP($E28,'RECEITAS - BLOCOS PAN'!$D$3:$J$52,7,FALSE)-VLOOKUP('BLOCOS - AMPLIAR'!$E28,'OPEX - BLOCOS PAN'!$D$3:$J$52,7,FALSE)-VLOOKUP('BLOCOS - AMPLIAR'!$E28,'CAPEX - BLOCOS PAN'!$C$3:$J$52,8,FALSE))*'BLOCOS - AMPLIAR'!L$57</f>
        <v>-14495258.822188862</v>
      </c>
      <c r="M28" s="1">
        <f>('RECEITAS - BLOCOS PAN'!K16-'OPEX - BLOCOS PAN'!K16-VLOOKUP('BLOCOS - AMPLIAR'!$E52,'CAPEX - BLOCOS PAN'!$C$3:$K$52,9,FALSE))*'BLOCOS - AMPLIAR'!M$57</f>
        <v>-2013045.4923297921</v>
      </c>
      <c r="N28" s="1">
        <f>('RECEITAS - BLOCOS PAN'!L16-'OPEX - BLOCOS PAN'!L16-VLOOKUP('BLOCOS - AMPLIAR'!$E52,'CAPEX - BLOCOS PAN'!$C$3:$L$52,10,FALSE))*'BLOCOS - AMPLIAR'!N$57</f>
        <v>-1831300.1638833256</v>
      </c>
      <c r="O28" s="1">
        <f>('RECEITAS - BLOCOS PAN'!M16-'OPEX - BLOCOS PAN'!M16-VLOOKUP('BLOCOS - AMPLIAR'!$E52,'CAPEX - BLOCOS PAN'!$C$3:$M$52,11,FALSE))*'BLOCOS - AMPLIAR'!O$57</f>
        <v>-1666599.4776243565</v>
      </c>
      <c r="P28" s="1">
        <f>('RECEITAS - BLOCOS PAN'!N16-'OPEX - BLOCOS PAN'!N16-VLOOKUP('BLOCOS - AMPLIAR'!$E52,'CAPEX - BLOCOS PAN'!$C$3:$N$52,12,FALSE))*'BLOCOS - AMPLIAR'!P$57</f>
        <v>-1516581.9167683516</v>
      </c>
      <c r="Q28" s="1">
        <f>('RECEITAS - BLOCOS PAN'!O16-'OPEX - BLOCOS PAN'!O16-VLOOKUP('BLOCOS - AMPLIAR'!$E52,'CAPEX - BLOCOS PAN'!$C$3:$O$52,13,FALSE))*'BLOCOS - AMPLIAR'!Q$57</f>
        <v>-1379888.4884167425</v>
      </c>
      <c r="R28" s="1">
        <f>('RECEITAS - BLOCOS PAN'!P16-'OPEX - BLOCOS PAN'!P16-VLOOKUP('BLOCOS - AMPLIAR'!$E52,'CAPEX - BLOCOS PAN'!$C$3:$P$52,14,FALSE))*'BLOCOS - AMPLIAR'!R$57</f>
        <v>-1255642.9313714623</v>
      </c>
      <c r="S28" s="1">
        <f>('RECEITAS - BLOCOS PAN'!Q16-'OPEX - BLOCOS PAN'!Q16-VLOOKUP('BLOCOS - AMPLIAR'!$E52,'CAPEX - BLOCOS PAN'!$C$3:$Q$52,15,FALSE))*'BLOCOS - AMPLIAR'!S$57</f>
        <v>-1142677.6188628054</v>
      </c>
      <c r="T28" s="1">
        <f>('RECEITAS - BLOCOS PAN'!R16-'OPEX - BLOCOS PAN'!R16-VLOOKUP('BLOCOS - AMPLIAR'!$E52,'CAPEX - BLOCOS PAN'!$C$3:$R$52,16,FALSE))*'BLOCOS - AMPLIAR'!T$57</f>
        <v>-1040072.352914843</v>
      </c>
      <c r="U28" s="1">
        <f>('RECEITAS - BLOCOS PAN'!S16-'OPEX - BLOCOS PAN'!S16-VLOOKUP('BLOCOS - AMPLIAR'!$E52,'CAPEX - BLOCOS PAN'!$C$3:$S$52,17,FALSE))*'BLOCOS - AMPLIAR'!U$57</f>
        <v>-946520.30734080134</v>
      </c>
      <c r="V28" s="1">
        <f>('RECEITAS - BLOCOS PAN'!T16-'OPEX - BLOCOS PAN'!T16-VLOOKUP('BLOCOS - AMPLIAR'!$E52,'CAPEX - BLOCOS PAN'!$C$3:$T$52,18,FALSE))*'BLOCOS - AMPLIAR'!V$57</f>
        <v>-861418.30599820463</v>
      </c>
      <c r="W28" s="1">
        <f>('RECEITAS - BLOCOS PAN'!U16-'OPEX - BLOCOS PAN'!U16-VLOOKUP('BLOCOS - AMPLIAR'!$E52,'CAPEX - BLOCOS PAN'!$C$3:$U$52,19,FALSE))*'BLOCOS - AMPLIAR'!W$57</f>
        <v>-783873.39753432432</v>
      </c>
      <c r="X28" s="1">
        <f>('RECEITAS - BLOCOS PAN'!V16-'OPEX - BLOCOS PAN'!V16-VLOOKUP('BLOCOS - AMPLIAR'!$E52,'CAPEX - BLOCOS PAN'!$C$3:$V$52,20,FALSE))*'BLOCOS - AMPLIAR'!X$57</f>
        <v>-713284.57402582827</v>
      </c>
      <c r="Y28" s="1">
        <f>('RECEITAS - BLOCOS PAN'!W16-'OPEX - BLOCOS PAN'!W16-VLOOKUP('BLOCOS - AMPLIAR'!$E52,'CAPEX - BLOCOS PAN'!$C$3:$W$52,21,FALSE))*'BLOCOS - AMPLIAR'!Y$57</f>
        <v>-649029.12542597414</v>
      </c>
      <c r="Z28" s="1">
        <f>('RECEITAS - BLOCOS PAN'!X16-'OPEX - BLOCOS PAN'!X16-VLOOKUP('BLOCOS - AMPLIAR'!$E52,'CAPEX - BLOCOS PAN'!$C$3:$X$52,22,FALSE))*'BLOCOS - AMPLIAR'!Z$57</f>
        <v>-590476.26888326183</v>
      </c>
      <c r="AA28" s="1">
        <f>('RECEITAS - BLOCOS PAN'!Y16-'OPEX - BLOCOS PAN'!Y16-VLOOKUP('BLOCOS - AMPLIAR'!$E52,'CAPEX - BLOCOS PAN'!$C$3:$Y$52,23,FALSE))*'BLOCOS - AMPLIAR'!AA$57</f>
        <v>-537181.6179832886</v>
      </c>
      <c r="AB28" s="1">
        <f>('RECEITAS - BLOCOS PAN'!Z16-'OPEX - BLOCOS PAN'!Z16-VLOOKUP('BLOCOS - AMPLIAR'!$E52,'CAPEX - BLOCOS PAN'!$C$3:$Z$52,24,FALSE))*'BLOCOS - AMPLIAR'!AB$57</f>
        <v>-488583.48402586463</v>
      </c>
      <c r="AC28" s="1">
        <f>('RECEITAS - BLOCOS PAN'!AA16-'OPEX - BLOCOS PAN'!AA16-VLOOKUP('BLOCOS - AMPLIAR'!$E52,'CAPEX - BLOCOS PAN'!$C$3:$AA$52,25,FALSE))*'BLOCOS - AMPLIAR'!AC$57</f>
        <v>-444386.33835654118</v>
      </c>
      <c r="AD28" s="1">
        <f>('RECEITAS - BLOCOS PAN'!AB16-'OPEX - BLOCOS PAN'!AB16-VLOOKUP('BLOCOS - AMPLIAR'!$E52,'CAPEX - BLOCOS PAN'!$C$3:$AB$52,26,FALSE))*'BLOCOS - AMPLIAR'!AD$57</f>
        <v>-404118.86625947064</v>
      </c>
      <c r="AE28" s="1">
        <f>('RECEITAS - BLOCOS PAN'!AC16-'OPEX - BLOCOS PAN'!AC16-VLOOKUP('BLOCOS - AMPLIAR'!$E52,'CAPEX - BLOCOS PAN'!$C$3:$AC$52,27,FALSE))*'BLOCOS - AMPLIAR'!AE$57</f>
        <v>-367508.3100970792</v>
      </c>
      <c r="AF28" s="1">
        <f>('RECEITAS - BLOCOS PAN'!AD16-'OPEX - BLOCOS PAN'!AD16-VLOOKUP('BLOCOS - AMPLIAR'!$E52,'CAPEX - BLOCOS PAN'!$C$3:$AD$52,28,FALSE))*'BLOCOS - AMPLIAR'!AF$57</f>
        <v>-334165.49360458838</v>
      </c>
      <c r="AG28" s="1">
        <f>('RECEITAS - BLOCOS PAN'!AE16-'OPEX - BLOCOS PAN'!AE16-VLOOKUP('BLOCOS - AMPLIAR'!$E52,'CAPEX - BLOCOS PAN'!$C$3:$AE$52,29,FALSE))*'BLOCOS - AMPLIAR'!AG$57</f>
        <v>-303831.89777274261</v>
      </c>
      <c r="AH28" s="1">
        <f>('RECEITAS - BLOCOS PAN'!AF16-'OPEX - BLOCOS PAN'!AF16-VLOOKUP('BLOCOS - AMPLIAR'!$E52,'CAPEX - BLOCOS PAN'!$C$3:$AF$52,30,FALSE))*'BLOCOS - AMPLIAR'!AH$57</f>
        <v>-276236.28105464706</v>
      </c>
      <c r="AI28" s="1">
        <f>('RECEITAS - BLOCOS PAN'!AG16-'OPEX - BLOCOS PAN'!AG16-VLOOKUP('BLOCOS - AMPLIAR'!$E52,'CAPEX - BLOCOS PAN'!$C$3:$AG$52,31,FALSE))*'BLOCOS - AMPLIAR'!AI$57</f>
        <v>-251114.95490677361</v>
      </c>
      <c r="AJ28" s="1">
        <f>('RECEITAS - BLOCOS PAN'!AH16-'OPEX - BLOCOS PAN'!AH16-VLOOKUP('BLOCOS - AMPLIAR'!$E52,'CAPEX - BLOCOS PAN'!$C$3:$AH$52,32,FALSE))*'BLOCOS - AMPLIAR'!AJ$57</f>
        <v>-228284.32562252949</v>
      </c>
      <c r="AK28" s="1">
        <f>('RECEITAS - BLOCOS PAN'!AI16-'OPEX - BLOCOS PAN'!AI16-VLOOKUP('BLOCOS - AMPLIAR'!$E52,'CAPEX - BLOCOS PAN'!$C$3:$AI$52,33,FALSE))*'BLOCOS - AMPLIAR'!AK$57</f>
        <v>-207550.28735719511</v>
      </c>
      <c r="AL28" s="1">
        <f>('RECEITAS - BLOCOS PAN'!AJ16-'OPEX - BLOCOS PAN'!AJ16-VLOOKUP('BLOCOS - AMPLIAR'!$E52,'CAPEX - BLOCOS PAN'!$C$3:$AJ$52,34,FALSE))*'BLOCOS - AMPLIAR'!AL$57</f>
        <v>-188672.9877559141</v>
      </c>
      <c r="AM28" s="1">
        <f>('RECEITAS - BLOCOS PAN'!AK16-'OPEX - BLOCOS PAN'!AK16-VLOOKUP('BLOCOS - AMPLIAR'!$E52,'CAPEX - BLOCOS PAN'!$C$3:$AK$52,35,FALSE))*'BLOCOS - AMPLIAR'!AM$57</f>
        <v>-171493.46515100228</v>
      </c>
      <c r="AN28" s="1">
        <f>SUM(J28:X28)</f>
        <v>-62966100.800847784</v>
      </c>
      <c r="AO28" s="88"/>
      <c r="AP28" s="44">
        <f>SUM(J28:AM28)</f>
        <v>-68408734.505104646</v>
      </c>
      <c r="AQ28" s="88"/>
      <c r="AR28" s="48">
        <f>VLOOKUP(E28,'Projeção - Demanda PAX'!$C$3:$H$37,6,FALSE)</f>
        <v>9874</v>
      </c>
      <c r="AS28">
        <v>1</v>
      </c>
      <c r="AT28">
        <v>-8.0166666666666675</v>
      </c>
      <c r="AU28">
        <v>-49.966666666666669</v>
      </c>
    </row>
    <row r="29" spans="1:47" x14ac:dyDescent="0.35">
      <c r="A29" s="89"/>
      <c r="B29" t="s">
        <v>93</v>
      </c>
      <c r="C29" t="s">
        <v>172</v>
      </c>
      <c r="D29">
        <v>150550</v>
      </c>
      <c r="E29" t="s">
        <v>95</v>
      </c>
      <c r="F29" t="s">
        <v>96</v>
      </c>
      <c r="G29" t="s">
        <v>29</v>
      </c>
      <c r="H29" t="s">
        <v>259</v>
      </c>
      <c r="I29" t="s">
        <v>33</v>
      </c>
      <c r="J29" s="1">
        <f>(VLOOKUP($E29,'RECEITAS - BLOCOS PAN'!$D$3:$H$52,5,FALSE)-VLOOKUP('BLOCOS - AMPLIAR'!$E29,'OPEX - BLOCOS PAN'!$D$3:$H$52,5,FALSE)-VLOOKUP('BLOCOS - AMPLIAR'!$E29,'CAPEX - BLOCOS PAN'!$C$3:$H$52,6,FALSE))*'BLOCOS - AMPLIAR'!J$57</f>
        <v>-62628857.632833332</v>
      </c>
      <c r="K29" s="1">
        <f>(VLOOKUP($E29,'RECEITAS - BLOCOS PAN'!$D$3:$I$52,6,FALSE)-VLOOKUP('BLOCOS - AMPLIAR'!$E29,'OPEX - BLOCOS PAN'!$D$3:$I$52,6,FALSE)-VLOOKUP('BLOCOS - AMPLIAR'!$E29,'CAPEX - BLOCOS PAN'!$C$3:$I$52,7,FALSE))*'BLOCOS - AMPLIAR'!K$57</f>
        <v>-57140095.640833713</v>
      </c>
      <c r="L29" s="1">
        <f>(VLOOKUP($E29,'RECEITAS - BLOCOS PAN'!$D$3:$J$52,7,FALSE)-VLOOKUP('BLOCOS - AMPLIAR'!$E29,'OPEX - BLOCOS PAN'!$D$3:$J$52,7,FALSE)-VLOOKUP('BLOCOS - AMPLIAR'!$E29,'CAPEX - BLOCOS PAN'!$C$3:$J$52,8,FALSE))*'BLOCOS - AMPLIAR'!L$57</f>
        <v>-52135659.764622204</v>
      </c>
      <c r="M29" s="1">
        <f>('RECEITAS - BLOCOS PAN'!K17-'OPEX - BLOCOS PAN'!K17-VLOOKUP('BLOCOS - AMPLIAR'!$E10,'CAPEX - BLOCOS PAN'!$C$3:$K$52,9,FALSE))*'BLOCOS - AMPLIAR'!M$57</f>
        <v>-1940798.4577046807</v>
      </c>
      <c r="N29" s="1">
        <f>('RECEITAS - BLOCOS PAN'!L17-'OPEX - BLOCOS PAN'!L17-VLOOKUP('BLOCOS - AMPLIAR'!$E10,'CAPEX - BLOCOS PAN'!$C$3:$L$52,10,FALSE))*'BLOCOS - AMPLIAR'!N$57</f>
        <v>-1757113.8534263372</v>
      </c>
      <c r="O29" s="1">
        <f>('RECEITAS - BLOCOS PAN'!M17-'OPEX - BLOCOS PAN'!M17-VLOOKUP('BLOCOS - AMPLIAR'!$E10,'CAPEX - BLOCOS PAN'!$C$3:$M$52,11,FALSE))*'BLOCOS - AMPLIAR'!O$57</f>
        <v>-1592017.16850705</v>
      </c>
      <c r="P29" s="1">
        <f>('RECEITAS - BLOCOS PAN'!N17-'OPEX - BLOCOS PAN'!N17-VLOOKUP('BLOCOS - AMPLIAR'!$E10,'CAPEX - BLOCOS PAN'!$C$3:$N$52,12,FALSE))*'BLOCOS - AMPLIAR'!P$57</f>
        <v>-1441584.8837607705</v>
      </c>
      <c r="Q29" s="1">
        <f>('RECEITAS - BLOCOS PAN'!O17-'OPEX - BLOCOS PAN'!O17-VLOOKUP('BLOCOS - AMPLIAR'!$E10,'CAPEX - BLOCOS PAN'!$C$3:$O$52,13,FALSE))*'BLOCOS - AMPLIAR'!Q$57</f>
        <v>-1305958.8946735081</v>
      </c>
      <c r="R29" s="1">
        <f>('RECEITAS - BLOCOS PAN'!P17-'OPEX - BLOCOS PAN'!P17-VLOOKUP('BLOCOS - AMPLIAR'!$E10,'CAPEX - BLOCOS PAN'!$C$3:$P$52,14,FALSE))*'BLOCOS - AMPLIAR'!R$57</f>
        <v>-1182302.9979557164</v>
      </c>
      <c r="S29" s="1">
        <f>('RECEITAS - BLOCOS PAN'!Q17-'OPEX - BLOCOS PAN'!Q17-VLOOKUP('BLOCOS - AMPLIAR'!$E10,'CAPEX - BLOCOS PAN'!$C$3:$Q$52,15,FALSE))*'BLOCOS - AMPLIAR'!S$57</f>
        <v>-1071313.7938441492</v>
      </c>
      <c r="T29" s="1">
        <f>('RECEITAS - BLOCOS PAN'!R17-'OPEX - BLOCOS PAN'!R17-VLOOKUP('BLOCOS - AMPLIAR'!$E10,'CAPEX - BLOCOS PAN'!$C$3:$R$52,16,FALSE))*'BLOCOS - AMPLIAR'!T$57</f>
        <v>-970207.96165017248</v>
      </c>
      <c r="U29" s="1">
        <f>('RECEITAS - BLOCOS PAN'!S17-'OPEX - BLOCOS PAN'!S17-VLOOKUP('BLOCOS - AMPLIAR'!$E10,'CAPEX - BLOCOS PAN'!$C$3:$S$52,17,FALSE))*'BLOCOS - AMPLIAR'!U$57</f>
        <v>-936218.78020131099</v>
      </c>
      <c r="V29" s="1">
        <f>('RECEITAS - BLOCOS PAN'!T17-'OPEX - BLOCOS PAN'!T17-VLOOKUP('BLOCOS - AMPLIAR'!$E10,'CAPEX - BLOCOS PAN'!$C$3:$T$52,18,FALSE))*'BLOCOS - AMPLIAR'!V$57</f>
        <v>-847988.89595046814</v>
      </c>
      <c r="W29" s="1">
        <f>('RECEITAS - BLOCOS PAN'!U17-'OPEX - BLOCOS PAN'!U17-VLOOKUP('BLOCOS - AMPLIAR'!$E10,'CAPEX - BLOCOS PAN'!$C$3:$U$52,19,FALSE))*'BLOCOS - AMPLIAR'!W$57</f>
        <v>-768488.91784034774</v>
      </c>
      <c r="X29" s="1">
        <f>('RECEITAS - BLOCOS PAN'!V17-'OPEX - BLOCOS PAN'!V17-VLOOKUP('BLOCOS - AMPLIAR'!$E10,'CAPEX - BLOCOS PAN'!$C$3:$V$52,20,FALSE))*'BLOCOS - AMPLIAR'!X$57</f>
        <v>-695804.97794633009</v>
      </c>
      <c r="Y29" s="1">
        <f>('RECEITAS - BLOCOS PAN'!W17-'OPEX - BLOCOS PAN'!W17-VLOOKUP('BLOCOS - AMPLIAR'!$E10,'CAPEX - BLOCOS PAN'!$C$3:$W$52,21,FALSE))*'BLOCOS - AMPLIAR'!Y$57</f>
        <v>-630341.79297745309</v>
      </c>
      <c r="Z29" s="1">
        <f>('RECEITAS - BLOCOS PAN'!X17-'OPEX - BLOCOS PAN'!X17-VLOOKUP('BLOCOS - AMPLIAR'!$E10,'CAPEX - BLOCOS PAN'!$C$3:$X$52,22,FALSE))*'BLOCOS - AMPLIAR'!Z$57</f>
        <v>-570513.92600540619</v>
      </c>
      <c r="AA29" s="1">
        <f>('RECEITAS - BLOCOS PAN'!Y17-'OPEX - BLOCOS PAN'!Y17-VLOOKUP('BLOCOS - AMPLIAR'!$E10,'CAPEX - BLOCOS PAN'!$C$3:$Y$52,23,FALSE))*'BLOCOS - AMPLIAR'!AA$57</f>
        <v>-516732.10464859317</v>
      </c>
      <c r="AB29" s="1">
        <f>('RECEITAS - BLOCOS PAN'!Z17-'OPEX - BLOCOS PAN'!Z17-VLOOKUP('BLOCOS - AMPLIAR'!$E10,'CAPEX - BLOCOS PAN'!$C$3:$Z$52,24,FALSE))*'BLOCOS - AMPLIAR'!AB$57</f>
        <v>-467448.78357564512</v>
      </c>
      <c r="AC29" s="1">
        <f>('RECEITAS - BLOCOS PAN'!AA17-'OPEX - BLOCOS PAN'!AA17-VLOOKUP('BLOCOS - AMPLIAR'!$E10,'CAPEX - BLOCOS PAN'!$C$3:$AA$52,25,FALSE))*'BLOCOS - AMPLIAR'!AC$57</f>
        <v>-423222.17786877602</v>
      </c>
      <c r="AD29" s="1">
        <f>('RECEITAS - BLOCOS PAN'!AB17-'OPEX - BLOCOS PAN'!AB17-VLOOKUP('BLOCOS - AMPLIAR'!$E10,'CAPEX - BLOCOS PAN'!$C$3:$AB$52,26,FALSE))*'BLOCOS - AMPLIAR'!AD$57</f>
        <v>-382745.52255742828</v>
      </c>
      <c r="AE29" s="1">
        <f>('RECEITAS - BLOCOS PAN'!AC17-'OPEX - BLOCOS PAN'!AC17-VLOOKUP('BLOCOS - AMPLIAR'!$E10,'CAPEX - BLOCOS PAN'!$C$3:$AC$52,27,FALSE))*'BLOCOS - AMPLIAR'!AE$57</f>
        <v>-346433.1274659686</v>
      </c>
      <c r="AF29" s="1">
        <f>('RECEITAS - BLOCOS PAN'!AD17-'OPEX - BLOCOS PAN'!AD17-VLOOKUP('BLOCOS - AMPLIAR'!$E10,'CAPEX - BLOCOS PAN'!$C$3:$AD$52,28,FALSE))*'BLOCOS - AMPLIAR'!AF$57</f>
        <v>-313142.45957045077</v>
      </c>
      <c r="AG29" s="1">
        <f>('RECEITAS - BLOCOS PAN'!AE17-'OPEX - BLOCOS PAN'!AE17-VLOOKUP('BLOCOS - AMPLIAR'!$E10,'CAPEX - BLOCOS PAN'!$C$3:$AE$52,29,FALSE))*'BLOCOS - AMPLIAR'!AG$57</f>
        <v>-283859.78854365688</v>
      </c>
      <c r="AH29" s="1">
        <f>('RECEITAS - BLOCOS PAN'!AF17-'OPEX - BLOCOS PAN'!AF17-VLOOKUP('BLOCOS - AMPLIAR'!$E10,'CAPEX - BLOCOS PAN'!$C$3:$AF$52,30,FALSE))*'BLOCOS - AMPLIAR'!AH$57</f>
        <v>-256988.14065429659</v>
      </c>
      <c r="AI29" s="1">
        <f>('RECEITAS - BLOCOS PAN'!AG17-'OPEX - BLOCOS PAN'!AG17-VLOOKUP('BLOCOS - AMPLIAR'!$E10,'CAPEX - BLOCOS PAN'!$C$3:$AG$52,31,FALSE))*'BLOCOS - AMPLIAR'!AI$57</f>
        <v>-232868.93274723686</v>
      </c>
      <c r="AJ29" s="1">
        <f>('RECEITAS - BLOCOS PAN'!AH17-'OPEX - BLOCOS PAN'!AH17-VLOOKUP('BLOCOS - AMPLIAR'!$E10,'CAPEX - BLOCOS PAN'!$C$3:$AH$52,32,FALSE))*'BLOCOS - AMPLIAR'!AJ$57</f>
        <v>-310288.05667357182</v>
      </c>
      <c r="AK29" s="1">
        <f>('RECEITAS - BLOCOS PAN'!AI17-'OPEX - BLOCOS PAN'!AI17-VLOOKUP('BLOCOS - AMPLIAR'!$E10,'CAPEX - BLOCOS PAN'!$C$3:$AI$52,33,FALSE))*'BLOCOS - AMPLIAR'!AK$57</f>
        <v>-281678.06955734995</v>
      </c>
      <c r="AL29" s="1">
        <f>('RECEITAS - BLOCOS PAN'!AJ17-'OPEX - BLOCOS PAN'!AJ17-VLOOKUP('BLOCOS - AMPLIAR'!$E10,'CAPEX - BLOCOS PAN'!$C$3:$AJ$52,34,FALSE))*'BLOCOS - AMPLIAR'!AL$57</f>
        <v>-255670.78421048055</v>
      </c>
      <c r="AM29" s="1">
        <f>('RECEITAS - BLOCOS PAN'!AK17-'OPEX - BLOCOS PAN'!AK17-VLOOKUP('BLOCOS - AMPLIAR'!$E10,'CAPEX - BLOCOS PAN'!$C$3:$AK$52,35,FALSE))*'BLOCOS - AMPLIAR'!AM$57</f>
        <v>-232029.70543629385</v>
      </c>
      <c r="AN29" s="1">
        <f>SUM(J29:X29)</f>
        <v>-186414412.62175012</v>
      </c>
      <c r="AO29" s="88"/>
      <c r="AP29" s="44">
        <f>SUM(J29:AM29)</f>
        <v>-191918375.99424273</v>
      </c>
      <c r="AQ29" s="88"/>
      <c r="AR29" s="48">
        <f>VLOOKUP(E29,'Projeção - Demanda PAX'!$C$3:$H$37,6,FALSE)</f>
        <v>13750</v>
      </c>
      <c r="AS29">
        <v>1</v>
      </c>
      <c r="AT29">
        <v>-3.0166666666666666</v>
      </c>
      <c r="AU29">
        <v>-47.3</v>
      </c>
    </row>
    <row r="30" spans="1:47" x14ac:dyDescent="0.35">
      <c r="A30" s="89"/>
      <c r="B30" t="s">
        <v>97</v>
      </c>
      <c r="C30" t="s">
        <v>98</v>
      </c>
      <c r="D30">
        <v>150730</v>
      </c>
      <c r="E30" t="s">
        <v>99</v>
      </c>
      <c r="F30" t="s">
        <v>98</v>
      </c>
      <c r="G30" t="s">
        <v>29</v>
      </c>
      <c r="H30" t="s">
        <v>259</v>
      </c>
      <c r="I30" t="s">
        <v>33</v>
      </c>
      <c r="J30" s="1">
        <f>(VLOOKUP($E30,'RECEITAS - BLOCOS PAN'!$D$3:$H$52,5,FALSE)-VLOOKUP('BLOCOS - AMPLIAR'!$E30,'OPEX - BLOCOS PAN'!$D$3:$H$52,5,FALSE)-VLOOKUP('BLOCOS - AMPLIAR'!$E30,'CAPEX - BLOCOS PAN'!$C$3:$H$52,6,FALSE))*'BLOCOS - AMPLIAR'!J$57</f>
        <v>-18380901.850200001</v>
      </c>
      <c r="K30" s="1">
        <f>(VLOOKUP($E30,'RECEITAS - BLOCOS PAN'!$D$3:$I$52,6,FALSE)-VLOOKUP('BLOCOS - AMPLIAR'!$E30,'OPEX - BLOCOS PAN'!$D$3:$I$52,6,FALSE)-VLOOKUP('BLOCOS - AMPLIAR'!$E30,'CAPEX - BLOCOS PAN'!$C$3:$I$52,7,FALSE))*'BLOCOS - AMPLIAR'!K$57</f>
        <v>-16767215.941305343</v>
      </c>
      <c r="L30" s="1">
        <f>(VLOOKUP($E30,'RECEITAS - BLOCOS PAN'!$D$3:$J$52,7,FALSE)-VLOOKUP('BLOCOS - AMPLIAR'!$E30,'OPEX - BLOCOS PAN'!$D$3:$J$52,7,FALSE)-VLOOKUP('BLOCOS - AMPLIAR'!$E30,'CAPEX - BLOCOS PAN'!$C$3:$J$52,8,FALSE))*'BLOCOS - AMPLIAR'!L$57</f>
        <v>-15297298.93441928</v>
      </c>
      <c r="M30" s="1">
        <f>('RECEITAS - BLOCOS PAN'!K18-'OPEX - BLOCOS PAN'!K18-VLOOKUP('BLOCOS - AMPLIAR'!$E11,'CAPEX - BLOCOS PAN'!$C$3:$K$52,9,FALSE))*'BLOCOS - AMPLIAR'!M$57</f>
        <v>-2055758.6785662619</v>
      </c>
      <c r="N30" s="1">
        <f>('RECEITAS - BLOCOS PAN'!L18-'OPEX - BLOCOS PAN'!L18-VLOOKUP('BLOCOS - AMPLIAR'!$E11,'CAPEX - BLOCOS PAN'!$C$3:$L$52,10,FALSE))*'BLOCOS - AMPLIAR'!N$57</f>
        <v>-1872279.0926948448</v>
      </c>
      <c r="O30" s="1">
        <f>('RECEITAS - BLOCOS PAN'!M18-'OPEX - BLOCOS PAN'!M18-VLOOKUP('BLOCOS - AMPLIAR'!$E11,'CAPEX - BLOCOS PAN'!$C$3:$M$52,11,FALSE))*'BLOCOS - AMPLIAR'!O$57</f>
        <v>-1705519.9256972831</v>
      </c>
      <c r="P30" s="1">
        <f>('RECEITAS - BLOCOS PAN'!N18-'OPEX - BLOCOS PAN'!N18-VLOOKUP('BLOCOS - AMPLIAR'!$E11,'CAPEX - BLOCOS PAN'!$C$3:$N$52,12,FALSE))*'BLOCOS - AMPLIAR'!P$57</f>
        <v>-1553631.3751703366</v>
      </c>
      <c r="Q30" s="1">
        <f>('RECEITAS - BLOCOS PAN'!O18-'OPEX - BLOCOS PAN'!O18-VLOOKUP('BLOCOS - AMPLIAR'!$E11,'CAPEX - BLOCOS PAN'!$C$3:$O$52,13,FALSE))*'BLOCOS - AMPLIAR'!Q$57</f>
        <v>-1415195.8472297362</v>
      </c>
      <c r="R30" s="1">
        <f>('RECEITAS - BLOCOS PAN'!P18-'OPEX - BLOCOS PAN'!P18-VLOOKUP('BLOCOS - AMPLIAR'!$E11,'CAPEX - BLOCOS PAN'!$C$3:$P$52,14,FALSE))*'BLOCOS - AMPLIAR'!R$57</f>
        <v>-1289151.8010247804</v>
      </c>
      <c r="S30" s="1">
        <f>('RECEITAS - BLOCOS PAN'!Q18-'OPEX - BLOCOS PAN'!Q18-VLOOKUP('BLOCOS - AMPLIAR'!$E11,'CAPEX - BLOCOS PAN'!$C$3:$Q$52,15,FALSE))*'BLOCOS - AMPLIAR'!S$57</f>
        <v>-1174486.0907908056</v>
      </c>
      <c r="T30" s="1">
        <f>('RECEITAS - BLOCOS PAN'!R18-'OPEX - BLOCOS PAN'!R18-VLOOKUP('BLOCOS - AMPLIAR'!$E11,'CAPEX - BLOCOS PAN'!$C$3:$R$52,16,FALSE))*'BLOCOS - AMPLIAR'!T$57</f>
        <v>-1070090.1324094778</v>
      </c>
      <c r="U30" s="1">
        <f>('RECEITAS - BLOCOS PAN'!S18-'OPEX - BLOCOS PAN'!S18-VLOOKUP('BLOCOS - AMPLIAR'!$E11,'CAPEX - BLOCOS PAN'!$C$3:$S$52,17,FALSE))*'BLOCOS - AMPLIAR'!U$57</f>
        <v>-974933.2238725035</v>
      </c>
      <c r="V30" s="1">
        <f>('RECEITAS - BLOCOS PAN'!T18-'OPEX - BLOCOS PAN'!T18-VLOOKUP('BLOCOS - AMPLIAR'!$E11,'CAPEX - BLOCOS PAN'!$C$3:$T$52,18,FALSE))*'BLOCOS - AMPLIAR'!V$57</f>
        <v>-888249.33184299048</v>
      </c>
      <c r="W30" s="1">
        <f>('RECEITAS - BLOCOS PAN'!U18-'OPEX - BLOCOS PAN'!U18-VLOOKUP('BLOCOS - AMPLIAR'!$E11,'CAPEX - BLOCOS PAN'!$C$3:$U$52,19,FALSE))*'BLOCOS - AMPLIAR'!W$57</f>
        <v>-809204.25637137354</v>
      </c>
      <c r="X30" s="1">
        <f>('RECEITAS - BLOCOS PAN'!V18-'OPEX - BLOCOS PAN'!V18-VLOOKUP('BLOCOS - AMPLIAR'!$E11,'CAPEX - BLOCOS PAN'!$C$3:$V$52,20,FALSE))*'BLOCOS - AMPLIAR'!X$57</f>
        <v>-737202.41977519728</v>
      </c>
      <c r="Y30" s="1">
        <f>('RECEITAS - BLOCOS PAN'!W18-'OPEX - BLOCOS PAN'!W18-VLOOKUP('BLOCOS - AMPLIAR'!$E11,'CAPEX - BLOCOS PAN'!$C$3:$W$52,21,FALSE))*'BLOCOS - AMPLIAR'!Y$57</f>
        <v>-671552.29655403935</v>
      </c>
      <c r="Z30" s="1">
        <f>('RECEITAS - BLOCOS PAN'!X18-'OPEX - BLOCOS PAN'!X18-VLOOKUP('BLOCOS - AMPLIAR'!$E11,'CAPEX - BLOCOS PAN'!$C$3:$X$52,22,FALSE))*'BLOCOS - AMPLIAR'!Z$57</f>
        <v>-611737.01640373573</v>
      </c>
      <c r="AA30" s="1">
        <f>('RECEITAS - BLOCOS PAN'!Y18-'OPEX - BLOCOS PAN'!Y18-VLOOKUP('BLOCOS - AMPLIAR'!$E11,'CAPEX - BLOCOS PAN'!$C$3:$Y$52,23,FALSE))*'BLOCOS - AMPLIAR'!AA$57</f>
        <v>-557207.76284341211</v>
      </c>
      <c r="AB30" s="1">
        <f>('RECEITAS - BLOCOS PAN'!Z18-'OPEX - BLOCOS PAN'!Z18-VLOOKUP('BLOCOS - AMPLIAR'!$E11,'CAPEX - BLOCOS PAN'!$C$3:$Z$52,24,FALSE))*'BLOCOS - AMPLIAR'!AB$57</f>
        <v>-507506.34268436197</v>
      </c>
      <c r="AC30" s="1">
        <f>('RECEITAS - BLOCOS PAN'!AA18-'OPEX - BLOCOS PAN'!AA18-VLOOKUP('BLOCOS - AMPLIAR'!$E11,'CAPEX - BLOCOS PAN'!$C$3:$AA$52,25,FALSE))*'BLOCOS - AMPLIAR'!AC$57</f>
        <v>-462208.07235054177</v>
      </c>
      <c r="AD30" s="1">
        <f>('RECEITAS - BLOCOS PAN'!AB18-'OPEX - BLOCOS PAN'!AB18-VLOOKUP('BLOCOS - AMPLIAR'!$E11,'CAPEX - BLOCOS PAN'!$C$3:$AB$52,26,FALSE))*'BLOCOS - AMPLIAR'!AD$57</f>
        <v>-420953.99523267563</v>
      </c>
      <c r="AE30" s="1">
        <f>('RECEITAS - BLOCOS PAN'!AC18-'OPEX - BLOCOS PAN'!AC18-VLOOKUP('BLOCOS - AMPLIAR'!$E11,'CAPEX - BLOCOS PAN'!$C$3:$AC$52,27,FALSE))*'BLOCOS - AMPLIAR'!AE$57</f>
        <v>-383351.80841940438</v>
      </c>
      <c r="AF30" s="1">
        <f>('RECEITAS - BLOCOS PAN'!AD18-'OPEX - BLOCOS PAN'!AD18-VLOOKUP('BLOCOS - AMPLIAR'!$E11,'CAPEX - BLOCOS PAN'!$C$3:$AD$52,28,FALSE))*'BLOCOS - AMPLIAR'!AF$57</f>
        <v>-349106.53079492599</v>
      </c>
      <c r="AG30" s="1">
        <f>('RECEITAS - BLOCOS PAN'!AE18-'OPEX - BLOCOS PAN'!AE18-VLOOKUP('BLOCOS - AMPLIAR'!$E11,'CAPEX - BLOCOS PAN'!$C$3:$AE$52,29,FALSE))*'BLOCOS - AMPLIAR'!AG$57</f>
        <v>-317899.33877044573</v>
      </c>
      <c r="AH30" s="1">
        <f>('RECEITAS - BLOCOS PAN'!AF18-'OPEX - BLOCOS PAN'!AF18-VLOOKUP('BLOCOS - AMPLIAR'!$E11,'CAPEX - BLOCOS PAN'!$C$3:$AF$52,30,FALSE))*'BLOCOS - AMPLIAR'!AH$57</f>
        <v>-289473.62396016729</v>
      </c>
      <c r="AI30" s="1">
        <f>('RECEITAS - BLOCOS PAN'!AG18-'OPEX - BLOCOS PAN'!AG18-VLOOKUP('BLOCOS - AMPLIAR'!$E11,'CAPEX - BLOCOS PAN'!$C$3:$AG$52,31,FALSE))*'BLOCOS - AMPLIAR'!AI$57</f>
        <v>-263566.18399638723</v>
      </c>
      <c r="AJ30" s="1">
        <f>('RECEITAS - BLOCOS PAN'!AH18-'OPEX - BLOCOS PAN'!AH18-VLOOKUP('BLOCOS - AMPLIAR'!$E11,'CAPEX - BLOCOS PAN'!$C$3:$AH$52,32,FALSE))*'BLOCOS - AMPLIAR'!AJ$57</f>
        <v>-239989.20445370299</v>
      </c>
      <c r="AK30" s="1">
        <f>('RECEITAS - BLOCOS PAN'!AI18-'OPEX - BLOCOS PAN'!AI18-VLOOKUP('BLOCOS - AMPLIAR'!$E11,'CAPEX - BLOCOS PAN'!$C$3:$AI$52,33,FALSE))*'BLOCOS - AMPLIAR'!AK$57</f>
        <v>-218533.30753892087</v>
      </c>
      <c r="AL30" s="1">
        <f>('RECEITAS - BLOCOS PAN'!AJ18-'OPEX - BLOCOS PAN'!AJ18-VLOOKUP('BLOCOS - AMPLIAR'!$E11,'CAPEX - BLOCOS PAN'!$C$3:$AJ$52,34,FALSE))*'BLOCOS - AMPLIAR'!AL$57</f>
        <v>-198978.48195049464</v>
      </c>
      <c r="AM30" s="1">
        <f>('RECEITAS - BLOCOS PAN'!AK18-'OPEX - BLOCOS PAN'!AK18-VLOOKUP('BLOCOS - AMPLIAR'!$E11,'CAPEX - BLOCOS PAN'!$C$3:$AK$52,35,FALSE))*'BLOCOS - AMPLIAR'!AM$57</f>
        <v>-181159.42891425252</v>
      </c>
      <c r="AN30" s="1">
        <f>SUM(J30:X30)</f>
        <v>-65991118.901370205</v>
      </c>
      <c r="AO30" s="88"/>
      <c r="AP30" s="44">
        <f>SUM(J30:AM30)</f>
        <v>-71664342.296237692</v>
      </c>
      <c r="AQ30" s="88"/>
      <c r="AR30" s="48">
        <f>VLOOKUP(E30,'Projeção - Demanda PAX'!$C$3:$H$37,6,FALSE)</f>
        <v>6832</v>
      </c>
      <c r="AS30">
        <v>1</v>
      </c>
      <c r="AT30">
        <v>-6.6333333333333329</v>
      </c>
      <c r="AU30">
        <v>-51.95</v>
      </c>
    </row>
    <row r="31" spans="1:47" x14ac:dyDescent="0.35">
      <c r="A31" s="89" t="str">
        <f>VLOOKUP(E31,'FLUXO DE CAIXA DESC.-SEM MULT.'!$D$3:$AT$52,43,FALSE)</f>
        <v>Bloco 7 - RO</v>
      </c>
      <c r="B31" t="s">
        <v>54</v>
      </c>
      <c r="C31" t="s">
        <v>168</v>
      </c>
      <c r="D31">
        <v>110010</v>
      </c>
      <c r="E31" t="s">
        <v>56</v>
      </c>
      <c r="F31" t="s">
        <v>55</v>
      </c>
      <c r="G31" t="s">
        <v>30</v>
      </c>
      <c r="H31" t="s">
        <v>259</v>
      </c>
      <c r="I31" t="s">
        <v>33</v>
      </c>
      <c r="J31" s="1">
        <f>(VLOOKUP($E31,'RECEITAS - BLOCOS PAN'!$D$3:$H$52,5,FALSE)-VLOOKUP('BLOCOS - AMPLIAR'!$E31,'OPEX - BLOCOS PAN'!$D$3:$H$52,5,FALSE)-VLOOKUP('BLOCOS - AMPLIAR'!$E31,'CAPEX - BLOCOS PAN'!$C$3:$H$52,6,FALSE))*'BLOCOS - AMPLIAR'!J$57</f>
        <v>-26178388.263599999</v>
      </c>
      <c r="K31" s="1">
        <f>(VLOOKUP($E31,'RECEITAS - BLOCOS PAN'!$D$3:$I$52,6,FALSE)-VLOOKUP('BLOCOS - AMPLIAR'!$E31,'OPEX - BLOCOS PAN'!$D$3:$I$52,6,FALSE)-VLOOKUP('BLOCOS - AMPLIAR'!$E31,'CAPEX - BLOCOS PAN'!$C$3:$I$52,7,FALSE))*'BLOCOS - AMPLIAR'!K$57</f>
        <v>-23870543.544500232</v>
      </c>
      <c r="L31" s="1">
        <f>(VLOOKUP($E31,'RECEITAS - BLOCOS PAN'!$D$3:$J$52,7,FALSE)-VLOOKUP('BLOCOS - AMPLIAR'!$E31,'OPEX - BLOCOS PAN'!$D$3:$J$52,7,FALSE)-VLOOKUP('BLOCOS - AMPLIAR'!$E31,'CAPEX - BLOCOS PAN'!$C$3:$J$52,8,FALSE))*'BLOCOS - AMPLIAR'!L$57</f>
        <v>-21770234.976703376</v>
      </c>
      <c r="M31" s="1">
        <f>('RECEITAS - BLOCOS PAN'!K6-'OPEX - BLOCOS PAN'!K6-VLOOKUP('BLOCOS - AMPLIAR'!$E6,'CAPEX - BLOCOS PAN'!$C$3:$K$52,9,FALSE))*'BLOCOS - AMPLIAR'!M$57</f>
        <v>-1846496.5567118595</v>
      </c>
      <c r="N31" s="1">
        <f>('RECEITAS - BLOCOS PAN'!L6-'OPEX - BLOCOS PAN'!L6-VLOOKUP('BLOCOS - AMPLIAR'!$E6,'CAPEX - BLOCOS PAN'!$C$3:$L$52,10,FALSE))*'BLOCOS - AMPLIAR'!N$57</f>
        <v>-1674299.5299619292</v>
      </c>
      <c r="O31" s="1">
        <f>('RECEITAS - BLOCOS PAN'!M6-'OPEX - BLOCOS PAN'!M6-VLOOKUP('BLOCOS - AMPLIAR'!$E6,'CAPEX - BLOCOS PAN'!$C$3:$M$52,11,FALSE))*'BLOCOS - AMPLIAR'!O$57</f>
        <v>-1518699.507791718</v>
      </c>
      <c r="P31" s="1">
        <f>('RECEITAS - BLOCOS PAN'!N6-'OPEX - BLOCOS PAN'!N6-VLOOKUP('BLOCOS - AMPLIAR'!$E6,'CAPEX - BLOCOS PAN'!$C$3:$N$52,12,FALSE))*'BLOCOS - AMPLIAR'!P$57</f>
        <v>-1377808.3079365154</v>
      </c>
      <c r="Q31" s="1">
        <f>('RECEITAS - BLOCOS PAN'!O6-'OPEX - BLOCOS PAN'!O6-VLOOKUP('BLOCOS - AMPLIAR'!$E6,'CAPEX - BLOCOS PAN'!$C$3:$O$52,13,FALSE))*'BLOCOS - AMPLIAR'!Q$57</f>
        <v>-1250078.212465192</v>
      </c>
      <c r="R31" s="1">
        <f>('RECEITAS - BLOCOS PAN'!P6-'OPEX - BLOCOS PAN'!P6-VLOOKUP('BLOCOS - AMPLIAR'!$E6,'CAPEX - BLOCOS PAN'!$C$3:$P$52,14,FALSE))*'BLOCOS - AMPLIAR'!R$57</f>
        <v>-1134620.6516970184</v>
      </c>
      <c r="S31" s="1">
        <f>('RECEITAS - BLOCOS PAN'!Q6-'OPEX - BLOCOS PAN'!Q6-VLOOKUP('BLOCOS - AMPLIAR'!$E6,'CAPEX - BLOCOS PAN'!$C$3:$Q$52,15,FALSE))*'BLOCOS - AMPLIAR'!S$57</f>
        <v>-1030084.6453668341</v>
      </c>
      <c r="T31" s="1">
        <f>('RECEITAS - BLOCOS PAN'!R6-'OPEX - BLOCOS PAN'!R6-VLOOKUP('BLOCOS - AMPLIAR'!$E6,'CAPEX - BLOCOS PAN'!$C$3:$R$52,16,FALSE))*'BLOCOS - AMPLIAR'!T$57</f>
        <v>-935359.23095364391</v>
      </c>
      <c r="U31" s="1">
        <f>('RECEITAS - BLOCOS PAN'!S6-'OPEX - BLOCOS PAN'!S6-VLOOKUP('BLOCOS - AMPLIAR'!$E6,'CAPEX - BLOCOS PAN'!$C$3:$S$52,17,FALSE))*'BLOCOS - AMPLIAR'!U$57</f>
        <v>-849325.87941608077</v>
      </c>
      <c r="V31" s="1">
        <f>('RECEITAS - BLOCOS PAN'!T6-'OPEX - BLOCOS PAN'!T6-VLOOKUP('BLOCOS - AMPLIAR'!$E6,'CAPEX - BLOCOS PAN'!$C$3:$T$52,18,FALSE))*'BLOCOS - AMPLIAR'!V$57</f>
        <v>-771260.95492408413</v>
      </c>
      <c r="W31" s="1">
        <f>('RECEITAS - BLOCOS PAN'!U6-'OPEX - BLOCOS PAN'!U6-VLOOKUP('BLOCOS - AMPLIAR'!$E6,'CAPEX - BLOCOS PAN'!$C$3:$U$52,19,FALSE))*'BLOCOS - AMPLIAR'!W$57</f>
        <v>-700186.03089739871</v>
      </c>
      <c r="X31" s="1">
        <f>('RECEITAS - BLOCOS PAN'!V6-'OPEX - BLOCOS PAN'!V6-VLOOKUP('BLOCOS - AMPLIAR'!$E6,'CAPEX - BLOCOS PAN'!$C$3:$V$52,20,FALSE))*'BLOCOS - AMPLIAR'!X$57</f>
        <v>-635701.80686420656</v>
      </c>
      <c r="Y31" s="1">
        <f>('RECEITAS - BLOCOS PAN'!W6-'OPEX - BLOCOS PAN'!W6-VLOOKUP('BLOCOS - AMPLIAR'!$E6,'CAPEX - BLOCOS PAN'!$C$3:$W$52,21,FALSE))*'BLOCOS - AMPLIAR'!Y$57</f>
        <v>-615569.25690294057</v>
      </c>
      <c r="Z31" s="1">
        <f>('RECEITAS - BLOCOS PAN'!X6-'OPEX - BLOCOS PAN'!X6-VLOOKUP('BLOCOS - AMPLIAR'!$E6,'CAPEX - BLOCOS PAN'!$C$3:$X$52,22,FALSE))*'BLOCOS - AMPLIAR'!Z$57</f>
        <v>-558977.64775668085</v>
      </c>
      <c r="AA31" s="1">
        <f>('RECEITAS - BLOCOS PAN'!Y6-'OPEX - BLOCOS PAN'!Y6-VLOOKUP('BLOCOS - AMPLIAR'!$E6,'CAPEX - BLOCOS PAN'!$C$3:$Y$52,23,FALSE))*'BLOCOS - AMPLIAR'!AA$57</f>
        <v>-507471.93337049708</v>
      </c>
      <c r="AB31" s="1">
        <f>('RECEITAS - BLOCOS PAN'!Z6-'OPEX - BLOCOS PAN'!Z6-VLOOKUP('BLOCOS - AMPLIAR'!$E6,'CAPEX - BLOCOS PAN'!$C$3:$Z$52,24,FALSE))*'BLOCOS - AMPLIAR'!AB$57</f>
        <v>-460645.96536325681</v>
      </c>
      <c r="AC31" s="1">
        <f>('RECEITAS - BLOCOS PAN'!AA6-'OPEX - BLOCOS PAN'!AA6-VLOOKUP('BLOCOS - AMPLIAR'!$E6,'CAPEX - BLOCOS PAN'!$C$3:$AA$52,25,FALSE))*'BLOCOS - AMPLIAR'!AC$57</f>
        <v>-418122.42306778836</v>
      </c>
      <c r="AD31" s="1">
        <f>('RECEITAS - BLOCOS PAN'!AB6-'OPEX - BLOCOS PAN'!AB6-VLOOKUP('BLOCOS - AMPLIAR'!$E6,'CAPEX - BLOCOS PAN'!$C$3:$AB$52,26,FALSE))*'BLOCOS - AMPLIAR'!AD$57</f>
        <v>-379514.49009532743</v>
      </c>
      <c r="AE31" s="1">
        <f>('RECEITAS - BLOCOS PAN'!AC6-'OPEX - BLOCOS PAN'!AC6-VLOOKUP('BLOCOS - AMPLIAR'!$E6,'CAPEX - BLOCOS PAN'!$C$3:$AC$52,27,FALSE))*'BLOCOS - AMPLIAR'!AE$57</f>
        <v>-344428.93117002829</v>
      </c>
      <c r="AF31" s="1">
        <f>('RECEITAS - BLOCOS PAN'!AD6-'OPEX - BLOCOS PAN'!AD6-VLOOKUP('BLOCOS - AMPLIAR'!$E6,'CAPEX - BLOCOS PAN'!$C$3:$AD$52,28,FALSE))*'BLOCOS - AMPLIAR'!AF$57</f>
        <v>-312589.75618424977</v>
      </c>
      <c r="AG31" s="1">
        <f>('RECEITAS - BLOCOS PAN'!AE6-'OPEX - BLOCOS PAN'!AE6-VLOOKUP('BLOCOS - AMPLIAR'!$E6,'CAPEX - BLOCOS PAN'!$C$3:$AE$52,29,FALSE))*'BLOCOS - AMPLIAR'!AG$57</f>
        <v>-283775.25779353268</v>
      </c>
      <c r="AH31" s="1">
        <f>('RECEITAS - BLOCOS PAN'!AF6-'OPEX - BLOCOS PAN'!AF6-VLOOKUP('BLOCOS - AMPLIAR'!$E6,'CAPEX - BLOCOS PAN'!$C$3:$AF$52,30,FALSE))*'BLOCOS - AMPLIAR'!AH$57</f>
        <v>-257674.61455302782</v>
      </c>
      <c r="AI31" s="1">
        <f>('RECEITAS - BLOCOS PAN'!AG6-'OPEX - BLOCOS PAN'!AG6-VLOOKUP('BLOCOS - AMPLIAR'!$E6,'CAPEX - BLOCOS PAN'!$C$3:$AG$52,31,FALSE))*'BLOCOS - AMPLIAR'!AI$57</f>
        <v>-233968.00579864529</v>
      </c>
      <c r="AJ31" s="1">
        <f>('RECEITAS - BLOCOS PAN'!AH6-'OPEX - BLOCOS PAN'!AH6-VLOOKUP('BLOCOS - AMPLIAR'!$E6,'CAPEX - BLOCOS PAN'!$C$3:$AH$52,32,FALSE))*'BLOCOS - AMPLIAR'!AJ$57</f>
        <v>-212463.16617060275</v>
      </c>
      <c r="AK31" s="1">
        <f>('RECEITAS - BLOCOS PAN'!AI6-'OPEX - BLOCOS PAN'!AI6-VLOOKUP('BLOCOS - AMPLIAR'!$E6,'CAPEX - BLOCOS PAN'!$C$3:$AI$52,33,FALSE))*'BLOCOS - AMPLIAR'!AK$57</f>
        <v>-192921.06799313278</v>
      </c>
      <c r="AL31" s="1">
        <f>('RECEITAS - BLOCOS PAN'!AJ6-'OPEX - BLOCOS PAN'!AJ6-VLOOKUP('BLOCOS - AMPLIAR'!$E6,'CAPEX - BLOCOS PAN'!$C$3:$AJ$52,34,FALSE))*'BLOCOS - AMPLIAR'!AL$57</f>
        <v>-175152.67000975669</v>
      </c>
      <c r="AM31" s="1">
        <f>('RECEITAS - BLOCOS PAN'!AK6-'OPEX - BLOCOS PAN'!AK6-VLOOKUP('BLOCOS - AMPLIAR'!$E6,'CAPEX - BLOCOS PAN'!$C$3:$AK$52,35,FALSE))*'BLOCOS - AMPLIAR'!AM$57</f>
        <v>-159001.96519132867</v>
      </c>
      <c r="AN31" s="1">
        <f>SUM(J31:X31)</f>
        <v>-85543088.099790066</v>
      </c>
      <c r="AO31" s="88">
        <f>SUM(AN31:AN34)</f>
        <v>-423551786.50152469</v>
      </c>
      <c r="AP31" s="44">
        <f>SUM(J31:AM31)</f>
        <v>-90655365.251210883</v>
      </c>
      <c r="AQ31" s="88">
        <f>SUM(AP31:AP34)</f>
        <v>-440845999.27011645</v>
      </c>
      <c r="AR31" s="48">
        <f>VLOOKUP(E31,'Projeção - Demanda PAX'!$C$3:$H$37,6,FALSE)</f>
        <v>14179</v>
      </c>
      <c r="AS31">
        <v>1</v>
      </c>
      <c r="AT31">
        <v>-10.783333333333333</v>
      </c>
      <c r="AU31">
        <v>-65.266666666666666</v>
      </c>
    </row>
    <row r="32" spans="1:47" x14ac:dyDescent="0.35">
      <c r="A32" s="89"/>
      <c r="B32" t="s">
        <v>83</v>
      </c>
      <c r="C32" t="s">
        <v>170</v>
      </c>
      <c r="D32">
        <v>110030</v>
      </c>
      <c r="E32" t="s">
        <v>85</v>
      </c>
      <c r="F32" t="s">
        <v>84</v>
      </c>
      <c r="G32" t="s">
        <v>30</v>
      </c>
      <c r="H32" t="s">
        <v>259</v>
      </c>
      <c r="I32" t="s">
        <v>33</v>
      </c>
      <c r="J32" s="1">
        <f>(VLOOKUP($E32,'RECEITAS - BLOCOS PAN'!$D$3:$H$52,5,FALSE)-VLOOKUP('BLOCOS - AMPLIAR'!$E32,'OPEX - BLOCOS PAN'!$D$3:$H$52,5,FALSE)-VLOOKUP('BLOCOS - AMPLIAR'!$E32,'CAPEX - BLOCOS PAN'!$C$3:$H$52,6,FALSE))*'BLOCOS - AMPLIAR'!J$57</f>
        <v>-56720561.982733339</v>
      </c>
      <c r="K32" s="1">
        <f>(VLOOKUP($E32,'RECEITAS - BLOCOS PAN'!$D$3:$I$52,6,FALSE)-VLOOKUP('BLOCOS - AMPLIAR'!$E32,'OPEX - BLOCOS PAN'!$D$3:$I$52,6,FALSE)-VLOOKUP('BLOCOS - AMPLIAR'!$E32,'CAPEX - BLOCOS PAN'!$C$3:$I$52,7,FALSE))*'BLOCOS - AMPLIAR'!K$57</f>
        <v>-51715389.18487753</v>
      </c>
      <c r="L32" s="1">
        <f>(VLOOKUP($E32,'RECEITAS - BLOCOS PAN'!$D$3:$J$52,7,FALSE)-VLOOKUP('BLOCOS - AMPLIAR'!$E32,'OPEX - BLOCOS PAN'!$D$3:$J$52,7,FALSE)-VLOOKUP('BLOCOS - AMPLIAR'!$E32,'CAPEX - BLOCOS PAN'!$C$3:$J$52,8,FALSE))*'BLOCOS - AMPLIAR'!L$57</f>
        <v>-47161910.031460054</v>
      </c>
      <c r="M32" s="1">
        <f>('RECEITAS - BLOCOS PAN'!K15-'OPEX - BLOCOS PAN'!K15-VLOOKUP('BLOCOS - AMPLIAR'!$E51,'CAPEX - BLOCOS PAN'!$C$3:$K$52,9,FALSE))*'BLOCOS - AMPLIAR'!M$57</f>
        <v>-1639013.1195425128</v>
      </c>
      <c r="N32" s="1">
        <f>('RECEITAS - BLOCOS PAN'!L15-'OPEX - BLOCOS PAN'!L15-VLOOKUP('BLOCOS - AMPLIAR'!$E51,'CAPEX - BLOCOS PAN'!$C$3:$L$52,10,FALSE))*'BLOCOS - AMPLIAR'!N$57</f>
        <v>-2172002.119570144</v>
      </c>
      <c r="O32" s="1">
        <f>('RECEITAS - BLOCOS PAN'!M15-'OPEX - BLOCOS PAN'!M15-VLOOKUP('BLOCOS - AMPLIAR'!$E51,'CAPEX - BLOCOS PAN'!$C$3:$M$52,11,FALSE))*'BLOCOS - AMPLIAR'!O$57</f>
        <v>-1958469.6679342645</v>
      </c>
      <c r="P32" s="1">
        <f>('RECEITAS - BLOCOS PAN'!N15-'OPEX - BLOCOS PAN'!N15-VLOOKUP('BLOCOS - AMPLIAR'!$E51,'CAPEX - BLOCOS PAN'!$C$3:$N$52,12,FALSE))*'BLOCOS - AMPLIAR'!P$57</f>
        <v>-1766598.9620403098</v>
      </c>
      <c r="Q32" s="1">
        <f>('RECEITAS - BLOCOS PAN'!O15-'OPEX - BLOCOS PAN'!O15-VLOOKUP('BLOCOS - AMPLIAR'!$E51,'CAPEX - BLOCOS PAN'!$C$3:$O$52,13,FALSE))*'BLOCOS - AMPLIAR'!Q$57</f>
        <v>-1594024.8904539419</v>
      </c>
      <c r="R32" s="1">
        <f>('RECEITAS - BLOCOS PAN'!P15-'OPEX - BLOCOS PAN'!P15-VLOOKUP('BLOCOS - AMPLIAR'!$E51,'CAPEX - BLOCOS PAN'!$C$3:$P$52,14,FALSE))*'BLOCOS - AMPLIAR'!R$57</f>
        <v>-1439076.8211293158</v>
      </c>
      <c r="S32" s="1">
        <f>('RECEITAS - BLOCOS PAN'!Q15-'OPEX - BLOCOS PAN'!Q15-VLOOKUP('BLOCOS - AMPLIAR'!$E51,'CAPEX - BLOCOS PAN'!$C$3:$Q$52,15,FALSE))*'BLOCOS - AMPLIAR'!S$57</f>
        <v>-1300042.7988405107</v>
      </c>
      <c r="T32" s="1">
        <f>('RECEITAS - BLOCOS PAN'!R15-'OPEX - BLOCOS PAN'!R15-VLOOKUP('BLOCOS - AMPLIAR'!$E51,'CAPEX - BLOCOS PAN'!$C$3:$R$52,16,FALSE))*'BLOCOS - AMPLIAR'!T$57</f>
        <v>-1174953.1720871781</v>
      </c>
      <c r="U32" s="1">
        <f>('RECEITAS - BLOCOS PAN'!S15-'OPEX - BLOCOS PAN'!S15-VLOOKUP('BLOCOS - AMPLIAR'!$E51,'CAPEX - BLOCOS PAN'!$C$3:$S$52,17,FALSE))*'BLOCOS - AMPLIAR'!U$57</f>
        <v>-1061834.8808705374</v>
      </c>
      <c r="V32" s="1">
        <f>('RECEITAS - BLOCOS PAN'!T15-'OPEX - BLOCOS PAN'!T15-VLOOKUP('BLOCOS - AMPLIAR'!$E51,'CAPEX - BLOCOS PAN'!$C$3:$T$52,18,FALSE))*'BLOCOS - AMPLIAR'!V$57</f>
        <v>-959508.35837665689</v>
      </c>
      <c r="W32" s="1">
        <f>('RECEITAS - BLOCOS PAN'!U15-'OPEX - BLOCOS PAN'!U15-VLOOKUP('BLOCOS - AMPLIAR'!$E51,'CAPEX - BLOCOS PAN'!$C$3:$U$52,19,FALSE))*'BLOCOS - AMPLIAR'!W$57</f>
        <v>-866698.32598980865</v>
      </c>
      <c r="X32" s="1">
        <f>('RECEITAS - BLOCOS PAN'!V15-'OPEX - BLOCOS PAN'!V15-VLOOKUP('BLOCOS - AMPLIAR'!$E51,'CAPEX - BLOCOS PAN'!$C$3:$V$52,20,FALSE))*'BLOCOS - AMPLIAR'!X$57</f>
        <v>-782848.29728167027</v>
      </c>
      <c r="Y32" s="1">
        <f>('RECEITAS - BLOCOS PAN'!W15-'OPEX - BLOCOS PAN'!W15-VLOOKUP('BLOCOS - AMPLIAR'!$E51,'CAPEX - BLOCOS PAN'!$C$3:$W$52,21,FALSE))*'BLOCOS - AMPLIAR'!Y$57</f>
        <v>-706899.64838645479</v>
      </c>
      <c r="Z32" s="1">
        <f>('RECEITAS - BLOCOS PAN'!X15-'OPEX - BLOCOS PAN'!X15-VLOOKUP('BLOCOS - AMPLIAR'!$E51,'CAPEX - BLOCOS PAN'!$C$3:$X$52,22,FALSE))*'BLOCOS - AMPLIAR'!Z$57</f>
        <v>-638209.99643002695</v>
      </c>
      <c r="AA32" s="1">
        <f>('RECEITAS - BLOCOS PAN'!Y15-'OPEX - BLOCOS PAN'!Y15-VLOOKUP('BLOCOS - AMPLIAR'!$E51,'CAPEX - BLOCOS PAN'!$C$3:$Y$52,23,FALSE))*'BLOCOS - AMPLIAR'!AA$57</f>
        <v>-575905.14600401255</v>
      </c>
      <c r="AB32" s="1">
        <f>('RECEITAS - BLOCOS PAN'!Z15-'OPEX - BLOCOS PAN'!Z15-VLOOKUP('BLOCOS - AMPLIAR'!$E51,'CAPEX - BLOCOS PAN'!$C$3:$Z$52,24,FALSE))*'BLOCOS - AMPLIAR'!AB$57</f>
        <v>-519543.48057822371</v>
      </c>
      <c r="AC32" s="1">
        <f>('RECEITAS - BLOCOS PAN'!AA15-'OPEX - BLOCOS PAN'!AA15-VLOOKUP('BLOCOS - AMPLIAR'!$E51,'CAPEX - BLOCOS PAN'!$C$3:$AA$52,25,FALSE))*'BLOCOS - AMPLIAR'!AC$57</f>
        <v>-468481.07587665715</v>
      </c>
      <c r="AD32" s="1">
        <f>('RECEITAS - BLOCOS PAN'!AB15-'OPEX - BLOCOS PAN'!AB15-VLOOKUP('BLOCOS - AMPLIAR'!$E51,'CAPEX - BLOCOS PAN'!$C$3:$AB$52,26,FALSE))*'BLOCOS - AMPLIAR'!AD$57</f>
        <v>-422477.59472276305</v>
      </c>
      <c r="AE32" s="1">
        <f>('RECEITAS - BLOCOS PAN'!AC15-'OPEX - BLOCOS PAN'!AC15-VLOOKUP('BLOCOS - AMPLIAR'!$E51,'CAPEX - BLOCOS PAN'!$C$3:$AC$52,27,FALSE))*'BLOCOS - AMPLIAR'!AE$57</f>
        <v>-380878.0884998148</v>
      </c>
      <c r="AF32" s="1">
        <f>('RECEITAS - BLOCOS PAN'!AD15-'OPEX - BLOCOS PAN'!AD15-VLOOKUP('BLOCOS - AMPLIAR'!$E51,'CAPEX - BLOCOS PAN'!$C$3:$AD$52,28,FALSE))*'BLOCOS - AMPLIAR'!AF$57</f>
        <v>-343319.28503737476</v>
      </c>
      <c r="AG32" s="1">
        <f>('RECEITAS - BLOCOS PAN'!AE15-'OPEX - BLOCOS PAN'!AE15-VLOOKUP('BLOCOS - AMPLIAR'!$E51,'CAPEX - BLOCOS PAN'!$C$3:$AE$52,29,FALSE))*'BLOCOS - AMPLIAR'!AG$57</f>
        <v>-309575.15025211201</v>
      </c>
      <c r="AH32" s="1">
        <f>('RECEITAS - BLOCOS PAN'!AF15-'OPEX - BLOCOS PAN'!AF15-VLOOKUP('BLOCOS - AMPLIAR'!$E51,'CAPEX - BLOCOS PAN'!$C$3:$AF$52,30,FALSE))*'BLOCOS - AMPLIAR'!AH$57</f>
        <v>-279218.36062298802</v>
      </c>
      <c r="AI32" s="1">
        <f>('RECEITAS - BLOCOS PAN'!AG15-'OPEX - BLOCOS PAN'!AG15-VLOOKUP('BLOCOS - AMPLIAR'!$E51,'CAPEX - BLOCOS PAN'!$C$3:$AG$52,31,FALSE))*'BLOCOS - AMPLIAR'!AI$57</f>
        <v>-251810.03304816788</v>
      </c>
      <c r="AJ32" s="1">
        <f>('RECEITAS - BLOCOS PAN'!AH15-'OPEX - BLOCOS PAN'!AH15-VLOOKUP('BLOCOS - AMPLIAR'!$E51,'CAPEX - BLOCOS PAN'!$C$3:$AH$52,32,FALSE))*'BLOCOS - AMPLIAR'!AJ$57</f>
        <v>-227158.37046965395</v>
      </c>
      <c r="AK32" s="1">
        <f>('RECEITAS - BLOCOS PAN'!AI15-'OPEX - BLOCOS PAN'!AI15-VLOOKUP('BLOCOS - AMPLIAR'!$E51,'CAPEX - BLOCOS PAN'!$C$3:$AI$52,33,FALSE))*'BLOCOS - AMPLIAR'!AK$57</f>
        <v>-204872.59915619899</v>
      </c>
      <c r="AL32" s="1">
        <f>('RECEITAS - BLOCOS PAN'!AJ15-'OPEX - BLOCOS PAN'!AJ15-VLOOKUP('BLOCOS - AMPLIAR'!$E51,'CAPEX - BLOCOS PAN'!$C$3:$AJ$52,34,FALSE))*'BLOCOS - AMPLIAR'!AL$57</f>
        <v>-184696.24766886065</v>
      </c>
      <c r="AM32" s="1">
        <f>('RECEITAS - BLOCOS PAN'!AK15-'OPEX - BLOCOS PAN'!AK15-VLOOKUP('BLOCOS - AMPLIAR'!$E51,'CAPEX - BLOCOS PAN'!$C$3:$AK$52,35,FALSE))*'BLOCOS - AMPLIAR'!AM$57</f>
        <v>-166452.35964563265</v>
      </c>
      <c r="AN32" s="1">
        <f>SUM(J32:X32)</f>
        <v>-172312932.61318782</v>
      </c>
      <c r="AO32" s="88"/>
      <c r="AP32" s="44">
        <f>SUM(J32:AM32)</f>
        <v>-177992430.0495868</v>
      </c>
      <c r="AQ32" s="88"/>
      <c r="AR32" s="48">
        <f>VLOOKUP(E32,'Projeção - Demanda PAX'!$C$3:$H$37,6,FALSE)</f>
        <v>37278</v>
      </c>
      <c r="AS32">
        <v>1</v>
      </c>
      <c r="AT32">
        <v>-12.683333333333334</v>
      </c>
      <c r="AU32">
        <v>-60.083333333333336</v>
      </c>
    </row>
    <row r="33" spans="1:47" x14ac:dyDescent="0.35">
      <c r="A33" s="89"/>
      <c r="B33" t="s">
        <v>111</v>
      </c>
      <c r="C33" t="s">
        <v>174</v>
      </c>
      <c r="D33">
        <v>110004</v>
      </c>
      <c r="E33" t="s">
        <v>113</v>
      </c>
      <c r="F33" t="s">
        <v>112</v>
      </c>
      <c r="G33" t="s">
        <v>30</v>
      </c>
      <c r="H33" t="s">
        <v>259</v>
      </c>
      <c r="I33" t="s">
        <v>33</v>
      </c>
      <c r="J33" s="1">
        <f>(VLOOKUP($E33,'RECEITAS - BLOCOS PAN'!$D$3:$H$52,5,FALSE)-VLOOKUP('BLOCOS - AMPLIAR'!$E33,'OPEX - BLOCOS PAN'!$D$3:$H$52,5,FALSE)-VLOOKUP('BLOCOS - AMPLIAR'!$E33,'CAPEX - BLOCOS PAN'!$C$3:$H$52,6,FALSE))*'BLOCOS - AMPLIAR'!J$57</f>
        <v>-42141266.214766666</v>
      </c>
      <c r="K33" s="1">
        <f>(VLOOKUP($E33,'RECEITAS - BLOCOS PAN'!$D$3:$I$52,6,FALSE)-VLOOKUP('BLOCOS - AMPLIAR'!$E33,'OPEX - BLOCOS PAN'!$D$3:$I$52,6,FALSE)-VLOOKUP('BLOCOS - AMPLIAR'!$E33,'CAPEX - BLOCOS PAN'!$C$3:$I$52,7,FALSE))*'BLOCOS - AMPLIAR'!K$57</f>
        <v>-38396002.209828086</v>
      </c>
      <c r="L33" s="1">
        <f>(VLOOKUP($E33,'RECEITAS - BLOCOS PAN'!$D$3:$J$52,7,FALSE)-VLOOKUP('BLOCOS - AMPLIAR'!$E33,'OPEX - BLOCOS PAN'!$D$3:$J$52,7,FALSE)-VLOOKUP('BLOCOS - AMPLIAR'!$E33,'CAPEX - BLOCOS PAN'!$C$3:$J$52,8,FALSE))*'BLOCOS - AMPLIAR'!L$57</f>
        <v>-35839386.628770463</v>
      </c>
      <c r="M33" s="1">
        <f>('RECEITAS - BLOCOS PAN'!K22-'OPEX - BLOCOS PAN'!K22-VLOOKUP('BLOCOS - AMPLIAR'!$E15,'CAPEX - BLOCOS PAN'!$C$3:$K$52,9,FALSE))*'BLOCOS - AMPLIAR'!M$57</f>
        <v>-2343340.2980390205</v>
      </c>
      <c r="N33" s="1">
        <f>('RECEITAS - BLOCOS PAN'!L22-'OPEX - BLOCOS PAN'!L22-VLOOKUP('BLOCOS - AMPLIAR'!$E15,'CAPEX - BLOCOS PAN'!$C$3:$L$52,10,FALSE))*'BLOCOS - AMPLIAR'!N$57</f>
        <v>-2108009.2962744096</v>
      </c>
      <c r="O33" s="1">
        <f>('RECEITAS - BLOCOS PAN'!M22-'OPEX - BLOCOS PAN'!M22-VLOOKUP('BLOCOS - AMPLIAR'!$E15,'CAPEX - BLOCOS PAN'!$C$3:$M$52,11,FALSE))*'BLOCOS - AMPLIAR'!O$57</f>
        <v>-1897911.222840721</v>
      </c>
      <c r="P33" s="1">
        <f>('RECEITAS - BLOCOS PAN'!N22-'OPEX - BLOCOS PAN'!N22-VLOOKUP('BLOCOS - AMPLIAR'!$E15,'CAPEX - BLOCOS PAN'!$C$3:$N$52,12,FALSE))*'BLOCOS - AMPLIAR'!P$57</f>
        <v>-1709683.3715737851</v>
      </c>
      <c r="Q33" s="1">
        <f>('RECEITAS - BLOCOS PAN'!O22-'OPEX - BLOCOS PAN'!O22-VLOOKUP('BLOCOS - AMPLIAR'!$E15,'CAPEX - BLOCOS PAN'!$C$3:$O$52,13,FALSE))*'BLOCOS - AMPLIAR'!Q$57</f>
        <v>-1540683.2035977577</v>
      </c>
      <c r="R33" s="1">
        <f>('RECEITAS - BLOCOS PAN'!P22-'OPEX - BLOCOS PAN'!P22-VLOOKUP('BLOCOS - AMPLIAR'!$E15,'CAPEX - BLOCOS PAN'!$C$3:$P$52,14,FALSE))*'BLOCOS - AMPLIAR'!R$57</f>
        <v>-1389265.1264487028</v>
      </c>
      <c r="S33" s="1">
        <f>('RECEITAS - BLOCOS PAN'!Q22-'OPEX - BLOCOS PAN'!Q22-VLOOKUP('BLOCOS - AMPLIAR'!$E15,'CAPEX - BLOCOS PAN'!$C$3:$Q$52,15,FALSE))*'BLOCOS - AMPLIAR'!S$57</f>
        <v>-1253622.3372104615</v>
      </c>
      <c r="T33" s="1">
        <f>('RECEITAS - BLOCOS PAN'!R22-'OPEX - BLOCOS PAN'!R22-VLOOKUP('BLOCOS - AMPLIAR'!$E15,'CAPEX - BLOCOS PAN'!$C$3:$R$52,16,FALSE))*'BLOCOS - AMPLIAR'!T$57</f>
        <v>-1131897.2297412148</v>
      </c>
      <c r="U33" s="1">
        <f>('RECEITAS - BLOCOS PAN'!S22-'OPEX - BLOCOS PAN'!S22-VLOOKUP('BLOCOS - AMPLIAR'!$E15,'CAPEX - BLOCOS PAN'!$C$3:$S$52,17,FALSE))*'BLOCOS - AMPLIAR'!U$57</f>
        <v>-1021923.5300445845</v>
      </c>
      <c r="V33" s="1">
        <f>('RECEITAS - BLOCOS PAN'!T22-'OPEX - BLOCOS PAN'!T22-VLOOKUP('BLOCOS - AMPLIAR'!$E15,'CAPEX - BLOCOS PAN'!$C$3:$T$52,18,FALSE))*'BLOCOS - AMPLIAR'!V$57</f>
        <v>-922520.49270143162</v>
      </c>
      <c r="W33" s="1">
        <f>('RECEITAS - BLOCOS PAN'!U22-'OPEX - BLOCOS PAN'!U22-VLOOKUP('BLOCOS - AMPLIAR'!$E15,'CAPEX - BLOCOS PAN'!$C$3:$U$52,19,FALSE))*'BLOCOS - AMPLIAR'!W$57</f>
        <v>-832413.98772233422</v>
      </c>
      <c r="X33" s="1">
        <f>('RECEITAS - BLOCOS PAN'!V22-'OPEX - BLOCOS PAN'!V22-VLOOKUP('BLOCOS - AMPLIAR'!$E15,'CAPEX - BLOCOS PAN'!$C$3:$V$52,20,FALSE))*'BLOCOS - AMPLIAR'!X$57</f>
        <v>-751170.72510834481</v>
      </c>
      <c r="Y33" s="1">
        <f>('RECEITAS - BLOCOS PAN'!W22-'OPEX - BLOCOS PAN'!W22-VLOOKUP('BLOCOS - AMPLIAR'!$E15,'CAPEX - BLOCOS PAN'!$C$3:$W$52,21,FALSE))*'BLOCOS - AMPLIAR'!Y$57</f>
        <v>-677596.42530317511</v>
      </c>
      <c r="Z33" s="1">
        <f>('RECEITAS - BLOCOS PAN'!X22-'OPEX - BLOCOS PAN'!X22-VLOOKUP('BLOCOS - AMPLIAR'!$E15,'CAPEX - BLOCOS PAN'!$C$3:$X$52,22,FALSE))*'BLOCOS - AMPLIAR'!Z$57</f>
        <v>-611115.1012341216</v>
      </c>
      <c r="AA33" s="1">
        <f>('RECEITAS - BLOCOS PAN'!Y22-'OPEX - BLOCOS PAN'!Y22-VLOOKUP('BLOCOS - AMPLIAR'!$E15,'CAPEX - BLOCOS PAN'!$C$3:$Y$52,23,FALSE))*'BLOCOS - AMPLIAR'!AA$57</f>
        <v>-550895.21896142024</v>
      </c>
      <c r="AB33" s="1">
        <f>('RECEITAS - BLOCOS PAN'!Z22-'OPEX - BLOCOS PAN'!Z22-VLOOKUP('BLOCOS - AMPLIAR'!$E15,'CAPEX - BLOCOS PAN'!$C$3:$Z$52,24,FALSE))*'BLOCOS - AMPLIAR'!AB$57</f>
        <v>-496408.03870899783</v>
      </c>
      <c r="AC33" s="1">
        <f>('RECEITAS - BLOCOS PAN'!AA22-'OPEX - BLOCOS PAN'!AA22-VLOOKUP('BLOCOS - AMPLIAR'!$E15,'CAPEX - BLOCOS PAN'!$C$3:$AA$52,25,FALSE))*'BLOCOS - AMPLIAR'!AC$57</f>
        <v>-447170.42142638436</v>
      </c>
      <c r="AD33" s="1">
        <f>('RECEITAS - BLOCOS PAN'!AB22-'OPEX - BLOCOS PAN'!AB22-VLOOKUP('BLOCOS - AMPLIAR'!$E15,'CAPEX - BLOCOS PAN'!$C$3:$AB$52,26,FALSE))*'BLOCOS - AMPLIAR'!AD$57</f>
        <v>-402853.61827061721</v>
      </c>
      <c r="AE33" s="1">
        <f>('RECEITAS - BLOCOS PAN'!AC22-'OPEX - BLOCOS PAN'!AC22-VLOOKUP('BLOCOS - AMPLIAR'!$E15,'CAPEX - BLOCOS PAN'!$C$3:$AC$52,27,FALSE))*'BLOCOS - AMPLIAR'!AE$57</f>
        <v>-362809.4050152977</v>
      </c>
      <c r="AF33" s="1">
        <f>('RECEITAS - BLOCOS PAN'!AD22-'OPEX - BLOCOS PAN'!AD22-VLOOKUP('BLOCOS - AMPLIAR'!$E15,'CAPEX - BLOCOS PAN'!$C$3:$AD$52,28,FALSE))*'BLOCOS - AMPLIAR'!AF$57</f>
        <v>-326718.78215962846</v>
      </c>
      <c r="AG33" s="1">
        <f>('RECEITAS - BLOCOS PAN'!AE22-'OPEX - BLOCOS PAN'!AE22-VLOOKUP('BLOCOS - AMPLIAR'!$E15,'CAPEX - BLOCOS PAN'!$C$3:$AE$52,29,FALSE))*'BLOCOS - AMPLIAR'!AG$57</f>
        <v>-294441.47112647205</v>
      </c>
      <c r="AH33" s="1">
        <f>('RECEITAS - BLOCOS PAN'!AF22-'OPEX - BLOCOS PAN'!AF22-VLOOKUP('BLOCOS - AMPLIAR'!$E15,'CAPEX - BLOCOS PAN'!$C$3:$AF$52,30,FALSE))*'BLOCOS - AMPLIAR'!AH$57</f>
        <v>-265449.15735050937</v>
      </c>
      <c r="AI33" s="1">
        <f>('RECEITAS - BLOCOS PAN'!AG22-'OPEX - BLOCOS PAN'!AG22-VLOOKUP('BLOCOS - AMPLIAR'!$E15,'CAPEX - BLOCOS PAN'!$C$3:$AG$52,31,FALSE))*'BLOCOS - AMPLIAR'!AI$57</f>
        <v>-239307.80856439771</v>
      </c>
      <c r="AJ33" s="1">
        <f>('RECEITAS - BLOCOS PAN'!AH22-'OPEX - BLOCOS PAN'!AH22-VLOOKUP('BLOCOS - AMPLIAR'!$E15,'CAPEX - BLOCOS PAN'!$C$3:$AH$52,32,FALSE))*'BLOCOS - AMPLIAR'!AJ$57</f>
        <v>-215813.02634386034</v>
      </c>
      <c r="AK33" s="1">
        <f>('RECEITAS - BLOCOS PAN'!AI22-'OPEX - BLOCOS PAN'!AI22-VLOOKUP('BLOCOS - AMPLIAR'!$E15,'CAPEX - BLOCOS PAN'!$C$3:$AI$52,33,FALSE))*'BLOCOS - AMPLIAR'!AK$57</f>
        <v>-194595.62184843089</v>
      </c>
      <c r="AL33" s="1">
        <f>('RECEITAS - BLOCOS PAN'!AJ22-'OPEX - BLOCOS PAN'!AJ22-VLOOKUP('BLOCOS - AMPLIAR'!$E15,'CAPEX - BLOCOS PAN'!$C$3:$AJ$52,34,FALSE))*'BLOCOS - AMPLIAR'!AL$57</f>
        <v>-175386.37904977862</v>
      </c>
      <c r="AM33" s="1">
        <f>('RECEITAS - BLOCOS PAN'!AK22-'OPEX - BLOCOS PAN'!AK22-VLOOKUP('BLOCOS - AMPLIAR'!$E15,'CAPEX - BLOCOS PAN'!$C$3:$AK$52,35,FALSE))*'BLOCOS - AMPLIAR'!AM$57</f>
        <v>-158023.49126630576</v>
      </c>
      <c r="AN33" s="1">
        <f>SUM(J33:X33)</f>
        <v>-133279095.874668</v>
      </c>
      <c r="AO33" s="88"/>
      <c r="AP33" s="44">
        <f>SUM(J33:AM33)</f>
        <v>-138697679.84129736</v>
      </c>
      <c r="AQ33" s="88"/>
      <c r="AR33" s="48">
        <f>VLOOKUP(E33,'Projeção - Demanda PAX'!$C$3:$H$37,6,FALSE)</f>
        <v>41162</v>
      </c>
      <c r="AS33">
        <v>1</v>
      </c>
      <c r="AT33">
        <v>-11.483333333333333</v>
      </c>
      <c r="AU33">
        <v>-61.45</v>
      </c>
    </row>
    <row r="34" spans="1:47" x14ac:dyDescent="0.35">
      <c r="A34" s="89"/>
      <c r="B34" t="s">
        <v>125</v>
      </c>
      <c r="C34" s="5" t="s">
        <v>272</v>
      </c>
      <c r="D34">
        <v>110008</v>
      </c>
      <c r="E34" t="s">
        <v>295</v>
      </c>
      <c r="F34" t="s">
        <v>178</v>
      </c>
      <c r="G34" t="s">
        <v>30</v>
      </c>
      <c r="H34" t="s">
        <v>259</v>
      </c>
      <c r="I34" t="s">
        <v>33</v>
      </c>
      <c r="J34" s="1">
        <f>(VLOOKUP($E34,'RECEITAS - BLOCOS PAN'!$D$3:$H$52,5,FALSE)-VLOOKUP('BLOCOS - AMPLIAR'!$E34,'OPEX - BLOCOS PAN'!$D$3:$H$52,5,FALSE)-VLOOKUP('BLOCOS - AMPLIAR'!$E34,'CAPEX - BLOCOS PAN'!$C$3:$H$52,6,FALSE))*'BLOCOS - AMPLIAR'!J$57</f>
        <v>-10752227.989765812</v>
      </c>
      <c r="K34" s="1">
        <f>(VLOOKUP($E34,'RECEITAS - BLOCOS PAN'!$D$3:$I$52,6,FALSE)-VLOOKUP('BLOCOS - AMPLIAR'!$E34,'OPEX - BLOCOS PAN'!$D$3:$I$52,6,FALSE)-VLOOKUP('BLOCOS - AMPLIAR'!$E34,'CAPEX - BLOCOS PAN'!$C$3:$I$52,7,FALSE))*'BLOCOS - AMPLIAR'!K$57</f>
        <v>-9814904.6004252061</v>
      </c>
      <c r="L34" s="1">
        <f>(VLOOKUP($E34,'RECEITAS - BLOCOS PAN'!$D$3:$J$52,7,FALSE)-VLOOKUP('BLOCOS - AMPLIAR'!$E34,'OPEX - BLOCOS PAN'!$D$3:$J$52,7,FALSE)-VLOOKUP('BLOCOS - AMPLIAR'!$E34,'CAPEX - BLOCOS PAN'!$C$3:$J$52,8,FALSE))*'BLOCOS - AMPLIAR'!L$57</f>
        <v>-8959292.1957327295</v>
      </c>
      <c r="M34" s="1">
        <f>'BLOCO RONDÔNIA'!L6</f>
        <v>-378709.31131516962</v>
      </c>
      <c r="N34" s="1">
        <f>'BLOCO RONDÔNIA'!M6</f>
        <v>-345695.40056154237</v>
      </c>
      <c r="O34" s="1">
        <f>'BLOCO RONDÔNIA'!N6</f>
        <v>-315559.47107397747</v>
      </c>
      <c r="P34" s="1">
        <f>'BLOCO RONDÔNIA'!O6</f>
        <v>-288050.63539386354</v>
      </c>
      <c r="Q34" s="1">
        <f>'BLOCO RONDÔNIA'!P6</f>
        <v>-262939.87712812738</v>
      </c>
      <c r="R34" s="1">
        <f>'BLOCO RONDÔNIA'!Q6</f>
        <v>-240018.14434333856</v>
      </c>
      <c r="S34" s="1">
        <f>'BLOCO RONDÔNIA'!R6</f>
        <v>-219094.60916781248</v>
      </c>
      <c r="T34" s="1">
        <f>'BLOCO RONDÔNIA'!S6</f>
        <v>-199995.07911256276</v>
      </c>
      <c r="U34" s="1">
        <f>'BLOCO RONDÔNIA'!T6</f>
        <v>-182560.54688504132</v>
      </c>
      <c r="V34" s="1">
        <f>'BLOCO RONDÔNIA'!U6</f>
        <v>-166645.86662258452</v>
      </c>
      <c r="W34" s="1">
        <f>'BLOCO RONDÔNIA'!V6</f>
        <v>-152118.54552495162</v>
      </c>
      <c r="X34" s="1">
        <f>'BLOCO RONDÔNIA'!W6</f>
        <v>-138857.64082606265</v>
      </c>
      <c r="Y34" s="1">
        <f>'BLOCO RONDÔNIA'!X6</f>
        <v>-126752.75292201064</v>
      </c>
      <c r="Z34" s="1">
        <f>'BLOCO RONDÔNIA'!Y6</f>
        <v>-115703.10627294447</v>
      </c>
      <c r="AA34" s="1">
        <f>'BLOCO RONDÔNIA'!Z6</f>
        <v>-105616.71042715148</v>
      </c>
      <c r="AB34" s="1">
        <f>'BLOCO RONDÔNIA'!AA6</f>
        <v>-96409.594182703338</v>
      </c>
      <c r="AC34" s="1">
        <f>'BLOCO RONDÔNIA'!AB6</f>
        <v>-88005.106510911311</v>
      </c>
      <c r="AD34" s="1">
        <f>'BLOCO RONDÔNIA'!AC6</f>
        <v>-80333.278421644296</v>
      </c>
      <c r="AE34" s="1">
        <f>'BLOCO RONDÔNIA'!AD6</f>
        <v>-73330.240457913547</v>
      </c>
      <c r="AF34" s="1">
        <f>'BLOCO RONDÔNIA'!AE6</f>
        <v>-66937.690970254262</v>
      </c>
      <c r="AG34" s="1">
        <f>'BLOCO RONDÔNIA'!AF6</f>
        <v>-61102.410744184643</v>
      </c>
      <c r="AH34" s="1">
        <f>'BLOCO RONDÔNIA'!AG6</f>
        <v>-55775.819939922083</v>
      </c>
      <c r="AI34" s="1">
        <f>'BLOCO RONDÔNIA'!AH6</f>
        <v>-50913.573655793778</v>
      </c>
      <c r="AJ34" s="1">
        <f>'BLOCO RONDÔNIA'!AI6</f>
        <v>-46475.192748328416</v>
      </c>
      <c r="AK34" s="1">
        <f>'BLOCO RONDÔNIA'!AJ6</f>
        <v>-42423.726835534842</v>
      </c>
      <c r="AL34" s="1">
        <f>'BLOCO RONDÔNIA'!AK6</f>
        <v>-38725.44667780451</v>
      </c>
      <c r="AM34" s="1">
        <f>'BLOCO RONDÔNIA'!AL6</f>
        <v>-35349.563375449121</v>
      </c>
      <c r="AN34" s="1">
        <f>SUM(J34:X34)</f>
        <v>-32416669.913878787</v>
      </c>
      <c r="AO34" s="88"/>
      <c r="AP34" s="44">
        <f>SUM(J34:AM34)</f>
        <v>-33500524.128021337</v>
      </c>
      <c r="AQ34" s="88"/>
      <c r="AR34" s="48">
        <v>0</v>
      </c>
      <c r="AS34">
        <v>1</v>
      </c>
      <c r="AT34">
        <v>-12.416666666666666</v>
      </c>
      <c r="AU34">
        <v>-64.25</v>
      </c>
    </row>
    <row r="35" spans="1:47" x14ac:dyDescent="0.35">
      <c r="A35" s="89" t="str">
        <f>VLOOKUP(E35,'FLUXO DE CAIXA DESC.-SEM MULT.'!$D$3:$AT$52,43,FALSE)</f>
        <v>Bloco 8 - Nordeste</v>
      </c>
      <c r="B35" t="s">
        <v>46</v>
      </c>
      <c r="C35" t="s">
        <v>47</v>
      </c>
      <c r="D35">
        <v>291930</v>
      </c>
      <c r="E35" t="s">
        <v>48</v>
      </c>
      <c r="F35" t="s">
        <v>49</v>
      </c>
      <c r="G35" t="s">
        <v>40</v>
      </c>
      <c r="H35" t="s">
        <v>258</v>
      </c>
      <c r="I35" t="s">
        <v>33</v>
      </c>
      <c r="J35" s="1">
        <f>(VLOOKUP($E35,'RECEITAS - BLOCOS PAN'!$D$3:$H$52,5,FALSE)-VLOOKUP('BLOCOS - AMPLIAR'!$E35,'OPEX - BLOCOS PAN'!$D$3:$H$52,5,FALSE)-VLOOKUP('BLOCOS - AMPLIAR'!$E35,'CAPEX - BLOCOS PAN'!$C$3:$H$52,6,FALSE))*'BLOCOS - AMPLIAR'!J$57</f>
        <v>-30531481.678300001</v>
      </c>
      <c r="K35" s="1">
        <f>(VLOOKUP($E35,'RECEITAS - BLOCOS PAN'!$D$3:$I$52,6,FALSE)-VLOOKUP('BLOCOS - AMPLIAR'!$E35,'OPEX - BLOCOS PAN'!$D$3:$I$52,6,FALSE)-VLOOKUP('BLOCOS - AMPLIAR'!$E35,'CAPEX - BLOCOS PAN'!$C$3:$I$52,7,FALSE))*'BLOCOS - AMPLIAR'!K$57</f>
        <v>-27825346.708900049</v>
      </c>
      <c r="L35" s="1">
        <f>(VLOOKUP($E35,'RECEITAS - BLOCOS PAN'!$D$3:$J$52,7,FALSE)-VLOOKUP('BLOCOS - AMPLIAR'!$E35,'OPEX - BLOCOS PAN'!$D$3:$J$52,7,FALSE)-VLOOKUP('BLOCOS - AMPLIAR'!$E35,'CAPEX - BLOCOS PAN'!$C$3:$J$52,8,FALSE))*'BLOCOS - AMPLIAR'!L$57</f>
        <v>-25513387.458465099</v>
      </c>
      <c r="M35" s="1">
        <f>('RECEITAS - BLOCOS PAN'!K4-'OPEX - BLOCOS PAN'!K4-VLOOKUP('BLOCOS - AMPLIAR'!$E4,'CAPEX - BLOCOS PAN'!$C$3:$K$52,9,FALSE))*'BLOCOS - AMPLIAR'!M$57</f>
        <v>-1900060.0449015312</v>
      </c>
      <c r="N35" s="1">
        <f>('RECEITAS - BLOCOS PAN'!L4-'OPEX - BLOCOS PAN'!L4-VLOOKUP('BLOCOS - AMPLIAR'!$E4,'CAPEX - BLOCOS PAN'!$C$3:$L$52,10,FALSE))*'BLOCOS - AMPLIAR'!N$57</f>
        <v>-1717591.1092148651</v>
      </c>
      <c r="O35" s="1">
        <f>('RECEITAS - BLOCOS PAN'!M4-'OPEX - BLOCOS PAN'!M4-VLOOKUP('BLOCOS - AMPLIAR'!$E4,'CAPEX - BLOCOS PAN'!$C$3:$M$52,11,FALSE))*'BLOCOS - AMPLIAR'!O$57</f>
        <v>-1553797.5658805785</v>
      </c>
      <c r="P35" s="1">
        <f>('RECEITAS - BLOCOS PAN'!N4-'OPEX - BLOCOS PAN'!N4-VLOOKUP('BLOCOS - AMPLIAR'!$E4,'CAPEX - BLOCOS PAN'!$C$3:$N$52,12,FALSE))*'BLOCOS - AMPLIAR'!P$57</f>
        <v>-1406185.0984733291</v>
      </c>
      <c r="Q35" s="1">
        <f>('RECEITAS - BLOCOS PAN'!O4-'OPEX - BLOCOS PAN'!O4-VLOOKUP('BLOCOS - AMPLIAR'!$E4,'CAPEX - BLOCOS PAN'!$C$3:$O$52,13,FALSE))*'BLOCOS - AMPLIAR'!Q$57</f>
        <v>-1272820.3560242893</v>
      </c>
      <c r="R35" s="1">
        <f>('RECEITAS - BLOCOS PAN'!P4-'OPEX - BLOCOS PAN'!P4-VLOOKUP('BLOCOS - AMPLIAR'!$E4,'CAPEX - BLOCOS PAN'!$C$3:$P$52,14,FALSE))*'BLOCOS - AMPLIAR'!R$57</f>
        <v>-1152565.607081481</v>
      </c>
      <c r="S35" s="1">
        <f>('RECEITAS - BLOCOS PAN'!Q4-'OPEX - BLOCOS PAN'!Q4-VLOOKUP('BLOCOS - AMPLIAR'!$E4,'CAPEX - BLOCOS PAN'!$C$3:$Q$52,15,FALSE))*'BLOCOS - AMPLIAR'!S$57</f>
        <v>-1044334.9435309712</v>
      </c>
      <c r="T35" s="1">
        <f>('RECEITAS - BLOCOS PAN'!R4-'OPEX - BLOCOS PAN'!R4-VLOOKUP('BLOCOS - AMPLIAR'!$E4,'CAPEX - BLOCOS PAN'!$C$3:$R$52,16,FALSE))*'BLOCOS - AMPLIAR'!T$57</f>
        <v>-946656.43543883844</v>
      </c>
      <c r="U35" s="1">
        <f>('RECEITAS - BLOCOS PAN'!S4-'OPEX - BLOCOS PAN'!S4-VLOOKUP('BLOCOS - AMPLIAR'!$E4,'CAPEX - BLOCOS PAN'!$C$3:$S$52,17,FALSE))*'BLOCOS - AMPLIAR'!U$57</f>
        <v>-858097.91177499993</v>
      </c>
      <c r="V35" s="1">
        <f>('RECEITAS - BLOCOS PAN'!T4-'OPEX - BLOCOS PAN'!T4-VLOOKUP('BLOCOS - AMPLIAR'!$E4,'CAPEX - BLOCOS PAN'!$C$3:$T$52,18,FALSE))*'BLOCOS - AMPLIAR'!V$57</f>
        <v>-777823.87016272685</v>
      </c>
      <c r="W35" s="1">
        <f>('RECEITAS - BLOCOS PAN'!U4-'OPEX - BLOCOS PAN'!U4-VLOOKUP('BLOCOS - AMPLIAR'!$E4,'CAPEX - BLOCOS PAN'!$C$3:$U$52,19,FALSE))*'BLOCOS - AMPLIAR'!W$57</f>
        <v>-704889.24924584478</v>
      </c>
      <c r="X35" s="1">
        <f>('RECEITAS - BLOCOS PAN'!V4-'OPEX - BLOCOS PAN'!V4-VLOOKUP('BLOCOS - AMPLIAR'!$E4,'CAPEX - BLOCOS PAN'!$C$3:$V$52,20,FALSE))*'BLOCOS - AMPLIAR'!X$57</f>
        <v>-638811.41905259795</v>
      </c>
      <c r="Y35" s="1">
        <f>('RECEITAS - BLOCOS PAN'!W4-'OPEX - BLOCOS PAN'!W4-VLOOKUP('BLOCOS - AMPLIAR'!$E4,'CAPEX - BLOCOS PAN'!$C$3:$W$52,21,FALSE))*'BLOCOS - AMPLIAR'!Y$57</f>
        <v>-578835.75159518281</v>
      </c>
      <c r="Z35" s="1">
        <f>('RECEITAS - BLOCOS PAN'!X4-'OPEX - BLOCOS PAN'!X4-VLOOKUP('BLOCOS - AMPLIAR'!$E4,'CAPEX - BLOCOS PAN'!$C$3:$X$52,22,FALSE))*'BLOCOS - AMPLIAR'!Z$57</f>
        <v>-771425.77689050371</v>
      </c>
      <c r="AA35" s="1">
        <f>('RECEITAS - BLOCOS PAN'!Y4-'OPEX - BLOCOS PAN'!Y4-VLOOKUP('BLOCOS - AMPLIAR'!$E4,'CAPEX - BLOCOS PAN'!$C$3:$Y$52,23,FALSE))*'BLOCOS - AMPLIAR'!AA$57</f>
        <v>-700140.02138720255</v>
      </c>
      <c r="AB35" s="1">
        <f>('RECEITAS - BLOCOS PAN'!Z4-'OPEX - BLOCOS PAN'!Z4-VLOOKUP('BLOCOS - AMPLIAR'!$E4,'CAPEX - BLOCOS PAN'!$C$3:$Z$52,24,FALSE))*'BLOCOS - AMPLIAR'!AB$57</f>
        <v>-635373.26920824649</v>
      </c>
      <c r="AC35" s="1">
        <f>('RECEITAS - BLOCOS PAN'!AA4-'OPEX - BLOCOS PAN'!AA4-VLOOKUP('BLOCOS - AMPLIAR'!$E4,'CAPEX - BLOCOS PAN'!$C$3:$AA$52,25,FALSE))*'BLOCOS - AMPLIAR'!AC$57</f>
        <v>-576531.24012586288</v>
      </c>
      <c r="AD35" s="1">
        <f>('RECEITAS - BLOCOS PAN'!AB4-'OPEX - BLOCOS PAN'!AB4-VLOOKUP('BLOCOS - AMPLIAR'!$E4,'CAPEX - BLOCOS PAN'!$C$3:$AB$52,26,FALSE))*'BLOCOS - AMPLIAR'!AD$57</f>
        <v>-523152.99453344673</v>
      </c>
      <c r="AE35" s="1">
        <f>('RECEITAS - BLOCOS PAN'!AC4-'OPEX - BLOCOS PAN'!AC4-VLOOKUP('BLOCOS - AMPLIAR'!$E4,'CAPEX - BLOCOS PAN'!$C$3:$AC$52,27,FALSE))*'BLOCOS - AMPLIAR'!AE$57</f>
        <v>-474674.20927345002</v>
      </c>
      <c r="AF35" s="1">
        <f>('RECEITAS - BLOCOS PAN'!AD4-'OPEX - BLOCOS PAN'!AD4-VLOOKUP('BLOCOS - AMPLIAR'!$E4,'CAPEX - BLOCOS PAN'!$C$3:$AD$52,28,FALSE))*'BLOCOS - AMPLIAR'!AF$57</f>
        <v>-430684.50610375102</v>
      </c>
      <c r="AG35" s="1">
        <f>('RECEITAS - BLOCOS PAN'!AE4-'OPEX - BLOCOS PAN'!AE4-VLOOKUP('BLOCOS - AMPLIAR'!$E4,'CAPEX - BLOCOS PAN'!$C$3:$AE$52,29,FALSE))*'BLOCOS - AMPLIAR'!AG$57</f>
        <v>-390709.53483968717</v>
      </c>
      <c r="AH35" s="1">
        <f>('RECEITAS - BLOCOS PAN'!AF4-'OPEX - BLOCOS PAN'!AF4-VLOOKUP('BLOCOS - AMPLIAR'!$E4,'CAPEX - BLOCOS PAN'!$C$3:$AF$52,30,FALSE))*'BLOCOS - AMPLIAR'!AH$57</f>
        <v>-354406.39072072541</v>
      </c>
      <c r="AI35" s="1">
        <f>('RECEITAS - BLOCOS PAN'!AG4-'OPEX - BLOCOS PAN'!AG4-VLOOKUP('BLOCOS - AMPLIAR'!$E4,'CAPEX - BLOCOS PAN'!$C$3:$AG$52,31,FALSE))*'BLOCOS - AMPLIAR'!AI$57</f>
        <v>-321446.50117597397</v>
      </c>
      <c r="AJ35" s="1">
        <f>('RECEITAS - BLOCOS PAN'!AH4-'OPEX - BLOCOS PAN'!AH4-VLOOKUP('BLOCOS - AMPLIAR'!$E4,'CAPEX - BLOCOS PAN'!$C$3:$AH$52,32,FALSE))*'BLOCOS - AMPLIAR'!AJ$57</f>
        <v>-291584.7554663872</v>
      </c>
      <c r="AK35" s="1">
        <f>('RECEITAS - BLOCOS PAN'!AI4-'OPEX - BLOCOS PAN'!AI4-VLOOKUP('BLOCOS - AMPLIAR'!$E4,'CAPEX - BLOCOS PAN'!$C$3:$AI$52,33,FALSE))*'BLOCOS - AMPLIAR'!AK$57</f>
        <v>-264470.29622294457</v>
      </c>
      <c r="AL35" s="1">
        <f>('RECEITAS - BLOCOS PAN'!AJ4-'OPEX - BLOCOS PAN'!AJ4-VLOOKUP('BLOCOS - AMPLIAR'!$E4,'CAPEX - BLOCOS PAN'!$C$3:$AJ$52,34,FALSE))*'BLOCOS - AMPLIAR'!AL$57</f>
        <v>-239841.17264177871</v>
      </c>
      <c r="AM35" s="1">
        <f>('RECEITAS - BLOCOS PAN'!AK4-'OPEX - BLOCOS PAN'!AK4-VLOOKUP('BLOCOS - AMPLIAR'!$E4,'CAPEX - BLOCOS PAN'!$C$3:$AK$52,35,FALSE))*'BLOCOS - AMPLIAR'!AM$57</f>
        <v>-217463.25551156796</v>
      </c>
      <c r="AN35" s="1">
        <f>SUM(J35:X35)</f>
        <v>-97843849.456447244</v>
      </c>
      <c r="AO35" s="88">
        <f>SUM(AN35:AN42)</f>
        <v>-570795471.27967954</v>
      </c>
      <c r="AP35" s="44">
        <f>SUM(J35:AM35)</f>
        <v>-104614589.13214396</v>
      </c>
      <c r="AQ35" s="88">
        <f>SUM(AP35:AP42)</f>
        <v>-611503985.14412749</v>
      </c>
      <c r="AR35" s="48">
        <f>VLOOKUP(E35,'Projeção - Demanda PAX'!$C$3:$H$37,6,FALSE)</f>
        <v>25525</v>
      </c>
      <c r="AS35">
        <v>0</v>
      </c>
      <c r="AT35">
        <v>-12.466666666666667</v>
      </c>
      <c r="AU35">
        <v>-41.266666666666666</v>
      </c>
    </row>
    <row r="36" spans="1:47" s="49" customFormat="1" x14ac:dyDescent="0.35">
      <c r="A36" s="89"/>
      <c r="B36" t="s">
        <v>80</v>
      </c>
      <c r="C36" t="s">
        <v>81</v>
      </c>
      <c r="D36">
        <v>292400</v>
      </c>
      <c r="E36" t="s">
        <v>82</v>
      </c>
      <c r="F36" t="s">
        <v>81</v>
      </c>
      <c r="G36" t="s">
        <v>40</v>
      </c>
      <c r="H36" t="s">
        <v>258</v>
      </c>
      <c r="I36" t="s">
        <v>33</v>
      </c>
      <c r="J36" s="1">
        <f>(VLOOKUP($E36,'RECEITAS - BLOCOS PAN'!$D$3:$H$52,5,FALSE)-VLOOKUP('BLOCOS - AMPLIAR'!$E36,'OPEX - BLOCOS PAN'!$D$3:$H$52,5,FALSE)-VLOOKUP('BLOCOS - AMPLIAR'!$E36,'CAPEX - BLOCOS PAN'!$C$3:$H$52,6,FALSE))*'BLOCOS - AMPLIAR'!J$57</f>
        <v>-25473327.004000001</v>
      </c>
      <c r="K36" s="1">
        <f>(VLOOKUP($E36,'RECEITAS - BLOCOS PAN'!$D$3:$I$52,6,FALSE)-VLOOKUP('BLOCOS - AMPLIAR'!$E36,'OPEX - BLOCOS PAN'!$D$3:$I$52,6,FALSE)-VLOOKUP('BLOCOS - AMPLIAR'!$E36,'CAPEX - BLOCOS PAN'!$C$3:$I$52,7,FALSE))*'BLOCOS - AMPLIAR'!K$57</f>
        <v>-23224755.596348703</v>
      </c>
      <c r="L36" s="1">
        <f>(VLOOKUP($E36,'RECEITAS - BLOCOS PAN'!$D$3:$J$52,7,FALSE)-VLOOKUP('BLOCOS - AMPLIAR'!$E36,'OPEX - BLOCOS PAN'!$D$3:$J$52,7,FALSE)-VLOOKUP('BLOCOS - AMPLIAR'!$E36,'CAPEX - BLOCOS PAN'!$C$3:$J$52,8,FALSE))*'BLOCOS - AMPLIAR'!L$57</f>
        <v>-21178360.407717478</v>
      </c>
      <c r="M36" s="1">
        <f>('RECEITAS - BLOCOS PAN'!K14-'OPEX - BLOCOS PAN'!K14-VLOOKUP('BLOCOS - AMPLIAR'!$E50,'CAPEX - BLOCOS PAN'!$C$3:$K$52,9,FALSE))*'BLOCOS - AMPLIAR'!M$57</f>
        <v>-2179344.2823921512</v>
      </c>
      <c r="N36" s="1">
        <f>('RECEITAS - BLOCOS PAN'!L14-'OPEX - BLOCOS PAN'!L14-VLOOKUP('BLOCOS - AMPLIAR'!$E50,'CAPEX - BLOCOS PAN'!$C$3:$L$52,10,FALSE))*'BLOCOS - AMPLIAR'!N$57</f>
        <v>-1976022.5470968743</v>
      </c>
      <c r="O36" s="1">
        <f>('RECEITAS - BLOCOS PAN'!M14-'OPEX - BLOCOS PAN'!M14-VLOOKUP('BLOCOS - AMPLIAR'!$E50,'CAPEX - BLOCOS PAN'!$C$3:$M$52,11,FALSE))*'BLOCOS - AMPLIAR'!O$57</f>
        <v>-1791990.865061356</v>
      </c>
      <c r="P36" s="1">
        <f>('RECEITAS - BLOCOS PAN'!N14-'OPEX - BLOCOS PAN'!N14-VLOOKUP('BLOCOS - AMPLIAR'!$E50,'CAPEX - BLOCOS PAN'!$C$3:$N$52,12,FALSE))*'BLOCOS - AMPLIAR'!P$57</f>
        <v>-1625383.3865302182</v>
      </c>
      <c r="Q36" s="1">
        <f>('RECEITAS - BLOCOS PAN'!O14-'OPEX - BLOCOS PAN'!O14-VLOOKUP('BLOCOS - AMPLIAR'!$E50,'CAPEX - BLOCOS PAN'!$C$3:$O$52,13,FALSE))*'BLOCOS - AMPLIAR'!Q$57</f>
        <v>-1474243.4768408407</v>
      </c>
      <c r="R36" s="1">
        <f>('RECEITAS - BLOCOS PAN'!P14-'OPEX - BLOCOS PAN'!P14-VLOOKUP('BLOCOS - AMPLIAR'!$E50,'CAPEX - BLOCOS PAN'!$C$3:$P$52,14,FALSE))*'BLOCOS - AMPLIAR'!R$57</f>
        <v>-1337433.878450392</v>
      </c>
      <c r="S36" s="1">
        <f>('RECEITAS - BLOCOS PAN'!Q14-'OPEX - BLOCOS PAN'!Q14-VLOOKUP('BLOCOS - AMPLIAR'!$E50,'CAPEX - BLOCOS PAN'!$C$3:$Q$52,15,FALSE))*'BLOCOS - AMPLIAR'!S$57</f>
        <v>-1307317.5098566089</v>
      </c>
      <c r="T36" s="1">
        <f>('RECEITAS - BLOCOS PAN'!R14-'OPEX - BLOCOS PAN'!R14-VLOOKUP('BLOCOS - AMPLIAR'!$E50,'CAPEX - BLOCOS PAN'!$C$3:$R$52,16,FALSE))*'BLOCOS - AMPLIAR'!T$57</f>
        <v>-1187005.9323772851</v>
      </c>
      <c r="U36" s="1">
        <f>('RECEITAS - BLOCOS PAN'!S14-'OPEX - BLOCOS PAN'!S14-VLOOKUP('BLOCOS - AMPLIAR'!$E50,'CAPEX - BLOCOS PAN'!$C$3:$S$52,17,FALSE))*'BLOCOS - AMPLIAR'!U$57</f>
        <v>-1077672.756879315</v>
      </c>
      <c r="V36" s="1">
        <f>('RECEITAS - BLOCOS PAN'!T14-'OPEX - BLOCOS PAN'!T14-VLOOKUP('BLOCOS - AMPLIAR'!$E50,'CAPEX - BLOCOS PAN'!$C$3:$T$52,18,FALSE))*'BLOCOS - AMPLIAR'!V$57</f>
        <v>-978314.37216431741</v>
      </c>
      <c r="W36" s="1">
        <f>('RECEITAS - BLOCOS PAN'!U14-'OPEX - BLOCOS PAN'!U14-VLOOKUP('BLOCOS - AMPLIAR'!$E50,'CAPEX - BLOCOS PAN'!$C$3:$U$52,19,FALSE))*'BLOCOS - AMPLIAR'!W$57</f>
        <v>-887906.38702922361</v>
      </c>
      <c r="X36" s="1">
        <f>('RECEITAS - BLOCOS PAN'!V14-'OPEX - BLOCOS PAN'!V14-VLOOKUP('BLOCOS - AMPLIAR'!$E50,'CAPEX - BLOCOS PAN'!$C$3:$V$52,20,FALSE))*'BLOCOS - AMPLIAR'!X$57</f>
        <v>-805850.21248120524</v>
      </c>
      <c r="Y36" s="1">
        <f>('RECEITAS - BLOCOS PAN'!W14-'OPEX - BLOCOS PAN'!W14-VLOOKUP('BLOCOS - AMPLIAR'!$E50,'CAPEX - BLOCOS PAN'!$C$3:$W$52,21,FALSE))*'BLOCOS - AMPLIAR'!Y$57</f>
        <v>-731193.17469141516</v>
      </c>
      <c r="Z36" s="1">
        <f>('RECEITAS - BLOCOS PAN'!X14-'OPEX - BLOCOS PAN'!X14-VLOOKUP('BLOCOS - AMPLIAR'!$E50,'CAPEX - BLOCOS PAN'!$C$3:$X$52,22,FALSE))*'BLOCOS - AMPLIAR'!Z$57</f>
        <v>-663398.87709057576</v>
      </c>
      <c r="AA36" s="1">
        <f>('RECEITAS - BLOCOS PAN'!Y14-'OPEX - BLOCOS PAN'!Y14-VLOOKUP('BLOCOS - AMPLIAR'!$E50,'CAPEX - BLOCOS PAN'!$C$3:$Y$52,23,FALSE))*'BLOCOS - AMPLIAR'!AA$57</f>
        <v>-601720.78027880855</v>
      </c>
      <c r="AB36" s="1">
        <f>('RECEITAS - BLOCOS PAN'!Z14-'OPEX - BLOCOS PAN'!Z14-VLOOKUP('BLOCOS - AMPLIAR'!$E50,'CAPEX - BLOCOS PAN'!$C$3:$Z$52,24,FALSE))*'BLOCOS - AMPLIAR'!AB$57</f>
        <v>-545658.56440834387</v>
      </c>
      <c r="AC36" s="1">
        <f>('RECEITAS - BLOCOS PAN'!AA14-'OPEX - BLOCOS PAN'!AA14-VLOOKUP('BLOCOS - AMPLIAR'!$E50,'CAPEX - BLOCOS PAN'!$C$3:$AA$52,25,FALSE))*'BLOCOS - AMPLIAR'!AC$57</f>
        <v>-494723.446596472</v>
      </c>
      <c r="AD36" s="1">
        <f>('RECEITAS - BLOCOS PAN'!AB14-'OPEX - BLOCOS PAN'!AB14-VLOOKUP('BLOCOS - AMPLIAR'!$E50,'CAPEX - BLOCOS PAN'!$C$3:$AB$52,26,FALSE))*'BLOCOS - AMPLIAR'!AD$57</f>
        <v>-448549.75230119535</v>
      </c>
      <c r="AE36" s="1">
        <f>('RECEITAS - BLOCOS PAN'!AC14-'OPEX - BLOCOS PAN'!AC14-VLOOKUP('BLOCOS - AMPLIAR'!$E50,'CAPEX - BLOCOS PAN'!$C$3:$AC$52,27,FALSE))*'BLOCOS - AMPLIAR'!AE$57</f>
        <v>-406582.79257775366</v>
      </c>
      <c r="AF36" s="1">
        <f>('RECEITAS - BLOCOS PAN'!AD14-'OPEX - BLOCOS PAN'!AD14-VLOOKUP('BLOCOS - AMPLIAR'!$E50,'CAPEX - BLOCOS PAN'!$C$3:$AD$52,28,FALSE))*'BLOCOS - AMPLIAR'!AF$57</f>
        <v>-368524.02600533457</v>
      </c>
      <c r="AG36" s="1">
        <f>('RECEITAS - BLOCOS PAN'!AE14-'OPEX - BLOCOS PAN'!AE14-VLOOKUP('BLOCOS - AMPLIAR'!$E50,'CAPEX - BLOCOS PAN'!$C$3:$AE$52,29,FALSE))*'BLOCOS - AMPLIAR'!AG$57</f>
        <v>-333968.98733498965</v>
      </c>
      <c r="AH36" s="1">
        <f>('RECEITAS - BLOCOS PAN'!AF14-'OPEX - BLOCOS PAN'!AF14-VLOOKUP('BLOCOS - AMPLIAR'!$E50,'CAPEX - BLOCOS PAN'!$C$3:$AF$52,30,FALSE))*'BLOCOS - AMPLIAR'!AH$57</f>
        <v>-302644.41706748557</v>
      </c>
      <c r="AI36" s="1">
        <f>('RECEITAS - BLOCOS PAN'!AG14-'OPEX - BLOCOS PAN'!AG14-VLOOKUP('BLOCOS - AMPLIAR'!$E50,'CAPEX - BLOCOS PAN'!$C$3:$AG$52,31,FALSE))*'BLOCOS - AMPLIAR'!AI$57</f>
        <v>-338952.33346897591</v>
      </c>
      <c r="AJ36" s="1">
        <f>('RECEITAS - BLOCOS PAN'!AH14-'OPEX - BLOCOS PAN'!AH14-VLOOKUP('BLOCOS - AMPLIAR'!$E50,'CAPEX - BLOCOS PAN'!$C$3:$AH$52,32,FALSE))*'BLOCOS - AMPLIAR'!AJ$57</f>
        <v>-307385.94844126311</v>
      </c>
      <c r="AK36" s="1">
        <f>('RECEITAS - BLOCOS PAN'!AI14-'OPEX - BLOCOS PAN'!AI14-VLOOKUP('BLOCOS - AMPLIAR'!$E50,'CAPEX - BLOCOS PAN'!$C$3:$AI$52,33,FALSE))*'BLOCOS - AMPLIAR'!AK$57</f>
        <v>-278722.54987131018</v>
      </c>
      <c r="AL36" s="1">
        <f>('RECEITAS - BLOCOS PAN'!AJ14-'OPEX - BLOCOS PAN'!AJ14-VLOOKUP('BLOCOS - AMPLIAR'!$E50,'CAPEX - BLOCOS PAN'!$C$3:$AJ$52,34,FALSE))*'BLOCOS - AMPLIAR'!AL$57</f>
        <v>-252671.44540890492</v>
      </c>
      <c r="AM36" s="1">
        <f>('RECEITAS - BLOCOS PAN'!AK14-'OPEX - BLOCOS PAN'!AK14-VLOOKUP('BLOCOS - AMPLIAR'!$E50,'CAPEX - BLOCOS PAN'!$C$3:$AK$52,35,FALSE))*'BLOCOS - AMPLIAR'!AM$57</f>
        <v>-229004.27059708643</v>
      </c>
      <c r="AN36" s="1">
        <f>SUM(J36:X36)</f>
        <v>-86504928.615225971</v>
      </c>
      <c r="AO36" s="88"/>
      <c r="AP36" s="44">
        <f>SUM(J36:AM36)</f>
        <v>-92808629.981365889</v>
      </c>
      <c r="AQ36" s="88"/>
      <c r="AR36" s="48">
        <f>VLOOKUP(E36,'Projeção - Demanda PAX'!$C$3:$H$37,6,FALSE)</f>
        <v>17631</v>
      </c>
      <c r="AS36">
        <v>0</v>
      </c>
      <c r="AT36">
        <v>-9.4</v>
      </c>
      <c r="AU36">
        <v>-38.25</v>
      </c>
    </row>
    <row r="37" spans="1:47" x14ac:dyDescent="0.35">
      <c r="A37" s="89"/>
      <c r="B37" t="s">
        <v>100</v>
      </c>
      <c r="C37" t="s">
        <v>103</v>
      </c>
      <c r="D37">
        <v>291170</v>
      </c>
      <c r="E37" t="s">
        <v>102</v>
      </c>
      <c r="F37" t="s">
        <v>103</v>
      </c>
      <c r="G37" t="s">
        <v>40</v>
      </c>
      <c r="H37" t="s">
        <v>258</v>
      </c>
      <c r="I37" t="s">
        <v>33</v>
      </c>
      <c r="J37" s="1">
        <f>(VLOOKUP($E37,'RECEITAS - BLOCOS PAN'!$D$3:$H$52,5,FALSE)-VLOOKUP('BLOCOS - AMPLIAR'!$E37,'OPEX - BLOCOS PAN'!$D$3:$H$52,5,FALSE)-VLOOKUP('BLOCOS - AMPLIAR'!$E37,'CAPEX - BLOCOS PAN'!$C$3:$H$52,6,FALSE))*'BLOCOS - AMPLIAR'!J$57</f>
        <v>-37401018.336300001</v>
      </c>
      <c r="K37" s="1">
        <f>(VLOOKUP($E37,'RECEITAS - BLOCOS PAN'!$D$3:$I$52,6,FALSE)-VLOOKUP('BLOCOS - AMPLIAR'!$E37,'OPEX - BLOCOS PAN'!$D$3:$I$52,6,FALSE)-VLOOKUP('BLOCOS - AMPLIAR'!$E37,'CAPEX - BLOCOS PAN'!$C$3:$I$52,7,FALSE))*'BLOCOS - AMPLIAR'!K$57</f>
        <v>-34079125.459242359</v>
      </c>
      <c r="L37" s="1">
        <f>(VLOOKUP($E37,'RECEITAS - BLOCOS PAN'!$D$3:$J$52,7,FALSE)-VLOOKUP('BLOCOS - AMPLIAR'!$E37,'OPEX - BLOCOS PAN'!$D$3:$J$52,7,FALSE)-VLOOKUP('BLOCOS - AMPLIAR'!$E37,'CAPEX - BLOCOS PAN'!$C$3:$J$52,8,FALSE))*'BLOCOS - AMPLIAR'!L$57</f>
        <v>-31062513.289064165</v>
      </c>
      <c r="M37" s="1">
        <f>('RECEITAS - BLOCOS PAN'!K19-'OPEX - BLOCOS PAN'!K19-VLOOKUP('BLOCOS - AMPLIAR'!$E12,'CAPEX - BLOCOS PAN'!$C$3:$K$52,9,FALSE))*'BLOCOS - AMPLIAR'!M$57</f>
        <v>-1727915.2876338721</v>
      </c>
      <c r="N37" s="1">
        <f>('RECEITAS - BLOCOS PAN'!L19-'OPEX - BLOCOS PAN'!L19-VLOOKUP('BLOCOS - AMPLIAR'!$E12,'CAPEX - BLOCOS PAN'!$C$3:$L$52,10,FALSE))*'BLOCOS - AMPLIAR'!N$57</f>
        <v>-2288878.8201216548</v>
      </c>
      <c r="O37" s="1">
        <f>('RECEITAS - BLOCOS PAN'!M19-'OPEX - BLOCOS PAN'!M19-VLOOKUP('BLOCOS - AMPLIAR'!$E12,'CAPEX - BLOCOS PAN'!$C$3:$M$52,11,FALSE))*'BLOCOS - AMPLIAR'!O$57</f>
        <v>-2065848.8475693755</v>
      </c>
      <c r="P37" s="1">
        <f>('RECEITAS - BLOCOS PAN'!N19-'OPEX - BLOCOS PAN'!N19-VLOOKUP('BLOCOS - AMPLIAR'!$E12,'CAPEX - BLOCOS PAN'!$C$3:$N$52,12,FALSE))*'BLOCOS - AMPLIAR'!P$57</f>
        <v>-1863629.7723895069</v>
      </c>
      <c r="Q37" s="1">
        <f>('RECEITAS - BLOCOS PAN'!O19-'OPEX - BLOCOS PAN'!O19-VLOOKUP('BLOCOS - AMPLIAR'!$E12,'CAPEX - BLOCOS PAN'!$C$3:$O$52,13,FALSE))*'BLOCOS - AMPLIAR'!Q$57</f>
        <v>-1682138.1048642185</v>
      </c>
      <c r="R37" s="1">
        <f>('RECEITAS - BLOCOS PAN'!P19-'OPEX - BLOCOS PAN'!P19-VLOOKUP('BLOCOS - AMPLIAR'!$E12,'CAPEX - BLOCOS PAN'!$C$3:$P$52,14,FALSE))*'BLOCOS - AMPLIAR'!R$57</f>
        <v>-1520054.9797077365</v>
      </c>
      <c r="S37" s="1">
        <f>('RECEITAS - BLOCOS PAN'!Q19-'OPEX - BLOCOS PAN'!Q19-VLOOKUP('BLOCOS - AMPLIAR'!$E12,'CAPEX - BLOCOS PAN'!$C$3:$Q$52,15,FALSE))*'BLOCOS - AMPLIAR'!S$57</f>
        <v>-1373517.7521978498</v>
      </c>
      <c r="T37" s="1">
        <f>('RECEITAS - BLOCOS PAN'!R19-'OPEX - BLOCOS PAN'!R19-VLOOKUP('BLOCOS - AMPLIAR'!$E12,'CAPEX - BLOCOS PAN'!$C$3:$R$52,16,FALSE))*'BLOCOS - AMPLIAR'!T$57</f>
        <v>-1241767.3804107103</v>
      </c>
      <c r="U37" s="1">
        <f>('RECEITAS - BLOCOS PAN'!S19-'OPEX - BLOCOS PAN'!S19-VLOOKUP('BLOCOS - AMPLIAR'!$E12,'CAPEX - BLOCOS PAN'!$C$3:$S$52,17,FALSE))*'BLOCOS - AMPLIAR'!U$57</f>
        <v>-1122938.4332763802</v>
      </c>
      <c r="V37" s="1">
        <f>('RECEITAS - BLOCOS PAN'!T19-'OPEX - BLOCOS PAN'!T19-VLOOKUP('BLOCOS - AMPLIAR'!$E12,'CAPEX - BLOCOS PAN'!$C$3:$T$52,18,FALSE))*'BLOCOS - AMPLIAR'!V$57</f>
        <v>-1015373.4719385026</v>
      </c>
      <c r="W37" s="1">
        <f>('RECEITAS - BLOCOS PAN'!U19-'OPEX - BLOCOS PAN'!U19-VLOOKUP('BLOCOS - AMPLIAR'!$E12,'CAPEX - BLOCOS PAN'!$C$3:$U$52,19,FALSE))*'BLOCOS - AMPLIAR'!W$57</f>
        <v>-918044.27255463449</v>
      </c>
      <c r="X37" s="1">
        <f>('RECEITAS - BLOCOS PAN'!V19-'OPEX - BLOCOS PAN'!V19-VLOOKUP('BLOCOS - AMPLIAR'!$E12,'CAPEX - BLOCOS PAN'!$C$3:$V$52,20,FALSE))*'BLOCOS - AMPLIAR'!X$57</f>
        <v>-829644.59349109128</v>
      </c>
      <c r="Y37" s="1">
        <f>('RECEITAS - BLOCOS PAN'!W19-'OPEX - BLOCOS PAN'!W19-VLOOKUP('BLOCOS - AMPLIAR'!$E12,'CAPEX - BLOCOS PAN'!$C$3:$W$52,21,FALSE))*'BLOCOS - AMPLIAR'!Y$57</f>
        <v>-749454.54329030507</v>
      </c>
      <c r="Z37" s="1">
        <f>('RECEITAS - BLOCOS PAN'!X19-'OPEX - BLOCOS PAN'!X19-VLOOKUP('BLOCOS - AMPLIAR'!$E12,'CAPEX - BLOCOS PAN'!$C$3:$X$52,22,FALSE))*'BLOCOS - AMPLIAR'!Z$57</f>
        <v>-676925.31295766216</v>
      </c>
      <c r="AA37" s="1">
        <f>('RECEITAS - BLOCOS PAN'!Y19-'OPEX - BLOCOS PAN'!Y19-VLOOKUP('BLOCOS - AMPLIAR'!$E12,'CAPEX - BLOCOS PAN'!$C$3:$Y$52,23,FALSE))*'BLOCOS - AMPLIAR'!AA$57</f>
        <v>-611103.90730303049</v>
      </c>
      <c r="AB37" s="1">
        <f>('RECEITAS - BLOCOS PAN'!Z19-'OPEX - BLOCOS PAN'!Z19-VLOOKUP('BLOCOS - AMPLIAR'!$E12,'CAPEX - BLOCOS PAN'!$C$3:$Z$52,24,FALSE))*'BLOCOS - AMPLIAR'!AB$57</f>
        <v>-551649.78566264152</v>
      </c>
      <c r="AC37" s="1">
        <f>('RECEITAS - BLOCOS PAN'!AA19-'OPEX - BLOCOS PAN'!AA19-VLOOKUP('BLOCOS - AMPLIAR'!$E12,'CAPEX - BLOCOS PAN'!$C$3:$AA$52,25,FALSE))*'BLOCOS - AMPLIAR'!AC$57</f>
        <v>-497706.22858289606</v>
      </c>
      <c r="AD37" s="1">
        <f>('RECEITAS - BLOCOS PAN'!AB19-'OPEX - BLOCOS PAN'!AB19-VLOOKUP('BLOCOS - AMPLIAR'!$E12,'CAPEX - BLOCOS PAN'!$C$3:$AB$52,26,FALSE))*'BLOCOS - AMPLIAR'!AD$57</f>
        <v>-449155.02649963927</v>
      </c>
      <c r="AE37" s="1">
        <f>('RECEITAS - BLOCOS PAN'!AC19-'OPEX - BLOCOS PAN'!AC19-VLOOKUP('BLOCOS - AMPLIAR'!$E12,'CAPEX - BLOCOS PAN'!$C$3:$AC$52,27,FALSE))*'BLOCOS - AMPLIAR'!AE$57</f>
        <v>-405125.35881257593</v>
      </c>
      <c r="AF37" s="1">
        <f>('RECEITAS - BLOCOS PAN'!AD19-'OPEX - BLOCOS PAN'!AD19-VLOOKUP('BLOCOS - AMPLIAR'!$E12,'CAPEX - BLOCOS PAN'!$C$3:$AD$52,28,FALSE))*'BLOCOS - AMPLIAR'!AF$57</f>
        <v>-365239.46523381665</v>
      </c>
      <c r="AG37" s="1">
        <f>('RECEITAS - BLOCOS PAN'!AE19-'OPEX - BLOCOS PAN'!AE19-VLOOKUP('BLOCOS - AMPLIAR'!$E12,'CAPEX - BLOCOS PAN'!$C$3:$AE$52,29,FALSE))*'BLOCOS - AMPLIAR'!AG$57</f>
        <v>-329210.6583923244</v>
      </c>
      <c r="AH37" s="1">
        <f>('RECEITAS - BLOCOS PAN'!AF19-'OPEX - BLOCOS PAN'!AF19-VLOOKUP('BLOCOS - AMPLIAR'!$E12,'CAPEX - BLOCOS PAN'!$C$3:$AF$52,30,FALSE))*'BLOCOS - AMPLIAR'!AH$57</f>
        <v>-296940.94050559623</v>
      </c>
      <c r="AI37" s="1">
        <f>('RECEITAS - BLOCOS PAN'!AG19-'OPEX - BLOCOS PAN'!AG19-VLOOKUP('BLOCOS - AMPLIAR'!$E12,'CAPEX - BLOCOS PAN'!$C$3:$AG$52,31,FALSE))*'BLOCOS - AMPLIAR'!AI$57</f>
        <v>-267475.07207455934</v>
      </c>
      <c r="AJ37" s="1">
        <f>('RECEITAS - BLOCOS PAN'!AH19-'OPEX - BLOCOS PAN'!AH19-VLOOKUP('BLOCOS - AMPLIAR'!$E12,'CAPEX - BLOCOS PAN'!$C$3:$AH$52,32,FALSE))*'BLOCOS - AMPLIAR'!AJ$57</f>
        <v>-241178.24889568487</v>
      </c>
      <c r="AK37" s="1">
        <f>('RECEITAS - BLOCOS PAN'!AI19-'OPEX - BLOCOS PAN'!AI19-VLOOKUP('BLOCOS - AMPLIAR'!$E12,'CAPEX - BLOCOS PAN'!$C$3:$AI$52,33,FALSE))*'BLOCOS - AMPLIAR'!AK$57</f>
        <v>-217072.25277301378</v>
      </c>
      <c r="AL37" s="1">
        <f>('RECEITAS - BLOCOS PAN'!AJ19-'OPEX - BLOCOS PAN'!AJ19-VLOOKUP('BLOCOS - AMPLIAR'!$E12,'CAPEX - BLOCOS PAN'!$C$3:$AJ$52,34,FALSE))*'BLOCOS - AMPLIAR'!AL$57</f>
        <v>-195334.52684839349</v>
      </c>
      <c r="AM37" s="1">
        <f>('RECEITAS - BLOCOS PAN'!AK19-'OPEX - BLOCOS PAN'!AK19-VLOOKUP('BLOCOS - AMPLIAR'!$E12,'CAPEX - BLOCOS PAN'!$C$3:$AK$52,35,FALSE))*'BLOCOS - AMPLIAR'!AM$57</f>
        <v>-175601.33422780197</v>
      </c>
      <c r="AN37" s="1">
        <f>SUM(J37:X37)</f>
        <v>-120192408.80076207</v>
      </c>
      <c r="AO37" s="88"/>
      <c r="AP37" s="44">
        <f>SUM(J37:AM37)</f>
        <v>-126221581.46282201</v>
      </c>
      <c r="AQ37" s="88"/>
      <c r="AR37" s="48">
        <f>VLOOKUP(E37,'Projeção - Demanda PAX'!$C$3:$H$37,6,FALSE)</f>
        <v>37772</v>
      </c>
      <c r="AS37">
        <v>0</v>
      </c>
      <c r="AT37">
        <v>-14.2</v>
      </c>
      <c r="AU37">
        <v>-42.733333333333334</v>
      </c>
    </row>
    <row r="38" spans="1:47" x14ac:dyDescent="0.35">
      <c r="A38" s="89"/>
      <c r="B38" t="s">
        <v>104</v>
      </c>
      <c r="C38" t="s">
        <v>173</v>
      </c>
      <c r="D38">
        <v>261390</v>
      </c>
      <c r="E38" t="s">
        <v>106</v>
      </c>
      <c r="F38" t="s">
        <v>107</v>
      </c>
      <c r="G38" t="s">
        <v>36</v>
      </c>
      <c r="H38" t="s">
        <v>258</v>
      </c>
      <c r="I38" t="s">
        <v>33</v>
      </c>
      <c r="J38" s="1">
        <f>(VLOOKUP($E38,'RECEITAS - BLOCOS PAN'!$D$3:$H$52,5,FALSE)-VLOOKUP('BLOCOS - AMPLIAR'!$E38,'OPEX - BLOCOS PAN'!$D$3:$H$52,5,FALSE)-VLOOKUP('BLOCOS - AMPLIAR'!$E38,'CAPEX - BLOCOS PAN'!$C$3:$H$52,6,FALSE))*'BLOCOS - AMPLIAR'!J$57</f>
        <v>-16963823.427900001</v>
      </c>
      <c r="K38" s="1">
        <f>(VLOOKUP($E38,'RECEITAS - BLOCOS PAN'!$D$3:$I$52,6,FALSE)-VLOOKUP('BLOCOS - AMPLIAR'!$E38,'OPEX - BLOCOS PAN'!$D$3:$I$52,6,FALSE)-VLOOKUP('BLOCOS - AMPLIAR'!$E38,'CAPEX - BLOCOS PAN'!$C$3:$I$52,7,FALSE))*'BLOCOS - AMPLIAR'!K$57</f>
        <v>-15478099.76668188</v>
      </c>
      <c r="L38" s="1">
        <f>(VLOOKUP($E38,'RECEITAS - BLOCOS PAN'!$D$3:$J$52,7,FALSE)-VLOOKUP('BLOCOS - AMPLIAR'!$E38,'OPEX - BLOCOS PAN'!$D$3:$J$52,7,FALSE)-VLOOKUP('BLOCOS - AMPLIAR'!$E38,'CAPEX - BLOCOS PAN'!$C$3:$J$52,8,FALSE))*'BLOCOS - AMPLIAR'!L$57</f>
        <v>-14123842.655433904</v>
      </c>
      <c r="M38" s="1">
        <f>('RECEITAS - BLOCOS PAN'!K20-'OPEX - BLOCOS PAN'!K20-VLOOKUP('BLOCOS - AMPLIAR'!$E13,'CAPEX - BLOCOS PAN'!$C$3:$K$52,9,FALSE))*'BLOCOS - AMPLIAR'!M$57</f>
        <v>-2388947.9424390458</v>
      </c>
      <c r="N38" s="1">
        <f>('RECEITAS - BLOCOS PAN'!L20-'OPEX - BLOCOS PAN'!L20-VLOOKUP('BLOCOS - AMPLIAR'!$E13,'CAPEX - BLOCOS PAN'!$C$3:$L$52,10,FALSE))*'BLOCOS - AMPLIAR'!N$57</f>
        <v>-2178050.9086895837</v>
      </c>
      <c r="O38" s="1">
        <f>('RECEITAS - BLOCOS PAN'!M20-'OPEX - BLOCOS PAN'!M20-VLOOKUP('BLOCOS - AMPLIAR'!$E13,'CAPEX - BLOCOS PAN'!$C$3:$M$52,11,FALSE))*'BLOCOS - AMPLIAR'!O$57</f>
        <v>-1985959.3286027077</v>
      </c>
      <c r="P38" s="1">
        <f>('RECEITAS - BLOCOS PAN'!N20-'OPEX - BLOCOS PAN'!N20-VLOOKUP('BLOCOS - AMPLIAR'!$E13,'CAPEX - BLOCOS PAN'!$C$3:$N$52,12,FALSE))*'BLOCOS - AMPLIAR'!P$57</f>
        <v>-1810889.5875612441</v>
      </c>
      <c r="Q38" s="1">
        <f>('RECEITAS - BLOCOS PAN'!O20-'OPEX - BLOCOS PAN'!O20-VLOOKUP('BLOCOS - AMPLIAR'!$E13,'CAPEX - BLOCOS PAN'!$C$3:$O$52,13,FALSE))*'BLOCOS - AMPLIAR'!Q$57</f>
        <v>-1651326.5130071985</v>
      </c>
      <c r="R38" s="1">
        <f>('RECEITAS - BLOCOS PAN'!P20-'OPEX - BLOCOS PAN'!P20-VLOOKUP('BLOCOS - AMPLIAR'!$E13,'CAPEX - BLOCOS PAN'!$C$3:$P$52,14,FALSE))*'BLOCOS - AMPLIAR'!R$57</f>
        <v>-1505876.3248638501</v>
      </c>
      <c r="S38" s="1">
        <f>('RECEITAS - BLOCOS PAN'!Q20-'OPEX - BLOCOS PAN'!Q20-VLOOKUP('BLOCOS - AMPLIAR'!$E13,'CAPEX - BLOCOS PAN'!$C$3:$Q$52,15,FALSE))*'BLOCOS - AMPLIAR'!S$57</f>
        <v>-1373330.7773164567</v>
      </c>
      <c r="T38" s="1">
        <f>('RECEITAS - BLOCOS PAN'!R20-'OPEX - BLOCOS PAN'!R20-VLOOKUP('BLOCOS - AMPLIAR'!$E13,'CAPEX - BLOCOS PAN'!$C$3:$R$52,16,FALSE))*'BLOCOS - AMPLIAR'!T$57</f>
        <v>-1252571.2896766702</v>
      </c>
      <c r="U38" s="1">
        <f>('RECEITAS - BLOCOS PAN'!S20-'OPEX - BLOCOS PAN'!S20-VLOOKUP('BLOCOS - AMPLIAR'!$E13,'CAPEX - BLOCOS PAN'!$C$3:$S$52,17,FALSE))*'BLOCOS - AMPLIAR'!U$57</f>
        <v>-1142429.6172296768</v>
      </c>
      <c r="V38" s="1">
        <f>('RECEITAS - BLOCOS PAN'!T20-'OPEX - BLOCOS PAN'!T20-VLOOKUP('BLOCOS - AMPLIAR'!$E13,'CAPEX - BLOCOS PAN'!$C$3:$T$52,18,FALSE))*'BLOCOS - AMPLIAR'!V$57</f>
        <v>-1041967.4676626385</v>
      </c>
      <c r="W38" s="1">
        <f>('RECEITAS - BLOCOS PAN'!U20-'OPEX - BLOCOS PAN'!U20-VLOOKUP('BLOCOS - AMPLIAR'!$E13,'CAPEX - BLOCOS PAN'!$C$3:$U$52,19,FALSE))*'BLOCOS - AMPLIAR'!W$57</f>
        <v>-950289.57018155849</v>
      </c>
      <c r="X38" s="1">
        <f>('RECEITAS - BLOCOS PAN'!V20-'OPEX - BLOCOS PAN'!V20-VLOOKUP('BLOCOS - AMPLIAR'!$E13,'CAPEX - BLOCOS PAN'!$C$3:$V$52,20,FALSE))*'BLOCOS - AMPLIAR'!X$57</f>
        <v>-866726.43121350487</v>
      </c>
      <c r="Y38" s="1">
        <f>('RECEITAS - BLOCOS PAN'!W20-'OPEX - BLOCOS PAN'!W20-VLOOKUP('BLOCOS - AMPLIAR'!$E13,'CAPEX - BLOCOS PAN'!$C$3:$W$52,21,FALSE))*'BLOCOS - AMPLIAR'!Y$57</f>
        <v>-790503.53704396565</v>
      </c>
      <c r="Z38" s="1">
        <f>('RECEITAS - BLOCOS PAN'!X20-'OPEX - BLOCOS PAN'!X20-VLOOKUP('BLOCOS - AMPLIAR'!$E13,'CAPEX - BLOCOS PAN'!$C$3:$X$52,22,FALSE))*'BLOCOS - AMPLIAR'!Z$57</f>
        <v>-720973.46459801635</v>
      </c>
      <c r="AA38" s="1">
        <f>('RECEITAS - BLOCOS PAN'!Y20-'OPEX - BLOCOS PAN'!Y20-VLOOKUP('BLOCOS - AMPLIAR'!$E13,'CAPEX - BLOCOS PAN'!$C$3:$Y$52,23,FALSE))*'BLOCOS - AMPLIAR'!AA$57</f>
        <v>-657536.10465313564</v>
      </c>
      <c r="AB38" s="1">
        <f>('RECEITAS - BLOCOS PAN'!Z20-'OPEX - BLOCOS PAN'!Z20-VLOOKUP('BLOCOS - AMPLIAR'!$E13,'CAPEX - BLOCOS PAN'!$C$3:$Z$52,24,FALSE))*'BLOCOS - AMPLIAR'!AB$57</f>
        <v>-599711.58278387622</v>
      </c>
      <c r="AC38" s="1">
        <f>('RECEITAS - BLOCOS PAN'!AA20-'OPEX - BLOCOS PAN'!AA20-VLOOKUP('BLOCOS - AMPLIAR'!$E13,'CAPEX - BLOCOS PAN'!$C$3:$AA$52,25,FALSE))*'BLOCOS - AMPLIAR'!AC$57</f>
        <v>-546932.93906449398</v>
      </c>
      <c r="AD38" s="1">
        <f>('RECEITAS - BLOCOS PAN'!AB20-'OPEX - BLOCOS PAN'!AB20-VLOOKUP('BLOCOS - AMPLIAR'!$E13,'CAPEX - BLOCOS PAN'!$C$3:$AB$52,26,FALSE))*'BLOCOS - AMPLIAR'!AD$57</f>
        <v>-498825.02989214845</v>
      </c>
      <c r="AE38" s="1">
        <f>('RECEITAS - BLOCOS PAN'!AC20-'OPEX - BLOCOS PAN'!AC20-VLOOKUP('BLOCOS - AMPLIAR'!$E13,'CAPEX - BLOCOS PAN'!$C$3:$AC$52,27,FALSE))*'BLOCOS - AMPLIAR'!AE$57</f>
        <v>-454946.22230562719</v>
      </c>
      <c r="AF38" s="1">
        <f>('RECEITAS - BLOCOS PAN'!AD20-'OPEX - BLOCOS PAN'!AD20-VLOOKUP('BLOCOS - AMPLIAR'!$E13,'CAPEX - BLOCOS PAN'!$C$3:$AD$52,28,FALSE))*'BLOCOS - AMPLIAR'!AF$57</f>
        <v>-414926.87351911678</v>
      </c>
      <c r="AG38" s="1">
        <f>('RECEITAS - BLOCOS PAN'!AE20-'OPEX - BLOCOS PAN'!AE20-VLOOKUP('BLOCOS - AMPLIAR'!$E13,'CAPEX - BLOCOS PAN'!$C$3:$AE$52,29,FALSE))*'BLOCOS - AMPLIAR'!AG$57</f>
        <v>-378431.05269593833</v>
      </c>
      <c r="AH38" s="1">
        <f>('RECEITAS - BLOCOS PAN'!AF20-'OPEX - BLOCOS PAN'!AF20-VLOOKUP('BLOCOS - AMPLIAR'!$E13,'CAPEX - BLOCOS PAN'!$C$3:$AF$52,30,FALSE))*'BLOCOS - AMPLIAR'!AH$57</f>
        <v>-345151.45710086788</v>
      </c>
      <c r="AI38" s="1">
        <f>('RECEITAS - BLOCOS PAN'!AG20-'OPEX - BLOCOS PAN'!AG20-VLOOKUP('BLOCOS - AMPLIAR'!$E13,'CAPEX - BLOCOS PAN'!$C$3:$AG$52,31,FALSE))*'BLOCOS - AMPLIAR'!AI$57</f>
        <v>-314792.43028520857</v>
      </c>
      <c r="AJ38" s="1">
        <f>('RECEITAS - BLOCOS PAN'!AH20-'OPEX - BLOCOS PAN'!AH20-VLOOKUP('BLOCOS - AMPLIAR'!$E13,'CAPEX - BLOCOS PAN'!$C$3:$AH$52,32,FALSE))*'BLOCOS - AMPLIAR'!AJ$57</f>
        <v>-287114.20615293906</v>
      </c>
      <c r="AK38" s="1">
        <f>('RECEITAS - BLOCOS PAN'!AI20-'OPEX - BLOCOS PAN'!AI20-VLOOKUP('BLOCOS - AMPLIAR'!$E13,'CAPEX - BLOCOS PAN'!$C$3:$AI$52,33,FALSE))*'BLOCOS - AMPLIAR'!AK$57</f>
        <v>-261866.93839481854</v>
      </c>
      <c r="AL38" s="1">
        <f>('RECEITAS - BLOCOS PAN'!AJ20-'OPEX - BLOCOS PAN'!AJ20-VLOOKUP('BLOCOS - AMPLIAR'!$E13,'CAPEX - BLOCOS PAN'!$C$3:$AJ$52,34,FALSE))*'BLOCOS - AMPLIAR'!AL$57</f>
        <v>-238837.43049895001</v>
      </c>
      <c r="AM38" s="1">
        <f>('RECEITAS - BLOCOS PAN'!AK20-'OPEX - BLOCOS PAN'!AK20-VLOOKUP('BLOCOS - AMPLIAR'!$E13,'CAPEX - BLOCOS PAN'!$C$3:$AK$52,35,FALSE))*'BLOCOS - AMPLIAR'!AM$57</f>
        <v>-217831.03406154097</v>
      </c>
      <c r="AN38" s="1">
        <f>SUM(J38:X38)</f>
        <v>-64714131.608459935</v>
      </c>
      <c r="AO38" s="88"/>
      <c r="AP38" s="44">
        <f>SUM(J38:AM38)</f>
        <v>-71442511.911510572</v>
      </c>
      <c r="AQ38" s="88"/>
      <c r="AR38" s="48">
        <f>VLOOKUP(E38,'Projeção - Demanda PAX'!$C$3:$H$37,6,FALSE)</f>
        <v>4022</v>
      </c>
      <c r="AS38">
        <v>0</v>
      </c>
      <c r="AT38">
        <v>-8.0500000000000007</v>
      </c>
      <c r="AU38">
        <v>-38.31666666666667</v>
      </c>
    </row>
    <row r="39" spans="1:47" s="49" customFormat="1" x14ac:dyDescent="0.35">
      <c r="A39" s="89"/>
      <c r="B39" t="s">
        <v>141</v>
      </c>
      <c r="C39" t="s">
        <v>177</v>
      </c>
      <c r="D39">
        <v>221060</v>
      </c>
      <c r="E39" t="s">
        <v>143</v>
      </c>
      <c r="F39" t="s">
        <v>144</v>
      </c>
      <c r="G39" t="s">
        <v>38</v>
      </c>
      <c r="H39" t="s">
        <v>258</v>
      </c>
      <c r="I39" t="s">
        <v>33</v>
      </c>
      <c r="J39" s="1">
        <f>(VLOOKUP($E39,'RECEITAS - BLOCOS PAN'!$D$3:$H$52,5,FALSE)-VLOOKUP('BLOCOS - AMPLIAR'!$E39,'OPEX - BLOCOS PAN'!$D$3:$H$52,5,FALSE)-VLOOKUP('BLOCOS - AMPLIAR'!$E39,'CAPEX - BLOCOS PAN'!$C$3:$H$52,6,FALSE))*'BLOCOS - AMPLIAR'!J$57</f>
        <v>-8248507.3093999997</v>
      </c>
      <c r="K39" s="1">
        <f>(VLOOKUP($E39,'RECEITAS - BLOCOS PAN'!$D$3:$I$52,6,FALSE)-VLOOKUP('BLOCOS - AMPLIAR'!$E39,'OPEX - BLOCOS PAN'!$D$3:$I$52,6,FALSE)-VLOOKUP('BLOCOS - AMPLIAR'!$E39,'CAPEX - BLOCOS PAN'!$C$3:$I$52,7,FALSE))*'BLOCOS - AMPLIAR'!K$57</f>
        <v>-7487565.42026472</v>
      </c>
      <c r="L39" s="1">
        <f>(VLOOKUP($E39,'RECEITAS - BLOCOS PAN'!$D$3:$J$52,7,FALSE)-VLOOKUP('BLOCOS - AMPLIAR'!$E39,'OPEX - BLOCOS PAN'!$D$3:$J$52,7,FALSE)-VLOOKUP('BLOCOS - AMPLIAR'!$E39,'CAPEX - BLOCOS PAN'!$C$3:$J$52,8,FALSE))*'BLOCOS - AMPLIAR'!L$57</f>
        <v>-6811515.3733969582</v>
      </c>
      <c r="M39" s="1">
        <f>('RECEITAS - BLOCOS PAN'!K31-'OPEX - BLOCOS PAN'!K31-VLOOKUP('BLOCOS - AMPLIAR'!$E24,'CAPEX - BLOCOS PAN'!$C$3:$K$52,9,FALSE))*'BLOCOS - AMPLIAR'!M$57</f>
        <v>-2517527.1868920228</v>
      </c>
      <c r="N39" s="1">
        <f>('RECEITAS - BLOCOS PAN'!L31-'OPEX - BLOCOS PAN'!L31-VLOOKUP('BLOCOS - AMPLIAR'!$E24,'CAPEX - BLOCOS PAN'!$C$3:$L$52,10,FALSE))*'BLOCOS - AMPLIAR'!N$57</f>
        <v>-2284589.3717861096</v>
      </c>
      <c r="O39" s="1">
        <f>('RECEITAS - BLOCOS PAN'!M31-'OPEX - BLOCOS PAN'!M31-VLOOKUP('BLOCOS - AMPLIAR'!$E24,'CAPEX - BLOCOS PAN'!$C$3:$M$52,11,FALSE))*'BLOCOS - AMPLIAR'!O$57</f>
        <v>-2073974.8678658761</v>
      </c>
      <c r="P39" s="1">
        <f>('RECEITAS - BLOCOS PAN'!N31-'OPEX - BLOCOS PAN'!N31-VLOOKUP('BLOCOS - AMPLIAR'!$E24,'CAPEX - BLOCOS PAN'!$C$3:$N$52,12,FALSE))*'BLOCOS - AMPLIAR'!P$57</f>
        <v>-2062860.2008649039</v>
      </c>
      <c r="Q39" s="1">
        <f>('RECEITAS - BLOCOS PAN'!O31-'OPEX - BLOCOS PAN'!O31-VLOOKUP('BLOCOS - AMPLIAR'!$E24,'CAPEX - BLOCOS PAN'!$C$3:$O$52,13,FALSE))*'BLOCOS - AMPLIAR'!Q$57</f>
        <v>-1879957.9493859238</v>
      </c>
      <c r="R39" s="1">
        <f>('RECEITAS - BLOCOS PAN'!P31-'OPEX - BLOCOS PAN'!P31-VLOOKUP('BLOCOS - AMPLIAR'!$E24,'CAPEX - BLOCOS PAN'!$C$3:$P$52,14,FALSE))*'BLOCOS - AMPLIAR'!R$57</f>
        <v>-1705672.1843410484</v>
      </c>
      <c r="S39" s="1">
        <f>('RECEITAS - BLOCOS PAN'!Q31-'OPEX - BLOCOS PAN'!Q31-VLOOKUP('BLOCOS - AMPLIAR'!$E24,'CAPEX - BLOCOS PAN'!$C$3:$Q$52,15,FALSE))*'BLOCOS - AMPLIAR'!S$57</f>
        <v>-1547536.633072475</v>
      </c>
      <c r="T39" s="1">
        <f>('RECEITAS - BLOCOS PAN'!R31-'OPEX - BLOCOS PAN'!R31-VLOOKUP('BLOCOS - AMPLIAR'!$E24,'CAPEX - BLOCOS PAN'!$C$3:$R$52,16,FALSE))*'BLOCOS - AMPLIAR'!T$57</f>
        <v>-1410551.227754513</v>
      </c>
      <c r="U39" s="1">
        <f>('RECEITAS - BLOCOS PAN'!S31-'OPEX - BLOCOS PAN'!S31-VLOOKUP('BLOCOS - AMPLIAR'!$E24,'CAPEX - BLOCOS PAN'!$C$3:$S$52,17,FALSE))*'BLOCOS - AMPLIAR'!U$57</f>
        <v>-1279780.303743528</v>
      </c>
      <c r="V39" s="1">
        <f>('RECEITAS - BLOCOS PAN'!T31-'OPEX - BLOCOS PAN'!T31-VLOOKUP('BLOCOS - AMPLIAR'!$E24,'CAPEX - BLOCOS PAN'!$C$3:$T$52,18,FALSE))*'BLOCOS - AMPLIAR'!V$57</f>
        <v>-1166521.3929885912</v>
      </c>
      <c r="W39" s="1">
        <f>('RECEITAS - BLOCOS PAN'!U31-'OPEX - BLOCOS PAN'!U31-VLOOKUP('BLOCOS - AMPLIAR'!$E24,'CAPEX - BLOCOS PAN'!$C$3:$U$52,19,FALSE))*'BLOCOS - AMPLIAR'!W$57</f>
        <v>-1058194.7409005393</v>
      </c>
      <c r="X39" s="1">
        <f>('RECEITAS - BLOCOS PAN'!V31-'OPEX - BLOCOS PAN'!V31-VLOOKUP('BLOCOS - AMPLIAR'!$E24,'CAPEX - BLOCOS PAN'!$C$3:$V$52,20,FALSE))*'BLOCOS - AMPLIAR'!X$57</f>
        <v>-964570.64240276301</v>
      </c>
      <c r="Y39" s="1">
        <f>('RECEITAS - BLOCOS PAN'!W31-'OPEX - BLOCOS PAN'!W31-VLOOKUP('BLOCOS - AMPLIAR'!$E24,'CAPEX - BLOCOS PAN'!$C$3:$W$52,21,FALSE))*'BLOCOS - AMPLIAR'!Y$57</f>
        <v>-879231.9731666412</v>
      </c>
      <c r="Z39" s="1">
        <f>('RECEITAS - BLOCOS PAN'!X31-'OPEX - BLOCOS PAN'!X31-VLOOKUP('BLOCOS - AMPLIAR'!$E24,'CAPEX - BLOCOS PAN'!$C$3:$X$52,22,FALSE))*'BLOCOS - AMPLIAR'!Z$57</f>
        <v>-797548.09460952948</v>
      </c>
      <c r="AA39" s="1">
        <f>('RECEITAS - BLOCOS PAN'!Y31-'OPEX - BLOCOS PAN'!Y31-VLOOKUP('BLOCOS - AMPLIAR'!$E24,'CAPEX - BLOCOS PAN'!$C$3:$Y$52,23,FALSE))*'BLOCOS - AMPLIAR'!AA$57</f>
        <v>-726931.33841670107</v>
      </c>
      <c r="AB39" s="1">
        <f>('RECEITAS - BLOCOS PAN'!Z31-'OPEX - BLOCOS PAN'!Z31-VLOOKUP('BLOCOS - AMPLIAR'!$E24,'CAPEX - BLOCOS PAN'!$C$3:$Z$52,24,FALSE))*'BLOCOS - AMPLIAR'!AB$57</f>
        <v>-659222.2107932003</v>
      </c>
      <c r="AC39" s="1">
        <f>('RECEITAS - BLOCOS PAN'!AA31-'OPEX - BLOCOS PAN'!AA31-VLOOKUP('BLOCOS - AMPLIAR'!$E24,'CAPEX - BLOCOS PAN'!$C$3:$AA$52,25,FALSE))*'BLOCOS - AMPLIAR'!AC$57</f>
        <v>-600834.56123300281</v>
      </c>
      <c r="AD39" s="1">
        <f>('RECEITAS - BLOCOS PAN'!AB31-'OPEX - BLOCOS PAN'!AB31-VLOOKUP('BLOCOS - AMPLIAR'!$E24,'CAPEX - BLOCOS PAN'!$C$3:$AB$52,26,FALSE))*'BLOCOS - AMPLIAR'!AD$57</f>
        <v>-544881.48317561951</v>
      </c>
      <c r="AE39" s="1">
        <f>('RECEITAS - BLOCOS PAN'!AC31-'OPEX - BLOCOS PAN'!AC31-VLOOKUP('BLOCOS - AMPLIAR'!$E24,'CAPEX - BLOCOS PAN'!$C$3:$AC$52,27,FALSE))*'BLOCOS - AMPLIAR'!AE$57</f>
        <v>-496673.78997158381</v>
      </c>
      <c r="AF39" s="1">
        <f>('RECEITAS - BLOCOS PAN'!AD31-'OPEX - BLOCOS PAN'!AD31-VLOOKUP('BLOCOS - AMPLIAR'!$E24,'CAPEX - BLOCOS PAN'!$C$3:$AD$52,28,FALSE))*'BLOCOS - AMPLIAR'!AF$57</f>
        <v>-450395.19527924305</v>
      </c>
      <c r="AG39" s="1">
        <f>('RECEITAS - BLOCOS PAN'!AE31-'OPEX - BLOCOS PAN'!AE31-VLOOKUP('BLOCOS - AMPLIAR'!$E24,'CAPEX - BLOCOS PAN'!$C$3:$AE$52,29,FALSE))*'BLOCOS - AMPLIAR'!AG$57</f>
        <v>-410584.3434842538</v>
      </c>
      <c r="AH39" s="1">
        <f>('RECEITAS - BLOCOS PAN'!AF31-'OPEX - BLOCOS PAN'!AF31-VLOOKUP('BLOCOS - AMPLIAR'!$E24,'CAPEX - BLOCOS PAN'!$C$3:$AF$52,30,FALSE))*'BLOCOS - AMPLIAR'!AH$57</f>
        <v>-372309.28477600223</v>
      </c>
      <c r="AI39" s="1">
        <f>('RECEITAS - BLOCOS PAN'!AG31-'OPEX - BLOCOS PAN'!AG31-VLOOKUP('BLOCOS - AMPLIAR'!$E24,'CAPEX - BLOCOS PAN'!$C$3:$AG$52,31,FALSE))*'BLOCOS - AMPLIAR'!AI$57</f>
        <v>-339428.90429893957</v>
      </c>
      <c r="AJ39" s="1">
        <f>('RECEITAS - BLOCOS PAN'!AH31-'OPEX - BLOCOS PAN'!AH31-VLOOKUP('BLOCOS - AMPLIAR'!$E24,'CAPEX - BLOCOS PAN'!$C$3:$AH$52,32,FALSE))*'BLOCOS - AMPLIAR'!AJ$57</f>
        <v>-307825.32861290273</v>
      </c>
      <c r="AK39" s="1">
        <f>('RECEITAS - BLOCOS PAN'!AI31-'OPEX - BLOCOS PAN'!AI31-VLOOKUP('BLOCOS - AMPLIAR'!$E24,'CAPEX - BLOCOS PAN'!$C$3:$AI$52,33,FALSE))*'BLOCOS - AMPLIAR'!AK$57</f>
        <v>-280712.47845320136</v>
      </c>
      <c r="AL39" s="1">
        <f>('RECEITAS - BLOCOS PAN'!AJ31-'OPEX - BLOCOS PAN'!AJ31-VLOOKUP('BLOCOS - AMPLIAR'!$E24,'CAPEX - BLOCOS PAN'!$C$3:$AJ$52,34,FALSE))*'BLOCOS - AMPLIAR'!AL$57</f>
        <v>-255986.33194702494</v>
      </c>
      <c r="AM39" s="1">
        <f>('RECEITAS - BLOCOS PAN'!AK31-'OPEX - BLOCOS PAN'!AK31-VLOOKUP('BLOCOS - AMPLIAR'!$E24,'CAPEX - BLOCOS PAN'!$C$3:$AK$52,35,FALSE))*'BLOCOS - AMPLIAR'!AM$57</f>
        <v>-233436.90757436413</v>
      </c>
      <c r="AN39" s="1">
        <f>SUM(J39:X39)</f>
        <v>-42499324.805059962</v>
      </c>
      <c r="AO39" s="88"/>
      <c r="AP39" s="44">
        <f>SUM(J39:AM39)</f>
        <v>-49855327.030852176</v>
      </c>
      <c r="AQ39" s="88"/>
      <c r="AR39" s="48">
        <f>VLOOKUP(E39,'Projeção - Demanda PAX'!$C$3:$H$37,6,FALSE)</f>
        <v>19650</v>
      </c>
      <c r="AS39">
        <v>0</v>
      </c>
      <c r="AT39">
        <v>-9.0666666666666664</v>
      </c>
      <c r="AU39">
        <v>-42.633333333333333</v>
      </c>
    </row>
    <row r="40" spans="1:47" x14ac:dyDescent="0.35">
      <c r="A40" s="89"/>
      <c r="B40" t="s">
        <v>262</v>
      </c>
      <c r="C40" t="s">
        <v>263</v>
      </c>
      <c r="D40">
        <v>210170</v>
      </c>
      <c r="E40" t="s">
        <v>287</v>
      </c>
      <c r="F40" t="s">
        <v>263</v>
      </c>
      <c r="G40" t="s">
        <v>31</v>
      </c>
      <c r="H40" t="s">
        <v>258</v>
      </c>
      <c r="I40" t="s">
        <v>33</v>
      </c>
      <c r="J40" s="1">
        <f>(VLOOKUP($E40,'RECEITAS - BLOCOS PAN'!$D$3:$H$52,5,FALSE)-VLOOKUP('BLOCOS - AMPLIAR'!$E40,'OPEX - BLOCOS PAN'!$D$3:$H$52,5,FALSE)-VLOOKUP('BLOCOS - AMPLIAR'!$E40,'CAPEX - BLOCOS PAN'!$C$3:$H$52,6,FALSE))*'BLOCOS - AMPLIAR'!J$57</f>
        <v>-30466652.9375</v>
      </c>
      <c r="K40" s="1">
        <f>(VLOOKUP($E40,'RECEITAS - BLOCOS PAN'!$D$3:$I$52,6,FALSE)-VLOOKUP('BLOCOS - AMPLIAR'!$E40,'OPEX - BLOCOS PAN'!$D$3:$I$52,6,FALSE)-VLOOKUP('BLOCOS - AMPLIAR'!$E40,'CAPEX - BLOCOS PAN'!$C$3:$I$52,7,FALSE))*'BLOCOS - AMPLIAR'!K$57</f>
        <v>-27677550.249475125</v>
      </c>
      <c r="L40" s="1">
        <f>(VLOOKUP($E40,'RECEITAS - BLOCOS PAN'!$D$3:$J$52,7,FALSE)-VLOOKUP('BLOCOS - AMPLIAR'!$E40,'OPEX - BLOCOS PAN'!$D$3:$J$52,7,FALSE)-VLOOKUP('BLOCOS - AMPLIAR'!$E40,'CAPEX - BLOCOS PAN'!$C$3:$J$52,8,FALSE))*'BLOCOS - AMPLIAR'!L$57</f>
        <v>-25167573.534568727</v>
      </c>
      <c r="M40" s="1">
        <f>('RECEITAS - BLOCOS PAN'!K37-'OPEX - BLOCOS PAN'!K37-VLOOKUP('BLOCOS - AMPLIAR'!$E30,'CAPEX - BLOCOS PAN'!$C$3:$K$52,9,FALSE))*'BLOCOS - AMPLIAR'!M$57</f>
        <v>-2411759.9637261597</v>
      </c>
      <c r="N40" s="1">
        <f>('RECEITAS - BLOCOS PAN'!L37-'OPEX - BLOCOS PAN'!L37-VLOOKUP('BLOCOS - AMPLIAR'!$E30,'CAPEX - BLOCOS PAN'!$C$3:$L$52,10,FALSE))*'BLOCOS - AMPLIAR'!N$57</f>
        <v>-2148564.1007167799</v>
      </c>
      <c r="O40" s="1">
        <f>('RECEITAS - BLOCOS PAN'!M37-'OPEX - BLOCOS PAN'!M37-VLOOKUP('BLOCOS - AMPLIAR'!$E30,'CAPEX - BLOCOS PAN'!$C$3:$M$52,11,FALSE))*'BLOCOS - AMPLIAR'!O$57</f>
        <v>-1916415.3021760692</v>
      </c>
      <c r="P40" s="1">
        <f>('RECEITAS - BLOCOS PAN'!N37-'OPEX - BLOCOS PAN'!N37-VLOOKUP('BLOCOS - AMPLIAR'!$E30,'CAPEX - BLOCOS PAN'!$C$3:$N$52,12,FALSE))*'BLOCOS - AMPLIAR'!P$57</f>
        <v>-1710653.4217635007</v>
      </c>
      <c r="Q40" s="1">
        <f>('RECEITAS - BLOCOS PAN'!O37-'OPEX - BLOCOS PAN'!O37-VLOOKUP('BLOCOS - AMPLIAR'!$E30,'CAPEX - BLOCOS PAN'!$C$3:$O$52,13,FALSE))*'BLOCOS - AMPLIAR'!Q$57</f>
        <v>-1525598.1907270248</v>
      </c>
      <c r="R40" s="1">
        <f>('RECEITAS - BLOCOS PAN'!P37-'OPEX - BLOCOS PAN'!P37-VLOOKUP('BLOCOS - AMPLIAR'!$E30,'CAPEX - BLOCOS PAN'!$C$3:$P$52,14,FALSE))*'BLOCOS - AMPLIAR'!R$57</f>
        <v>-1361852.6285783502</v>
      </c>
      <c r="S40" s="1">
        <f>('RECEITAS - BLOCOS PAN'!Q37-'OPEX - BLOCOS PAN'!Q37-VLOOKUP('BLOCOS - AMPLIAR'!$E30,'CAPEX - BLOCOS PAN'!$C$3:$Q$52,15,FALSE))*'BLOCOS - AMPLIAR'!S$57</f>
        <v>-1217553.8805476949</v>
      </c>
      <c r="T40" s="1">
        <f>('RECEITAS - BLOCOS PAN'!R37-'OPEX - BLOCOS PAN'!R37-VLOOKUP('BLOCOS - AMPLIAR'!$E30,'CAPEX - BLOCOS PAN'!$C$3:$R$52,16,FALSE))*'BLOCOS - AMPLIAR'!T$57</f>
        <v>-1088720.3928783454</v>
      </c>
      <c r="U40" s="1">
        <f>('RECEITAS - BLOCOS PAN'!S37-'OPEX - BLOCOS PAN'!S37-VLOOKUP('BLOCOS - AMPLIAR'!$E30,'CAPEX - BLOCOS PAN'!$C$3:$S$52,17,FALSE))*'BLOCOS - AMPLIAR'!U$57</f>
        <v>-974151.65104953898</v>
      </c>
      <c r="V40" s="1">
        <f>('RECEITAS - BLOCOS PAN'!T37-'OPEX - BLOCOS PAN'!T37-VLOOKUP('BLOCOS - AMPLIAR'!$E30,'CAPEX - BLOCOS PAN'!$C$3:$T$52,18,FALSE))*'BLOCOS - AMPLIAR'!V$57</f>
        <v>-870722.696353195</v>
      </c>
      <c r="W40" s="1">
        <f>('RECEITAS - BLOCOS PAN'!U37-'OPEX - BLOCOS PAN'!U37-VLOOKUP('BLOCOS - AMPLIAR'!$E30,'CAPEX - BLOCOS PAN'!$C$3:$U$52,19,FALSE))*'BLOCOS - AMPLIAR'!W$57</f>
        <v>-777574.39254077652</v>
      </c>
      <c r="X40" s="1">
        <f>('RECEITAS - BLOCOS PAN'!V37-'OPEX - BLOCOS PAN'!V37-VLOOKUP('BLOCOS - AMPLIAR'!$E30,'CAPEX - BLOCOS PAN'!$C$3:$V$52,20,FALSE))*'BLOCOS - AMPLIAR'!X$57</f>
        <v>-693960.61224158423</v>
      </c>
      <c r="Y40" s="1">
        <f>('RECEITAS - BLOCOS PAN'!W37-'OPEX - BLOCOS PAN'!W37-VLOOKUP('BLOCOS - AMPLIAR'!$E30,'CAPEX - BLOCOS PAN'!$C$3:$W$52,21,FALSE))*'BLOCOS - AMPLIAR'!Y$57</f>
        <v>-619187.42217463569</v>
      </c>
      <c r="Z40" s="1">
        <f>('RECEITAS - BLOCOS PAN'!X37-'OPEX - BLOCOS PAN'!X37-VLOOKUP('BLOCOS - AMPLIAR'!$E30,'CAPEX - BLOCOS PAN'!$C$3:$X$52,22,FALSE))*'BLOCOS - AMPLIAR'!Z$57</f>
        <v>-552229.63281368639</v>
      </c>
      <c r="AA40" s="1">
        <f>('RECEITAS - BLOCOS PAN'!Y37-'OPEX - BLOCOS PAN'!Y37-VLOOKUP('BLOCOS - AMPLIAR'!$E30,'CAPEX - BLOCOS PAN'!$C$3:$Y$52,23,FALSE))*'BLOCOS - AMPLIAR'!AA$57</f>
        <v>-491870.19618843752</v>
      </c>
      <c r="AB40" s="1">
        <f>('RECEITAS - BLOCOS PAN'!Z37-'OPEX - BLOCOS PAN'!Z37-VLOOKUP('BLOCOS - AMPLIAR'!$E30,'CAPEX - BLOCOS PAN'!$C$3:$Z$52,24,FALSE))*'BLOCOS - AMPLIAR'!AB$57</f>
        <v>-438149.52386021696</v>
      </c>
      <c r="AC40" s="1">
        <f>('RECEITAS - BLOCOS PAN'!AA37-'OPEX - BLOCOS PAN'!AA37-VLOOKUP('BLOCOS - AMPLIAR'!$E30,'CAPEX - BLOCOS PAN'!$C$3:$AA$52,25,FALSE))*'BLOCOS - AMPLIAR'!AC$57</f>
        <v>-389376.03927111044</v>
      </c>
      <c r="AD40" s="1">
        <f>('RECEITAS - BLOCOS PAN'!AB37-'OPEX - BLOCOS PAN'!AB37-VLOOKUP('BLOCOS - AMPLIAR'!$E30,'CAPEX - BLOCOS PAN'!$C$3:$AB$52,26,FALSE))*'BLOCOS - AMPLIAR'!AD$57</f>
        <v>-346282.97334483231</v>
      </c>
      <c r="AE40" s="1">
        <f>('RECEITAS - BLOCOS PAN'!AC37-'OPEX - BLOCOS PAN'!AC37-VLOOKUP('BLOCOS - AMPLIAR'!$E30,'CAPEX - BLOCOS PAN'!$C$3:$AC$52,27,FALSE))*'BLOCOS - AMPLIAR'!AE$57</f>
        <v>-307638.38305029873</v>
      </c>
      <c r="AF40" s="1">
        <f>('RECEITAS - BLOCOS PAN'!AD37-'OPEX - BLOCOS PAN'!AD37-VLOOKUP('BLOCOS - AMPLIAR'!$E30,'CAPEX - BLOCOS PAN'!$C$3:$AD$52,28,FALSE))*'BLOCOS - AMPLIAR'!AF$57</f>
        <v>-272776.91620370711</v>
      </c>
      <c r="AG40" s="1">
        <f>('RECEITAS - BLOCOS PAN'!AE37-'OPEX - BLOCOS PAN'!AE37-VLOOKUP('BLOCOS - AMPLIAR'!$E30,'CAPEX - BLOCOS PAN'!$C$3:$AE$52,29,FALSE))*'BLOCOS - AMPLIAR'!AG$57</f>
        <v>-242481.8208761203</v>
      </c>
      <c r="AH40" s="1">
        <f>('RECEITAS - BLOCOS PAN'!AF37-'OPEX - BLOCOS PAN'!AF37-VLOOKUP('BLOCOS - AMPLIAR'!$E30,'CAPEX - BLOCOS PAN'!$C$3:$AF$52,30,FALSE))*'BLOCOS - AMPLIAR'!AH$57</f>
        <v>-215111.09005487451</v>
      </c>
      <c r="AI40" s="1">
        <f>('RECEITAS - BLOCOS PAN'!AG37-'OPEX - BLOCOS PAN'!AG37-VLOOKUP('BLOCOS - AMPLIAR'!$E30,'CAPEX - BLOCOS PAN'!$C$3:$AG$52,31,FALSE))*'BLOCOS - AMPLIAR'!AI$57</f>
        <v>-190854.93033368027</v>
      </c>
      <c r="AJ40" s="1">
        <f>('RECEITAS - BLOCOS PAN'!AH37-'OPEX - BLOCOS PAN'!AH37-VLOOKUP('BLOCOS - AMPLIAR'!$E30,'CAPEX - BLOCOS PAN'!$C$3:$AH$52,32,FALSE))*'BLOCOS - AMPLIAR'!AJ$57</f>
        <v>-169228.85842499489</v>
      </c>
      <c r="AK40" s="1">
        <f>('RECEITAS - BLOCOS PAN'!AI37-'OPEX - BLOCOS PAN'!AI37-VLOOKUP('BLOCOS - AMPLIAR'!$E30,'CAPEX - BLOCOS PAN'!$C$3:$AI$52,33,FALSE))*'BLOCOS - AMPLIAR'!AK$57</f>
        <v>-149851.91406607156</v>
      </c>
      <c r="AL40" s="1">
        <f>('RECEITAS - BLOCOS PAN'!AJ37-'OPEX - BLOCOS PAN'!AJ37-VLOOKUP('BLOCOS - AMPLIAR'!$E30,'CAPEX - BLOCOS PAN'!$C$3:$AJ$52,34,FALSE))*'BLOCOS - AMPLIAR'!AL$57</f>
        <v>-132498.80326637786</v>
      </c>
      <c r="AM40" s="1">
        <f>('RECEITAS - BLOCOS PAN'!AK37-'OPEX - BLOCOS PAN'!AK37-VLOOKUP('BLOCOS - AMPLIAR'!$E30,'CAPEX - BLOCOS PAN'!$C$3:$AK$52,35,FALSE))*'BLOCOS - AMPLIAR'!AM$57</f>
        <v>-116954.92638895384</v>
      </c>
      <c r="AN40" s="1">
        <f>SUM(J40:X40)</f>
        <v>-100009303.95484288</v>
      </c>
      <c r="AO40" s="88"/>
      <c r="AP40" s="44">
        <f>SUM(J40:AM40)</f>
        <v>-104643797.38516086</v>
      </c>
      <c r="AQ40" s="88"/>
      <c r="AR40" s="48">
        <f>VLOOKUP(E40,'Projeção - Demanda PAX'!$C$3:$H$37,6,FALSE)</f>
        <v>72847</v>
      </c>
      <c r="AS40">
        <v>0</v>
      </c>
      <c r="AT40">
        <v>-2.75</v>
      </c>
      <c r="AU40">
        <v>-42.8</v>
      </c>
    </row>
    <row r="41" spans="1:47" x14ac:dyDescent="0.35">
      <c r="A41" s="89"/>
      <c r="B41" s="49" t="s">
        <v>369</v>
      </c>
      <c r="C41" s="76" t="s">
        <v>370</v>
      </c>
      <c r="D41" s="49">
        <v>260110</v>
      </c>
      <c r="E41" s="49" t="s">
        <v>371</v>
      </c>
      <c r="F41" s="49" t="s">
        <v>370</v>
      </c>
      <c r="G41" s="49" t="s">
        <v>36</v>
      </c>
      <c r="H41" s="49" t="s">
        <v>258</v>
      </c>
      <c r="I41" s="49" t="s">
        <v>33</v>
      </c>
      <c r="J41" s="1">
        <f>(VLOOKUP($E41,'RECEITAS - BLOCOS PAN'!$D$3:$H$52,5,FALSE)-VLOOKUP('BLOCOS - AMPLIAR'!$E41,'OPEX - BLOCOS PAN'!$D$3:$H$52,5,FALSE)-VLOOKUP('BLOCOS - AMPLIAR'!$E41,'CAPEX - BLOCOS PAN'!$C$3:$H$52,6,FALSE))*'BLOCOS - AMPLIAR'!J$57</f>
        <v>-9141413.2730364166</v>
      </c>
      <c r="K41" s="1">
        <f>(VLOOKUP($E41,'RECEITAS - BLOCOS PAN'!$D$3:$I$52,6,FALSE)-VLOOKUP('BLOCOS - AMPLIAR'!$E41,'OPEX - BLOCOS PAN'!$D$3:$I$52,6,FALSE)-VLOOKUP('BLOCOS - AMPLIAR'!$E41,'CAPEX - BLOCOS PAN'!$C$3:$I$52,7,FALSE))*'BLOCOS - AMPLIAR'!K$57</f>
        <v>-8344512.3441683408</v>
      </c>
      <c r="L41" s="1">
        <f>(VLOOKUP($E41,'RECEITAS - BLOCOS PAN'!$D$3:$J$52,7,FALSE)-VLOOKUP('BLOCOS - AMPLIAR'!$E41,'OPEX - BLOCOS PAN'!$D$3:$J$52,7,FALSE)-VLOOKUP('BLOCOS - AMPLIAR'!$E41,'CAPEX - BLOCOS PAN'!$C$3:$J$52,8,FALSE))*'BLOCOS - AMPLIAR'!L$57</f>
        <v>-7617081.0991951991</v>
      </c>
      <c r="M41" s="72">
        <f>('RECEITAS - BLOCOS PAN'!K43-'OPEX - BLOCOS PAN'!K43-VLOOKUP('BLOCOS - AMPLIAR'!$E36,'CAPEX - BLOCOS PAN'!$C$3:$K$52,9,FALSE))*'BLOCOS - AMPLIAR'!M$57</f>
        <v>-504987.90665314812</v>
      </c>
      <c r="N41" s="72">
        <f>('RECEITAS - BLOCOS PAN'!L43-'OPEX - BLOCOS PAN'!L43-VLOOKUP('BLOCOS - AMPLIAR'!$E36,'CAPEX - BLOCOS PAN'!$C$3:$L$52,10,FALSE))*'BLOCOS - AMPLIAR'!N$57</f>
        <v>-460965.68384586781</v>
      </c>
      <c r="O41" s="72">
        <f>('RECEITAS - BLOCOS PAN'!M43-'OPEX - BLOCOS PAN'!M43-VLOOKUP('BLOCOS - AMPLIAR'!$E36,'CAPEX - BLOCOS PAN'!$C$3:$M$52,11,FALSE))*'BLOCOS - AMPLIAR'!O$57</f>
        <v>-420781.08977258584</v>
      </c>
      <c r="P41" s="72">
        <f>('RECEITAS - BLOCOS PAN'!N43-'OPEX - BLOCOS PAN'!N43-VLOOKUP('BLOCOS - AMPLIAR'!$E36,'CAPEX - BLOCOS PAN'!$C$3:$N$52,12,FALSE))*'BLOCOS - AMPLIAR'!P$57</f>
        <v>-384099.57989282144</v>
      </c>
      <c r="Q41" s="72">
        <f>('RECEITAS - BLOCOS PAN'!O43-'OPEX - BLOCOS PAN'!O43-VLOOKUP('BLOCOS - AMPLIAR'!$E36,'CAPEX - BLOCOS PAN'!$C$3:$O$52,13,FALSE))*'BLOCOS - AMPLIAR'!Q$57</f>
        <v>-350615.77352151659</v>
      </c>
      <c r="R41" s="72">
        <f>('RECEITAS - BLOCOS PAN'!P43-'OPEX - BLOCOS PAN'!P43-VLOOKUP('BLOCOS - AMPLIAR'!$E36,'CAPEX - BLOCOS PAN'!$C$3:$P$52,14,FALSE))*'BLOCOS - AMPLIAR'!R$57</f>
        <v>-320050.91147559712</v>
      </c>
      <c r="S41" s="72">
        <f>('RECEITAS - BLOCOS PAN'!Q43-'OPEX - BLOCOS PAN'!Q43-VLOOKUP('BLOCOS - AMPLIAR'!$E36,'CAPEX - BLOCOS PAN'!$C$3:$Q$52,15,FALSE))*'BLOCOS - AMPLIAR'!S$57</f>
        <v>-292150.53534970072</v>
      </c>
      <c r="T41" s="72">
        <f>('RECEITAS - BLOCOS PAN'!R43-'OPEX - BLOCOS PAN'!R43-VLOOKUP('BLOCOS - AMPLIAR'!$E36,'CAPEX - BLOCOS PAN'!$C$3:$R$52,16,FALSE))*'BLOCOS - AMPLIAR'!T$57</f>
        <v>-266682.36910059402</v>
      </c>
      <c r="U41" s="72">
        <f>('RECEITAS - BLOCOS PAN'!S43-'OPEX - BLOCOS PAN'!S43-VLOOKUP('BLOCOS - AMPLIAR'!$E36,'CAPEX - BLOCOS PAN'!$C$3:$S$52,17,FALSE))*'BLOCOS - AMPLIAR'!U$57</f>
        <v>-243434.3853040566</v>
      </c>
      <c r="V41" s="72">
        <f>('RECEITAS - BLOCOS PAN'!T43-'OPEX - BLOCOS PAN'!T43-VLOOKUP('BLOCOS - AMPLIAR'!$E36,'CAPEX - BLOCOS PAN'!$C$3:$T$52,18,FALSE))*'BLOCOS - AMPLIAR'!V$57</f>
        <v>-222213.03998544649</v>
      </c>
      <c r="W41" s="72">
        <f>('RECEITAS - BLOCOS PAN'!U43-'OPEX - BLOCOS PAN'!U43-VLOOKUP('BLOCOS - AMPLIAR'!$E36,'CAPEX - BLOCOS PAN'!$C$3:$U$52,19,FALSE))*'BLOCOS - AMPLIAR'!W$57</f>
        <v>-202841.66132856821</v>
      </c>
      <c r="X41" s="72">
        <f>('RECEITAS - BLOCOS PAN'!V43-'OPEX - BLOCOS PAN'!V43-VLOOKUP('BLOCOS - AMPLIAR'!$E36,'CAPEX - BLOCOS PAN'!$C$3:$V$52,20,FALSE))*'BLOCOS - AMPLIAR'!X$57</f>
        <v>-185158.9788485333</v>
      </c>
      <c r="Y41" s="72">
        <f>('RECEITAS - BLOCOS PAN'!W43-'OPEX - BLOCOS PAN'!W43-VLOOKUP('BLOCOS - AMPLIAR'!$E36,'CAPEX - BLOCOS PAN'!$C$3:$W$52,21,FALSE))*'BLOCOS - AMPLIAR'!Y$57</f>
        <v>-169017.78078369083</v>
      </c>
      <c r="Z41" s="72">
        <f>('RECEITAS - BLOCOS PAN'!X43-'OPEX - BLOCOS PAN'!X43-VLOOKUP('BLOCOS - AMPLIAR'!$E36,'CAPEX - BLOCOS PAN'!$C$3:$X$52,22,FALSE))*'BLOCOS - AMPLIAR'!Z$57</f>
        <v>-154283.68852915641</v>
      </c>
      <c r="AA41" s="72">
        <f>('RECEITAS - BLOCOS PAN'!Y43-'OPEX - BLOCOS PAN'!Y43-VLOOKUP('BLOCOS - AMPLIAR'!$E36,'CAPEX - BLOCOS PAN'!$C$3:$Y$52,23,FALSE))*'BLOCOS - AMPLIAR'!AA$57</f>
        <v>-140834.03790886025</v>
      </c>
      <c r="AB41" s="72">
        <f>('RECEITAS - BLOCOS PAN'!Z43-'OPEX - BLOCOS PAN'!Z43-VLOOKUP('BLOCOS - AMPLIAR'!$E36,'CAPEX - BLOCOS PAN'!$C$3:$Z$52,24,FALSE))*'BLOCOS - AMPLIAR'!AB$57</f>
        <v>-128556.85797248771</v>
      </c>
      <c r="AC41" s="72">
        <f>('RECEITAS - BLOCOS PAN'!AA43-'OPEX - BLOCOS PAN'!AA43-VLOOKUP('BLOCOS - AMPLIAR'!$E36,'CAPEX - BLOCOS PAN'!$C$3:$AA$52,25,FALSE))*'BLOCOS - AMPLIAR'!AC$57</f>
        <v>-117349.93881559809</v>
      </c>
      <c r="AD41" s="72">
        <f>('RECEITAS - BLOCOS PAN'!AB43-'OPEX - BLOCOS PAN'!AB43-VLOOKUP('BLOCOS - AMPLIAR'!$E36,'CAPEX - BLOCOS PAN'!$C$3:$AB$52,26,FALSE))*'BLOCOS - AMPLIAR'!AD$57</f>
        <v>-107119.98066234423</v>
      </c>
      <c r="AE41" s="72">
        <f>('RECEITAS - BLOCOS PAN'!AC43-'OPEX - BLOCOS PAN'!AC43-VLOOKUP('BLOCOS - AMPLIAR'!$E36,'CAPEX - BLOCOS PAN'!$C$3:$AC$52,27,FALSE))*'BLOCOS - AMPLIAR'!AE$57</f>
        <v>-97781.817126740498</v>
      </c>
      <c r="AF41" s="72">
        <f>('RECEITAS - BLOCOS PAN'!AD43-'OPEX - BLOCOS PAN'!AD43-VLOOKUP('BLOCOS - AMPLIAR'!$E36,'CAPEX - BLOCOS PAN'!$C$3:$AD$52,28,FALSE))*'BLOCOS - AMPLIAR'!AF$57</f>
        <v>-89257.706185979463</v>
      </c>
      <c r="AG41" s="72">
        <f>('RECEITAS - BLOCOS PAN'!AE43-'OPEX - BLOCOS PAN'!AE43-VLOOKUP('BLOCOS - AMPLIAR'!$E36,'CAPEX - BLOCOS PAN'!$C$3:$AE$52,29,FALSE))*'BLOCOS - AMPLIAR'!AG$57</f>
        <v>-81476.682963011845</v>
      </c>
      <c r="AH41" s="72">
        <f>('RECEITAS - BLOCOS PAN'!AF43-'OPEX - BLOCOS PAN'!AF43-VLOOKUP('BLOCOS - AMPLIAR'!$E36,'CAPEX - BLOCOS PAN'!$C$3:$AF$52,30,FALSE))*'BLOCOS - AMPLIAR'!AH$57</f>
        <v>-74373.96893017969</v>
      </c>
      <c r="AI41" s="72">
        <f>('RECEITAS - BLOCOS PAN'!AG43-'OPEX - BLOCOS PAN'!AG43-VLOOKUP('BLOCOS - AMPLIAR'!$E36,'CAPEX - BLOCOS PAN'!$C$3:$AG$52,31,FALSE))*'BLOCOS - AMPLIAR'!AI$57</f>
        <v>-67890.432615408208</v>
      </c>
      <c r="AJ41" s="72">
        <f>('RECEITAS - BLOCOS PAN'!AH43-'OPEX - BLOCOS PAN'!AH43-VLOOKUP('BLOCOS - AMPLIAR'!$E36,'CAPEX - BLOCOS PAN'!$C$3:$AH$52,32,FALSE))*'BLOCOS - AMPLIAR'!AJ$57</f>
        <v>-61972.097321230678</v>
      </c>
      <c r="AK41" s="72">
        <f>('RECEITAS - BLOCOS PAN'!AI43-'OPEX - BLOCOS PAN'!AI43-VLOOKUP('BLOCOS - AMPLIAR'!$E36,'CAPEX - BLOCOS PAN'!$C$3:$AI$52,33,FALSE))*'BLOCOS - AMPLIAR'!AK$57</f>
        <v>-56569.691758311899</v>
      </c>
      <c r="AL41" s="72">
        <f>('RECEITAS - BLOCOS PAN'!AJ43-'OPEX - BLOCOS PAN'!AJ43-VLOOKUP('BLOCOS - AMPLIAR'!$E36,'CAPEX - BLOCOS PAN'!$C$3:$AJ$52,34,FALSE))*'BLOCOS - AMPLIAR'!AL$57</f>
        <v>-51638.23985240703</v>
      </c>
      <c r="AM41" s="72">
        <f>('RECEITAS - BLOCOS PAN'!AK43-'OPEX - BLOCOS PAN'!AK43-VLOOKUP('BLOCOS - AMPLIAR'!$E36,'CAPEX - BLOCOS PAN'!$C$3:$AK$52,35,FALSE))*'BLOCOS - AMPLIAR'!AM$57</f>
        <v>-47136.686309819284</v>
      </c>
      <c r="AN41" s="72">
        <f>SUM(J41:X41)</f>
        <v>-28956988.631478388</v>
      </c>
      <c r="AO41" s="88"/>
      <c r="AP41" s="77">
        <f>SUM(J41:AM41)</f>
        <v>-30402248.239213612</v>
      </c>
      <c r="AQ41" s="88"/>
      <c r="AR41" s="78">
        <v>0</v>
      </c>
      <c r="AS41" s="49">
        <v>0</v>
      </c>
      <c r="AT41" s="49">
        <v>-7.583333333333333</v>
      </c>
      <c r="AU41" s="49">
        <v>-40.533333333333331</v>
      </c>
    </row>
    <row r="42" spans="1:47" x14ac:dyDescent="0.35">
      <c r="A42" s="89"/>
      <c r="B42" s="49" t="s">
        <v>373</v>
      </c>
      <c r="C42" s="76" t="s">
        <v>374</v>
      </c>
      <c r="D42" s="49">
        <v>260600</v>
      </c>
      <c r="E42" s="49" t="s">
        <v>375</v>
      </c>
      <c r="F42" s="49" t="s">
        <v>374</v>
      </c>
      <c r="G42" s="49" t="s">
        <v>36</v>
      </c>
      <c r="H42" s="49" t="s">
        <v>258</v>
      </c>
      <c r="I42" s="49" t="s">
        <v>33</v>
      </c>
      <c r="J42" s="1">
        <f>(VLOOKUP($E42,'RECEITAS - BLOCOS PAN'!$D$3:$H$52,5,FALSE)-VLOOKUP('BLOCOS - AMPLIAR'!$E42,'OPEX - BLOCOS PAN'!$D$3:$H$52,5,FALSE)-VLOOKUP('BLOCOS - AMPLIAR'!$E42,'CAPEX - BLOCOS PAN'!$C$3:$H$52,6,FALSE))*'BLOCOS - AMPLIAR'!J$57</f>
        <v>-9552739.7416826598</v>
      </c>
      <c r="K42" s="1">
        <f>(VLOOKUP($E42,'RECEITAS - BLOCOS PAN'!$D$3:$I$52,6,FALSE)-VLOOKUP('BLOCOS - AMPLIAR'!$E42,'OPEX - BLOCOS PAN'!$D$3:$I$52,6,FALSE)-VLOOKUP('BLOCOS - AMPLIAR'!$E42,'CAPEX - BLOCOS PAN'!$C$3:$I$52,7,FALSE))*'BLOCOS - AMPLIAR'!K$57</f>
        <v>-8719981.507697545</v>
      </c>
      <c r="L42" s="1">
        <f>(VLOOKUP($E42,'RECEITAS - BLOCOS PAN'!$D$3:$J$52,7,FALSE)-VLOOKUP('BLOCOS - AMPLIAR'!$E42,'OPEX - BLOCOS PAN'!$D$3:$J$52,7,FALSE)-VLOOKUP('BLOCOS - AMPLIAR'!$E42,'CAPEX - BLOCOS PAN'!$C$3:$J$52,8,FALSE))*'BLOCOS - AMPLIAR'!L$57</f>
        <v>-7959818.8112255093</v>
      </c>
      <c r="M42" s="72">
        <f>('RECEITAS - BLOCOS PAN'!K46-'OPEX - BLOCOS PAN'!K46-VLOOKUP('BLOCOS - AMPLIAR'!$E39,'CAPEX - BLOCOS PAN'!$C$3:$K$52,9,FALSE))*'BLOCOS - AMPLIAR'!M$57</f>
        <v>-503417.30457000388</v>
      </c>
      <c r="N42" s="72">
        <f>('RECEITAS - BLOCOS PAN'!L46-'OPEX - BLOCOS PAN'!L46-VLOOKUP('BLOCOS - AMPLIAR'!$E39,'CAPEX - BLOCOS PAN'!$C$3:$L$52,10,FALSE))*'BLOCOS - AMPLIAR'!N$57</f>
        <v>-459531.99869466358</v>
      </c>
      <c r="O42" s="72">
        <f>('RECEITAS - BLOCOS PAN'!M46-'OPEX - BLOCOS PAN'!M46-VLOOKUP('BLOCOS - AMPLIAR'!$E39,'CAPEX - BLOCOS PAN'!$C$3:$M$52,11,FALSE))*'BLOCOS - AMPLIAR'!O$57</f>
        <v>-419472.38584633823</v>
      </c>
      <c r="P42" s="72">
        <f>('RECEITAS - BLOCOS PAN'!N46-'OPEX - BLOCOS PAN'!N46-VLOOKUP('BLOCOS - AMPLIAR'!$E39,'CAPEX - BLOCOS PAN'!$C$3:$N$52,12,FALSE))*'BLOCOS - AMPLIAR'!P$57</f>
        <v>-382904.96197748813</v>
      </c>
      <c r="Q42" s="72">
        <f>('RECEITAS - BLOCOS PAN'!O46-'OPEX - BLOCOS PAN'!O46-VLOOKUP('BLOCOS - AMPLIAR'!$E39,'CAPEX - BLOCOS PAN'!$C$3:$O$52,13,FALSE))*'BLOCOS - AMPLIAR'!Q$57</f>
        <v>-349525.29619122605</v>
      </c>
      <c r="R42" s="72">
        <f>('RECEITAS - BLOCOS PAN'!P46-'OPEX - BLOCOS PAN'!P46-VLOOKUP('BLOCOS - AMPLIAR'!$E39,'CAPEX - BLOCOS PAN'!$C$3:$P$52,14,FALSE))*'BLOCOS - AMPLIAR'!R$57</f>
        <v>-319055.49629504891</v>
      </c>
      <c r="S42" s="72">
        <f>('RECEITAS - BLOCOS PAN'!Q46-'OPEX - BLOCOS PAN'!Q46-VLOOKUP('BLOCOS - AMPLIAR'!$E39,'CAPEX - BLOCOS PAN'!$C$3:$Q$52,15,FALSE))*'BLOCOS - AMPLIAR'!S$57</f>
        <v>-291241.89529443078</v>
      </c>
      <c r="T42" s="72">
        <f>('RECEITAS - BLOCOS PAN'!R46-'OPEX - BLOCOS PAN'!R46-VLOOKUP('BLOCOS - AMPLIAR'!$E39,'CAPEX - BLOCOS PAN'!$C$3:$R$52,16,FALSE))*'BLOCOS - AMPLIAR'!T$57</f>
        <v>-265852.93956588849</v>
      </c>
      <c r="U42" s="72">
        <f>('RECEITAS - BLOCOS PAN'!S46-'OPEX - BLOCOS PAN'!S46-VLOOKUP('BLOCOS - AMPLIAR'!$E39,'CAPEX - BLOCOS PAN'!$C$3:$S$52,17,FALSE))*'BLOCOS - AMPLIAR'!U$57</f>
        <v>-242677.26112815016</v>
      </c>
      <c r="V42" s="72">
        <f>('RECEITAS - BLOCOS PAN'!T46-'OPEX - BLOCOS PAN'!T46-VLOOKUP('BLOCOS - AMPLIAR'!$E39,'CAPEX - BLOCOS PAN'!$C$3:$T$52,18,FALSE))*'BLOCOS - AMPLIAR'!V$57</f>
        <v>-221521.91796271125</v>
      </c>
      <c r="W42" s="72">
        <f>('RECEITAS - BLOCOS PAN'!U46-'OPEX - BLOCOS PAN'!U46-VLOOKUP('BLOCOS - AMPLIAR'!$E39,'CAPEX - BLOCOS PAN'!$C$3:$U$52,19,FALSE))*'BLOCOS - AMPLIAR'!W$57</f>
        <v>-202210.78773410426</v>
      </c>
      <c r="X42" s="72">
        <f>('RECEITAS - BLOCOS PAN'!V46-'OPEX - BLOCOS PAN'!V46-VLOOKUP('BLOCOS - AMPLIAR'!$E39,'CAPEX - BLOCOS PAN'!$C$3:$V$52,20,FALSE))*'BLOCOS - AMPLIAR'!X$57</f>
        <v>-184583.10153729282</v>
      </c>
      <c r="Y42" s="72">
        <f>('RECEITAS - BLOCOS PAN'!W46-'OPEX - BLOCOS PAN'!W46-VLOOKUP('BLOCOS - AMPLIAR'!$E39,'CAPEX - BLOCOS PAN'!$C$3:$W$52,21,FALSE))*'BLOCOS - AMPLIAR'!Y$57</f>
        <v>-168492.10546535172</v>
      </c>
      <c r="Z42" s="72">
        <f>('RECEITAS - BLOCOS PAN'!X46-'OPEX - BLOCOS PAN'!X46-VLOOKUP('BLOCOS - AMPLIAR'!$E39,'CAPEX - BLOCOS PAN'!$C$3:$X$52,22,FALSE))*'BLOCOS - AMPLIAR'!Z$57</f>
        <v>-153803.83885472547</v>
      </c>
      <c r="AA42" s="72">
        <f>('RECEITAS - BLOCOS PAN'!Y46-'OPEX - BLOCOS PAN'!Y46-VLOOKUP('BLOCOS - AMPLIAR'!$E39,'CAPEX - BLOCOS PAN'!$C$3:$Y$52,23,FALSE))*'BLOCOS - AMPLIAR'!AA$57</f>
        <v>-140396.01903671882</v>
      </c>
      <c r="AB42" s="72">
        <f>('RECEITAS - BLOCOS PAN'!Z46-'OPEX - BLOCOS PAN'!Z46-VLOOKUP('BLOCOS - AMPLIAR'!$E39,'CAPEX - BLOCOS PAN'!$C$3:$Z$52,24,FALSE))*'BLOCOS - AMPLIAR'!AB$57</f>
        <v>-128157.02331056034</v>
      </c>
      <c r="AC42" s="72">
        <f>('RECEITAS - BLOCOS PAN'!AA46-'OPEX - BLOCOS PAN'!AA46-VLOOKUP('BLOCOS - AMPLIAR'!$E39,'CAPEX - BLOCOS PAN'!$C$3:$AA$52,25,FALSE))*'BLOCOS - AMPLIAR'!AC$57</f>
        <v>-116984.95966276617</v>
      </c>
      <c r="AD42" s="72">
        <f>('RECEITAS - BLOCOS PAN'!AB46-'OPEX - BLOCOS PAN'!AB46-VLOOKUP('BLOCOS - AMPLIAR'!$E39,'CAPEX - BLOCOS PAN'!$C$3:$AB$52,26,FALSE))*'BLOCOS - AMPLIAR'!AD$57</f>
        <v>-106786.81849636347</v>
      </c>
      <c r="AE42" s="72">
        <f>('RECEITAS - BLOCOS PAN'!AC46-'OPEX - BLOCOS PAN'!AC46-VLOOKUP('BLOCOS - AMPLIAR'!$E39,'CAPEX - BLOCOS PAN'!$C$3:$AC$52,27,FALSE))*'BLOCOS - AMPLIAR'!AE$57</f>
        <v>-97477.698307953877</v>
      </c>
      <c r="AF42" s="72">
        <f>('RECEITAS - BLOCOS PAN'!AD46-'OPEX - BLOCOS PAN'!AD46-VLOOKUP('BLOCOS - AMPLIAR'!$E39,'CAPEX - BLOCOS PAN'!$C$3:$AD$52,28,FALSE))*'BLOCOS - AMPLIAR'!AF$57</f>
        <v>-88980.098866229004</v>
      </c>
      <c r="AG42" s="72">
        <f>('RECEITAS - BLOCOS PAN'!AE46-'OPEX - BLOCOS PAN'!AE46-VLOOKUP('BLOCOS - AMPLIAR'!$E39,'CAPEX - BLOCOS PAN'!$C$3:$AE$52,29,FALSE))*'BLOCOS - AMPLIAR'!AG$57</f>
        <v>-81223.276007511653</v>
      </c>
      <c r="AH42" s="72">
        <f>('RECEITAS - BLOCOS PAN'!AF46-'OPEX - BLOCOS PAN'!AF46-VLOOKUP('BLOCOS - AMPLIAR'!$E39,'CAPEX - BLOCOS PAN'!$C$3:$AF$52,30,FALSE))*'BLOCOS - AMPLIAR'!AH$57</f>
        <v>-74142.652676870523</v>
      </c>
      <c r="AI42" s="72">
        <f>('RECEITAS - BLOCOS PAN'!AG46-'OPEX - BLOCOS PAN'!AG46-VLOOKUP('BLOCOS - AMPLIAR'!$E39,'CAPEX - BLOCOS PAN'!$C$3:$AG$52,31,FALSE))*'BLOCOS - AMPLIAR'!AI$57</f>
        <v>-67679.281311611616</v>
      </c>
      <c r="AJ42" s="72">
        <f>('RECEITAS - BLOCOS PAN'!AH46-'OPEX - BLOCOS PAN'!AH46-VLOOKUP('BLOCOS - AMPLIAR'!$E39,'CAPEX - BLOCOS PAN'!$C$3:$AH$52,32,FALSE))*'BLOCOS - AMPLIAR'!AJ$57</f>
        <v>-61779.353091384401</v>
      </c>
      <c r="AK42" s="72">
        <f>('RECEITAS - BLOCOS PAN'!AI46-'OPEX - BLOCOS PAN'!AI46-VLOOKUP('BLOCOS - AMPLIAR'!$E39,'CAPEX - BLOCOS PAN'!$C$3:$AI$52,33,FALSE))*'BLOCOS - AMPLIAR'!AK$57</f>
        <v>-56393.749969314842</v>
      </c>
      <c r="AL42" s="72">
        <f>('RECEITAS - BLOCOS PAN'!AJ46-'OPEX - BLOCOS PAN'!AJ46-VLOOKUP('BLOCOS - AMPLIAR'!$E39,'CAPEX - BLOCOS PAN'!$C$3:$AJ$52,34,FALSE))*'BLOCOS - AMPLIAR'!AL$57</f>
        <v>-51477.635754737421</v>
      </c>
      <c r="AM42" s="72">
        <f>('RECEITAS - BLOCOS PAN'!AK46-'OPEX - BLOCOS PAN'!AK46-VLOOKUP('BLOCOS - AMPLIAR'!$E39,'CAPEX - BLOCOS PAN'!$C$3:$AK$52,35,FALSE))*'BLOCOS - AMPLIAR'!AM$57</f>
        <v>-46990.082843210788</v>
      </c>
      <c r="AN42" s="72">
        <f>SUM(J42:X42)</f>
        <v>-30074535.407403059</v>
      </c>
      <c r="AO42" s="88"/>
      <c r="AP42" s="77">
        <f>SUM(J42:AM42)</f>
        <v>-31515300.00105837</v>
      </c>
      <c r="AQ42" s="88"/>
      <c r="AR42" s="78">
        <v>0</v>
      </c>
      <c r="AS42" s="49">
        <v>0</v>
      </c>
      <c r="AT42" s="49">
        <v>-8.8333333333333339</v>
      </c>
      <c r="AU42" s="49">
        <v>-36.466666666666669</v>
      </c>
    </row>
    <row r="43" spans="1:47" x14ac:dyDescent="0.35">
      <c r="A43" s="89" t="str">
        <f>VLOOKUP(E43,'FLUXO DE CAIXA DESC.-SEM MULT.'!$D$3:$AT$52,43,FALSE)</f>
        <v>Bloco 9 - MA/TO</v>
      </c>
      <c r="B43" t="s">
        <v>131</v>
      </c>
      <c r="C43" t="s">
        <v>176</v>
      </c>
      <c r="D43">
        <v>170210</v>
      </c>
      <c r="E43" t="s">
        <v>133</v>
      </c>
      <c r="F43" t="s">
        <v>132</v>
      </c>
      <c r="G43" t="s">
        <v>32</v>
      </c>
      <c r="H43" t="s">
        <v>259</v>
      </c>
      <c r="I43" t="s">
        <v>33</v>
      </c>
      <c r="J43" s="1">
        <f>(VLOOKUP($E43,'RECEITAS - BLOCOS PAN'!$D$3:$H$52,5,FALSE)-VLOOKUP('BLOCOS - AMPLIAR'!$E43,'OPEX - BLOCOS PAN'!$D$3:$H$52,5,FALSE)-VLOOKUP('BLOCOS - AMPLIAR'!$E43,'CAPEX - BLOCOS PAN'!$C$3:$H$52,6,FALSE))*'BLOCOS - AMPLIAR'!J$57</f>
        <v>-35210191.359099999</v>
      </c>
      <c r="K43" s="1">
        <f>(VLOOKUP($E43,'RECEITAS - BLOCOS PAN'!$D$3:$I$52,6,FALSE)-VLOOKUP('BLOCOS - AMPLIAR'!$E43,'OPEX - BLOCOS PAN'!$D$3:$I$52,6,FALSE)-VLOOKUP('BLOCOS - AMPLIAR'!$E43,'CAPEX - BLOCOS PAN'!$C$3:$I$52,7,FALSE))*'BLOCOS - AMPLIAR'!K$57</f>
        <v>-32254297.374532178</v>
      </c>
      <c r="L43" s="1">
        <f>(VLOOKUP($E43,'RECEITAS - BLOCOS PAN'!$D$3:$J$52,7,FALSE)-VLOOKUP('BLOCOS - AMPLIAR'!$E43,'OPEX - BLOCOS PAN'!$D$3:$J$52,7,FALSE)-VLOOKUP('BLOCOS - AMPLIAR'!$E43,'CAPEX - BLOCOS PAN'!$C$3:$J$52,8,FALSE))*'BLOCOS - AMPLIAR'!L$57</f>
        <v>-29403026.590543747</v>
      </c>
      <c r="M43" s="1">
        <f>('RECEITAS - BLOCOS PAN'!K28-'OPEX - BLOCOS PAN'!K28-VLOOKUP('BLOCOS - AMPLIAR'!$E21,'CAPEX - BLOCOS PAN'!$C$3:$K$52,9,FALSE))*'BLOCOS - AMPLIAR'!M$57</f>
        <v>-2180985.3398371106</v>
      </c>
      <c r="N43" s="1">
        <f>('RECEITAS - BLOCOS PAN'!L28-'OPEX - BLOCOS PAN'!L28-VLOOKUP('BLOCOS - AMPLIAR'!$E21,'CAPEX - BLOCOS PAN'!$C$3:$L$52,10,FALSE))*'BLOCOS - AMPLIAR'!N$57</f>
        <v>-1973343.650824792</v>
      </c>
      <c r="O43" s="1">
        <f>('RECEITAS - BLOCOS PAN'!M28-'OPEX - BLOCOS PAN'!M28-VLOOKUP('BLOCOS - AMPLIAR'!$E21,'CAPEX - BLOCOS PAN'!$C$3:$M$52,11,FALSE))*'BLOCOS - AMPLIAR'!O$57</f>
        <v>-1787435.6808767573</v>
      </c>
      <c r="P43" s="1">
        <f>('RECEITAS - BLOCOS PAN'!N28-'OPEX - BLOCOS PAN'!N28-VLOOKUP('BLOCOS - AMPLIAR'!$E21,'CAPEX - BLOCOS PAN'!$C$3:$N$52,12,FALSE))*'BLOCOS - AMPLIAR'!P$57</f>
        <v>-1619951.0439816669</v>
      </c>
      <c r="Q43" s="1">
        <f>('RECEITAS - BLOCOS PAN'!O28-'OPEX - BLOCOS PAN'!O28-VLOOKUP('BLOCOS - AMPLIAR'!$E21,'CAPEX - BLOCOS PAN'!$C$3:$O$52,13,FALSE))*'BLOCOS - AMPLIAR'!Q$57</f>
        <v>-1468731.2062063063</v>
      </c>
      <c r="R43" s="1">
        <f>('RECEITAS - BLOCOS PAN'!P28-'OPEX - BLOCOS PAN'!P28-VLOOKUP('BLOCOS - AMPLIAR'!$E21,'CAPEX - BLOCOS PAN'!$C$3:$P$52,14,FALSE))*'BLOCOS - AMPLIAR'!R$57</f>
        <v>-1332301.282718627</v>
      </c>
      <c r="S43" s="1">
        <f>('RECEITAS - BLOCOS PAN'!Q28-'OPEX - BLOCOS PAN'!Q28-VLOOKUP('BLOCOS - AMPLIAR'!$E21,'CAPEX - BLOCOS PAN'!$C$3:$Q$52,15,FALSE))*'BLOCOS - AMPLIAR'!S$57</f>
        <v>-1209318.6126665354</v>
      </c>
      <c r="T43" s="1">
        <f>('RECEITAS - BLOCOS PAN'!R28-'OPEX - BLOCOS PAN'!R28-VLOOKUP('BLOCOS - AMPLIAR'!$E21,'CAPEX - BLOCOS PAN'!$C$3:$R$52,16,FALSE))*'BLOCOS - AMPLIAR'!T$57</f>
        <v>-1098156.9531645791</v>
      </c>
      <c r="U43" s="1">
        <f>('RECEITAS - BLOCOS PAN'!S28-'OPEX - BLOCOS PAN'!S28-VLOOKUP('BLOCOS - AMPLIAR'!$E21,'CAPEX - BLOCOS PAN'!$C$3:$S$52,17,FALSE))*'BLOCOS - AMPLIAR'!U$57</f>
        <v>-997238.41874834441</v>
      </c>
      <c r="V43" s="1">
        <f>('RECEITAS - BLOCOS PAN'!T28-'OPEX - BLOCOS PAN'!T28-VLOOKUP('BLOCOS - AMPLIAR'!$E21,'CAPEX - BLOCOS PAN'!$C$3:$T$52,18,FALSE))*'BLOCOS - AMPLIAR'!V$57</f>
        <v>-905645.96933107637</v>
      </c>
      <c r="W43" s="1">
        <f>('RECEITAS - BLOCOS PAN'!U28-'OPEX - BLOCOS PAN'!U28-VLOOKUP('BLOCOS - AMPLIAR'!$E21,'CAPEX - BLOCOS PAN'!$C$3:$U$52,19,FALSE))*'BLOCOS - AMPLIAR'!W$57</f>
        <v>-822326.74022656947</v>
      </c>
      <c r="X43" s="1">
        <f>('RECEITAS - BLOCOS PAN'!V28-'OPEX - BLOCOS PAN'!V28-VLOOKUP('BLOCOS - AMPLIAR'!$E21,'CAPEX - BLOCOS PAN'!$C$3:$V$52,20,FALSE))*'BLOCOS - AMPLIAR'!X$57</f>
        <v>-746782.82999570156</v>
      </c>
      <c r="Y43" s="1">
        <f>('RECEITAS - BLOCOS PAN'!W28-'OPEX - BLOCOS PAN'!W28-VLOOKUP('BLOCOS - AMPLIAR'!$E21,'CAPEX - BLOCOS PAN'!$C$3:$W$52,21,FALSE))*'BLOCOS - AMPLIAR'!Y$57</f>
        <v>-831370.14235730213</v>
      </c>
      <c r="Z43" s="1">
        <f>('RECEITAS - BLOCOS PAN'!X28-'OPEX - BLOCOS PAN'!X28-VLOOKUP('BLOCOS - AMPLIAR'!$E21,'CAPEX - BLOCOS PAN'!$C$3:$X$52,22,FALSE))*'BLOCOS - AMPLIAR'!Z$57</f>
        <v>-755404.65330882184</v>
      </c>
      <c r="AA43" s="1">
        <f>('RECEITAS - BLOCOS PAN'!Y28-'OPEX - BLOCOS PAN'!Y28-VLOOKUP('BLOCOS - AMPLIAR'!$E21,'CAPEX - BLOCOS PAN'!$C$3:$Y$52,23,FALSE))*'BLOCOS - AMPLIAR'!AA$57</f>
        <v>-686236.47908948513</v>
      </c>
      <c r="AB43" s="1">
        <f>('RECEITAS - BLOCOS PAN'!Z28-'OPEX - BLOCOS PAN'!Z28-VLOOKUP('BLOCOS - AMPLIAR'!$E21,'CAPEX - BLOCOS PAN'!$C$3:$Z$52,24,FALSE))*'BLOCOS - AMPLIAR'!AB$57</f>
        <v>-623387.94065345323</v>
      </c>
      <c r="AC43" s="1">
        <f>('RECEITAS - BLOCOS PAN'!AA28-'OPEX - BLOCOS PAN'!AA28-VLOOKUP('BLOCOS - AMPLIAR'!$E21,'CAPEX - BLOCOS PAN'!$C$3:$AA$52,25,FALSE))*'BLOCOS - AMPLIAR'!AC$57</f>
        <v>-566229.8585824141</v>
      </c>
      <c r="AD43" s="1">
        <f>('RECEITAS - BLOCOS PAN'!AB28-'OPEX - BLOCOS PAN'!AB28-VLOOKUP('BLOCOS - AMPLIAR'!$E21,'CAPEX - BLOCOS PAN'!$C$3:$AB$52,26,FALSE))*'BLOCOS - AMPLIAR'!AD$57</f>
        <v>-514400.65224828728</v>
      </c>
      <c r="AE43" s="1">
        <f>('RECEITAS - BLOCOS PAN'!AC28-'OPEX - BLOCOS PAN'!AC28-VLOOKUP('BLOCOS - AMPLIAR'!$E21,'CAPEX - BLOCOS PAN'!$C$3:$AC$52,27,FALSE))*'BLOCOS - AMPLIAR'!AE$57</f>
        <v>-467281.40202188218</v>
      </c>
      <c r="AF43" s="1">
        <f>('RECEITAS - BLOCOS PAN'!AD28-'OPEX - BLOCOS PAN'!AD28-VLOOKUP('BLOCOS - AMPLIAR'!$E21,'CAPEX - BLOCOS PAN'!$C$3:$AD$52,28,FALSE))*'BLOCOS - AMPLIAR'!AF$57</f>
        <v>-424524.52677457256</v>
      </c>
      <c r="AG43" s="1">
        <f>('RECEITAS - BLOCOS PAN'!AE28-'OPEX - BLOCOS PAN'!AE28-VLOOKUP('BLOCOS - AMPLIAR'!$E21,'CAPEX - BLOCOS PAN'!$C$3:$AE$52,29,FALSE))*'BLOCOS - AMPLIAR'!AG$57</f>
        <v>-385762.63235214446</v>
      </c>
      <c r="AH43" s="1">
        <f>('RECEITAS - BLOCOS PAN'!AF28-'OPEX - BLOCOS PAN'!AF28-VLOOKUP('BLOCOS - AMPLIAR'!$E21,'CAPEX - BLOCOS PAN'!$C$3:$AF$52,30,FALSE))*'BLOCOS - AMPLIAR'!AH$57</f>
        <v>-350593.57128322107</v>
      </c>
      <c r="AI43" s="1">
        <f>('RECEITAS - BLOCOS PAN'!AG28-'OPEX - BLOCOS PAN'!AG28-VLOOKUP('BLOCOS - AMPLIAR'!$E21,'CAPEX - BLOCOS PAN'!$C$3:$AG$52,31,FALSE))*'BLOCOS - AMPLIAR'!AI$57</f>
        <v>-318597.2136082853</v>
      </c>
      <c r="AJ43" s="1">
        <f>('RECEITAS - BLOCOS PAN'!AH28-'OPEX - BLOCOS PAN'!AH28-VLOOKUP('BLOCOS - AMPLIAR'!$E21,'CAPEX - BLOCOS PAN'!$C$3:$AH$52,32,FALSE))*'BLOCOS - AMPLIAR'!AJ$57</f>
        <v>-289612.54204448324</v>
      </c>
      <c r="AK43" s="1">
        <f>('RECEITAS - BLOCOS PAN'!AI28-'OPEX - BLOCOS PAN'!AI28-VLOOKUP('BLOCOS - AMPLIAR'!$E21,'CAPEX - BLOCOS PAN'!$C$3:$AI$52,33,FALSE))*'BLOCOS - AMPLIAR'!AK$57</f>
        <v>-263280.02157942182</v>
      </c>
      <c r="AL43" s="1">
        <f>('RECEITAS - BLOCOS PAN'!AJ28-'OPEX - BLOCOS PAN'!AJ28-VLOOKUP('BLOCOS - AMPLIAR'!$E21,'CAPEX - BLOCOS PAN'!$C$3:$AJ$52,34,FALSE))*'BLOCOS - AMPLIAR'!AL$57</f>
        <v>-239325.58864835554</v>
      </c>
      <c r="AM43" s="1">
        <f>('RECEITAS - BLOCOS PAN'!AK28-'OPEX - BLOCOS PAN'!AK28-VLOOKUP('BLOCOS - AMPLIAR'!$E21,'CAPEX - BLOCOS PAN'!$C$3:$AK$52,35,FALSE))*'BLOCOS - AMPLIAR'!AM$57</f>
        <v>-217532.49579601921</v>
      </c>
      <c r="AN43" s="1">
        <f>SUM(J43:X43)</f>
        <v>-113009733.05275398</v>
      </c>
      <c r="AO43" s="88">
        <f>SUM(AN43:AN45)</f>
        <v>-184122521.03299868</v>
      </c>
      <c r="AP43" s="44">
        <f>SUM(J43:AM43)</f>
        <v>-119943272.77310213</v>
      </c>
      <c r="AQ43" s="88">
        <f>SUM(AP43:AP45)</f>
        <v>-193058147.61246124</v>
      </c>
      <c r="AR43" s="48">
        <f>VLOOKUP(E43,'Projeção - Demanda PAX'!$C$3:$H$37,6,FALSE)</f>
        <v>25831</v>
      </c>
      <c r="AS43">
        <v>1</v>
      </c>
      <c r="AT43">
        <v>-7.2166666666666668</v>
      </c>
      <c r="AU43">
        <v>-48.233333333333334</v>
      </c>
    </row>
    <row r="44" spans="1:47" x14ac:dyDescent="0.35">
      <c r="A44" s="89"/>
      <c r="B44" t="s">
        <v>88</v>
      </c>
      <c r="C44" s="5" t="s">
        <v>270</v>
      </c>
      <c r="D44">
        <v>210120</v>
      </c>
      <c r="E44" t="s">
        <v>292</v>
      </c>
      <c r="F44" t="s">
        <v>234</v>
      </c>
      <c r="G44" t="s">
        <v>31</v>
      </c>
      <c r="H44" t="s">
        <v>258</v>
      </c>
      <c r="I44" t="s">
        <v>33</v>
      </c>
      <c r="J44" s="1">
        <f>(VLOOKUP($E44,'RECEITAS - BLOCOS PAN'!$D$3:$H$52,5,FALSE)-VLOOKUP('BLOCOS - AMPLIAR'!$E44,'OPEX - BLOCOS PAN'!$D$3:$H$52,5,FALSE)-VLOOKUP('BLOCOS - AMPLIAR'!$E44,'CAPEX - BLOCOS PAN'!$C$3:$H$52,6,FALSE))*'BLOCOS - AMPLIAR'!J$57</f>
        <v>-13798901.61544523</v>
      </c>
      <c r="K44" s="1">
        <f>(VLOOKUP($E44,'RECEITAS - BLOCOS PAN'!$D$3:$I$52,6,FALSE)-VLOOKUP('BLOCOS - AMPLIAR'!$E44,'OPEX - BLOCOS PAN'!$D$3:$I$52,6,FALSE)-VLOOKUP('BLOCOS - AMPLIAR'!$E44,'CAPEX - BLOCOS PAN'!$C$3:$I$52,7,FALSE))*'BLOCOS - AMPLIAR'!K$57</f>
        <v>-12595985.043765616</v>
      </c>
      <c r="L44" s="1">
        <f>(VLOOKUP($E44,'RECEITAS - BLOCOS PAN'!$D$3:$J$52,7,FALSE)-VLOOKUP('BLOCOS - AMPLIAR'!$E44,'OPEX - BLOCOS PAN'!$D$3:$J$52,7,FALSE)-VLOOKUP('BLOCOS - AMPLIAR'!$E44,'CAPEX - BLOCOS PAN'!$C$3:$J$52,8,FALSE))*'BLOCOS - AMPLIAR'!L$57</f>
        <v>-11497932.490886003</v>
      </c>
      <c r="M44" s="1">
        <f>('RECEITAS - BLOCOS PAN'!K44-'OPEX - BLOCOS PAN'!K44-VLOOKUP('BLOCOS - AMPLIAR'!$E37,'CAPEX - BLOCOS PAN'!$C$3:$K$52,9,FALSE))*'BLOCOS - AMPLIAR'!M$57</f>
        <v>-370439.04596761259</v>
      </c>
      <c r="N44" s="1">
        <f>('RECEITAS - BLOCOS PAN'!L44-'OPEX - BLOCOS PAN'!L44-VLOOKUP('BLOCOS - AMPLIAR'!$E37,'CAPEX - BLOCOS PAN'!$C$3:$L$52,10,FALSE))*'BLOCOS - AMPLIAR'!N$57</f>
        <v>-338146.09399143094</v>
      </c>
      <c r="O44" s="1">
        <f>('RECEITAS - BLOCOS PAN'!M44-'OPEX - BLOCOS PAN'!M44-VLOOKUP('BLOCOS - AMPLIAR'!$E37,'CAPEX - BLOCOS PAN'!$C$3:$M$52,11,FALSE))*'BLOCOS - AMPLIAR'!O$57</f>
        <v>-308668.27383973612</v>
      </c>
      <c r="P44" s="1">
        <f>('RECEITAS - BLOCOS PAN'!N44-'OPEX - BLOCOS PAN'!N44-VLOOKUP('BLOCOS - AMPLIAR'!$E37,'CAPEX - BLOCOS PAN'!$C$3:$N$52,12,FALSE))*'BLOCOS - AMPLIAR'!P$57</f>
        <v>-281760.17694179475</v>
      </c>
      <c r="Q44" s="1">
        <f>('RECEITAS - BLOCOS PAN'!O44-'OPEX - BLOCOS PAN'!O44-VLOOKUP('BLOCOS - AMPLIAR'!$E37,'CAPEX - BLOCOS PAN'!$C$3:$O$52,13,FALSE))*'BLOCOS - AMPLIAR'!Q$57</f>
        <v>-257197.7881714238</v>
      </c>
      <c r="R44" s="1">
        <f>('RECEITAS - BLOCOS PAN'!P44-'OPEX - BLOCOS PAN'!P44-VLOOKUP('BLOCOS - AMPLIAR'!$E37,'CAPEX - BLOCOS PAN'!$C$3:$P$52,14,FALSE))*'BLOCOS - AMPLIAR'!R$57</f>
        <v>-234776.62087761189</v>
      </c>
      <c r="S44" s="1">
        <f>('RECEITAS - BLOCOS PAN'!Q44-'OPEX - BLOCOS PAN'!Q44-VLOOKUP('BLOCOS - AMPLIAR'!$E37,'CAPEX - BLOCOS PAN'!$C$3:$Q$52,15,FALSE))*'BLOCOS - AMPLIAR'!S$57</f>
        <v>-214310.01449348417</v>
      </c>
      <c r="T44" s="1">
        <f>('RECEITAS - BLOCOS PAN'!R44-'OPEX - BLOCOS PAN'!R44-VLOOKUP('BLOCOS - AMPLIAR'!$E37,'CAPEX - BLOCOS PAN'!$C$3:$R$52,16,FALSE))*'BLOCOS - AMPLIAR'!T$57</f>
        <v>-195627.58055087557</v>
      </c>
      <c r="U44" s="1">
        <f>('RECEITAS - BLOCOS PAN'!S44-'OPEX - BLOCOS PAN'!S44-VLOOKUP('BLOCOS - AMPLIAR'!$E37,'CAPEX - BLOCOS PAN'!$C$3:$S$52,17,FALSE))*'BLOCOS - AMPLIAR'!U$57</f>
        <v>-178573.78416328214</v>
      </c>
      <c r="V44" s="1">
        <f>('RECEITAS - BLOCOS PAN'!T44-'OPEX - BLOCOS PAN'!T44-VLOOKUP('BLOCOS - AMPLIAR'!$E37,'CAPEX - BLOCOS PAN'!$C$3:$T$52,18,FALSE))*'BLOCOS - AMPLIAR'!V$57</f>
        <v>-163006.64916776097</v>
      </c>
      <c r="W44" s="1">
        <f>('RECEITAS - BLOCOS PAN'!U44-'OPEX - BLOCOS PAN'!U44-VLOOKUP('BLOCOS - AMPLIAR'!$E37,'CAPEX - BLOCOS PAN'!$C$3:$U$52,19,FALSE))*'BLOCOS - AMPLIAR'!W$57</f>
        <v>-148796.57614583382</v>
      </c>
      <c r="X44" s="1">
        <f>('RECEITAS - BLOCOS PAN'!V44-'OPEX - BLOCOS PAN'!V44-VLOOKUP('BLOCOS - AMPLIAR'!$E37,'CAPEX - BLOCOS PAN'!$C$3:$V$52,20,FALSE))*'BLOCOS - AMPLIAR'!X$57</f>
        <v>-135825.26348318925</v>
      </c>
      <c r="Y44" s="1">
        <f>('RECEITAS - BLOCOS PAN'!W44-'OPEX - BLOCOS PAN'!W44-VLOOKUP('BLOCOS - AMPLIAR'!$E37,'CAPEX - BLOCOS PAN'!$C$3:$W$52,21,FALSE))*'BLOCOS - AMPLIAR'!Y$57</f>
        <v>-123984.72248579578</v>
      </c>
      <c r="Z44" s="1">
        <f>('RECEITAS - BLOCOS PAN'!X44-'OPEX - BLOCOS PAN'!X44-VLOOKUP('BLOCOS - AMPLIAR'!$E37,'CAPEX - BLOCOS PAN'!$C$3:$X$52,22,FALSE))*'BLOCOS - AMPLIAR'!Z$57</f>
        <v>-113176.37835307694</v>
      </c>
      <c r="AA44" s="1">
        <f>('RECEITAS - BLOCOS PAN'!Y44-'OPEX - BLOCOS PAN'!Y44-VLOOKUP('BLOCOS - AMPLIAR'!$E37,'CAPEX - BLOCOS PAN'!$C$3:$Y$52,23,FALSE))*'BLOCOS - AMPLIAR'!AA$57</f>
        <v>-103310.24952357548</v>
      </c>
      <c r="AB44" s="1">
        <f>('RECEITAS - BLOCOS PAN'!Z44-'OPEX - BLOCOS PAN'!Z44-VLOOKUP('BLOCOS - AMPLIAR'!$E37,'CAPEX - BLOCOS PAN'!$C$3:$Z$52,24,FALSE))*'BLOCOS - AMPLIAR'!AB$57</f>
        <v>-94304.198560999997</v>
      </c>
      <c r="AC44" s="1">
        <f>('RECEITAS - BLOCOS PAN'!AA44-'OPEX - BLOCOS PAN'!AA44-VLOOKUP('BLOCOS - AMPLIAR'!$E37,'CAPEX - BLOCOS PAN'!$C$3:$AA$52,25,FALSE))*'BLOCOS - AMPLIAR'!AC$57</f>
        <v>-86083.248344135092</v>
      </c>
      <c r="AD44" s="1">
        <f>('RECEITAS - BLOCOS PAN'!AB44-'OPEX - BLOCOS PAN'!AB44-VLOOKUP('BLOCOS - AMPLIAR'!$E37,'CAPEX - BLOCOS PAN'!$C$3:$AB$52,26,FALSE))*'BLOCOS - AMPLIAR'!AD$57</f>
        <v>-78578.957867763675</v>
      </c>
      <c r="AE44" s="1">
        <f>('RECEITAS - BLOCOS PAN'!AC44-'OPEX - BLOCOS PAN'!AC44-VLOOKUP('BLOCOS - AMPLIAR'!$E37,'CAPEX - BLOCOS PAN'!$C$3:$AC$52,27,FALSE))*'BLOCOS - AMPLIAR'!AE$57</f>
        <v>-71728.85245802252</v>
      </c>
      <c r="AF44" s="1">
        <f>('RECEITAS - BLOCOS PAN'!AD44-'OPEX - BLOCOS PAN'!AD44-VLOOKUP('BLOCOS - AMPLIAR'!$E37,'CAPEX - BLOCOS PAN'!$C$3:$AD$52,28,FALSE))*'BLOCOS - AMPLIAR'!AF$57</f>
        <v>-65475.903658623938</v>
      </c>
      <c r="AG44" s="1">
        <f>('RECEITAS - BLOCOS PAN'!AE44-'OPEX - BLOCOS PAN'!AE44-VLOOKUP('BLOCOS - AMPLIAR'!$E37,'CAPEX - BLOCOS PAN'!$C$3:$AE$52,29,FALSE))*'BLOCOS - AMPLIAR'!AG$57</f>
        <v>-59768.054457894978</v>
      </c>
      <c r="AH44" s="1">
        <f>('RECEITAS - BLOCOS PAN'!AF44-'OPEX - BLOCOS PAN'!AF44-VLOOKUP('BLOCOS - AMPLIAR'!$E37,'CAPEX - BLOCOS PAN'!$C$3:$AF$52,30,FALSE))*'BLOCOS - AMPLIAR'!AH$57</f>
        <v>-54557.785904057491</v>
      </c>
      <c r="AI44" s="1">
        <f>('RECEITAS - BLOCOS PAN'!AG44-'OPEX - BLOCOS PAN'!AG44-VLOOKUP('BLOCOS - AMPLIAR'!$E37,'CAPEX - BLOCOS PAN'!$C$3:$AG$52,31,FALSE))*'BLOCOS - AMPLIAR'!AI$57</f>
        <v>-49801.721500737098</v>
      </c>
      <c r="AJ44" s="1">
        <f>('RECEITAS - BLOCOS PAN'!AH44-'OPEX - BLOCOS PAN'!AH44-VLOOKUP('BLOCOS - AMPLIAR'!$E37,'CAPEX - BLOCOS PAN'!$C$3:$AH$52,32,FALSE))*'BLOCOS - AMPLIAR'!AJ$57</f>
        <v>-45460.266089216886</v>
      </c>
      <c r="AK44" s="1">
        <f>('RECEITAS - BLOCOS PAN'!AI44-'OPEX - BLOCOS PAN'!AI44-VLOOKUP('BLOCOS - AMPLIAR'!$E37,'CAPEX - BLOCOS PAN'!$C$3:$AI$52,33,FALSE))*'BLOCOS - AMPLIAR'!AK$57</f>
        <v>-41497.276211060605</v>
      </c>
      <c r="AL44" s="1">
        <f>('RECEITAS - BLOCOS PAN'!AJ44-'OPEX - BLOCOS PAN'!AJ44-VLOOKUP('BLOCOS - AMPLIAR'!$E37,'CAPEX - BLOCOS PAN'!$C$3:$AJ$52,34,FALSE))*'BLOCOS - AMPLIAR'!AL$57</f>
        <v>-37879.759206810224</v>
      </c>
      <c r="AM44" s="1">
        <f>('RECEITAS - BLOCOS PAN'!AK44-'OPEX - BLOCOS PAN'!AK44-VLOOKUP('BLOCOS - AMPLIAR'!$E37,'CAPEX - BLOCOS PAN'!$C$3:$AK$52,35,FALSE))*'BLOCOS - AMPLIAR'!AM$57</f>
        <v>-34577.598545696237</v>
      </c>
      <c r="AN44" s="1">
        <f>SUM(J44:X44)</f>
        <v>-40719947.017890893</v>
      </c>
      <c r="AO44" s="88"/>
      <c r="AP44" s="44">
        <f>SUM(J44:AM44)</f>
        <v>-41780131.99105835</v>
      </c>
      <c r="AQ44" s="88"/>
      <c r="AR44" s="48">
        <v>0</v>
      </c>
      <c r="AS44">
        <v>1</v>
      </c>
      <c r="AT44">
        <v>-4.2166666666666668</v>
      </c>
      <c r="AU44">
        <v>-44.81666666666667</v>
      </c>
    </row>
    <row r="45" spans="1:47" x14ac:dyDescent="0.35">
      <c r="A45" s="89"/>
      <c r="B45" t="s">
        <v>89</v>
      </c>
      <c r="C45" s="5" t="s">
        <v>271</v>
      </c>
      <c r="D45">
        <v>210140</v>
      </c>
      <c r="E45" t="s">
        <v>293</v>
      </c>
      <c r="F45" t="s">
        <v>235</v>
      </c>
      <c r="G45" t="s">
        <v>31</v>
      </c>
      <c r="H45" t="s">
        <v>258</v>
      </c>
      <c r="I45" t="s">
        <v>33</v>
      </c>
      <c r="J45" s="1">
        <f>(VLOOKUP($E45,'RECEITAS - BLOCOS PAN'!$D$3:$H$52,5,FALSE)-VLOOKUP('BLOCOS - AMPLIAR'!$E45,'OPEX - BLOCOS PAN'!$D$3:$H$52,5,FALSE)-VLOOKUP('BLOCOS - AMPLIAR'!$E45,'CAPEX - BLOCOS PAN'!$C$3:$H$52,6,FALSE))*'BLOCOS - AMPLIAR'!J$57</f>
        <v>-10153084.235431917</v>
      </c>
      <c r="K45" s="1">
        <f>(VLOOKUP($E45,'RECEITAS - BLOCOS PAN'!$D$3:$I$52,6,FALSE)-VLOOKUP('BLOCOS - AMPLIAR'!$E45,'OPEX - BLOCOS PAN'!$D$3:$I$52,6,FALSE)-VLOOKUP('BLOCOS - AMPLIAR'!$E45,'CAPEX - BLOCOS PAN'!$C$3:$I$52,7,FALSE))*'BLOCOS - AMPLIAR'!K$57</f>
        <v>-9267991.0866562463</v>
      </c>
      <c r="L45" s="1">
        <f>(VLOOKUP($E45,'RECEITAS - BLOCOS PAN'!$D$3:$J$52,7,FALSE)-VLOOKUP('BLOCOS - AMPLIAR'!$E45,'OPEX - BLOCOS PAN'!$D$3:$J$52,7,FALSE)-VLOOKUP('BLOCOS - AMPLIAR'!$E45,'CAPEX - BLOCOS PAN'!$C$3:$J$52,8,FALSE))*'BLOCOS - AMPLIAR'!L$57</f>
        <v>-8460055.7614388373</v>
      </c>
      <c r="M45" s="1">
        <f>('RECEITAS - BLOCOS PAN'!K45-'OPEX - BLOCOS PAN'!K45-VLOOKUP('BLOCOS - AMPLIAR'!$E38,'CAPEX - BLOCOS PAN'!$C$3:$K$52,9,FALSE))*'BLOCOS - AMPLIAR'!M$57</f>
        <v>-329109.77315858932</v>
      </c>
      <c r="N45" s="1">
        <f>('RECEITAS - BLOCOS PAN'!L45-'OPEX - BLOCOS PAN'!L45-VLOOKUP('BLOCOS - AMPLIAR'!$E38,'CAPEX - BLOCOS PAN'!$C$3:$L$52,10,FALSE))*'BLOCOS - AMPLIAR'!N$57</f>
        <v>-300419.69252267398</v>
      </c>
      <c r="O45" s="1">
        <f>('RECEITAS - BLOCOS PAN'!M45-'OPEX - BLOCOS PAN'!M45-VLOOKUP('BLOCOS - AMPLIAR'!$E38,'CAPEX - BLOCOS PAN'!$C$3:$M$52,11,FALSE))*'BLOCOS - AMPLIAR'!O$57</f>
        <v>-274230.66410102596</v>
      </c>
      <c r="P45" s="1">
        <f>('RECEITAS - BLOCOS PAN'!N45-'OPEX - BLOCOS PAN'!N45-VLOOKUP('BLOCOS - AMPLIAR'!$E38,'CAPEX - BLOCOS PAN'!$C$3:$N$52,12,FALSE))*'BLOCOS - AMPLIAR'!P$57</f>
        <v>-250324.65915200915</v>
      </c>
      <c r="Q45" s="1">
        <f>('RECEITAS - BLOCOS PAN'!O45-'OPEX - BLOCOS PAN'!O45-VLOOKUP('BLOCOS - AMPLIAR'!$E38,'CAPEX - BLOCOS PAN'!$C$3:$O$52,13,FALSE))*'BLOCOS - AMPLIAR'!Q$57</f>
        <v>-228502.65554724706</v>
      </c>
      <c r="R45" s="1">
        <f>('RECEITAS - BLOCOS PAN'!P45-'OPEX - BLOCOS PAN'!P45-VLOOKUP('BLOCOS - AMPLIAR'!$E38,'CAPEX - BLOCOS PAN'!$C$3:$P$52,14,FALSE))*'BLOCOS - AMPLIAR'!R$57</f>
        <v>-208582.98087379924</v>
      </c>
      <c r="S45" s="1">
        <f>('RECEITAS - BLOCOS PAN'!Q45-'OPEX - BLOCOS PAN'!Q45-VLOOKUP('BLOCOS - AMPLIAR'!$E38,'CAPEX - BLOCOS PAN'!$C$3:$Q$52,15,FALSE))*'BLOCOS - AMPLIAR'!S$57</f>
        <v>-190399.7999760833</v>
      </c>
      <c r="T45" s="1">
        <f>('RECEITAS - BLOCOS PAN'!R45-'OPEX - BLOCOS PAN'!R45-VLOOKUP('BLOCOS - AMPLIAR'!$E38,'CAPEX - BLOCOS PAN'!$C$3:$R$52,16,FALSE))*'BLOCOS - AMPLIAR'!T$57</f>
        <v>-173801.73434603683</v>
      </c>
      <c r="U45" s="1">
        <f>('RECEITAS - BLOCOS PAN'!S45-'OPEX - BLOCOS PAN'!S45-VLOOKUP('BLOCOS - AMPLIAR'!$E38,'CAPEX - BLOCOS PAN'!$C$3:$S$52,17,FALSE))*'BLOCOS - AMPLIAR'!U$57</f>
        <v>-158650.60186767395</v>
      </c>
      <c r="V45" s="1">
        <f>('RECEITAS - BLOCOS PAN'!T45-'OPEX - BLOCOS PAN'!T45-VLOOKUP('BLOCOS - AMPLIAR'!$E38,'CAPEX - BLOCOS PAN'!$C$3:$T$52,18,FALSE))*'BLOCOS - AMPLIAR'!V$57</f>
        <v>-144820.2664241661</v>
      </c>
      <c r="W45" s="1">
        <f>('RECEITAS - BLOCOS PAN'!U45-'OPEX - BLOCOS PAN'!U45-VLOOKUP('BLOCOS - AMPLIAR'!$E38,'CAPEX - BLOCOS PAN'!$C$3:$U$52,19,FALSE))*'BLOCOS - AMPLIAR'!W$57</f>
        <v>-132195.58779020183</v>
      </c>
      <c r="X45" s="1">
        <f>('RECEITAS - BLOCOS PAN'!V45-'OPEX - BLOCOS PAN'!V45-VLOOKUP('BLOCOS - AMPLIAR'!$E38,'CAPEX - BLOCOS PAN'!$C$3:$V$52,20,FALSE))*'BLOCOS - AMPLIAR'!X$57</f>
        <v>-120671.46306727688</v>
      </c>
      <c r="Y45" s="1">
        <f>('RECEITAS - BLOCOS PAN'!W45-'OPEX - BLOCOS PAN'!W45-VLOOKUP('BLOCOS - AMPLIAR'!$E38,'CAPEX - BLOCOS PAN'!$C$3:$W$52,21,FALSE))*'BLOCOS - AMPLIAR'!Y$57</f>
        <v>-110151.95168167676</v>
      </c>
      <c r="Z45" s="1">
        <f>('RECEITAS - BLOCOS PAN'!X45-'OPEX - BLOCOS PAN'!X45-VLOOKUP('BLOCOS - AMPLIAR'!$E38,'CAPEX - BLOCOS PAN'!$C$3:$X$52,22,FALSE))*'BLOCOS - AMPLIAR'!Z$57</f>
        <v>-100549.47666059039</v>
      </c>
      <c r="AA45" s="1">
        <f>('RECEITAS - BLOCOS PAN'!Y45-'OPEX - BLOCOS PAN'!Y45-VLOOKUP('BLOCOS - AMPLIAR'!$E38,'CAPEX - BLOCOS PAN'!$C$3:$Y$52,23,FALSE))*'BLOCOS - AMPLIAR'!AA$57</f>
        <v>-91784.095536823719</v>
      </c>
      <c r="AB45" s="1">
        <f>('RECEITAS - BLOCOS PAN'!Z45-'OPEX - BLOCOS PAN'!Z45-VLOOKUP('BLOCOS - AMPLIAR'!$E38,'CAPEX - BLOCOS PAN'!$C$3:$Z$52,24,FALSE))*'BLOCOS - AMPLIAR'!AB$57</f>
        <v>-83782.834812253524</v>
      </c>
      <c r="AC45" s="1">
        <f>('RECEITAS - BLOCOS PAN'!AA45-'OPEX - BLOCOS PAN'!AA45-VLOOKUP('BLOCOS - AMPLIAR'!$E38,'CAPEX - BLOCOS PAN'!$C$3:$AA$52,25,FALSE))*'BLOCOS - AMPLIAR'!AC$57</f>
        <v>-76479.082439300342</v>
      </c>
      <c r="AD45" s="1">
        <f>('RECEITAS - BLOCOS PAN'!AB45-'OPEX - BLOCOS PAN'!AB45-VLOOKUP('BLOCOS - AMPLIAR'!$E38,'CAPEX - BLOCOS PAN'!$C$3:$AB$52,26,FALSE))*'BLOCOS - AMPLIAR'!AD$57</f>
        <v>-69812.033262711411</v>
      </c>
      <c r="AE45" s="1">
        <f>('RECEITAS - BLOCOS PAN'!AC45-'OPEX - BLOCOS PAN'!AC45-VLOOKUP('BLOCOS - AMPLIAR'!$E38,'CAPEX - BLOCOS PAN'!$C$3:$AC$52,27,FALSE))*'BLOCOS - AMPLIAR'!AE$57</f>
        <v>-63726.182804848388</v>
      </c>
      <c r="AF45" s="1">
        <f>('RECEITAS - BLOCOS PAN'!AD45-'OPEX - BLOCOS PAN'!AD45-VLOOKUP('BLOCOS - AMPLIAR'!$E38,'CAPEX - BLOCOS PAN'!$C$3:$AD$52,28,FALSE))*'BLOCOS - AMPLIAR'!AF$57</f>
        <v>-58170.865180144581</v>
      </c>
      <c r="AG45" s="1">
        <f>('RECEITAS - BLOCOS PAN'!AE45-'OPEX - BLOCOS PAN'!AE45-VLOOKUP('BLOCOS - AMPLIAR'!$E38,'CAPEX - BLOCOS PAN'!$C$3:$AE$52,29,FALSE))*'BLOCOS - AMPLIAR'!AG$57</f>
        <v>-53099.831291779636</v>
      </c>
      <c r="AH45" s="1">
        <f>('RECEITAS - BLOCOS PAN'!AF45-'OPEX - BLOCOS PAN'!AF45-VLOOKUP('BLOCOS - AMPLIAR'!$E38,'CAPEX - BLOCOS PAN'!$C$3:$AF$52,30,FALSE))*'BLOCOS - AMPLIAR'!AH$57</f>
        <v>-48470.863798977305</v>
      </c>
      <c r="AI45" s="1">
        <f>('RECEITAS - BLOCOS PAN'!AG45-'OPEX - BLOCOS PAN'!AG45-VLOOKUP('BLOCOS - AMPLIAR'!$E38,'CAPEX - BLOCOS PAN'!$C$3:$AG$52,31,FALSE))*'BLOCOS - AMPLIAR'!AI$57</f>
        <v>-44245.42564945441</v>
      </c>
      <c r="AJ45" s="1">
        <f>('RECEITAS - BLOCOS PAN'!AH45-'OPEX - BLOCOS PAN'!AH45-VLOOKUP('BLOCOS - AMPLIAR'!$E38,'CAPEX - BLOCOS PAN'!$C$3:$AH$52,32,FALSE))*'BLOCOS - AMPLIAR'!AJ$57</f>
        <v>-40388.339250985315</v>
      </c>
      <c r="AK45" s="1">
        <f>('RECEITAS - BLOCOS PAN'!AI45-'OPEX - BLOCOS PAN'!AI45-VLOOKUP('BLOCOS - AMPLIAR'!$E38,'CAPEX - BLOCOS PAN'!$C$3:$AI$52,33,FALSE))*'BLOCOS - AMPLIAR'!AK$57</f>
        <v>-36867.493611123064</v>
      </c>
      <c r="AL45" s="1">
        <f>('RECEITAS - BLOCOS PAN'!AJ45-'OPEX - BLOCOS PAN'!AJ45-VLOOKUP('BLOCOS - AMPLIAR'!$E38,'CAPEX - BLOCOS PAN'!$C$3:$AJ$52,34,FALSE))*'BLOCOS - AMPLIAR'!AL$57</f>
        <v>-33653.577006958527</v>
      </c>
      <c r="AM45" s="1">
        <f>('RECEITAS - BLOCOS PAN'!AK45-'OPEX - BLOCOS PAN'!AK45-VLOOKUP('BLOCOS - AMPLIAR'!$E38,'CAPEX - BLOCOS PAN'!$C$3:$AK$52,35,FALSE))*'BLOCOS - AMPLIAR'!AM$57</f>
        <v>-30719.832959341416</v>
      </c>
      <c r="AN45" s="1">
        <f>SUM(J45:X45)</f>
        <v>-30392840.962353788</v>
      </c>
      <c r="AO45" s="88"/>
      <c r="AP45" s="44">
        <f>SUM(J45:AM45)</f>
        <v>-31334742.848300759</v>
      </c>
      <c r="AQ45" s="88"/>
      <c r="AR45" s="48">
        <v>0</v>
      </c>
      <c r="AS45">
        <v>1</v>
      </c>
      <c r="AT45">
        <v>-7.5166666666666666</v>
      </c>
      <c r="AU45">
        <v>-46.05</v>
      </c>
    </row>
    <row r="46" spans="1:47" x14ac:dyDescent="0.35">
      <c r="A46" s="89" t="str">
        <f>VLOOKUP(E46,'FLUXO DE CAIXA DESC.-SEM MULT.'!$D$3:$AT$52,43,FALSE)</f>
        <v>Bloco 10 - MT1</v>
      </c>
      <c r="B46" t="s">
        <v>116</v>
      </c>
      <c r="C46" t="s">
        <v>117</v>
      </c>
      <c r="D46">
        <v>510140</v>
      </c>
      <c r="E46" t="s">
        <v>118</v>
      </c>
      <c r="F46" t="s">
        <v>117</v>
      </c>
      <c r="G46" t="s">
        <v>37</v>
      </c>
      <c r="H46" t="s">
        <v>257</v>
      </c>
      <c r="I46" t="s">
        <v>33</v>
      </c>
      <c r="J46" s="1">
        <f>(VLOOKUP($E46,'RECEITAS - BLOCOS PAN'!$D$3:$H$52,5,FALSE)-VLOOKUP('BLOCOS - AMPLIAR'!$E46,'OPEX - BLOCOS PAN'!$D$3:$H$52,5,FALSE)-VLOOKUP('BLOCOS - AMPLIAR'!$E46,'CAPEX - BLOCOS PAN'!$C$3:$H$52,6,FALSE))*'BLOCOS - AMPLIAR'!J$57</f>
        <v>-24181631.125700001</v>
      </c>
      <c r="K46" s="1">
        <f>(VLOOKUP($E46,'RECEITAS - BLOCOS PAN'!$D$3:$I$52,6,FALSE)-VLOOKUP('BLOCOS - AMPLIAR'!$E46,'OPEX - BLOCOS PAN'!$D$3:$I$52,6,FALSE)-VLOOKUP('BLOCOS - AMPLIAR'!$E46,'CAPEX - BLOCOS PAN'!$C$3:$I$52,7,FALSE))*'BLOCOS - AMPLIAR'!K$57</f>
        <v>-22069224.107439525</v>
      </c>
      <c r="L46" s="1">
        <f>(VLOOKUP($E46,'RECEITAS - BLOCOS PAN'!$D$3:$J$52,7,FALSE)-VLOOKUP('BLOCOS - AMPLIAR'!$E46,'OPEX - BLOCOS PAN'!$D$3:$J$52,7,FALSE)-VLOOKUP('BLOCOS - AMPLIAR'!$E46,'CAPEX - BLOCOS PAN'!$C$3:$J$52,8,FALSE))*'BLOCOS - AMPLIAR'!L$57</f>
        <v>-20142150.475587759</v>
      </c>
      <c r="M46" s="1">
        <f>('RECEITAS - BLOCOS PAN'!K23-'OPEX - BLOCOS PAN'!K23-VLOOKUP('BLOCOS - AMPLIAR'!$E16,'CAPEX - BLOCOS PAN'!$C$3:$K$52,9,FALSE))*'BLOCOS - AMPLIAR'!M$57</f>
        <v>-2698279.7444495894</v>
      </c>
      <c r="N46" s="1">
        <f>('RECEITAS - BLOCOS PAN'!L23-'OPEX - BLOCOS PAN'!L23-VLOOKUP('BLOCOS - AMPLIAR'!$E16,'CAPEX - BLOCOS PAN'!$C$3:$L$52,10,FALSE))*'BLOCOS - AMPLIAR'!N$57</f>
        <v>-2461250.757875999</v>
      </c>
      <c r="O46" s="1">
        <f>('RECEITAS - BLOCOS PAN'!M23-'OPEX - BLOCOS PAN'!M23-VLOOKUP('BLOCOS - AMPLIAR'!$E16,'CAPEX - BLOCOS PAN'!$C$3:$M$52,11,FALSE))*'BLOCOS - AMPLIAR'!O$57</f>
        <v>-2245141.9424409857</v>
      </c>
      <c r="P46" s="1">
        <f>('RECEITAS - BLOCOS PAN'!N23-'OPEX - BLOCOS PAN'!N23-VLOOKUP('BLOCOS - AMPLIAR'!$E16,'CAPEX - BLOCOS PAN'!$C$3:$N$52,12,FALSE))*'BLOCOS - AMPLIAR'!P$57</f>
        <v>-2048073.6529977995</v>
      </c>
      <c r="Q46" s="1">
        <f>('RECEITAS - BLOCOS PAN'!O23-'OPEX - BLOCOS PAN'!O23-VLOOKUP('BLOCOS - AMPLIAR'!$E16,'CAPEX - BLOCOS PAN'!$C$3:$O$52,13,FALSE))*'BLOCOS - AMPLIAR'!Q$57</f>
        <v>-1868347.6168123502</v>
      </c>
      <c r="R46" s="1">
        <f>('RECEITAS - BLOCOS PAN'!P23-'OPEX - BLOCOS PAN'!P23-VLOOKUP('BLOCOS - AMPLIAR'!$E16,'CAPEX - BLOCOS PAN'!$C$3:$P$52,14,FALSE))*'BLOCOS - AMPLIAR'!R$57</f>
        <v>-1704454.5589086749</v>
      </c>
      <c r="S46" s="1">
        <f>('RECEITAS - BLOCOS PAN'!Q23-'OPEX - BLOCOS PAN'!Q23-VLOOKUP('BLOCOS - AMPLIAR'!$E16,'CAPEX - BLOCOS PAN'!$C$3:$Q$52,15,FALSE))*'BLOCOS - AMPLIAR'!S$57</f>
        <v>-1555007.0003592945</v>
      </c>
      <c r="T46" s="1">
        <f>('RECEITAS - BLOCOS PAN'!R23-'OPEX - BLOCOS PAN'!R23-VLOOKUP('BLOCOS - AMPLIAR'!$E16,'CAPEX - BLOCOS PAN'!$C$3:$R$52,16,FALSE))*'BLOCOS - AMPLIAR'!T$57</f>
        <v>-1418720.0928159959</v>
      </c>
      <c r="U46" s="1">
        <f>('RECEITAS - BLOCOS PAN'!S23-'OPEX - BLOCOS PAN'!S23-VLOOKUP('BLOCOS - AMPLIAR'!$E16,'CAPEX - BLOCOS PAN'!$C$3:$S$52,17,FALSE))*'BLOCOS - AMPLIAR'!U$57</f>
        <v>-1294356.3907143082</v>
      </c>
      <c r="V46" s="1">
        <f>('RECEITAS - BLOCOS PAN'!T23-'OPEX - BLOCOS PAN'!T23-VLOOKUP('BLOCOS - AMPLIAR'!$E16,'CAPEX - BLOCOS PAN'!$C$3:$T$52,18,FALSE))*'BLOCOS - AMPLIAR'!V$57</f>
        <v>-1180918.0757337336</v>
      </c>
      <c r="W46" s="1">
        <f>('RECEITAS - BLOCOS PAN'!U23-'OPEX - BLOCOS PAN'!U23-VLOOKUP('BLOCOS - AMPLIAR'!$E16,'CAPEX - BLOCOS PAN'!$C$3:$U$52,19,FALSE))*'BLOCOS - AMPLIAR'!W$57</f>
        <v>-1077399.4499570348</v>
      </c>
      <c r="X46" s="1">
        <f>('RECEITAS - BLOCOS PAN'!V23-'OPEX - BLOCOS PAN'!V23-VLOOKUP('BLOCOS - AMPLIAR'!$E16,'CAPEX - BLOCOS PAN'!$C$3:$V$52,20,FALSE))*'BLOCOS - AMPLIAR'!X$57</f>
        <v>-982974.87222629669</v>
      </c>
      <c r="Y46" s="1">
        <f>('RECEITAS - BLOCOS PAN'!W23-'OPEX - BLOCOS PAN'!W23-VLOOKUP('BLOCOS - AMPLIAR'!$E16,'CAPEX - BLOCOS PAN'!$C$3:$W$52,21,FALSE))*'BLOCOS - AMPLIAR'!Y$57</f>
        <v>-896807.34153956338</v>
      </c>
      <c r="Z46" s="1">
        <f>('RECEITAS - BLOCOS PAN'!X23-'OPEX - BLOCOS PAN'!X23-VLOOKUP('BLOCOS - AMPLIAR'!$E16,'CAPEX - BLOCOS PAN'!$C$3:$X$52,22,FALSE))*'BLOCOS - AMPLIAR'!Z$57</f>
        <v>-818197.7914081855</v>
      </c>
      <c r="AA46" s="1">
        <f>('RECEITAS - BLOCOS PAN'!Y23-'OPEX - BLOCOS PAN'!Y23-VLOOKUP('BLOCOS - AMPLIAR'!$E16,'CAPEX - BLOCOS PAN'!$C$3:$Y$52,23,FALSE))*'BLOCOS - AMPLIAR'!AA$57</f>
        <v>-746468.1249593735</v>
      </c>
      <c r="AB46" s="1">
        <f>('RECEITAS - BLOCOS PAN'!Z23-'OPEX - BLOCOS PAN'!Z23-VLOOKUP('BLOCOS - AMPLIAR'!$E16,'CAPEX - BLOCOS PAN'!$C$3:$Z$52,24,FALSE))*'BLOCOS - AMPLIAR'!AB$57</f>
        <v>-681021.10959980183</v>
      </c>
      <c r="AC46" s="1">
        <f>('RECEITAS - BLOCOS PAN'!AA23-'OPEX - BLOCOS PAN'!AA23-VLOOKUP('BLOCOS - AMPLIAR'!$E16,'CAPEX - BLOCOS PAN'!$C$3:$AA$52,25,FALSE))*'BLOCOS - AMPLIAR'!AC$57</f>
        <v>-621306.95639426226</v>
      </c>
      <c r="AD46" s="1">
        <f>('RECEITAS - BLOCOS PAN'!AB23-'OPEX - BLOCOS PAN'!AB23-VLOOKUP('BLOCOS - AMPLIAR'!$E16,'CAPEX - BLOCOS PAN'!$C$3:$AB$52,26,FALSE))*'BLOCOS - AMPLIAR'!AD$57</f>
        <v>-566837.7874987016</v>
      </c>
      <c r="AE46" s="1">
        <f>('RECEITAS - BLOCOS PAN'!AC23-'OPEX - BLOCOS PAN'!AC23-VLOOKUP('BLOCOS - AMPLIAR'!$E16,'CAPEX - BLOCOS PAN'!$C$3:$AC$52,27,FALSE))*'BLOCOS - AMPLIAR'!AE$57</f>
        <v>-517137.38970589172</v>
      </c>
      <c r="AF46" s="1">
        <f>('RECEITAS - BLOCOS PAN'!AD23-'OPEX - BLOCOS PAN'!AD23-VLOOKUP('BLOCOS - AMPLIAR'!$E16,'CAPEX - BLOCOS PAN'!$C$3:$AD$52,28,FALSE))*'BLOCOS - AMPLIAR'!AF$57</f>
        <v>-471800.35078374582</v>
      </c>
      <c r="AG46" s="1">
        <f>('RECEITAS - BLOCOS PAN'!AE23-'OPEX - BLOCOS PAN'!AE23-VLOOKUP('BLOCOS - AMPLIAR'!$E16,'CAPEX - BLOCOS PAN'!$C$3:$AE$52,29,FALSE))*'BLOCOS - AMPLIAR'!AG$57</f>
        <v>-430437.84903541656</v>
      </c>
      <c r="AH46" s="1">
        <f>('RECEITAS - BLOCOS PAN'!AF23-'OPEX - BLOCOS PAN'!AF23-VLOOKUP('BLOCOS - AMPLIAR'!$E16,'CAPEX - BLOCOS PAN'!$C$3:$AF$52,30,FALSE))*'BLOCOS - AMPLIAR'!AH$57</f>
        <v>-392709.47104688385</v>
      </c>
      <c r="AI46" s="1">
        <f>('RECEITAS - BLOCOS PAN'!AG23-'OPEX - BLOCOS PAN'!AG23-VLOOKUP('BLOCOS - AMPLIAR'!$E16,'CAPEX - BLOCOS PAN'!$C$3:$AG$52,31,FALSE))*'BLOCOS - AMPLIAR'!AI$57</f>
        <v>-358282.02737478563</v>
      </c>
      <c r="AJ46" s="1">
        <f>('RECEITAS - BLOCOS PAN'!AH23-'OPEX - BLOCOS PAN'!AH23-VLOOKUP('BLOCOS - AMPLIAR'!$E16,'CAPEX - BLOCOS PAN'!$C$3:$AH$52,32,FALSE))*'BLOCOS - AMPLIAR'!AJ$57</f>
        <v>-326884.68385052978</v>
      </c>
      <c r="AK46" s="1">
        <f>('RECEITAS - BLOCOS PAN'!AI23-'OPEX - BLOCOS PAN'!AI23-VLOOKUP('BLOCOS - AMPLIAR'!$E16,'CAPEX - BLOCOS PAN'!$C$3:$AI$52,33,FALSE))*'BLOCOS - AMPLIAR'!AK$57</f>
        <v>-298237.49139012501</v>
      </c>
      <c r="AL46" s="1">
        <f>('RECEITAS - BLOCOS PAN'!AJ23-'OPEX - BLOCOS PAN'!AJ23-VLOOKUP('BLOCOS - AMPLIAR'!$E16,'CAPEX - BLOCOS PAN'!$C$3:$AJ$52,34,FALSE))*'BLOCOS - AMPLIAR'!AL$57</f>
        <v>-272098.55861422716</v>
      </c>
      <c r="AM46" s="1">
        <f>('RECEITAS - BLOCOS PAN'!AK23-'OPEX - BLOCOS PAN'!AK23-VLOOKUP('BLOCOS - AMPLIAR'!$E16,'CAPEX - BLOCOS PAN'!$C$3:$AK$52,35,FALSE))*'BLOCOS - AMPLIAR'!AM$57</f>
        <v>-248248.46823554626</v>
      </c>
      <c r="AN46" s="1">
        <f>SUM(J46:X46)</f>
        <v>-86927929.864019334</v>
      </c>
      <c r="AO46" s="88">
        <f>SUM(AN46:AN49)</f>
        <v>-248690296.21925518</v>
      </c>
      <c r="AP46" s="44">
        <f>SUM(J46:AM46)</f>
        <v>-94574405.265456364</v>
      </c>
      <c r="AQ46" s="88">
        <f>SUM(AP46:AP49)</f>
        <v>-274741350.86626899</v>
      </c>
      <c r="AR46" s="48">
        <f>VLOOKUP(E46,'Projeção - Demanda PAX'!$C$3:$H$37,6,FALSE)</f>
        <v>2567</v>
      </c>
      <c r="AS46">
        <v>1</v>
      </c>
      <c r="AT46">
        <v>-10.183333333333334</v>
      </c>
      <c r="AU46">
        <v>-59.45</v>
      </c>
    </row>
    <row r="47" spans="1:47" x14ac:dyDescent="0.35">
      <c r="A47" s="89"/>
      <c r="B47" t="s">
        <v>135</v>
      </c>
      <c r="C47" t="s">
        <v>136</v>
      </c>
      <c r="D47">
        <v>510515</v>
      </c>
      <c r="E47" t="s">
        <v>137</v>
      </c>
      <c r="F47" t="s">
        <v>136</v>
      </c>
      <c r="G47" t="s">
        <v>37</v>
      </c>
      <c r="H47" t="s">
        <v>257</v>
      </c>
      <c r="I47" t="s">
        <v>33</v>
      </c>
      <c r="J47" s="1">
        <f>(VLOOKUP($E47,'RECEITAS - BLOCOS PAN'!$D$3:$H$52,5,FALSE)-VLOOKUP('BLOCOS - AMPLIAR'!$E47,'OPEX - BLOCOS PAN'!$D$3:$H$52,5,FALSE)-VLOOKUP('BLOCOS - AMPLIAR'!$E47,'CAPEX - BLOCOS PAN'!$C$3:$H$52,6,FALSE))*'BLOCOS - AMPLIAR'!J$57</f>
        <v>-5489252.4978999998</v>
      </c>
      <c r="K47" s="1">
        <f>(VLOOKUP($E47,'RECEITAS - BLOCOS PAN'!$D$3:$I$52,6,FALSE)-VLOOKUP('BLOCOS - AMPLIAR'!$E47,'OPEX - BLOCOS PAN'!$D$3:$I$52,6,FALSE)-VLOOKUP('BLOCOS - AMPLIAR'!$E47,'CAPEX - BLOCOS PAN'!$C$3:$I$52,7,FALSE))*'BLOCOS - AMPLIAR'!K$57</f>
        <v>-5009607.1143769966</v>
      </c>
      <c r="L47" s="1">
        <f>(VLOOKUP($E47,'RECEITAS - BLOCOS PAN'!$D$3:$J$52,7,FALSE)-VLOOKUP('BLOCOS - AMPLIAR'!$E47,'OPEX - BLOCOS PAN'!$D$3:$J$52,7,FALSE)-VLOOKUP('BLOCOS - AMPLIAR'!$E47,'CAPEX - BLOCOS PAN'!$C$3:$J$52,8,FALSE))*'BLOCOS - AMPLIAR'!L$57</f>
        <v>-4572070.8211531304</v>
      </c>
      <c r="M47" s="1">
        <f>('RECEITAS - BLOCOS PAN'!K29-'OPEX - BLOCOS PAN'!K29-VLOOKUP('BLOCOS - AMPLIAR'!$E22,'CAPEX - BLOCOS PAN'!$C$3:$K$52,9,FALSE))*'BLOCOS - AMPLIAR'!M$57</f>
        <v>-1497477.6917396481</v>
      </c>
      <c r="N47" s="1">
        <f>('RECEITAS - BLOCOS PAN'!L29-'OPEX - BLOCOS PAN'!L29-VLOOKUP('BLOCOS - AMPLIAR'!$E22,'CAPEX - BLOCOS PAN'!$C$3:$L$52,10,FALSE))*'BLOCOS - AMPLIAR'!N$57</f>
        <v>-1366492.8978403546</v>
      </c>
      <c r="O47" s="1">
        <f>('RECEITAS - BLOCOS PAN'!M29-'OPEX - BLOCOS PAN'!M29-VLOOKUP('BLOCOS - AMPLIAR'!$E22,'CAPEX - BLOCOS PAN'!$C$3:$M$52,11,FALSE))*'BLOCOS - AMPLIAR'!O$57</f>
        <v>-1246973.8436756474</v>
      </c>
      <c r="P47" s="1">
        <f>('RECEITAS - BLOCOS PAN'!N29-'OPEX - BLOCOS PAN'!N29-VLOOKUP('BLOCOS - AMPLIAR'!$E22,'CAPEX - BLOCOS PAN'!$C$3:$N$52,12,FALSE))*'BLOCOS - AMPLIAR'!P$57</f>
        <v>-1137939.67711673</v>
      </c>
      <c r="Q47" s="1">
        <f>('RECEITAS - BLOCOS PAN'!O29-'OPEX - BLOCOS PAN'!O29-VLOOKUP('BLOCOS - AMPLIAR'!$E22,'CAPEX - BLOCOS PAN'!$C$3:$O$52,13,FALSE))*'BLOCOS - AMPLIAR'!Q$57</f>
        <v>-1038442.4210298944</v>
      </c>
      <c r="R47" s="1">
        <f>('RECEITAS - BLOCOS PAN'!P29-'OPEX - BLOCOS PAN'!P29-VLOOKUP('BLOCOS - AMPLIAR'!$E22,'CAPEX - BLOCOS PAN'!$C$3:$P$52,14,FALSE))*'BLOCOS - AMPLIAR'!R$57</f>
        <v>-947661.48779541464</v>
      </c>
      <c r="S47" s="1">
        <f>('RECEITAS - BLOCOS PAN'!Q29-'OPEX - BLOCOS PAN'!Q29-VLOOKUP('BLOCOS - AMPLIAR'!$E22,'CAPEX - BLOCOS PAN'!$C$3:$Q$52,15,FALSE))*'BLOCOS - AMPLIAR'!S$57</f>
        <v>-864828.52041474264</v>
      </c>
      <c r="T47" s="1">
        <f>('RECEITAS - BLOCOS PAN'!R29-'OPEX - BLOCOS PAN'!R29-VLOOKUP('BLOCOS - AMPLIAR'!$E22,'CAPEX - BLOCOS PAN'!$C$3:$R$52,16,FALSE))*'BLOCOS - AMPLIAR'!T$57</f>
        <v>-789257.5312913534</v>
      </c>
      <c r="U47" s="1">
        <f>('RECEITAS - BLOCOS PAN'!S29-'OPEX - BLOCOS PAN'!S29-VLOOKUP('BLOCOS - AMPLIAR'!$E22,'CAPEX - BLOCOS PAN'!$C$3:$S$52,17,FALSE))*'BLOCOS - AMPLIAR'!U$57</f>
        <v>-720285.12477445556</v>
      </c>
      <c r="V47" s="1">
        <f>('RECEITAS - BLOCOS PAN'!T29-'OPEX - BLOCOS PAN'!T29-VLOOKUP('BLOCOS - AMPLIAR'!$E22,'CAPEX - BLOCOS PAN'!$C$3:$T$52,18,FALSE))*'BLOCOS - AMPLIAR'!V$57</f>
        <v>-657342.11060051166</v>
      </c>
      <c r="W47" s="1">
        <f>('RECEITAS - BLOCOS PAN'!U29-'OPEX - BLOCOS PAN'!U29-VLOOKUP('BLOCOS - AMPLIAR'!$E22,'CAPEX - BLOCOS PAN'!$C$3:$U$52,19,FALSE))*'BLOCOS - AMPLIAR'!W$57</f>
        <v>-599893.44937764993</v>
      </c>
      <c r="X47" s="1">
        <f>('RECEITAS - BLOCOS PAN'!V29-'OPEX - BLOCOS PAN'!V29-VLOOKUP('BLOCOS - AMPLIAR'!$E22,'CAPEX - BLOCOS PAN'!$C$3:$V$52,20,FALSE))*'BLOCOS - AMPLIAR'!X$57</f>
        <v>-547473.0663787697</v>
      </c>
      <c r="Y47" s="1">
        <f>('RECEITAS - BLOCOS PAN'!W29-'OPEX - BLOCOS PAN'!W29-VLOOKUP('BLOCOS - AMPLIAR'!$E22,'CAPEX - BLOCOS PAN'!$C$3:$W$52,21,FALSE))*'BLOCOS - AMPLIAR'!Y$57</f>
        <v>-499629.84661471826</v>
      </c>
      <c r="Z47" s="1">
        <f>('RECEITAS - BLOCOS PAN'!X29-'OPEX - BLOCOS PAN'!X29-VLOOKUP('BLOCOS - AMPLIAR'!$E22,'CAPEX - BLOCOS PAN'!$C$3:$X$52,22,FALSE))*'BLOCOS - AMPLIAR'!Z$57</f>
        <v>-455967.58116388816</v>
      </c>
      <c r="AA47" s="1">
        <f>('RECEITAS - BLOCOS PAN'!Y29-'OPEX - BLOCOS PAN'!Y29-VLOOKUP('BLOCOS - AMPLIAR'!$E22,'CAPEX - BLOCOS PAN'!$C$3:$Y$52,23,FALSE))*'BLOCOS - AMPLIAR'!AA$57</f>
        <v>-416116.41976103868</v>
      </c>
      <c r="AB47" s="1">
        <f>('RECEITAS - BLOCOS PAN'!Z29-'OPEX - BLOCOS PAN'!Z29-VLOOKUP('BLOCOS - AMPLIAR'!$E22,'CAPEX - BLOCOS PAN'!$C$3:$Z$52,24,FALSE))*'BLOCOS - AMPLIAR'!AB$57</f>
        <v>-379752.28531685175</v>
      </c>
      <c r="AC47" s="1">
        <f>('RECEITAS - BLOCOS PAN'!AA29-'OPEX - BLOCOS PAN'!AA29-VLOOKUP('BLOCOS - AMPLIAR'!$E22,'CAPEX - BLOCOS PAN'!$C$3:$AA$52,25,FALSE))*'BLOCOS - AMPLIAR'!AC$57</f>
        <v>-346561.1755252899</v>
      </c>
      <c r="AD47" s="1">
        <f>('RECEITAS - BLOCOS PAN'!AB29-'OPEX - BLOCOS PAN'!AB29-VLOOKUP('BLOCOS - AMPLIAR'!$E22,'CAPEX - BLOCOS PAN'!$C$3:$AB$52,26,FALSE))*'BLOCOS - AMPLIAR'!AD$57</f>
        <v>-316275.39102505613</v>
      </c>
      <c r="AE47" s="1">
        <f>('RECEITAS - BLOCOS PAN'!AC29-'OPEX - BLOCOS PAN'!AC29-VLOOKUP('BLOCOS - AMPLIAR'!$E22,'CAPEX - BLOCOS PAN'!$C$3:$AC$52,27,FALSE))*'BLOCOS - AMPLIAR'!AE$57</f>
        <v>-288630.2571844242</v>
      </c>
      <c r="AF47" s="1">
        <f>('RECEITAS - BLOCOS PAN'!AD29-'OPEX - BLOCOS PAN'!AD29-VLOOKUP('BLOCOS - AMPLIAR'!$E22,'CAPEX - BLOCOS PAN'!$C$3:$AD$52,28,FALSE))*'BLOCOS - AMPLIAR'!AF$57</f>
        <v>-263405.97316473298</v>
      </c>
      <c r="AG47" s="1">
        <f>('RECEITAS - BLOCOS PAN'!AE29-'OPEX - BLOCOS PAN'!AE29-VLOOKUP('BLOCOS - AMPLIAR'!$E22,'CAPEX - BLOCOS PAN'!$C$3:$AE$52,29,FALSE))*'BLOCOS - AMPLIAR'!AG$57</f>
        <v>-240385.36929861212</v>
      </c>
      <c r="AH47" s="1">
        <f>('RECEITAS - BLOCOS PAN'!AF29-'OPEX - BLOCOS PAN'!AF29-VLOOKUP('BLOCOS - AMPLIAR'!$E22,'CAPEX - BLOCOS PAN'!$C$3:$AF$52,30,FALSE))*'BLOCOS - AMPLIAR'!AH$57</f>
        <v>-219378.17806499416</v>
      </c>
      <c r="AI47" s="1">
        <f>('RECEITAS - BLOCOS PAN'!AG29-'OPEX - BLOCOS PAN'!AG29-VLOOKUP('BLOCOS - AMPLIAR'!$E22,'CAPEX - BLOCOS PAN'!$C$3:$AG$52,31,FALSE))*'BLOCOS - AMPLIAR'!AI$57</f>
        <v>-200209.55971697666</v>
      </c>
      <c r="AJ47" s="1">
        <f>('RECEITAS - BLOCOS PAN'!AH29-'OPEX - BLOCOS PAN'!AH29-VLOOKUP('BLOCOS - AMPLIAR'!$E22,'CAPEX - BLOCOS PAN'!$C$3:$AH$52,32,FALSE))*'BLOCOS - AMPLIAR'!AJ$57</f>
        <v>-182715.82966297097</v>
      </c>
      <c r="AK47" s="1">
        <f>('RECEITAS - BLOCOS PAN'!AI29-'OPEX - BLOCOS PAN'!AI29-VLOOKUP('BLOCOS - AMPLIAR'!$E22,'CAPEX - BLOCOS PAN'!$C$3:$AI$52,33,FALSE))*'BLOCOS - AMPLIAR'!AK$57</f>
        <v>-166751.79816514667</v>
      </c>
      <c r="AL47" s="1">
        <f>('RECEITAS - BLOCOS PAN'!AJ29-'OPEX - BLOCOS PAN'!AJ29-VLOOKUP('BLOCOS - AMPLIAR'!$E22,'CAPEX - BLOCOS PAN'!$C$3:$AJ$52,34,FALSE))*'BLOCOS - AMPLIAR'!AL$57</f>
        <v>-152180.90575276228</v>
      </c>
      <c r="AM47" s="1">
        <f>('RECEITAS - BLOCOS PAN'!AK29-'OPEX - BLOCOS PAN'!AK29-VLOOKUP('BLOCOS - AMPLIAR'!$E22,'CAPEX - BLOCOS PAN'!$C$3:$AK$52,35,FALSE))*'BLOCOS - AMPLIAR'!AM$57</f>
        <v>-138882.79703824647</v>
      </c>
      <c r="AN47" s="1">
        <f>SUM(J47:X47)</f>
        <v>-26484998.255465303</v>
      </c>
      <c r="AO47" s="88"/>
      <c r="AP47" s="44">
        <f>SUM(J47:AM47)</f>
        <v>-30751841.622921009</v>
      </c>
      <c r="AQ47" s="88"/>
      <c r="AR47" s="48">
        <f>VLOOKUP(E47,'Projeção - Demanda PAX'!$C$3:$H$37,6,FALSE)</f>
        <v>808</v>
      </c>
      <c r="AS47">
        <v>1</v>
      </c>
      <c r="AT47">
        <v>-11.416666666666666</v>
      </c>
      <c r="AU47">
        <v>-58.7</v>
      </c>
    </row>
    <row r="48" spans="1:47" x14ac:dyDescent="0.35">
      <c r="A48" s="89"/>
      <c r="B48" t="s">
        <v>138</v>
      </c>
      <c r="C48" t="s">
        <v>139</v>
      </c>
      <c r="D48">
        <v>510250</v>
      </c>
      <c r="E48" t="s">
        <v>140</v>
      </c>
      <c r="F48" t="s">
        <v>139</v>
      </c>
      <c r="G48" t="s">
        <v>37</v>
      </c>
      <c r="H48" t="s">
        <v>257</v>
      </c>
      <c r="I48" t="s">
        <v>33</v>
      </c>
      <c r="J48" s="1">
        <f>(VLOOKUP($E48,'RECEITAS - BLOCOS PAN'!$D$3:$H$52,5,FALSE)-VLOOKUP('BLOCOS - AMPLIAR'!$E48,'OPEX - BLOCOS PAN'!$D$3:$H$52,5,FALSE)-VLOOKUP('BLOCOS - AMPLIAR'!$E48,'CAPEX - BLOCOS PAN'!$C$3:$H$52,6,FALSE))*'BLOCOS - AMPLIAR'!J$57</f>
        <v>-13321816.509300001</v>
      </c>
      <c r="K48" s="1">
        <f>(VLOOKUP($E48,'RECEITAS - BLOCOS PAN'!$D$3:$I$52,6,FALSE)-VLOOKUP('BLOCOS - AMPLIAR'!$E48,'OPEX - BLOCOS PAN'!$D$3:$I$52,6,FALSE)-VLOOKUP('BLOCOS - AMPLIAR'!$E48,'CAPEX - BLOCOS PAN'!$C$3:$I$52,7,FALSE))*'BLOCOS - AMPLIAR'!K$57</f>
        <v>-12144251.047010498</v>
      </c>
      <c r="L48" s="1">
        <f>(VLOOKUP($E48,'RECEITAS - BLOCOS PAN'!$D$3:$J$52,7,FALSE)-VLOOKUP('BLOCOS - AMPLIAR'!$E48,'OPEX - BLOCOS PAN'!$D$3:$J$52,7,FALSE)-VLOOKUP('BLOCOS - AMPLIAR'!$E48,'CAPEX - BLOCOS PAN'!$C$3:$J$52,8,FALSE))*'BLOCOS - AMPLIAR'!L$57</f>
        <v>-11073984.728280354</v>
      </c>
      <c r="M48" s="1">
        <f>('RECEITAS - BLOCOS PAN'!K30-'OPEX - BLOCOS PAN'!K30-VLOOKUP('BLOCOS - AMPLIAR'!$E23,'CAPEX - BLOCOS PAN'!$C$3:$K$52,9,FALSE))*'BLOCOS - AMPLIAR'!M$57</f>
        <v>-2599152.4660535008</v>
      </c>
      <c r="N48" s="1">
        <f>('RECEITAS - BLOCOS PAN'!L30-'OPEX - BLOCOS PAN'!L30-VLOOKUP('BLOCOS - AMPLIAR'!$E23,'CAPEX - BLOCOS PAN'!$C$3:$L$52,10,FALSE))*'BLOCOS - AMPLIAR'!N$57</f>
        <v>-2366485.729652008</v>
      </c>
      <c r="O48" s="1">
        <f>('RECEITAS - BLOCOS PAN'!M30-'OPEX - BLOCOS PAN'!M30-VLOOKUP('BLOCOS - AMPLIAR'!$E23,'CAPEX - BLOCOS PAN'!$C$3:$M$52,11,FALSE))*'BLOCOS - AMPLIAR'!O$57</f>
        <v>-2155018.3309658938</v>
      </c>
      <c r="P48" s="1">
        <f>('RECEITAS - BLOCOS PAN'!N30-'OPEX - BLOCOS PAN'!N30-VLOOKUP('BLOCOS - AMPLIAR'!$E23,'CAPEX - BLOCOS PAN'!$C$3:$N$52,12,FALSE))*'BLOCOS - AMPLIAR'!P$57</f>
        <v>-1962820.0482991294</v>
      </c>
      <c r="Q48" s="1">
        <f>('RECEITAS - BLOCOS PAN'!O30-'OPEX - BLOCOS PAN'!O30-VLOOKUP('BLOCOS - AMPLIAR'!$E23,'CAPEX - BLOCOS PAN'!$C$3:$O$52,13,FALSE))*'BLOCOS - AMPLIAR'!Q$57</f>
        <v>-1787913.1000780754</v>
      </c>
      <c r="R48" s="1">
        <f>('RECEITAS - BLOCOS PAN'!P30-'OPEX - BLOCOS PAN'!P30-VLOOKUP('BLOCOS - AMPLIAR'!$E23,'CAPEX - BLOCOS PAN'!$C$3:$P$52,14,FALSE))*'BLOCOS - AMPLIAR'!R$57</f>
        <v>-1628881.1780339743</v>
      </c>
      <c r="S48" s="1">
        <f>('RECEITAS - BLOCOS PAN'!Q30-'OPEX - BLOCOS PAN'!Q30-VLOOKUP('BLOCOS - AMPLIAR'!$E23,'CAPEX - BLOCOS PAN'!$C$3:$Q$52,15,FALSE))*'BLOCOS - AMPLIAR'!S$57</f>
        <v>-1484224.581389159</v>
      </c>
      <c r="T48" s="1">
        <f>('RECEITAS - BLOCOS PAN'!R30-'OPEX - BLOCOS PAN'!R30-VLOOKUP('BLOCOS - AMPLIAR'!$E23,'CAPEX - BLOCOS PAN'!$C$3:$R$52,16,FALSE))*'BLOCOS - AMPLIAR'!T$57</f>
        <v>-1352614.7066686314</v>
      </c>
      <c r="U48" s="1">
        <f>('RECEITAS - BLOCOS PAN'!S30-'OPEX - BLOCOS PAN'!S30-VLOOKUP('BLOCOS - AMPLIAR'!$E23,'CAPEX - BLOCOS PAN'!$C$3:$S$52,17,FALSE))*'BLOCOS - AMPLIAR'!U$57</f>
        <v>-1232687.4060041732</v>
      </c>
      <c r="V48" s="1">
        <f>('RECEITAS - BLOCOS PAN'!T30-'OPEX - BLOCOS PAN'!T30-VLOOKUP('BLOCOS - AMPLIAR'!$E23,'CAPEX - BLOCOS PAN'!$C$3:$T$52,18,FALSE))*'BLOCOS - AMPLIAR'!V$57</f>
        <v>-1123438.1211638339</v>
      </c>
      <c r="W48" s="1">
        <f>('RECEITAS - BLOCOS PAN'!U30-'OPEX - BLOCOS PAN'!U30-VLOOKUP('BLOCOS - AMPLIAR'!$E23,'CAPEX - BLOCOS PAN'!$C$3:$U$52,19,FALSE))*'BLOCOS - AMPLIAR'!W$57</f>
        <v>-1023824.9756642664</v>
      </c>
      <c r="X48" s="1">
        <f>('RECEITAS - BLOCOS PAN'!V30-'OPEX - BLOCOS PAN'!V30-VLOOKUP('BLOCOS - AMPLIAR'!$E23,'CAPEX - BLOCOS PAN'!$C$3:$V$52,20,FALSE))*'BLOCOS - AMPLIAR'!X$57</f>
        <v>-933053.6483039119</v>
      </c>
      <c r="Y48" s="1">
        <f>('RECEITAS - BLOCOS PAN'!W30-'OPEX - BLOCOS PAN'!W30-VLOOKUP('BLOCOS - AMPLIAR'!$E23,'CAPEX - BLOCOS PAN'!$C$3:$W$52,21,FALSE))*'BLOCOS - AMPLIAR'!Y$57</f>
        <v>-850338.8221428066</v>
      </c>
      <c r="Z48" s="1">
        <f>('RECEITAS - BLOCOS PAN'!X30-'OPEX - BLOCOS PAN'!X30-VLOOKUP('BLOCOS - AMPLIAR'!$E23,'CAPEX - BLOCOS PAN'!$C$3:$X$52,22,FALSE))*'BLOCOS - AMPLIAR'!Z$57</f>
        <v>-774941.31022044376</v>
      </c>
      <c r="AA48" s="1">
        <f>('RECEITAS - BLOCOS PAN'!Y30-'OPEX - BLOCOS PAN'!Y30-VLOOKUP('BLOCOS - AMPLIAR'!$E23,'CAPEX - BLOCOS PAN'!$C$3:$Y$52,23,FALSE))*'BLOCOS - AMPLIAR'!AA$57</f>
        <v>-706212.05387751502</v>
      </c>
      <c r="AB48" s="1">
        <f>('RECEITAS - BLOCOS PAN'!Z30-'OPEX - BLOCOS PAN'!Z30-VLOOKUP('BLOCOS - AMPLIAR'!$E23,'CAPEX - BLOCOS PAN'!$C$3:$Z$52,24,FALSE))*'BLOCOS - AMPLIAR'!AB$57</f>
        <v>-643553.33975188644</v>
      </c>
      <c r="AC48" s="1">
        <f>('RECEITAS - BLOCOS PAN'!AA30-'OPEX - BLOCOS PAN'!AA30-VLOOKUP('BLOCOS - AMPLIAR'!$E23,'CAPEX - BLOCOS PAN'!$C$3:$AA$52,25,FALSE))*'BLOCOS - AMPLIAR'!AC$57</f>
        <v>-586440.69429800531</v>
      </c>
      <c r="AD48" s="1">
        <f>('RECEITAS - BLOCOS PAN'!AB30-'OPEX - BLOCOS PAN'!AB30-VLOOKUP('BLOCOS - AMPLIAR'!$E23,'CAPEX - BLOCOS PAN'!$C$3:$AB$52,26,FALSE))*'BLOCOS - AMPLIAR'!AD$57</f>
        <v>-534436.49616146996</v>
      </c>
      <c r="AE48" s="1">
        <f>('RECEITAS - BLOCOS PAN'!AC30-'OPEX - BLOCOS PAN'!AC30-VLOOKUP('BLOCOS - AMPLIAR'!$E23,'CAPEX - BLOCOS PAN'!$C$3:$AC$52,27,FALSE))*'BLOCOS - AMPLIAR'!AE$57</f>
        <v>-487021.52452000353</v>
      </c>
      <c r="AF48" s="1">
        <f>('RECEITAS - BLOCOS PAN'!AD30-'OPEX - BLOCOS PAN'!AD30-VLOOKUP('BLOCOS - AMPLIAR'!$E23,'CAPEX - BLOCOS PAN'!$C$3:$AD$52,28,FALSE))*'BLOCOS - AMPLIAR'!AF$57</f>
        <v>-443833.06009790022</v>
      </c>
      <c r="AG48" s="1">
        <f>('RECEITAS - BLOCOS PAN'!AE30-'OPEX - BLOCOS PAN'!AE30-VLOOKUP('BLOCOS - AMPLIAR'!$E23,'CAPEX - BLOCOS PAN'!$C$3:$AE$52,29,FALSE))*'BLOCOS - AMPLIAR'!AG$57</f>
        <v>-404429.45538390335</v>
      </c>
      <c r="AH48" s="1">
        <f>('RECEITAS - BLOCOS PAN'!AF30-'OPEX - BLOCOS PAN'!AF30-VLOOKUP('BLOCOS - AMPLIAR'!$E23,'CAPEX - BLOCOS PAN'!$C$3:$AF$52,30,FALSE))*'BLOCOS - AMPLIAR'!AH$57</f>
        <v>-368548.65891739907</v>
      </c>
      <c r="AI48" s="1">
        <f>('RECEITAS - BLOCOS PAN'!AG30-'OPEX - BLOCOS PAN'!AG30-VLOOKUP('BLOCOS - AMPLIAR'!$E23,'CAPEX - BLOCOS PAN'!$C$3:$AG$52,31,FALSE))*'BLOCOS - AMPLIAR'!AI$57</f>
        <v>-335838.52733571298</v>
      </c>
      <c r="AJ48" s="1">
        <f>('RECEITAS - BLOCOS PAN'!AH30-'OPEX - BLOCOS PAN'!AH30-VLOOKUP('BLOCOS - AMPLIAR'!$E23,'CAPEX - BLOCOS PAN'!$C$3:$AH$52,32,FALSE))*'BLOCOS - AMPLIAR'!AJ$57</f>
        <v>-306061.32842761604</v>
      </c>
      <c r="AK48" s="1">
        <f>('RECEITAS - BLOCOS PAN'!AI30-'OPEX - BLOCOS PAN'!AI30-VLOOKUP('BLOCOS - AMPLIAR'!$E23,'CAPEX - BLOCOS PAN'!$C$3:$AI$52,33,FALSE))*'BLOCOS - AMPLIAR'!AK$57</f>
        <v>-278914.66785220365</v>
      </c>
      <c r="AL48" s="1">
        <f>('RECEITAS - BLOCOS PAN'!AJ30-'OPEX - BLOCOS PAN'!AJ30-VLOOKUP('BLOCOS - AMPLIAR'!$E23,'CAPEX - BLOCOS PAN'!$C$3:$AJ$52,34,FALSE))*'BLOCOS - AMPLIAR'!AL$57</f>
        <v>-254170.98426425006</v>
      </c>
      <c r="AM48" s="1">
        <f>('RECEITAS - BLOCOS PAN'!AK30-'OPEX - BLOCOS PAN'!AK30-VLOOKUP('BLOCOS - AMPLIAR'!$E23,'CAPEX - BLOCOS PAN'!$C$3:$AK$52,35,FALSE))*'BLOCOS - AMPLIAR'!AM$57</f>
        <v>-231619.76301985251</v>
      </c>
      <c r="AN48" s="1">
        <f>SUM(J48:X48)</f>
        <v>-56190166.576867409</v>
      </c>
      <c r="AO48" s="88"/>
      <c r="AP48" s="44">
        <f>SUM(J48:AM48)</f>
        <v>-63396527.263138369</v>
      </c>
      <c r="AQ48" s="88"/>
      <c r="AR48" s="48">
        <f>VLOOKUP(E48,'Projeção - Demanda PAX'!$C$3:$H$37,6,FALSE)</f>
        <v>9515</v>
      </c>
      <c r="AS48">
        <v>1</v>
      </c>
      <c r="AT48">
        <v>-16.033333333333335</v>
      </c>
      <c r="AU48">
        <v>-57.616666666666667</v>
      </c>
    </row>
    <row r="49" spans="1:47" x14ac:dyDescent="0.35">
      <c r="A49" s="89"/>
      <c r="B49" t="s">
        <v>157</v>
      </c>
      <c r="C49" t="s">
        <v>158</v>
      </c>
      <c r="D49">
        <v>510795</v>
      </c>
      <c r="E49" t="s">
        <v>159</v>
      </c>
      <c r="F49" t="s">
        <v>158</v>
      </c>
      <c r="G49" t="s">
        <v>37</v>
      </c>
      <c r="H49" t="s">
        <v>257</v>
      </c>
      <c r="I49" t="s">
        <v>33</v>
      </c>
      <c r="J49" s="1">
        <f>(VLOOKUP($E49,'RECEITAS - BLOCOS PAN'!$D$3:$H$52,5,FALSE)-VLOOKUP('BLOCOS - AMPLIAR'!$E49,'OPEX - BLOCOS PAN'!$D$3:$H$52,5,FALSE)-VLOOKUP('BLOCOS - AMPLIAR'!$E49,'CAPEX - BLOCOS PAN'!$C$3:$H$52,6,FALSE))*'BLOCOS - AMPLIAR'!J$57</f>
        <v>-21973333.684</v>
      </c>
      <c r="K49" s="1">
        <f>(VLOOKUP($E49,'RECEITAS - BLOCOS PAN'!$D$3:$I$52,6,FALSE)-VLOOKUP('BLOCOS - AMPLIAR'!$E49,'OPEX - BLOCOS PAN'!$D$3:$I$52,6,FALSE)-VLOOKUP('BLOCOS - AMPLIAR'!$E49,'CAPEX - BLOCOS PAN'!$C$3:$I$52,7,FALSE))*'BLOCOS - AMPLIAR'!K$57</f>
        <v>-20026714.638338659</v>
      </c>
      <c r="L49" s="1">
        <f>(VLOOKUP($E49,'RECEITAS - BLOCOS PAN'!$D$3:$J$52,7,FALSE)-VLOOKUP('BLOCOS - AMPLIAR'!$E49,'OPEX - BLOCOS PAN'!$D$3:$J$52,7,FALSE)-VLOOKUP('BLOCOS - AMPLIAR'!$E49,'CAPEX - BLOCOS PAN'!$C$3:$J$52,8,FALSE))*'BLOCOS - AMPLIAR'!L$57</f>
        <v>-18258305.922094062</v>
      </c>
      <c r="M49" s="1">
        <f>('RECEITAS - BLOCOS PAN'!K35-'OPEX - BLOCOS PAN'!K35-VLOOKUP('BLOCOS - AMPLIAR'!$E28,'CAPEX - BLOCOS PAN'!$C$3:$K$52,9,FALSE))*'BLOCOS - AMPLIAR'!M$57</f>
        <v>-2473203.4191616699</v>
      </c>
      <c r="N49" s="1">
        <f>('RECEITAS - BLOCOS PAN'!L35-'OPEX - BLOCOS PAN'!L35-VLOOKUP('BLOCOS - AMPLIAR'!$E28,'CAPEX - BLOCOS PAN'!$C$3:$L$52,10,FALSE))*'BLOCOS - AMPLIAR'!N$57</f>
        <v>-2245323.0567349414</v>
      </c>
      <c r="O49" s="1">
        <f>('RECEITAS - BLOCOS PAN'!M35-'OPEX - BLOCOS PAN'!M35-VLOOKUP('BLOCOS - AMPLIAR'!$E28,'CAPEX - BLOCOS PAN'!$C$3:$M$52,11,FALSE))*'BLOCOS - AMPLIAR'!O$57</f>
        <v>-2039295.5867765369</v>
      </c>
      <c r="P49" s="1">
        <f>('RECEITAS - BLOCOS PAN'!N35-'OPEX - BLOCOS PAN'!N35-VLOOKUP('BLOCOS - AMPLIAR'!$E28,'CAPEX - BLOCOS PAN'!$C$3:$N$52,12,FALSE))*'BLOCOS - AMPLIAR'!P$57</f>
        <v>-1852651.8862574324</v>
      </c>
      <c r="Q49" s="1">
        <f>('RECEITAS - BLOCOS PAN'!O35-'OPEX - BLOCOS PAN'!O35-VLOOKUP('BLOCOS - AMPLIAR'!$E28,'CAPEX - BLOCOS PAN'!$C$3:$O$52,13,FALSE))*'BLOCOS - AMPLIAR'!Q$57</f>
        <v>-1683270.6365820162</v>
      </c>
      <c r="R49" s="1">
        <f>('RECEITAS - BLOCOS PAN'!P35-'OPEX - BLOCOS PAN'!P35-VLOOKUP('BLOCOS - AMPLIAR'!$E28,'CAPEX - BLOCOS PAN'!$C$3:$P$52,14,FALSE))*'BLOCOS - AMPLIAR'!R$57</f>
        <v>-1529941.7959497443</v>
      </c>
      <c r="S49" s="1">
        <f>('RECEITAS - BLOCOS PAN'!Q35-'OPEX - BLOCOS PAN'!Q35-VLOOKUP('BLOCOS - AMPLIAR'!$E28,'CAPEX - BLOCOS PAN'!$C$3:$Q$52,15,FALSE))*'BLOCOS - AMPLIAR'!S$57</f>
        <v>-1460451.5679644342</v>
      </c>
      <c r="T49" s="1">
        <f>('RECEITAS - BLOCOS PAN'!R35-'OPEX - BLOCOS PAN'!R35-VLOOKUP('BLOCOS - AMPLIAR'!$E28,'CAPEX - BLOCOS PAN'!$C$3:$R$52,16,FALSE))*'BLOCOS - AMPLIAR'!T$57</f>
        <v>-1328405.5384662391</v>
      </c>
      <c r="U49" s="1">
        <f>('RECEITAS - BLOCOS PAN'!S35-'OPEX - BLOCOS PAN'!S35-VLOOKUP('BLOCOS - AMPLIAR'!$E28,'CAPEX - BLOCOS PAN'!$C$3:$S$52,17,FALSE))*'BLOCOS - AMPLIAR'!U$57</f>
        <v>-1208309.2018549978</v>
      </c>
      <c r="V49" s="1">
        <f>('RECEITAS - BLOCOS PAN'!T35-'OPEX - BLOCOS PAN'!T35-VLOOKUP('BLOCOS - AMPLIAR'!$E28,'CAPEX - BLOCOS PAN'!$C$3:$T$52,18,FALSE))*'BLOCOS - AMPLIAR'!V$57</f>
        <v>-1099080.552354774</v>
      </c>
      <c r="W49" s="1">
        <f>('RECEITAS - BLOCOS PAN'!U35-'OPEX - BLOCOS PAN'!U35-VLOOKUP('BLOCOS - AMPLIAR'!$E28,'CAPEX - BLOCOS PAN'!$C$3:$U$52,19,FALSE))*'BLOCOS - AMPLIAR'!W$57</f>
        <v>-999643.48582171497</v>
      </c>
      <c r="X49" s="1">
        <f>('RECEITAS - BLOCOS PAN'!V35-'OPEX - BLOCOS PAN'!V35-VLOOKUP('BLOCOS - AMPLIAR'!$E28,'CAPEX - BLOCOS PAN'!$C$3:$V$52,20,FALSE))*'BLOCOS - AMPLIAR'!X$57</f>
        <v>-909270.55054592341</v>
      </c>
      <c r="Y49" s="1">
        <f>('RECEITAS - BLOCOS PAN'!W35-'OPEX - BLOCOS PAN'!W35-VLOOKUP('BLOCOS - AMPLIAR'!$E28,'CAPEX - BLOCOS PAN'!$C$3:$W$52,21,FALSE))*'BLOCOS - AMPLIAR'!Y$57</f>
        <v>-826991.85248418699</v>
      </c>
      <c r="Z49" s="1">
        <f>('RECEITAS - BLOCOS PAN'!X35-'OPEX - BLOCOS PAN'!X35-VLOOKUP('BLOCOS - AMPLIAR'!$E28,'CAPEX - BLOCOS PAN'!$C$3:$X$52,22,FALSE))*'BLOCOS - AMPLIAR'!Z$57</f>
        <v>-752161.71526372747</v>
      </c>
      <c r="AA49" s="1">
        <f>('RECEITAS - BLOCOS PAN'!Y35-'OPEX - BLOCOS PAN'!Y35-VLOOKUP('BLOCOS - AMPLIAR'!$E28,'CAPEX - BLOCOS PAN'!$C$3:$Y$52,23,FALSE))*'BLOCOS - AMPLIAR'!AA$57</f>
        <v>-684008.94741414499</v>
      </c>
      <c r="AB49" s="1">
        <f>('RECEITAS - BLOCOS PAN'!Z35-'OPEX - BLOCOS PAN'!Z35-VLOOKUP('BLOCOS - AMPLIAR'!$E28,'CAPEX - BLOCOS PAN'!$C$3:$Z$52,24,FALSE))*'BLOCOS - AMPLIAR'!AB$57</f>
        <v>-622027.96959072328</v>
      </c>
      <c r="AC49" s="1">
        <f>('RECEITAS - BLOCOS PAN'!AA35-'OPEX - BLOCOS PAN'!AA35-VLOOKUP('BLOCOS - AMPLIAR'!$E28,'CAPEX - BLOCOS PAN'!$C$3:$AA$52,25,FALSE))*'BLOCOS - AMPLIAR'!AC$57</f>
        <v>-565604.96931139834</v>
      </c>
      <c r="AD49" s="1">
        <f>('RECEITAS - BLOCOS PAN'!AB35-'OPEX - BLOCOS PAN'!AB35-VLOOKUP('BLOCOS - AMPLIAR'!$E28,'CAPEX - BLOCOS PAN'!$C$3:$AB$52,26,FALSE))*'BLOCOS - AMPLIAR'!AD$57</f>
        <v>-514349.64050837833</v>
      </c>
      <c r="AE49" s="1">
        <f>('RECEITAS - BLOCOS PAN'!AC35-'OPEX - BLOCOS PAN'!AC35-VLOOKUP('BLOCOS - AMPLIAR'!$E28,'CAPEX - BLOCOS PAN'!$C$3:$AC$52,27,FALSE))*'BLOCOS - AMPLIAR'!AE$57</f>
        <v>-467696.72292591858</v>
      </c>
      <c r="AF49" s="1">
        <f>('RECEITAS - BLOCOS PAN'!AD35-'OPEX - BLOCOS PAN'!AD35-VLOOKUP('BLOCOS - AMPLIAR'!$E28,'CAPEX - BLOCOS PAN'!$C$3:$AD$52,28,FALSE))*'BLOCOS - AMPLIAR'!AF$57</f>
        <v>-425295.83110780339</v>
      </c>
      <c r="AG49" s="1">
        <f>('RECEITAS - BLOCOS PAN'!AE35-'OPEX - BLOCOS PAN'!AE35-VLOOKUP('BLOCOS - AMPLIAR'!$E28,'CAPEX - BLOCOS PAN'!$C$3:$AE$52,29,FALSE))*'BLOCOS - AMPLIAR'!AG$57</f>
        <v>-386747.2003568433</v>
      </c>
      <c r="AH49" s="1">
        <f>('RECEITAS - BLOCOS PAN'!AF35-'OPEX - BLOCOS PAN'!AF35-VLOOKUP('BLOCOS - AMPLIAR'!$E28,'CAPEX - BLOCOS PAN'!$C$3:$AF$52,30,FALSE))*'BLOCOS - AMPLIAR'!AH$57</f>
        <v>-351722.71260124119</v>
      </c>
      <c r="AI49" s="1">
        <f>('RECEITAS - BLOCOS PAN'!AG35-'OPEX - BLOCOS PAN'!AG35-VLOOKUP('BLOCOS - AMPLIAR'!$E28,'CAPEX - BLOCOS PAN'!$C$3:$AG$52,31,FALSE))*'BLOCOS - AMPLIAR'!AI$57</f>
        <v>-319858.30749068042</v>
      </c>
      <c r="AJ49" s="1">
        <f>('RECEITAS - BLOCOS PAN'!AH35-'OPEX - BLOCOS PAN'!AH35-VLOOKUP('BLOCOS - AMPLIAR'!$E28,'CAPEX - BLOCOS PAN'!$C$3:$AH$52,32,FALSE))*'BLOCOS - AMPLIAR'!AJ$57</f>
        <v>-290911.21971956972</v>
      </c>
      <c r="AK49" s="1">
        <f>('RECEITAS - BLOCOS PAN'!AI35-'OPEX - BLOCOS PAN'!AI35-VLOOKUP('BLOCOS - AMPLIAR'!$E28,'CAPEX - BLOCOS PAN'!$C$3:$AI$52,33,FALSE))*'BLOCOS - AMPLIAR'!AK$57</f>
        <v>-264580.24300027592</v>
      </c>
      <c r="AL49" s="1">
        <f>('RECEITAS - BLOCOS PAN'!AJ35-'OPEX - BLOCOS PAN'!AJ35-VLOOKUP('BLOCOS - AMPLIAR'!$E28,'CAPEX - BLOCOS PAN'!$C$3:$AJ$52,34,FALSE))*'BLOCOS - AMPLIAR'!AL$57</f>
        <v>-240613.77032145418</v>
      </c>
      <c r="AM49" s="1">
        <f>('RECEITAS - BLOCOS PAN'!AK35-'OPEX - BLOCOS PAN'!AK35-VLOOKUP('BLOCOS - AMPLIAR'!$E28,'CAPEX - BLOCOS PAN'!$C$3:$AK$52,35,FALSE))*'BLOCOS - AMPLIAR'!AM$57</f>
        <v>-218804.08975374559</v>
      </c>
      <c r="AN49" s="1">
        <f>SUM(J49:X49)</f>
        <v>-79087201.522903144</v>
      </c>
      <c r="AO49" s="88"/>
      <c r="AP49" s="44">
        <f>SUM(J49:AM49)</f>
        <v>-86018576.71475324</v>
      </c>
      <c r="AQ49" s="88"/>
      <c r="AR49" s="48">
        <f>VLOOKUP(E49,'Projeção - Demanda PAX'!$C$3:$H$37,6,FALSE)</f>
        <v>18307</v>
      </c>
      <c r="AS49">
        <v>1</v>
      </c>
      <c r="AT49">
        <v>-14.65</v>
      </c>
      <c r="AU49">
        <v>-57.43333333333333</v>
      </c>
    </row>
    <row r="50" spans="1:47" x14ac:dyDescent="0.35">
      <c r="A50" s="89" t="str">
        <f>VLOOKUP(E50,'FLUXO DE CAIXA DESC.-SEM MULT.'!$D$3:$AT$52,43,FALSE)</f>
        <v>Bloco 11 - MT2</v>
      </c>
      <c r="B50" t="s">
        <v>129</v>
      </c>
      <c r="C50" t="s">
        <v>42</v>
      </c>
      <c r="D50">
        <v>510270</v>
      </c>
      <c r="E50" t="s">
        <v>130</v>
      </c>
      <c r="F50" t="s">
        <v>42</v>
      </c>
      <c r="G50" t="s">
        <v>37</v>
      </c>
      <c r="H50" t="s">
        <v>257</v>
      </c>
      <c r="I50" t="s">
        <v>33</v>
      </c>
      <c r="J50" s="1">
        <f>(VLOOKUP($E50,'RECEITAS - BLOCOS PAN'!$D$3:$H$52,5,FALSE)-VLOOKUP('BLOCOS - AMPLIAR'!$E50,'OPEX - BLOCOS PAN'!$D$3:$H$52,5,FALSE)-VLOOKUP('BLOCOS - AMPLIAR'!$E50,'CAPEX - BLOCOS PAN'!$C$3:$H$52,6,FALSE))*'BLOCOS - AMPLIAR'!J$57</f>
        <v>-32570421.112099998</v>
      </c>
      <c r="K50" s="1">
        <f>(VLOOKUP($E50,'RECEITAS - BLOCOS PAN'!$D$3:$I$52,6,FALSE)-VLOOKUP('BLOCOS - AMPLIAR'!$E50,'OPEX - BLOCOS PAN'!$D$3:$I$52,6,FALSE)-VLOOKUP('BLOCOS - AMPLIAR'!$E50,'CAPEX - BLOCOS PAN'!$C$3:$I$52,7,FALSE))*'BLOCOS - AMPLIAR'!K$57</f>
        <v>-29699389.558922868</v>
      </c>
      <c r="L50" s="1">
        <f>(VLOOKUP($E50,'RECEITAS - BLOCOS PAN'!$D$3:$J$52,7,FALSE)-VLOOKUP('BLOCOS - AMPLIAR'!$E50,'OPEX - BLOCOS PAN'!$D$3:$J$52,7,FALSE)-VLOOKUP('BLOCOS - AMPLIAR'!$E50,'CAPEX - BLOCOS PAN'!$C$3:$J$52,8,FALSE))*'BLOCOS - AMPLIAR'!L$57</f>
        <v>-27087599.985834755</v>
      </c>
      <c r="M50" s="1">
        <f>('RECEITAS - BLOCOS PAN'!K27-'OPEX - BLOCOS PAN'!K27-VLOOKUP('BLOCOS - AMPLIAR'!$E20,'CAPEX - BLOCOS PAN'!$C$3:$K$52,9,FALSE))*'BLOCOS - AMPLIAR'!M$57</f>
        <v>-2451881.4957017577</v>
      </c>
      <c r="N50" s="1">
        <f>('RECEITAS - BLOCOS PAN'!L27-'OPEX - BLOCOS PAN'!L27-VLOOKUP('BLOCOS - AMPLIAR'!$E20,'CAPEX - BLOCOS PAN'!$C$3:$L$52,10,FALSE))*'BLOCOS - AMPLIAR'!N$57</f>
        <v>-2226314.0728930021</v>
      </c>
      <c r="O50" s="1">
        <f>('RECEITAS - BLOCOS PAN'!M27-'OPEX - BLOCOS PAN'!M27-VLOOKUP('BLOCOS - AMPLIAR'!$E20,'CAPEX - BLOCOS PAN'!$C$3:$M$52,11,FALSE))*'BLOCOS - AMPLIAR'!O$57</f>
        <v>-2022411.0323557649</v>
      </c>
      <c r="P50" s="1">
        <f>('RECEITAS - BLOCOS PAN'!N27-'OPEX - BLOCOS PAN'!N27-VLOOKUP('BLOCOS - AMPLIAR'!$E20,'CAPEX - BLOCOS PAN'!$C$3:$N$52,12,FALSE))*'BLOCOS - AMPLIAR'!P$57</f>
        <v>-1837462.6061173684</v>
      </c>
      <c r="Q50" s="1">
        <f>('RECEITAS - BLOCOS PAN'!O27-'OPEX - BLOCOS PAN'!O27-VLOOKUP('BLOCOS - AMPLIAR'!$E20,'CAPEX - BLOCOS PAN'!$C$3:$O$52,13,FALSE))*'BLOCOS - AMPLIAR'!Q$57</f>
        <v>-1752672.3170763515</v>
      </c>
      <c r="R50" s="1">
        <f>('RECEITAS - BLOCOS PAN'!P27-'OPEX - BLOCOS PAN'!P27-VLOOKUP('BLOCOS - AMPLIAR'!$E20,'CAPEX - BLOCOS PAN'!$C$3:$P$52,14,FALSE))*'BLOCOS - AMPLIAR'!R$57</f>
        <v>-1592933.4387409582</v>
      </c>
      <c r="S50" s="1">
        <f>('RECEITAS - BLOCOS PAN'!Q27-'OPEX - BLOCOS PAN'!Q27-VLOOKUP('BLOCOS - AMPLIAR'!$E20,'CAPEX - BLOCOS PAN'!$C$3:$Q$52,15,FALSE))*'BLOCOS - AMPLIAR'!S$57</f>
        <v>-1448183.6939283856</v>
      </c>
      <c r="T50" s="1">
        <f>('RECEITAS - BLOCOS PAN'!R27-'OPEX - BLOCOS PAN'!R27-VLOOKUP('BLOCOS - AMPLIAR'!$E20,'CAPEX - BLOCOS PAN'!$C$3:$R$52,16,FALSE))*'BLOCOS - AMPLIAR'!T$57</f>
        <v>-1316938.1719811151</v>
      </c>
      <c r="U50" s="1">
        <f>('RECEITAS - BLOCOS PAN'!S27-'OPEX - BLOCOS PAN'!S27-VLOOKUP('BLOCOS - AMPLIAR'!$E20,'CAPEX - BLOCOS PAN'!$C$3:$S$52,17,FALSE))*'BLOCOS - AMPLIAR'!U$57</f>
        <v>-1197580.0756358933</v>
      </c>
      <c r="V50" s="1">
        <f>('RECEITAS - BLOCOS PAN'!T27-'OPEX - BLOCOS PAN'!T27-VLOOKUP('BLOCOS - AMPLIAR'!$E20,'CAPEX - BLOCOS PAN'!$C$3:$T$52,18,FALSE))*'BLOCOS - AMPLIAR'!V$57</f>
        <v>-1089071.7426114383</v>
      </c>
      <c r="W50" s="1">
        <f>('RECEITAS - BLOCOS PAN'!U27-'OPEX - BLOCOS PAN'!U27-VLOOKUP('BLOCOS - AMPLIAR'!$E20,'CAPEX - BLOCOS PAN'!$C$3:$U$52,19,FALSE))*'BLOCOS - AMPLIAR'!W$57</f>
        <v>-990302.63189479942</v>
      </c>
      <c r="X50" s="1">
        <f>('RECEITAS - BLOCOS PAN'!V27-'OPEX - BLOCOS PAN'!V27-VLOOKUP('BLOCOS - AMPLIAR'!$E20,'CAPEX - BLOCOS PAN'!$C$3:$V$52,20,FALSE))*'BLOCOS - AMPLIAR'!X$57</f>
        <v>-900537.00261945825</v>
      </c>
      <c r="Y50" s="1">
        <f>('RECEITAS - BLOCOS PAN'!W27-'OPEX - BLOCOS PAN'!W27-VLOOKUP('BLOCOS - AMPLIAR'!$E20,'CAPEX - BLOCOS PAN'!$C$3:$W$52,21,FALSE))*'BLOCOS - AMPLIAR'!Y$57</f>
        <v>-818852.66177316103</v>
      </c>
      <c r="Z50" s="1">
        <f>('RECEITAS - BLOCOS PAN'!X27-'OPEX - BLOCOS PAN'!X27-VLOOKUP('BLOCOS - AMPLIAR'!$E20,'CAPEX - BLOCOS PAN'!$C$3:$X$52,22,FALSE))*'BLOCOS - AMPLIAR'!Z$57</f>
        <v>-744589.72068105242</v>
      </c>
      <c r="AA50" s="1">
        <f>('RECEITAS - BLOCOS PAN'!Y27-'OPEX - BLOCOS PAN'!Y27-VLOOKUP('BLOCOS - AMPLIAR'!$E20,'CAPEX - BLOCOS PAN'!$C$3:$Y$52,23,FALSE))*'BLOCOS - AMPLIAR'!AA$57</f>
        <v>-676963.80667391396</v>
      </c>
      <c r="AB50" s="1">
        <f>('RECEITAS - BLOCOS PAN'!Z27-'OPEX - BLOCOS PAN'!Z27-VLOOKUP('BLOCOS - AMPLIAR'!$E20,'CAPEX - BLOCOS PAN'!$C$3:$Z$52,24,FALSE))*'BLOCOS - AMPLIAR'!AB$57</f>
        <v>-615434.27637550095</v>
      </c>
      <c r="AC50" s="1">
        <f>('RECEITAS - BLOCOS PAN'!AA27-'OPEX - BLOCOS PAN'!AA27-VLOOKUP('BLOCOS - AMPLIAR'!$E20,'CAPEX - BLOCOS PAN'!$C$3:$AA$52,25,FALSE))*'BLOCOS - AMPLIAR'!AC$57</f>
        <v>-559462.46127295902</v>
      </c>
      <c r="AD50" s="1">
        <f>('RECEITAS - BLOCOS PAN'!AB27-'OPEX - BLOCOS PAN'!AB27-VLOOKUP('BLOCOS - AMPLIAR'!$E20,'CAPEX - BLOCOS PAN'!$C$3:$AB$52,26,FALSE))*'BLOCOS - AMPLIAR'!AD$57</f>
        <v>-508636.77060871909</v>
      </c>
      <c r="AE50" s="1">
        <f>('RECEITAS - BLOCOS PAN'!AC27-'OPEX - BLOCOS PAN'!AC27-VLOOKUP('BLOCOS - AMPLIAR'!$E20,'CAPEX - BLOCOS PAN'!$C$3:$AC$52,27,FALSE))*'BLOCOS - AMPLIAR'!AE$57</f>
        <v>-462402.11025235039</v>
      </c>
      <c r="AF50" s="1">
        <f>('RECEITAS - BLOCOS PAN'!AD27-'OPEX - BLOCOS PAN'!AD27-VLOOKUP('BLOCOS - AMPLIAR'!$E20,'CAPEX - BLOCOS PAN'!$C$3:$AD$52,28,FALSE))*'BLOCOS - AMPLIAR'!AF$57</f>
        <v>-420376.41764420917</v>
      </c>
      <c r="AG50" s="1">
        <f>('RECEITAS - BLOCOS PAN'!AE27-'OPEX - BLOCOS PAN'!AE27-VLOOKUP('BLOCOS - AMPLIAR'!$E20,'CAPEX - BLOCOS PAN'!$C$3:$AE$52,29,FALSE))*'BLOCOS - AMPLIAR'!AG$57</f>
        <v>-382162.13792623754</v>
      </c>
      <c r="AH50" s="1">
        <f>('RECEITAS - BLOCOS PAN'!AF27-'OPEX - BLOCOS PAN'!AF27-VLOOKUP('BLOCOS - AMPLIAR'!$E20,'CAPEX - BLOCOS PAN'!$C$3:$AF$52,30,FALSE))*'BLOCOS - AMPLIAR'!AH$57</f>
        <v>-347438.31270827627</v>
      </c>
      <c r="AI50" s="1">
        <f>('RECEITAS - BLOCOS PAN'!AG27-'OPEX - BLOCOS PAN'!AG27-VLOOKUP('BLOCOS - AMPLIAR'!$E20,'CAPEX - BLOCOS PAN'!$C$3:$AG$52,31,FALSE))*'BLOCOS - AMPLIAR'!AI$57</f>
        <v>-315848.24475288729</v>
      </c>
      <c r="AJ50" s="1">
        <f>('RECEITAS - BLOCOS PAN'!AH27-'OPEX - BLOCOS PAN'!AH27-VLOOKUP('BLOCOS - AMPLIAR'!$E20,'CAPEX - BLOCOS PAN'!$C$3:$AH$52,32,FALSE))*'BLOCOS - AMPLIAR'!AJ$57</f>
        <v>-287172.20205644018</v>
      </c>
      <c r="AK50" s="1">
        <f>('RECEITAS - BLOCOS PAN'!AI27-'OPEX - BLOCOS PAN'!AI27-VLOOKUP('BLOCOS - AMPLIAR'!$E20,'CAPEX - BLOCOS PAN'!$C$3:$AI$52,33,FALSE))*'BLOCOS - AMPLIAR'!AK$57</f>
        <v>-261083.33786776965</v>
      </c>
      <c r="AL50" s="1">
        <f>('RECEITAS - BLOCOS PAN'!AJ27-'OPEX - BLOCOS PAN'!AJ27-VLOOKUP('BLOCOS - AMPLIAR'!$E20,'CAPEX - BLOCOS PAN'!$C$3:$AJ$52,34,FALSE))*'BLOCOS - AMPLIAR'!AL$57</f>
        <v>-237344.07087752133</v>
      </c>
      <c r="AM50" s="1">
        <f>('RECEITAS - BLOCOS PAN'!AK27-'OPEX - BLOCOS PAN'!AK27-VLOOKUP('BLOCOS - AMPLIAR'!$E20,'CAPEX - BLOCOS PAN'!$C$3:$AK$52,35,FALSE))*'BLOCOS - AMPLIAR'!AM$57</f>
        <v>-215745.52023151531</v>
      </c>
      <c r="AN50" s="1">
        <f>SUM(J50:X50)</f>
        <v>-108183698.93841392</v>
      </c>
      <c r="AO50" s="88">
        <f>SUM(AN50:AN52)</f>
        <v>-159919907.32411203</v>
      </c>
      <c r="AP50" s="44">
        <f>SUM(J50:AM50)</f>
        <v>-115037210.99011642</v>
      </c>
      <c r="AQ50" s="88">
        <f>SUM(AP50:AP52)</f>
        <v>-168238216.71502221</v>
      </c>
      <c r="AR50" s="48">
        <f>VLOOKUP(E50,'Projeção - Demanda PAX'!$C$3:$H$37,6,FALSE)</f>
        <v>20223</v>
      </c>
      <c r="AS50">
        <v>1</v>
      </c>
      <c r="AT50">
        <v>-13.566666666666666</v>
      </c>
      <c r="AU50">
        <v>-52.266666666666666</v>
      </c>
    </row>
    <row r="51" spans="1:47" x14ac:dyDescent="0.35">
      <c r="A51" s="89"/>
      <c r="B51" t="s">
        <v>161</v>
      </c>
      <c r="C51" s="5" t="s">
        <v>269</v>
      </c>
      <c r="D51">
        <v>510677</v>
      </c>
      <c r="E51" t="s">
        <v>301</v>
      </c>
      <c r="F51" t="s">
        <v>179</v>
      </c>
      <c r="G51" t="s">
        <v>37</v>
      </c>
      <c r="H51" t="s">
        <v>257</v>
      </c>
      <c r="I51" t="s">
        <v>33</v>
      </c>
      <c r="J51" s="1">
        <f>(VLOOKUP($E51,'RECEITAS - BLOCOS PAN'!$D$3:$H$52,5,FALSE)-VLOOKUP('BLOCOS - AMPLIAR'!$E51,'OPEX - BLOCOS PAN'!$D$3:$H$52,5,FALSE)-VLOOKUP('BLOCOS - AMPLIAR'!$E51,'CAPEX - BLOCOS PAN'!$C$3:$H$52,6,FALSE))*'BLOCOS - AMPLIAR'!J$57</f>
        <v>-8618035.9826957174</v>
      </c>
      <c r="K51" s="1">
        <f>(VLOOKUP($E51,'RECEITAS - BLOCOS PAN'!$D$3:$I$52,6,FALSE)-VLOOKUP('BLOCOS - AMPLIAR'!$E51,'OPEX - BLOCOS PAN'!$D$3:$I$52,6,FALSE)-VLOOKUP('BLOCOS - AMPLIAR'!$E51,'CAPEX - BLOCOS PAN'!$C$3:$I$52,7,FALSE))*'BLOCOS - AMPLIAR'!K$57</f>
        <v>-7866760.3675907971</v>
      </c>
      <c r="L51" s="1">
        <f>(VLOOKUP($E51,'RECEITAS - BLOCOS PAN'!$D$3:$J$52,7,FALSE)-VLOOKUP('BLOCOS - AMPLIAR'!$E51,'OPEX - BLOCOS PAN'!$D$3:$J$52,7,FALSE)-VLOOKUP('BLOCOS - AMPLIAR'!$E51,'CAPEX - BLOCOS PAN'!$C$3:$J$52,8,FALSE))*'BLOCOS - AMPLIAR'!L$57</f>
        <v>-7180977.0585036939</v>
      </c>
      <c r="M51" s="1">
        <f>('RECEITAS - BLOCOS PAN'!K40-'OPEX - BLOCOS PAN'!K40-VLOOKUP('BLOCOS - AMPLIAR'!$E33,'CAPEX - BLOCOS PAN'!$C$3:$K$52,9,FALSE))*'BLOCOS - AMPLIAR'!M$57</f>
        <v>-399274.52055394708</v>
      </c>
      <c r="N51" s="1">
        <f>('RECEITAS - BLOCOS PAN'!L40-'OPEX - BLOCOS PAN'!L40-VLOOKUP('BLOCOS - AMPLIAR'!$E33,'CAPEX - BLOCOS PAN'!$C$3:$L$52,10,FALSE))*'BLOCOS - AMPLIAR'!N$57</f>
        <v>-364467.84167407313</v>
      </c>
      <c r="O51" s="1">
        <f>('RECEITAS - BLOCOS PAN'!M40-'OPEX - BLOCOS PAN'!M40-VLOOKUP('BLOCOS - AMPLIAR'!$E33,'CAPEX - BLOCOS PAN'!$C$3:$M$52,11,FALSE))*'BLOCOS - AMPLIAR'!O$57</f>
        <v>-332695.42827391427</v>
      </c>
      <c r="P51" s="1">
        <f>('RECEITAS - BLOCOS PAN'!N40-'OPEX - BLOCOS PAN'!N40-VLOOKUP('BLOCOS - AMPLIAR'!$E33,'CAPEX - BLOCOS PAN'!$C$3:$N$52,12,FALSE))*'BLOCOS - AMPLIAR'!P$57</f>
        <v>-303692.76884884923</v>
      </c>
      <c r="Q51" s="1">
        <f>('RECEITAS - BLOCOS PAN'!O40-'OPEX - BLOCOS PAN'!O40-VLOOKUP('BLOCOS - AMPLIAR'!$E33,'CAPEX - BLOCOS PAN'!$C$3:$O$52,13,FALSE))*'BLOCOS - AMPLIAR'!Q$57</f>
        <v>-277218.41063336306</v>
      </c>
      <c r="R51" s="1">
        <f>('RECEITAS - BLOCOS PAN'!P40-'OPEX - BLOCOS PAN'!P40-VLOOKUP('BLOCOS - AMPLIAR'!$E33,'CAPEX - BLOCOS PAN'!$C$3:$P$52,14,FALSE))*'BLOCOS - AMPLIAR'!R$57</f>
        <v>-253051.94945993891</v>
      </c>
      <c r="S51" s="1">
        <f>('RECEITAS - BLOCOS PAN'!Q40-'OPEX - BLOCOS PAN'!Q40-VLOOKUP('BLOCOS - AMPLIAR'!$E33,'CAPEX - BLOCOS PAN'!$C$3:$Q$52,15,FALSE))*'BLOCOS - AMPLIAR'!S$57</f>
        <v>-230992.19485161014</v>
      </c>
      <c r="T51" s="1">
        <f>('RECEITAS - BLOCOS PAN'!R40-'OPEX - BLOCOS PAN'!R40-VLOOKUP('BLOCOS - AMPLIAR'!$E33,'CAPEX - BLOCOS PAN'!$C$3:$R$52,16,FALSE))*'BLOCOS - AMPLIAR'!T$57</f>
        <v>-210855.49507221379</v>
      </c>
      <c r="U51" s="1">
        <f>('RECEITAS - BLOCOS PAN'!S40-'OPEX - BLOCOS PAN'!S40-VLOOKUP('BLOCOS - AMPLIAR'!$E33,'CAPEX - BLOCOS PAN'!$C$3:$S$52,17,FALSE))*'BLOCOS - AMPLIAR'!U$57</f>
        <v>-192474.20819006278</v>
      </c>
      <c r="V51" s="1">
        <f>('RECEITAS - BLOCOS PAN'!T40-'OPEX - BLOCOS PAN'!T40-VLOOKUP('BLOCOS - AMPLIAR'!$E33,'CAPEX - BLOCOS PAN'!$C$3:$T$52,18,FALSE))*'BLOCOS - AMPLIAR'!V$57</f>
        <v>-175695.30642634668</v>
      </c>
      <c r="W51" s="1">
        <f>('RECEITAS - BLOCOS PAN'!U40-'OPEX - BLOCOS PAN'!U40-VLOOKUP('BLOCOS - AMPLIAR'!$E33,'CAPEX - BLOCOS PAN'!$C$3:$U$52,19,FALSE))*'BLOCOS - AMPLIAR'!W$57</f>
        <v>-160379.10216918911</v>
      </c>
      <c r="X51" s="1">
        <f>('RECEITAS - BLOCOS PAN'!V40-'OPEX - BLOCOS PAN'!V40-VLOOKUP('BLOCOS - AMPLIAR'!$E33,'CAPEX - BLOCOS PAN'!$C$3:$V$52,20,FALSE))*'BLOCOS - AMPLIAR'!X$57</f>
        <v>-146398.08504718312</v>
      </c>
      <c r="Y51" s="1">
        <f>('RECEITAS - BLOCOS PAN'!W40-'OPEX - BLOCOS PAN'!W40-VLOOKUP('BLOCOS - AMPLIAR'!$E33,'CAPEX - BLOCOS PAN'!$C$3:$W$52,21,FALSE))*'BLOCOS - AMPLIAR'!Y$57</f>
        <v>-133635.86038081528</v>
      </c>
      <c r="Z51" s="1">
        <f>('RECEITAS - BLOCOS PAN'!X40-'OPEX - BLOCOS PAN'!X40-VLOOKUP('BLOCOS - AMPLIAR'!$E33,'CAPEX - BLOCOS PAN'!$C$3:$X$52,22,FALSE))*'BLOCOS - AMPLIAR'!Z$57</f>
        <v>-121986.180174181</v>
      </c>
      <c r="AA51" s="1">
        <f>('RECEITAS - BLOCOS PAN'!Y40-'OPEX - BLOCOS PAN'!Y40-VLOOKUP('BLOCOS - AMPLIAR'!$E33,'CAPEX - BLOCOS PAN'!$C$3:$Y$52,23,FALSE))*'BLOCOS - AMPLIAR'!AA$57</f>
        <v>-111352.05857980922</v>
      </c>
      <c r="AB51" s="1">
        <f>('RECEITAS - BLOCOS PAN'!Z40-'OPEX - BLOCOS PAN'!Z40-VLOOKUP('BLOCOS - AMPLIAR'!$E33,'CAPEX - BLOCOS PAN'!$C$3:$Z$52,24,FALSE))*'BLOCOS - AMPLIAR'!AB$57</f>
        <v>-101644.96447266932</v>
      </c>
      <c r="AC51" s="1">
        <f>('RECEITAS - BLOCOS PAN'!AA40-'OPEX - BLOCOS PAN'!AA40-VLOOKUP('BLOCOS - AMPLIAR'!$E33,'CAPEX - BLOCOS PAN'!$C$3:$AA$52,25,FALSE))*'BLOCOS - AMPLIAR'!AC$57</f>
        <v>-92784.084411382311</v>
      </c>
      <c r="AD51" s="1">
        <f>('RECEITAS - BLOCOS PAN'!AB40-'OPEX - BLOCOS PAN'!AB40-VLOOKUP('BLOCOS - AMPLIAR'!$E33,'CAPEX - BLOCOS PAN'!$C$3:$AB$52,26,FALSE))*'BLOCOS - AMPLIAR'!AD$57</f>
        <v>-84695.649850645656</v>
      </c>
      <c r="AE51" s="1">
        <f>('RECEITAS - BLOCOS PAN'!AC40-'OPEX - BLOCOS PAN'!AC40-VLOOKUP('BLOCOS - AMPLIAR'!$E33,'CAPEX - BLOCOS PAN'!$C$3:$AC$52,27,FALSE))*'BLOCOS - AMPLIAR'!AE$57</f>
        <v>-77312.323003784259</v>
      </c>
      <c r="AF51" s="1">
        <f>('RECEITAS - BLOCOS PAN'!AD40-'OPEX - BLOCOS PAN'!AD40-VLOOKUP('BLOCOS - AMPLIAR'!$E33,'CAPEX - BLOCOS PAN'!$C$3:$AD$52,28,FALSE))*'BLOCOS - AMPLIAR'!AF$57</f>
        <v>-70572.636242614579</v>
      </c>
      <c r="AG51" s="1">
        <f>('RECEITAS - BLOCOS PAN'!AE40-'OPEX - BLOCOS PAN'!AE40-VLOOKUP('BLOCOS - AMPLIAR'!$E33,'CAPEX - BLOCOS PAN'!$C$3:$AE$52,29,FALSE))*'BLOCOS - AMPLIAR'!AG$57</f>
        <v>-64420.480367516735</v>
      </c>
      <c r="AH51" s="1">
        <f>('RECEITAS - BLOCOS PAN'!AF40-'OPEX - BLOCOS PAN'!AF40-VLOOKUP('BLOCOS - AMPLIAR'!$E33,'CAPEX - BLOCOS PAN'!$C$3:$AF$52,30,FALSE))*'BLOCOS - AMPLIAR'!AH$57</f>
        <v>-58804.637487463937</v>
      </c>
      <c r="AI51" s="1">
        <f>('RECEITAS - BLOCOS PAN'!AG40-'OPEX - BLOCOS PAN'!AG40-VLOOKUP('BLOCOS - AMPLIAR'!$E33,'CAPEX - BLOCOS PAN'!$C$3:$AG$52,31,FALSE))*'BLOCOS - AMPLIAR'!AI$57</f>
        <v>-53678.354621144623</v>
      </c>
      <c r="AJ51" s="1">
        <f>('RECEITAS - BLOCOS PAN'!AH40-'OPEX - BLOCOS PAN'!AH40-VLOOKUP('BLOCOS - AMPLIAR'!$E33,'CAPEX - BLOCOS PAN'!$C$3:$AH$52,32,FALSE))*'BLOCOS - AMPLIAR'!AJ$57</f>
        <v>-48998.954469324162</v>
      </c>
      <c r="AK51" s="1">
        <f>('RECEITAS - BLOCOS PAN'!AI40-'OPEX - BLOCOS PAN'!AI40-VLOOKUP('BLOCOS - AMPLIAR'!$E33,'CAPEX - BLOCOS PAN'!$C$3:$AI$52,33,FALSE))*'BLOCOS - AMPLIAR'!AK$57</f>
        <v>-44727.480118050364</v>
      </c>
      <c r="AL51" s="1">
        <f>('RECEITAS - BLOCOS PAN'!AJ40-'OPEX - BLOCOS PAN'!AJ40-VLOOKUP('BLOCOS - AMPLIAR'!$E33,'CAPEX - BLOCOS PAN'!$C$3:$AJ$52,34,FALSE))*'BLOCOS - AMPLIAR'!AL$57</f>
        <v>-40828.3707147881</v>
      </c>
      <c r="AM51" s="1">
        <f>('RECEITAS - BLOCOS PAN'!AK40-'OPEX - BLOCOS PAN'!AK40-VLOOKUP('BLOCOS - AMPLIAR'!$E33,'CAPEX - BLOCOS PAN'!$C$3:$AK$52,35,FALSE))*'BLOCOS - AMPLIAR'!AM$57</f>
        <v>-37269.16541742409</v>
      </c>
      <c r="AN51" s="1">
        <f>SUM(J51:X51)</f>
        <v>-26712968.719990894</v>
      </c>
      <c r="AO51" s="88"/>
      <c r="AP51" s="44">
        <f>SUM(J51:AM51)</f>
        <v>-27855679.920302503</v>
      </c>
      <c r="AQ51" s="88"/>
      <c r="AR51" s="48">
        <v>0</v>
      </c>
      <c r="AS51">
        <v>1</v>
      </c>
      <c r="AT51">
        <v>-10.916666666666666</v>
      </c>
      <c r="AU51">
        <v>-51.6</v>
      </c>
    </row>
    <row r="52" spans="1:47" x14ac:dyDescent="0.35">
      <c r="A52" s="89"/>
      <c r="B52" t="s">
        <v>155</v>
      </c>
      <c r="C52" s="5" t="s">
        <v>265</v>
      </c>
      <c r="D52">
        <v>510704</v>
      </c>
      <c r="E52" t="s">
        <v>298</v>
      </c>
      <c r="F52" t="s">
        <v>239</v>
      </c>
      <c r="G52" t="s">
        <v>37</v>
      </c>
      <c r="H52" t="s">
        <v>257</v>
      </c>
      <c r="I52" t="s">
        <v>33</v>
      </c>
      <c r="J52" s="1">
        <f>(VLOOKUP($E52,'RECEITAS - BLOCOS PAN'!$D$3:$H$52,5,FALSE)-VLOOKUP('BLOCOS - AMPLIAR'!$E52,'OPEX - BLOCOS PAN'!$D$3:$H$52,5,FALSE)-VLOOKUP('BLOCOS - AMPLIAR'!$E52,'CAPEX - BLOCOS PAN'!$C$3:$H$52,6,FALSE))*'BLOCOS - AMPLIAR'!J$57</f>
        <v>-8799596.8000062257</v>
      </c>
      <c r="K52" s="1">
        <f>(VLOOKUP($E52,'RECEITAS - BLOCOS PAN'!$D$3:$I$52,6,FALSE)-VLOOKUP('BLOCOS - AMPLIAR'!$E52,'OPEX - BLOCOS PAN'!$D$3:$I$52,6,FALSE)-VLOOKUP('BLOCOS - AMPLIAR'!$E52,'CAPEX - BLOCOS PAN'!$C$3:$I$52,7,FALSE))*'BLOCOS - AMPLIAR'!K$57</f>
        <v>-8032493.6558705857</v>
      </c>
      <c r="L52" s="1">
        <f>(VLOOKUP($E52,'RECEITAS - BLOCOS PAN'!$D$3:$J$52,7,FALSE)-VLOOKUP('BLOCOS - AMPLIAR'!$E52,'OPEX - BLOCOS PAN'!$D$3:$J$52,7,FALSE)-VLOOKUP('BLOCOS - AMPLIAR'!$E52,'CAPEX - BLOCOS PAN'!$C$3:$J$52,8,FALSE))*'BLOCOS - AMPLIAR'!L$57</f>
        <v>-7332262.5795258656</v>
      </c>
      <c r="M52" s="1">
        <f>('RECEITAS - BLOCOS PAN'!K50-'OPEX - BLOCOS PAN'!K50-VLOOKUP('BLOCOS - AMPLIAR'!$E43,'CAPEX - BLOCOS PAN'!$C$3:$K$52,9,FALSE))*'BLOCOS - AMPLIAR'!M$57</f>
        <v>-112540.06143436371</v>
      </c>
      <c r="N52" s="1">
        <f>('RECEITAS - BLOCOS PAN'!L50-'OPEX - BLOCOS PAN'!L50-VLOOKUP('BLOCOS - AMPLIAR'!$E43,'CAPEX - BLOCOS PAN'!$C$3:$L$52,10,FALSE))*'BLOCOS - AMPLIAR'!N$57</f>
        <v>-102729.40340882129</v>
      </c>
      <c r="O52" s="1">
        <f>('RECEITAS - BLOCOS PAN'!M50-'OPEX - BLOCOS PAN'!M50-VLOOKUP('BLOCOS - AMPLIAR'!$E43,'CAPEX - BLOCOS PAN'!$C$3:$M$52,11,FALSE))*'BLOCOS - AMPLIAR'!O$57</f>
        <v>-93773.987593629645</v>
      </c>
      <c r="P52" s="1">
        <f>('RECEITAS - BLOCOS PAN'!N50-'OPEX - BLOCOS PAN'!N50-VLOOKUP('BLOCOS - AMPLIAR'!$E43,'CAPEX - BLOCOS PAN'!$C$3:$N$52,12,FALSE))*'BLOCOS - AMPLIAR'!P$57</f>
        <v>-85599.258414997399</v>
      </c>
      <c r="Q52" s="1">
        <f>('RECEITAS - BLOCOS PAN'!O50-'OPEX - BLOCOS PAN'!O50-VLOOKUP('BLOCOS - AMPLIAR'!$E43,'CAPEX - BLOCOS PAN'!$C$3:$O$52,13,FALSE))*'BLOCOS - AMPLIAR'!Q$57</f>
        <v>-78137.159666816442</v>
      </c>
      <c r="R52" s="1">
        <f>('RECEITAS - BLOCOS PAN'!P50-'OPEX - BLOCOS PAN'!P50-VLOOKUP('BLOCOS - AMPLIAR'!$E43,'CAPEX - BLOCOS PAN'!$C$3:$P$52,14,FALSE))*'BLOCOS - AMPLIAR'!R$57</f>
        <v>-71325.567929544908</v>
      </c>
      <c r="S52" s="1">
        <f>('RECEITAS - BLOCOS PAN'!Q50-'OPEX - BLOCOS PAN'!Q50-VLOOKUP('BLOCOS - AMPLIAR'!$E43,'CAPEX - BLOCOS PAN'!$C$3:$Q$52,15,FALSE))*'BLOCOS - AMPLIAR'!S$57</f>
        <v>-65107.775380689098</v>
      </c>
      <c r="T52" s="1">
        <f>('RECEITAS - BLOCOS PAN'!R50-'OPEX - BLOCOS PAN'!R50-VLOOKUP('BLOCOS - AMPLIAR'!$E43,'CAPEX - BLOCOS PAN'!$C$3:$R$52,16,FALSE))*'BLOCOS - AMPLIAR'!T$57</f>
        <v>-59432.017691181296</v>
      </c>
      <c r="U52" s="1">
        <f>('RECEITAS - BLOCOS PAN'!S50-'OPEX - BLOCOS PAN'!S50-VLOOKUP('BLOCOS - AMPLIAR'!$E43,'CAPEX - BLOCOS PAN'!$C$3:$S$52,17,FALSE))*'BLOCOS - AMPLIAR'!U$57</f>
        <v>-54251.043077299219</v>
      </c>
      <c r="V52" s="1">
        <f>('RECEITAS - BLOCOS PAN'!T50-'OPEX - BLOCOS PAN'!T50-VLOOKUP('BLOCOS - AMPLIAR'!$E43,'CAPEX - BLOCOS PAN'!$C$3:$T$52,18,FALSE))*'BLOCOS - AMPLIAR'!V$57</f>
        <v>-49521.718920400934</v>
      </c>
      <c r="W52" s="1">
        <f>('RECEITAS - BLOCOS PAN'!U50-'OPEX - BLOCOS PAN'!U50-VLOOKUP('BLOCOS - AMPLIAR'!$E43,'CAPEX - BLOCOS PAN'!$C$3:$U$52,19,FALSE))*'BLOCOS - AMPLIAR'!W$57</f>
        <v>-45204.672679507923</v>
      </c>
      <c r="X52" s="1">
        <f>('RECEITAS - BLOCOS PAN'!V50-'OPEX - BLOCOS PAN'!V50-VLOOKUP('BLOCOS - AMPLIAR'!$E43,'CAPEX - BLOCOS PAN'!$C$3:$V$52,20,FALSE))*'BLOCOS - AMPLIAR'!X$57</f>
        <v>-41263.964107264197</v>
      </c>
      <c r="Y52" s="1">
        <f>('RECEITAS - BLOCOS PAN'!W50-'OPEX - BLOCOS PAN'!W50-VLOOKUP('BLOCOS - AMPLIAR'!$E43,'CAPEX - BLOCOS PAN'!$C$3:$W$52,21,FALSE))*'BLOCOS - AMPLIAR'!Y$57</f>
        <v>-37666.786040405474</v>
      </c>
      <c r="Z52" s="1">
        <f>('RECEITAS - BLOCOS PAN'!X50-'OPEX - BLOCOS PAN'!X50-VLOOKUP('BLOCOS - AMPLIAR'!$E43,'CAPEX - BLOCOS PAN'!$C$3:$X$52,22,FALSE))*'BLOCOS - AMPLIAR'!Z$57</f>
        <v>-34383.19127376128</v>
      </c>
      <c r="AA52" s="1">
        <f>('RECEITAS - BLOCOS PAN'!Y50-'OPEX - BLOCOS PAN'!Y50-VLOOKUP('BLOCOS - AMPLIAR'!$E43,'CAPEX - BLOCOS PAN'!$C$3:$Y$52,23,FALSE))*'BLOCOS - AMPLIAR'!AA$57</f>
        <v>-31385.843243962827</v>
      </c>
      <c r="AB52" s="1">
        <f>('RECEITAS - BLOCOS PAN'!Z50-'OPEX - BLOCOS PAN'!Z50-VLOOKUP('BLOCOS - AMPLIAR'!$E43,'CAPEX - BLOCOS PAN'!$C$3:$Z$52,24,FALSE))*'BLOCOS - AMPLIAR'!AB$57</f>
        <v>-28649.788447250419</v>
      </c>
      <c r="AC52" s="1">
        <f>('RECEITAS - BLOCOS PAN'!AA50-'OPEX - BLOCOS PAN'!AA50-VLOOKUP('BLOCOS - AMPLIAR'!$E43,'CAPEX - BLOCOS PAN'!$C$3:$AA$52,25,FALSE))*'BLOCOS - AMPLIAR'!AC$57</f>
        <v>-26152.24869671421</v>
      </c>
      <c r="AD52" s="1">
        <f>('RECEITAS - BLOCOS PAN'!AB50-'OPEX - BLOCOS PAN'!AB50-VLOOKUP('BLOCOS - AMPLIAR'!$E43,'CAPEX - BLOCOS PAN'!$C$3:$AB$52,26,FALSE))*'BLOCOS - AMPLIAR'!AD$57</f>
        <v>-23872.431489469844</v>
      </c>
      <c r="AE52" s="1">
        <f>('RECEITAS - BLOCOS PAN'!AC50-'OPEX - BLOCOS PAN'!AC50-VLOOKUP('BLOCOS - AMPLIAR'!$E43,'CAPEX - BLOCOS PAN'!$C$3:$AC$52,27,FALSE))*'BLOCOS - AMPLIAR'!AE$57</f>
        <v>-21791.35690503865</v>
      </c>
      <c r="AF52" s="1">
        <f>('RECEITAS - BLOCOS PAN'!AD50-'OPEX - BLOCOS PAN'!AD50-VLOOKUP('BLOCOS - AMPLIAR'!$E43,'CAPEX - BLOCOS PAN'!$C$3:$AD$52,28,FALSE))*'BLOCOS - AMPLIAR'!AF$57</f>
        <v>-19891.699593828071</v>
      </c>
      <c r="AG52" s="1">
        <f>('RECEITAS - BLOCOS PAN'!AE50-'OPEX - BLOCOS PAN'!AE50-VLOOKUP('BLOCOS - AMPLIAR'!$E43,'CAPEX - BLOCOS PAN'!$C$3:$AE$52,29,FALSE))*'BLOCOS - AMPLIAR'!AG$57</f>
        <v>-18157.644540235575</v>
      </c>
      <c r="AH52" s="1">
        <f>('RECEITAS - BLOCOS PAN'!AF50-'OPEX - BLOCOS PAN'!AF50-VLOOKUP('BLOCOS - AMPLIAR'!$E43,'CAPEX - BLOCOS PAN'!$C$3:$AF$52,30,FALSE))*'BLOCOS - AMPLIAR'!AH$57</f>
        <v>-16574.755399576065</v>
      </c>
      <c r="AI52" s="1">
        <f>('RECEITAS - BLOCOS PAN'!AG50-'OPEX - BLOCOS PAN'!AG50-VLOOKUP('BLOCOS - AMPLIAR'!$E43,'CAPEX - BLOCOS PAN'!$C$3:$AG$52,31,FALSE))*'BLOCOS - AMPLIAR'!AI$57</f>
        <v>-15129.854312712061</v>
      </c>
      <c r="AJ52" s="1">
        <f>('RECEITAS - BLOCOS PAN'!AH50-'OPEX - BLOCOS PAN'!AH50-VLOOKUP('BLOCOS - AMPLIAR'!$E43,'CAPEX - BLOCOS PAN'!$C$3:$AH$52,32,FALSE))*'BLOCOS - AMPLIAR'!AJ$57</f>
        <v>-13810.912197820229</v>
      </c>
      <c r="AK52" s="1">
        <f>('RECEITAS - BLOCOS PAN'!AI50-'OPEX - BLOCOS PAN'!AI50-VLOOKUP('BLOCOS - AMPLIAR'!$E43,'CAPEX - BLOCOS PAN'!$C$3:$AI$52,33,FALSE))*'BLOCOS - AMPLIAR'!AK$57</f>
        <v>-12606.948605951831</v>
      </c>
      <c r="AL52" s="1">
        <f>('RECEITAS - BLOCOS PAN'!AJ50-'OPEX - BLOCOS PAN'!AJ50-VLOOKUP('BLOCOS - AMPLIAR'!$E43,'CAPEX - BLOCOS PAN'!$C$3:$AJ$52,34,FALSE))*'BLOCOS - AMPLIAR'!AL$57</f>
        <v>-11507.940306665296</v>
      </c>
      <c r="AM52" s="1">
        <f>('RECEITAS - BLOCOS PAN'!AK50-'OPEX - BLOCOS PAN'!AK50-VLOOKUP('BLOCOS - AMPLIAR'!$E43,'CAPEX - BLOCOS PAN'!$C$3:$AK$52,35,FALSE))*'BLOCOS - AMPLIAR'!AM$57</f>
        <v>-10504.737842688539</v>
      </c>
      <c r="AN52" s="1">
        <f>SUM(J52:X52)</f>
        <v>-25023239.66570719</v>
      </c>
      <c r="AO52" s="88"/>
      <c r="AP52" s="44">
        <f>SUM(J52:AM52)</f>
        <v>-25345325.804603271</v>
      </c>
      <c r="AQ52" s="88"/>
      <c r="AR52" s="48">
        <v>0</v>
      </c>
      <c r="AS52">
        <v>1</v>
      </c>
      <c r="AT52">
        <v>-15.55</v>
      </c>
      <c r="AU52">
        <v>-54.31666666666667</v>
      </c>
    </row>
    <row r="53" spans="1:47" x14ac:dyDescent="0.35">
      <c r="C53" s="6"/>
      <c r="D53" s="6"/>
      <c r="E53" s="6"/>
      <c r="I53" s="47" t="s">
        <v>250</v>
      </c>
      <c r="J53" s="8">
        <f>SUBTOTAL(109,'BLOCOS - AMPLIAR'!J3:J52)</f>
        <v>-1231110055.397788</v>
      </c>
      <c r="K53" s="8">
        <f>SUBTOTAL(109,'BLOCOS - AMPLIAR'!K3:K52)</f>
        <v>-1122693694.7841067</v>
      </c>
      <c r="L53" s="8">
        <f>SUBTOTAL(109,'BLOCOS - AMPLIAR'!L3:L52)</f>
        <v>-1025807911.5986823</v>
      </c>
      <c r="M53" s="8">
        <f>SUBTOTAL(109,'BLOCOS - AMPLIAR'!M3:M52)</f>
        <v>-77210393.568359196</v>
      </c>
      <c r="N53" s="8">
        <f>SUBTOTAL(109,'BLOCOS - AMPLIAR'!N3:N52)</f>
        <v>-71357968.537735656</v>
      </c>
      <c r="O53" s="8">
        <f>SUBTOTAL(109,'BLOCOS - AMPLIAR'!O3:O52)</f>
        <v>-64673947.686129838</v>
      </c>
      <c r="P53" s="8">
        <f>SUBTOTAL(109,'BLOCOS - AMPLIAR'!P3:P52)</f>
        <v>-58986145.876239359</v>
      </c>
      <c r="Q53" s="8">
        <f>SUBTOTAL(109,'BLOCOS - AMPLIAR'!Q3:Q52)</f>
        <v>-53576707.46941264</v>
      </c>
      <c r="R53" s="8">
        <f>SUBTOTAL(109,'BLOCOS - AMPLIAR'!R3:R52)</f>
        <v>-48594472.919068143</v>
      </c>
      <c r="S53" s="8">
        <f>SUBTOTAL(109,'BLOCOS - AMPLIAR'!S3:S52)</f>
        <v>-44325817.333736822</v>
      </c>
      <c r="T53" s="8">
        <f>SUBTOTAL(109,'BLOCOS - AMPLIAR'!T3:T52)</f>
        <v>-40239044.096122056</v>
      </c>
      <c r="U53" s="8">
        <f>SUBTOTAL(109,'BLOCOS - AMPLIAR'!U3:U52)</f>
        <v>-36637775.641416021</v>
      </c>
      <c r="V53" s="8">
        <f>SUBTOTAL(109,'BLOCOS - AMPLIAR'!V3:V52)</f>
        <v>-33259340.655554481</v>
      </c>
      <c r="W53" s="8">
        <f>SUBTOTAL(109,'BLOCOS - AMPLIAR'!W3:W52)</f>
        <v>-30181894.329780858</v>
      </c>
      <c r="X53" s="8">
        <f>SUBTOTAL(109,'BLOCOS - AMPLIAR'!X3:X52)</f>
        <v>-27393693.380724106</v>
      </c>
      <c r="Y53" s="8">
        <f>SUBTOTAL(109,'BLOCOS - AMPLIAR'!Y3:Y52)</f>
        <v>-25052278.450825926</v>
      </c>
      <c r="Z53" s="8">
        <f>SUBTOTAL(109,'BLOCOS - AMPLIAR'!Z3:Z52)</f>
        <v>-22977782.854211416</v>
      </c>
      <c r="AA53" s="8">
        <f>SUBTOTAL(109,'BLOCOS - AMPLIAR'!AA3:AA52)</f>
        <v>-20849411.620272014</v>
      </c>
      <c r="AB53" s="8">
        <f>SUBTOTAL(109,'BLOCOS - AMPLIAR'!AB3:AB52)</f>
        <v>-18913036.968752418</v>
      </c>
      <c r="AC53" s="8">
        <f>SUBTOTAL(109,'BLOCOS - AMPLIAR'!AC3:AC52)</f>
        <v>-17345100.484020814</v>
      </c>
      <c r="AD53" s="8">
        <f>SUBTOTAL(109,'BLOCOS - AMPLIAR'!AD3:AD52)</f>
        <v>-15733293.846952453</v>
      </c>
      <c r="AE53" s="8">
        <f>SUBTOTAL(109,'BLOCOS - AMPLIAR'!AE3:AE52)</f>
        <v>-14271903.169437088</v>
      </c>
      <c r="AF53" s="8">
        <f>SUBTOTAL(109,'BLOCOS - AMPLIAR'!AF3:AF52)</f>
        <v>-13105355.371097164</v>
      </c>
      <c r="AG53" s="8">
        <f>SUBTOTAL(109,'BLOCOS - AMPLIAR'!AG3:AG52)</f>
        <v>-11891255.817792198</v>
      </c>
      <c r="AH53" s="8">
        <f>SUBTOTAL(109,'BLOCOS - AMPLIAR'!AH3:AH52)</f>
        <v>-10786671.351071885</v>
      </c>
      <c r="AI53" s="8">
        <f>SUBTOTAL(109,'BLOCOS - AMPLIAR'!AI3:AI52)</f>
        <v>-9840484.4970682152</v>
      </c>
      <c r="AJ53" s="8">
        <f>SUBTOTAL(109,'BLOCOS - AMPLIAR'!AJ3:AJ52)</f>
        <v>-9225073.1545784473</v>
      </c>
      <c r="AK53" s="8">
        <f>SUBTOTAL(109,'BLOCOS - AMPLIAR'!AK3:AK52)</f>
        <v>-8370547.7470428823</v>
      </c>
      <c r="AL53" s="8">
        <f>SUBTOTAL(109,'BLOCOS - AMPLIAR'!AL3:AL52)</f>
        <v>-7605181.9572448209</v>
      </c>
      <c r="AM53" s="8">
        <f>SUBTOTAL(109,'BLOCOS - AMPLIAR'!AM3:AM52)</f>
        <v>-6972488.7238911977</v>
      </c>
      <c r="AN53" s="8">
        <f>SUBTOTAL(109,'BLOCOS - AMPLIAR'!AN3:AN52)</f>
        <v>-3966048863.2748556</v>
      </c>
      <c r="AP53" s="44">
        <f>SUBTOTAL(109,'BLOCOS - AMPLIAR'!AP3:AP52)</f>
        <v>-4178988729.289113</v>
      </c>
      <c r="AR53" s="66">
        <f>SUBTOTAL(109,'BLOCOS - AMPLIAR'!AR3:AR52)</f>
        <v>716225</v>
      </c>
    </row>
    <row r="54" spans="1:47" x14ac:dyDescent="0.35">
      <c r="B54" s="83" t="s">
        <v>368</v>
      </c>
      <c r="C54" s="83"/>
      <c r="D54" s="83"/>
      <c r="E54" s="83"/>
      <c r="F54" s="47"/>
      <c r="I54" s="47" t="s">
        <v>285</v>
      </c>
      <c r="J54" s="8">
        <f>J53</f>
        <v>-1231110055.397788</v>
      </c>
      <c r="K54" s="8">
        <f>K53+J54</f>
        <v>-2353803750.1818948</v>
      </c>
      <c r="L54" s="8">
        <f>L53+K54</f>
        <v>-3379611661.7805772</v>
      </c>
      <c r="M54" s="8">
        <f>M53+L54</f>
        <v>-3456822055.3489366</v>
      </c>
      <c r="N54" s="8">
        <f>N53+M54</f>
        <v>-3528180023.886672</v>
      </c>
      <c r="O54" s="8">
        <f>O53+N54</f>
        <v>-3592853971.5728021</v>
      </c>
      <c r="P54" s="8">
        <f>P53+O54</f>
        <v>-3651840117.4490414</v>
      </c>
      <c r="Q54" s="8">
        <f>Q53+P54</f>
        <v>-3705416824.9184542</v>
      </c>
      <c r="R54" s="8">
        <f>R53+Q54</f>
        <v>-3754011297.8375225</v>
      </c>
      <c r="S54" s="8">
        <f>S53+R54</f>
        <v>-3798337115.1712594</v>
      </c>
      <c r="T54" s="8">
        <f>T53+S54</f>
        <v>-3838576159.2673817</v>
      </c>
      <c r="U54" s="8">
        <f>U53+T54</f>
        <v>-3875213934.9087977</v>
      </c>
      <c r="V54" s="8">
        <f>V53+U54</f>
        <v>-3908473275.564352</v>
      </c>
      <c r="W54" s="8">
        <f>W53+V54</f>
        <v>-3938655169.8941331</v>
      </c>
      <c r="X54" s="8">
        <f>X53+W54</f>
        <v>-3966048863.274857</v>
      </c>
      <c r="Y54" s="8">
        <f>Y53+X54</f>
        <v>-3991101141.7256827</v>
      </c>
      <c r="Z54" s="8">
        <f>Z53+Y54</f>
        <v>-4014078924.5798941</v>
      </c>
      <c r="AA54" s="8">
        <f>AA53+Z54</f>
        <v>-4034928336.2001662</v>
      </c>
      <c r="AB54" s="8">
        <f>AB53+AA54</f>
        <v>-4053841373.1689186</v>
      </c>
      <c r="AC54" s="8">
        <f>AC53+AB54</f>
        <v>-4071186473.6529393</v>
      </c>
      <c r="AD54" s="8">
        <f>AD53+AC54</f>
        <v>-4086919767.4998918</v>
      </c>
      <c r="AE54" s="8">
        <f>AE53+AD54</f>
        <v>-4101191670.6693287</v>
      </c>
      <c r="AF54" s="8">
        <f>AF53+AE54</f>
        <v>-4114297026.0404258</v>
      </c>
      <c r="AG54" s="8">
        <f>AG53+AF54</f>
        <v>-4126188281.8582182</v>
      </c>
      <c r="AH54" s="8">
        <f>AH53+AG54</f>
        <v>-4136974953.20929</v>
      </c>
      <c r="AI54" s="8">
        <f>AI53+AH54</f>
        <v>-4146815437.7063584</v>
      </c>
      <c r="AJ54" s="8">
        <f>AJ53+AI54</f>
        <v>-4156040510.8609371</v>
      </c>
      <c r="AK54" s="8">
        <f>AK53+AJ54</f>
        <v>-4164411058.6079798</v>
      </c>
      <c r="AL54" s="8">
        <f>AL53+AK54</f>
        <v>-4172016240.5652246</v>
      </c>
      <c r="AM54" s="8">
        <f>AM53+AL54</f>
        <v>-4178988729.2891159</v>
      </c>
      <c r="AN54" s="1"/>
      <c r="AO54" s="44"/>
    </row>
    <row r="55" spans="1:47" x14ac:dyDescent="0.35"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</row>
    <row r="56" spans="1:47" x14ac:dyDescent="0.35">
      <c r="I56" s="47" t="s">
        <v>284</v>
      </c>
      <c r="J56" s="2">
        <v>0</v>
      </c>
      <c r="K56" s="2">
        <v>1</v>
      </c>
      <c r="L56" s="2">
        <v>2</v>
      </c>
      <c r="M56" s="2">
        <v>3</v>
      </c>
      <c r="N56" s="2">
        <v>4</v>
      </c>
      <c r="O56" s="2">
        <v>5</v>
      </c>
      <c r="P56" s="2">
        <v>6</v>
      </c>
      <c r="Q56" s="2">
        <v>7</v>
      </c>
      <c r="R56" s="2">
        <v>8</v>
      </c>
      <c r="S56" s="2">
        <v>9</v>
      </c>
      <c r="T56" s="2">
        <v>10</v>
      </c>
      <c r="U56" s="2">
        <v>11</v>
      </c>
      <c r="V56" s="2">
        <v>12</v>
      </c>
      <c r="W56" s="2">
        <v>13</v>
      </c>
      <c r="X56" s="2">
        <v>14</v>
      </c>
      <c r="Y56" s="2">
        <v>15</v>
      </c>
      <c r="Z56" s="2">
        <v>16</v>
      </c>
      <c r="AA56" s="2">
        <v>17</v>
      </c>
      <c r="AB56" s="2">
        <v>18</v>
      </c>
      <c r="AC56" s="2">
        <v>19</v>
      </c>
      <c r="AD56" s="2">
        <v>20</v>
      </c>
      <c r="AE56" s="2">
        <v>21</v>
      </c>
      <c r="AF56" s="2">
        <v>22</v>
      </c>
      <c r="AG56" s="2">
        <v>23</v>
      </c>
      <c r="AH56" s="2">
        <v>24</v>
      </c>
      <c r="AI56" s="2">
        <v>25</v>
      </c>
      <c r="AJ56" s="2">
        <v>26</v>
      </c>
      <c r="AK56" s="2">
        <v>27</v>
      </c>
      <c r="AL56" s="2">
        <v>28</v>
      </c>
      <c r="AM56" s="2">
        <v>29</v>
      </c>
    </row>
    <row r="57" spans="1:47" x14ac:dyDescent="0.35">
      <c r="B57" s="2" t="s">
        <v>254</v>
      </c>
      <c r="C57" s="46">
        <v>9.5500000000000002E-2</v>
      </c>
      <c r="D57" s="2" t="s">
        <v>255</v>
      </c>
      <c r="J57" s="2">
        <f>1/(1+$C$57)^J56</f>
        <v>1</v>
      </c>
      <c r="K57" s="2">
        <f>1/(1+$C$57)^K56</f>
        <v>0.91282519397535378</v>
      </c>
      <c r="L57" s="2">
        <f>1/(1+$C$57)^L56</f>
        <v>0.83324983475614223</v>
      </c>
      <c r="M57" s="2">
        <f>1/(1+$C$57)^M56</f>
        <v>0.76061144204120701</v>
      </c>
      <c r="N57" s="2">
        <f>1/(1+$C$57)^N56</f>
        <v>0.69430528712113837</v>
      </c>
      <c r="O57" s="2">
        <f>1/(1+$C$57)^O56</f>
        <v>0.63377935839446675</v>
      </c>
      <c r="P57" s="2">
        <f>1/(1+$C$57)^P56</f>
        <v>0.57852976576400439</v>
      </c>
      <c r="Q57" s="2">
        <f>1/(1+$C$57)^Q56</f>
        <v>0.52809654565404329</v>
      </c>
      <c r="R57" s="2">
        <f>1/(1+$C$57)^R56</f>
        <v>0.48205983172436634</v>
      </c>
      <c r="S57" s="2">
        <f>1/(1+$C$57)^S56</f>
        <v>0.44003635940152108</v>
      </c>
      <c r="T57" s="2">
        <f>1/(1+$C$57)^T56</f>
        <v>0.40167627512690202</v>
      </c>
      <c r="U57" s="2">
        <f>1/(1+$C$57)^U56</f>
        <v>0.36666022375801188</v>
      </c>
      <c r="V57" s="2">
        <f>1/(1+$C$57)^V56</f>
        <v>0.33469668987495382</v>
      </c>
      <c r="W57" s="2">
        <f>1/(1+$C$57)^W56</f>
        <v>0.30551957085801351</v>
      </c>
      <c r="X57" s="2">
        <f>1/(1+$C$57)^X56</f>
        <v>0.27888596153173301</v>
      </c>
      <c r="Y57" s="2">
        <f>1/(1+$C$57)^Y56</f>
        <v>0.25457413193220724</v>
      </c>
      <c r="Z57" s="2">
        <f>1/(1+$C$57)^Z56</f>
        <v>0.23238168136212439</v>
      </c>
      <c r="AA57" s="2">
        <f>1/(1+$C$57)^AA56</f>
        <v>0.21212385336570003</v>
      </c>
      <c r="AB57" s="2">
        <f>1/(1+$C$57)^AB56</f>
        <v>0.19363199759534466</v>
      </c>
      <c r="AC57" s="2">
        <f>1/(1+$C$57)^AC56</f>
        <v>0.17675216576480571</v>
      </c>
      <c r="AD57" s="2">
        <f>1/(1+$C$57)^AD56</f>
        <v>0.16134382999982266</v>
      </c>
      <c r="AE57" s="2">
        <f>1/(1+$C$57)^AE56</f>
        <v>0.14727871291631461</v>
      </c>
      <c r="AF57" s="2">
        <f>1/(1+$C$57)^AF56</f>
        <v>0.13443971968627533</v>
      </c>
      <c r="AG57" s="2">
        <f>1/(1+$C$57)^AG56</f>
        <v>0.12271996320061647</v>
      </c>
      <c r="AH57" s="2">
        <f>1/(1+$C$57)^AH56</f>
        <v>0.11202187421325101</v>
      </c>
      <c r="AI57" s="2">
        <f>1/(1+$C$57)^AI56</f>
        <v>0.10225638905819352</v>
      </c>
      <c r="AJ57" s="2">
        <f>1/(1+$C$57)^AJ56</f>
        <v>9.3342208177264741E-2</v>
      </c>
      <c r="AK57" s="2">
        <f>1/(1+$C$57)^AK56</f>
        <v>8.520511928549955E-2</v>
      </c>
      <c r="AL57" s="2">
        <f>1/(1+$C$57)^AL56</f>
        <v>7.7777379539479274E-2</v>
      </c>
      <c r="AM57" s="2">
        <f>1/(1+$C$57)^AM56</f>
        <v>7.0997151565019873E-2</v>
      </c>
    </row>
    <row r="59" spans="1:47" x14ac:dyDescent="0.35">
      <c r="B59" s="63" t="s">
        <v>354</v>
      </c>
      <c r="F59" s="63"/>
    </row>
  </sheetData>
  <autoFilter ref="A2:AU2" xr:uid="{EDCAA8D6-B299-4FC9-9EEA-CF3C52240B74}">
    <sortState xmlns:xlrd2="http://schemas.microsoft.com/office/spreadsheetml/2017/richdata2" ref="A3:AU52">
      <sortCondition ref="A2"/>
    </sortState>
  </autoFilter>
  <mergeCells count="34">
    <mergeCell ref="A31:A34"/>
    <mergeCell ref="A35:A42"/>
    <mergeCell ref="A43:A45"/>
    <mergeCell ref="A46:A49"/>
    <mergeCell ref="A50:A52"/>
    <mergeCell ref="AQ35:AQ42"/>
    <mergeCell ref="AQ43:AQ45"/>
    <mergeCell ref="AQ46:AQ49"/>
    <mergeCell ref="AQ50:AQ52"/>
    <mergeCell ref="A3:A9"/>
    <mergeCell ref="A10:A14"/>
    <mergeCell ref="A15:A19"/>
    <mergeCell ref="A20:A22"/>
    <mergeCell ref="A23:A26"/>
    <mergeCell ref="A27:A30"/>
    <mergeCell ref="AO43:AO45"/>
    <mergeCell ref="AO46:AO49"/>
    <mergeCell ref="AO50:AO52"/>
    <mergeCell ref="AQ3:AQ9"/>
    <mergeCell ref="AQ10:AQ14"/>
    <mergeCell ref="AQ15:AQ19"/>
    <mergeCell ref="AQ20:AQ22"/>
    <mergeCell ref="AQ23:AQ26"/>
    <mergeCell ref="AQ27:AQ30"/>
    <mergeCell ref="AQ31:AQ34"/>
    <mergeCell ref="B54:E54"/>
    <mergeCell ref="AO3:AO9"/>
    <mergeCell ref="AO10:AO14"/>
    <mergeCell ref="AO15:AO19"/>
    <mergeCell ref="AO20:AO22"/>
    <mergeCell ref="AO23:AO26"/>
    <mergeCell ref="AO27:AO30"/>
    <mergeCell ref="AO31:AO34"/>
    <mergeCell ref="AO35:AO42"/>
  </mergeCells>
  <conditionalFormatting sqref="E29:E30">
    <cfRule type="duplicateValues" dxfId="36" priority="1"/>
  </conditionalFormatting>
  <conditionalFormatting sqref="E40:E45 E31">
    <cfRule type="duplicateValues" dxfId="35" priority="2"/>
  </conditionalFormatting>
  <hyperlinks>
    <hyperlink ref="B59" location="Introdução!A1" display="Introdução!A1" xr:uid="{794A12AD-7C90-4343-AF52-24DCD8658E29}"/>
  </hyperlink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659D-9DB7-4AAC-88C5-1150CD672878}">
  <sheetPr>
    <tabColor rgb="FF00B0F0"/>
  </sheetPr>
  <dimension ref="A1:AV59"/>
  <sheetViews>
    <sheetView topLeftCell="A16" workbookViewId="0">
      <selection activeCell="A43" sqref="A43:XFD46"/>
    </sheetView>
  </sheetViews>
  <sheetFormatPr defaultRowHeight="14.5" x14ac:dyDescent="0.35"/>
  <cols>
    <col min="1" max="1" width="7" bestFit="1" customWidth="1"/>
    <col min="2" max="2" width="19" customWidth="1"/>
    <col min="3" max="3" width="13.1796875" bestFit="1" customWidth="1"/>
    <col min="4" max="4" width="16.54296875" customWidth="1"/>
    <col min="5" max="5" width="3.81640625" bestFit="1" customWidth="1"/>
    <col min="6" max="7" width="11.81640625" customWidth="1"/>
    <col min="8" max="8" width="19.54296875" bestFit="1" customWidth="1"/>
    <col min="9" max="38" width="19.7265625" bestFit="1" customWidth="1"/>
    <col min="39" max="39" width="19.54296875" bestFit="1" customWidth="1"/>
    <col min="41" max="41" width="10.7265625" bestFit="1" customWidth="1"/>
    <col min="42" max="42" width="11.54296875" customWidth="1"/>
    <col min="43" max="43" width="11.1796875" customWidth="1"/>
    <col min="44" max="44" width="11.1796875" bestFit="1" customWidth="1"/>
    <col min="45" max="45" width="11.26953125" customWidth="1"/>
    <col min="46" max="47" width="11.1796875" bestFit="1" customWidth="1"/>
    <col min="48" max="48" width="28.7265625" bestFit="1" customWidth="1"/>
  </cols>
  <sheetData>
    <row r="1" spans="1:4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249</v>
      </c>
      <c r="I1" s="2" t="s">
        <v>249</v>
      </c>
      <c r="J1" s="2" t="s">
        <v>249</v>
      </c>
      <c r="K1" s="2" t="s">
        <v>249</v>
      </c>
      <c r="L1" s="2" t="s">
        <v>249</v>
      </c>
      <c r="M1" s="2" t="s">
        <v>249</v>
      </c>
      <c r="N1" s="2" t="s">
        <v>249</v>
      </c>
      <c r="O1" s="2" t="s">
        <v>249</v>
      </c>
      <c r="P1" s="2" t="s">
        <v>249</v>
      </c>
      <c r="Q1" s="2" t="s">
        <v>249</v>
      </c>
      <c r="R1" s="2" t="s">
        <v>249</v>
      </c>
      <c r="S1" s="2" t="s">
        <v>249</v>
      </c>
      <c r="T1" s="2" t="s">
        <v>249</v>
      </c>
      <c r="U1" s="2" t="s">
        <v>249</v>
      </c>
      <c r="V1" s="2" t="s">
        <v>249</v>
      </c>
      <c r="W1" s="2" t="s">
        <v>249</v>
      </c>
      <c r="X1" s="2" t="s">
        <v>249</v>
      </c>
      <c r="Y1" s="2" t="s">
        <v>249</v>
      </c>
      <c r="Z1" s="2" t="s">
        <v>249</v>
      </c>
      <c r="AA1" s="2" t="s">
        <v>249</v>
      </c>
      <c r="AB1" s="2" t="s">
        <v>249</v>
      </c>
      <c r="AC1" s="2" t="s">
        <v>249</v>
      </c>
      <c r="AD1" s="2" t="s">
        <v>249</v>
      </c>
      <c r="AE1" s="2" t="s">
        <v>249</v>
      </c>
      <c r="AF1" s="2" t="s">
        <v>249</v>
      </c>
      <c r="AG1" s="2" t="s">
        <v>249</v>
      </c>
      <c r="AH1" s="2" t="s">
        <v>249</v>
      </c>
      <c r="AI1" s="2" t="s">
        <v>249</v>
      </c>
      <c r="AJ1" s="2" t="s">
        <v>249</v>
      </c>
      <c r="AK1" s="2" t="s">
        <v>249</v>
      </c>
      <c r="AL1" s="2" t="s">
        <v>249</v>
      </c>
      <c r="AM1" s="2" t="s">
        <v>249</v>
      </c>
      <c r="AN1" s="2" t="s">
        <v>171</v>
      </c>
      <c r="AO1" s="2" t="s">
        <v>11</v>
      </c>
      <c r="AP1" s="2" t="s">
        <v>12</v>
      </c>
      <c r="AQ1" s="2"/>
      <c r="AR1" s="2"/>
      <c r="AS1" s="2" t="s">
        <v>13</v>
      </c>
      <c r="AT1" s="2"/>
      <c r="AU1" s="2"/>
      <c r="AV1" s="2" t="s">
        <v>355</v>
      </c>
    </row>
    <row r="2" spans="1:48" x14ac:dyDescent="0.35">
      <c r="A2" s="2"/>
      <c r="B2" s="2"/>
      <c r="C2" s="2"/>
      <c r="D2" s="2"/>
      <c r="E2" s="2"/>
      <c r="F2" s="2"/>
      <c r="G2" s="2" t="s">
        <v>14</v>
      </c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43">
        <v>31</v>
      </c>
      <c r="AM2" s="2" t="s">
        <v>250</v>
      </c>
      <c r="AN2" s="2" t="s">
        <v>171</v>
      </c>
      <c r="AO2" s="2"/>
      <c r="AP2" s="2" t="s">
        <v>26</v>
      </c>
      <c r="AQ2" s="2" t="s">
        <v>27</v>
      </c>
      <c r="AR2" s="2" t="s">
        <v>28</v>
      </c>
      <c r="AS2" s="2" t="s">
        <v>26</v>
      </c>
      <c r="AT2" s="2" t="s">
        <v>27</v>
      </c>
      <c r="AU2" s="2" t="s">
        <v>28</v>
      </c>
      <c r="AV2" s="43" t="s">
        <v>303</v>
      </c>
    </row>
    <row r="3" spans="1:48" x14ac:dyDescent="0.35">
      <c r="A3" t="s">
        <v>43</v>
      </c>
      <c r="B3" t="s">
        <v>44</v>
      </c>
      <c r="C3" t="s">
        <v>45</v>
      </c>
      <c r="D3" t="s">
        <v>44</v>
      </c>
      <c r="E3" t="s">
        <v>29</v>
      </c>
      <c r="F3" t="s">
        <v>33</v>
      </c>
      <c r="G3" t="s">
        <v>34</v>
      </c>
      <c r="H3" s="1">
        <f>VLOOKUP(C3,'BASE PAN - CAPEX'!$C$3:$R$37,16,FALSE)+'BASE PAN - CAPEX'!BC3</f>
        <v>15480000</v>
      </c>
      <c r="I3" s="1">
        <f>IF('BASE PAN - CAPEX'!$S3=2024,'BASE PAN - CAPEX'!$AD3,IF('BASE PAN - CAPEX'!$AE3=2024,'BASE PAN - CAPEX'!$AP3,IF('BASE PAN - CAPEX'!$AQ3=2024,'BASE PAN - CAPEX'!$BB3,0)))</f>
        <v>0</v>
      </c>
      <c r="J3" s="1">
        <f>IF('BASE PAN - CAPEX'!$S3=2025,'BASE PAN - CAPEX'!$AD3,IF('BASE PAN - CAPEX'!$AE3=2025,'BASE PAN - CAPEX'!$AP3,IF('BASE PAN - CAPEX'!$AQ3=2025,'BASE PAN - CAPEX'!$BB3,0)))</f>
        <v>0</v>
      </c>
      <c r="K3" s="1">
        <f>IF('BASE PAN - CAPEX'!$S3=2026,'BASE PAN - CAPEX'!$AD3,IF('BASE PAN - CAPEX'!$AE3=2026,'BASE PAN - CAPEX'!$AP3,IF('BASE PAN - CAPEX'!$AQ3=2026,'BASE PAN - CAPEX'!$BB3,0)))</f>
        <v>0</v>
      </c>
      <c r="L3" s="1">
        <f>IF('BASE PAN - CAPEX'!$S3=2027,'BASE PAN - CAPEX'!$AD3,IF('BASE PAN - CAPEX'!$AE3=2027,'BASE PAN - CAPEX'!$AP3,IF('BASE PAN - CAPEX'!$AQ3=2027,'BASE PAN - CAPEX'!$BB3,0)))+VLOOKUP(C3,'BASE PAN - CAPEX - 1º ANO'!$C$3:$BE$35,55,FALSE)</f>
        <v>0</v>
      </c>
      <c r="M3" s="1">
        <f>IF('BASE PAN - CAPEX'!$S3=2028,'BASE PAN - CAPEX'!$AD3,IF('BASE PAN - CAPEX'!$AE3=2028,'BASE PAN - CAPEX'!$AP3,IF('BASE PAN - CAPEX'!$AQ3=2028,'BASE PAN - CAPEX'!$BB3,0)))</f>
        <v>0</v>
      </c>
      <c r="N3" s="1">
        <f>IF('BASE PAN - CAPEX'!$S3=2029,'BASE PAN - CAPEX'!$AD3,IF('BASE PAN - CAPEX'!$AE3=2029,'BASE PAN - CAPEX'!$AP3,IF('BASE PAN - CAPEX'!$AQ3=2029,'BASE PAN - CAPEX'!$BB3,0)))</f>
        <v>0</v>
      </c>
      <c r="O3" s="1">
        <f>IF('BASE PAN - CAPEX'!$S3=2030,'BASE PAN - CAPEX'!$AD3,IF('BASE PAN - CAPEX'!$AE3=2030,'BASE PAN - CAPEX'!$AP3,IF('BASE PAN - CAPEX'!$AQ3=2030,'BASE PAN - CAPEX'!$BB3,0)))</f>
        <v>0</v>
      </c>
      <c r="P3" s="1">
        <f>IF('BASE PAN - CAPEX'!$S3=2031,'BASE PAN - CAPEX'!$AD3,IF('BASE PAN - CAPEX'!$AE3=2031,'BASE PAN - CAPEX'!$AP3,IF('BASE PAN - CAPEX'!$AQ3=2031,'BASE PAN - CAPEX'!$BB3,0)))</f>
        <v>0</v>
      </c>
      <c r="Q3" s="1">
        <f>IF('BASE PAN - CAPEX'!$S3=2032,'BASE PAN - CAPEX'!$AD3,IF('BASE PAN - CAPEX'!$AE3=2032,'BASE PAN - CAPEX'!$AP3,IF('BASE PAN - CAPEX'!$AQ3=2032,'BASE PAN - CAPEX'!$BB3,0)))+VLOOKUP(C3,'BASE PAN - CAPEX - 1º ANO'!$C$3:$BF$35,56,FALSE)</f>
        <v>0</v>
      </c>
      <c r="R3" s="1">
        <f>IF('BASE PAN - CAPEX'!$S3=2033,'BASE PAN - CAPEX'!$AD3,IF('BASE PAN - CAPEX'!$AE3=2033,'BASE PAN - CAPEX'!$AP3,IF('BASE PAN - CAPEX'!$AQ3=2033,'BASE PAN - CAPEX'!$BB3,0)))</f>
        <v>0</v>
      </c>
      <c r="S3" s="1">
        <f>IF('BASE PAN - CAPEX'!$S3=2034,'BASE PAN - CAPEX'!$AD3,IF('BASE PAN - CAPEX'!$AE3=2034,'BASE PAN - CAPEX'!$AP3,IF('BASE PAN - CAPEX'!$AQ3=2034,'BASE PAN - CAPEX'!$BB3,0)))</f>
        <v>0</v>
      </c>
      <c r="T3" s="1">
        <f>IF('BASE PAN - CAPEX'!$S3=2035,'BASE PAN - CAPEX'!$AD3,IF('BASE PAN - CAPEX'!$AE3=2035,'BASE PAN - CAPEX'!$AP3,IF('BASE PAN - CAPEX'!$AQ3=2035,'BASE PAN - CAPEX'!$BB3,0)))</f>
        <v>0</v>
      </c>
      <c r="U3" s="1">
        <f>IF('BASE PAN - CAPEX'!$S3=2036,'BASE PAN - CAPEX'!$AD3,IF('BASE PAN - CAPEX'!$AE3=2036,'BASE PAN - CAPEX'!$AP3,IF('BASE PAN - CAPEX'!$AQ3=2036,'BASE PAN - CAPEX'!$BB3,0)))</f>
        <v>0</v>
      </c>
      <c r="V3" s="1">
        <f>IF('BASE PAN - CAPEX'!$S3=2037,'BASE PAN - CAPEX'!$AD3,IF('BASE PAN - CAPEX'!$AE3=2037,'BASE PAN - CAPEX'!$AP3,IF('BASE PAN - CAPEX'!$AQ3=2037,'BASE PAN - CAPEX'!$BB3,0)))+VLOOKUP(C3,'BASE PAN - CAPEX - 1º ANO'!$C$3:$BG$35,57,FALSE)</f>
        <v>0</v>
      </c>
      <c r="W3" s="1">
        <f>IF('BASE PAN - CAPEX'!$S3=2038,'BASE PAN - CAPEX'!$AD3,IF('BASE PAN - CAPEX'!$AE3=2038,'BASE PAN - CAPEX'!$AP3,IF('BASE PAN - CAPEX'!$AQ3=2038,'BASE PAN - CAPEX'!$BB3,0)))</f>
        <v>0</v>
      </c>
      <c r="X3" s="1">
        <f>IF('BASE PAN - CAPEX'!$S3=2039,'BASE PAN - CAPEX'!$AD3,IF('BASE PAN - CAPEX'!$AE3=2039,'BASE PAN - CAPEX'!$AP3,IF('BASE PAN - CAPEX'!$AQ3=2039,'BASE PAN - CAPEX'!$BB3,0)))</f>
        <v>0</v>
      </c>
      <c r="Y3" s="1">
        <f>IF('BASE PAN - CAPEX'!$S3=2040,'BASE PAN - CAPEX'!$AD3,IF('BASE PAN - CAPEX'!$AE3=2040,'BASE PAN - CAPEX'!$AP3,IF('BASE PAN - CAPEX'!$AQ3=2040,'BASE PAN - CAPEX'!$BB3,0)))</f>
        <v>0</v>
      </c>
      <c r="Z3" s="1">
        <f>IF('BASE PAN - CAPEX'!$S3=2041,'BASE PAN - CAPEX'!$AD3,IF('BASE PAN - CAPEX'!$AE3=2041,'BASE PAN - CAPEX'!$AP3,IF('BASE PAN - CAPEX'!$AQ3=2041,'BASE PAN - CAPEX'!$BB3,0)))</f>
        <v>0</v>
      </c>
      <c r="AA3" s="1">
        <f>IF('BASE PAN - CAPEX'!$S3=2042,'BASE PAN - CAPEX'!$AD3,IF('BASE PAN - CAPEX'!$AE3=2042,'BASE PAN - CAPEX'!$AP3,IF('BASE PAN - CAPEX'!$AQ3=2042,'BASE PAN - CAPEX'!$BB3,0)))</f>
        <v>0</v>
      </c>
      <c r="AB3" s="1">
        <f>IF('BASE PAN - CAPEX'!$S3=2043,'BASE PAN - CAPEX'!$AD3,IF('BASE PAN - CAPEX'!$AE3=2043,'BASE PAN - CAPEX'!$AP3,IF('BASE PAN - CAPEX'!$AQ3=2043,'BASE PAN - CAPEX'!$BB3,0)))</f>
        <v>0</v>
      </c>
      <c r="AC3" s="1">
        <f>IF('BASE PAN - CAPEX'!$S3=2044,'BASE PAN - CAPEX'!$AD3,IF('BASE PAN - CAPEX'!$AE3=2044,'BASE PAN - CAPEX'!$AP3,IF('BASE PAN - CAPEX'!$AQ3=2044,'BASE PAN - CAPEX'!$BB3,0)))</f>
        <v>0</v>
      </c>
      <c r="AD3" s="1">
        <f>IF('BASE PAN - CAPEX'!$S3=2045,'BASE PAN - CAPEX'!$AD3,IF('BASE PAN - CAPEX'!$AE3=2045,'BASE PAN - CAPEX'!$AP3,IF('BASE PAN - CAPEX'!$AQ3=2045,'BASE PAN - CAPEX'!$BB3,0)))</f>
        <v>64120000</v>
      </c>
      <c r="AE3" s="1">
        <f>IF('BASE PAN - CAPEX'!$S3=2046,'BASE PAN - CAPEX'!$AD3,IF('BASE PAN - CAPEX'!$AE3=2046,'BASE PAN - CAPEX'!$AP3,IF('BASE PAN - CAPEX'!$AQ3=2046,'BASE PAN - CAPEX'!$BB3,0)))</f>
        <v>0</v>
      </c>
      <c r="AF3" s="1">
        <f>IF('BASE PAN - CAPEX'!$S3=2047,'BASE PAN - CAPEX'!$AD3,IF('BASE PAN - CAPEX'!$AE3=2047,'BASE PAN - CAPEX'!$AP3,IF('BASE PAN - CAPEX'!$AQ3=2047,'BASE PAN - CAPEX'!$BB3,0)))</f>
        <v>0</v>
      </c>
      <c r="AG3" s="1">
        <f>IF('BASE PAN - CAPEX'!$S3=2048,'BASE PAN - CAPEX'!$AD3,IF('BASE PAN - CAPEX'!$AE3=2048,'BASE PAN - CAPEX'!$AP3,IF('BASE PAN - CAPEX'!$AQ3=2048,'BASE PAN - CAPEX'!$BB3,0)))</f>
        <v>0</v>
      </c>
      <c r="AH3" s="1">
        <f>IF('BASE PAN - CAPEX'!$S3=2049,'BASE PAN - CAPEX'!$AD3,IF('BASE PAN - CAPEX'!$AE3=2049,'BASE PAN - CAPEX'!$AP3,IF('BASE PAN - CAPEX'!$AQ3=2049,'BASE PAN - CAPEX'!$BB3,0)))</f>
        <v>0</v>
      </c>
      <c r="AI3" s="1">
        <f>IF('BASE PAN - CAPEX'!$S3=2050,'BASE PAN - CAPEX'!$AD3,IF('BASE PAN - CAPEX'!$AE3=2050,'BASE PAN - CAPEX'!$AP3,IF('BASE PAN - CAPEX'!$AQ3=2050,'BASE PAN - CAPEX'!$BB3,0)))</f>
        <v>0</v>
      </c>
      <c r="AJ3" s="1">
        <f>IF('BASE PAN - CAPEX'!$S3=2051,'BASE PAN - CAPEX'!$AD3,IF('BASE PAN - CAPEX'!$AE3=2051,'BASE PAN - CAPEX'!$AP3,IF('BASE PAN - CAPEX'!$AQ3=2051,'BASE PAN - CAPEX'!$BB3,0)))</f>
        <v>0</v>
      </c>
      <c r="AK3" s="1">
        <f>IF('BASE PAN - CAPEX'!$S3=2052,'BASE PAN - CAPEX'!$AD3,IF('BASE PAN - CAPEX'!$AE3=2052,'BASE PAN - CAPEX'!$AP3,IF('BASE PAN - CAPEX'!$AQ3=2052,'BASE PAN - CAPEX'!$BB3,0)))</f>
        <v>0</v>
      </c>
      <c r="AL3" s="1">
        <f>IF('BASE PAN - CAPEX'!$S3=2053,'BASE PAN - CAPEX'!$AD3,IF('BASE PAN - CAPEX'!$AE3=2053,'BASE PAN - CAPEX'!$AP3,IF('BASE PAN - CAPEX'!$AQ3=2053,'BASE PAN - CAPEX'!$BB3,0)))</f>
        <v>0</v>
      </c>
      <c r="AM3" s="1">
        <f t="shared" ref="AM3:AM51" si="0">SUM(H3:AL3)</f>
        <v>79600000</v>
      </c>
      <c r="AN3" s="3" t="s">
        <v>171</v>
      </c>
      <c r="AO3" s="3">
        <v>1</v>
      </c>
      <c r="AP3" s="3" t="s">
        <v>171</v>
      </c>
      <c r="AQ3" s="3">
        <v>2045</v>
      </c>
      <c r="AR3" s="3">
        <v>2025</v>
      </c>
      <c r="AS3" s="3" t="s">
        <v>171</v>
      </c>
      <c r="AT3" s="3">
        <v>3</v>
      </c>
      <c r="AU3" s="3">
        <v>2</v>
      </c>
      <c r="AV3" t="str">
        <f>VLOOKUP(C3,'FLUXO DE CAIXA DESC.-BLOCOS PAN'!$D$3:$AO$52,38,FALSE)</f>
        <v>PA - 1 - AL</v>
      </c>
    </row>
    <row r="4" spans="1:48" x14ac:dyDescent="0.35">
      <c r="A4" t="s">
        <v>46</v>
      </c>
      <c r="B4" t="s">
        <v>47</v>
      </c>
      <c r="C4" t="s">
        <v>48</v>
      </c>
      <c r="D4" t="s">
        <v>49</v>
      </c>
      <c r="E4" t="s">
        <v>40</v>
      </c>
      <c r="F4" t="s">
        <v>33</v>
      </c>
      <c r="G4" t="s">
        <v>34</v>
      </c>
      <c r="H4" s="1">
        <f>VLOOKUP(C4,'BASE PAN - CAPEX'!$C$3:$R$37,16,FALSE)+'BASE PAN - CAPEX'!BC4</f>
        <v>7980000</v>
      </c>
      <c r="I4" s="1">
        <f>IF('BASE PAN - CAPEX'!$S4=2024,'BASE PAN - CAPEX'!$AD4,IF('BASE PAN - CAPEX'!$AE4=2024,'BASE PAN - CAPEX'!$AP4,IF('BASE PAN - CAPEX'!$AQ4=2024,'BASE PAN - CAPEX'!$BB4,0)))</f>
        <v>0</v>
      </c>
      <c r="J4" s="1">
        <f>IF('BASE PAN - CAPEX'!$S4=2025,'BASE PAN - CAPEX'!$AD4,IF('BASE PAN - CAPEX'!$AE4=2025,'BASE PAN - CAPEX'!$AP4,IF('BASE PAN - CAPEX'!$AQ4=2025,'BASE PAN - CAPEX'!$BB4,0)))</f>
        <v>0</v>
      </c>
      <c r="K4" s="1">
        <f>IF('BASE PAN - CAPEX'!$S4=2026,'BASE PAN - CAPEX'!$AD4,IF('BASE PAN - CAPEX'!$AE4=2026,'BASE PAN - CAPEX'!$AP4,IF('BASE PAN - CAPEX'!$AQ4=2026,'BASE PAN - CAPEX'!$BB4,0)))</f>
        <v>0</v>
      </c>
      <c r="L4" s="1">
        <f>IF('BASE PAN - CAPEX'!$S4=2027,'BASE PAN - CAPEX'!$AD4,IF('BASE PAN - CAPEX'!$AE4=2027,'BASE PAN - CAPEX'!$AP4,IF('BASE PAN - CAPEX'!$AQ4=2027,'BASE PAN - CAPEX'!$BB4,0)))+VLOOKUP(C4,'BASE PAN - CAPEX - 1º ANO'!$C$3:$BE$35,55,FALSE)</f>
        <v>375000</v>
      </c>
      <c r="M4" s="1">
        <f>IF('BASE PAN - CAPEX'!$S4=2028,'BASE PAN - CAPEX'!$AD4,IF('BASE PAN - CAPEX'!$AE4=2028,'BASE PAN - CAPEX'!$AP4,IF('BASE PAN - CAPEX'!$AQ4=2028,'BASE PAN - CAPEX'!$BB4,0)))</f>
        <v>0</v>
      </c>
      <c r="N4" s="1">
        <f>IF('BASE PAN - CAPEX'!$S4=2029,'BASE PAN - CAPEX'!$AD4,IF('BASE PAN - CAPEX'!$AE4=2029,'BASE PAN - CAPEX'!$AP4,IF('BASE PAN - CAPEX'!$AQ4=2029,'BASE PAN - CAPEX'!$BB4,0)))</f>
        <v>0</v>
      </c>
      <c r="O4" s="1">
        <f>IF('BASE PAN - CAPEX'!$S4=2030,'BASE PAN - CAPEX'!$AD4,IF('BASE PAN - CAPEX'!$AE4=2030,'BASE PAN - CAPEX'!$AP4,IF('BASE PAN - CAPEX'!$AQ4=2030,'BASE PAN - CAPEX'!$BB4,0)))</f>
        <v>0</v>
      </c>
      <c r="P4" s="1">
        <f>IF('BASE PAN - CAPEX'!$S4=2031,'BASE PAN - CAPEX'!$AD4,IF('BASE PAN - CAPEX'!$AE4=2031,'BASE PAN - CAPEX'!$AP4,IF('BASE PAN - CAPEX'!$AQ4=2031,'BASE PAN - CAPEX'!$BB4,0)))</f>
        <v>0</v>
      </c>
      <c r="Q4" s="1">
        <f>IF('BASE PAN - CAPEX'!$S4=2032,'BASE PAN - CAPEX'!$AD4,IF('BASE PAN - CAPEX'!$AE4=2032,'BASE PAN - CAPEX'!$AP4,IF('BASE PAN - CAPEX'!$AQ4=2032,'BASE PAN - CAPEX'!$BB4,0)))+VLOOKUP(C4,'BASE PAN - CAPEX - 1º ANO'!$C$3:$BF$35,56,FALSE)</f>
        <v>0</v>
      </c>
      <c r="R4" s="1">
        <f>IF('BASE PAN - CAPEX'!$S4=2033,'BASE PAN - CAPEX'!$AD4,IF('BASE PAN - CAPEX'!$AE4=2033,'BASE PAN - CAPEX'!$AP4,IF('BASE PAN - CAPEX'!$AQ4=2033,'BASE PAN - CAPEX'!$BB4,0)))</f>
        <v>0</v>
      </c>
      <c r="S4" s="1">
        <f>IF('BASE PAN - CAPEX'!$S4=2034,'BASE PAN - CAPEX'!$AD4,IF('BASE PAN - CAPEX'!$AE4=2034,'BASE PAN - CAPEX'!$AP4,IF('BASE PAN - CAPEX'!$AQ4=2034,'BASE PAN - CAPEX'!$BB4,0)))</f>
        <v>0</v>
      </c>
      <c r="T4" s="1">
        <f>IF('BASE PAN - CAPEX'!$S4=2035,'BASE PAN - CAPEX'!$AD4,IF('BASE PAN - CAPEX'!$AE4=2035,'BASE PAN - CAPEX'!$AP4,IF('BASE PAN - CAPEX'!$AQ4=2035,'BASE PAN - CAPEX'!$BB4,0)))</f>
        <v>0</v>
      </c>
      <c r="U4" s="1">
        <f>IF('BASE PAN - CAPEX'!$S4=2036,'BASE PAN - CAPEX'!$AD4,IF('BASE PAN - CAPEX'!$AE4=2036,'BASE PAN - CAPEX'!$AP4,IF('BASE PAN - CAPEX'!$AQ4=2036,'BASE PAN - CAPEX'!$BB4,0)))</f>
        <v>0</v>
      </c>
      <c r="V4" s="1">
        <f>IF('BASE PAN - CAPEX'!$S4=2037,'BASE PAN - CAPEX'!$AD4,IF('BASE PAN - CAPEX'!$AE4=2037,'BASE PAN - CAPEX'!$AP4,IF('BASE PAN - CAPEX'!$AQ4=2037,'BASE PAN - CAPEX'!$BB4,0)))+VLOOKUP(C4,'BASE PAN - CAPEX - 1º ANO'!$C$3:$BG$35,57,FALSE)</f>
        <v>0</v>
      </c>
      <c r="W4" s="1">
        <f>IF('BASE PAN - CAPEX'!$S4=2038,'BASE PAN - CAPEX'!$AD4,IF('BASE PAN - CAPEX'!$AE4=2038,'BASE PAN - CAPEX'!$AP4,IF('BASE PAN - CAPEX'!$AQ4=2038,'BASE PAN - CAPEX'!$BB4,0)))</f>
        <v>0</v>
      </c>
      <c r="X4" s="1">
        <f>IF('BASE PAN - CAPEX'!$S4=2039,'BASE PAN - CAPEX'!$AD4,IF('BASE PAN - CAPEX'!$AE4=2039,'BASE PAN - CAPEX'!$AP4,IF('BASE PAN - CAPEX'!$AQ4=2039,'BASE PAN - CAPEX'!$BB4,0)))</f>
        <v>47830000</v>
      </c>
      <c r="Y4" s="1">
        <f>IF('BASE PAN - CAPEX'!$S4=2040,'BASE PAN - CAPEX'!$AD4,IF('BASE PAN - CAPEX'!$AE4=2040,'BASE PAN - CAPEX'!$AP4,IF('BASE PAN - CAPEX'!$AQ4=2040,'BASE PAN - CAPEX'!$BB4,0)))</f>
        <v>0</v>
      </c>
      <c r="Z4" s="1">
        <f>IF('BASE PAN - CAPEX'!$S4=2041,'BASE PAN - CAPEX'!$AD4,IF('BASE PAN - CAPEX'!$AE4=2041,'BASE PAN - CAPEX'!$AP4,IF('BASE PAN - CAPEX'!$AQ4=2041,'BASE PAN - CAPEX'!$BB4,0)))</f>
        <v>0</v>
      </c>
      <c r="AA4" s="1">
        <f>IF('BASE PAN - CAPEX'!$S4=2042,'BASE PAN - CAPEX'!$AD4,IF('BASE PAN - CAPEX'!$AE4=2042,'BASE PAN - CAPEX'!$AP4,IF('BASE PAN - CAPEX'!$AQ4=2042,'BASE PAN - CAPEX'!$BB4,0)))</f>
        <v>0</v>
      </c>
      <c r="AB4" s="1">
        <f>IF('BASE PAN - CAPEX'!$S4=2043,'BASE PAN - CAPEX'!$AD4,IF('BASE PAN - CAPEX'!$AE4=2043,'BASE PAN - CAPEX'!$AP4,IF('BASE PAN - CAPEX'!$AQ4=2043,'BASE PAN - CAPEX'!$BB4,0)))</f>
        <v>0</v>
      </c>
      <c r="AC4" s="1">
        <f>IF('BASE PAN - CAPEX'!$S4=2044,'BASE PAN - CAPEX'!$AD4,IF('BASE PAN - CAPEX'!$AE4=2044,'BASE PAN - CAPEX'!$AP4,IF('BASE PAN - CAPEX'!$AQ4=2044,'BASE PAN - CAPEX'!$BB4,0)))</f>
        <v>0</v>
      </c>
      <c r="AD4" s="1">
        <f>IF('BASE PAN - CAPEX'!$S4=2045,'BASE PAN - CAPEX'!$AD4,IF('BASE PAN - CAPEX'!$AE4=2045,'BASE PAN - CAPEX'!$AP4,IF('BASE PAN - CAPEX'!$AQ4=2045,'BASE PAN - CAPEX'!$BB4,0)))</f>
        <v>0</v>
      </c>
      <c r="AE4" s="1">
        <f>IF('BASE PAN - CAPEX'!$S4=2046,'BASE PAN - CAPEX'!$AD4,IF('BASE PAN - CAPEX'!$AE4=2046,'BASE PAN - CAPEX'!$AP4,IF('BASE PAN - CAPEX'!$AQ4=2046,'BASE PAN - CAPEX'!$BB4,0)))</f>
        <v>0</v>
      </c>
      <c r="AF4" s="1">
        <f>IF('BASE PAN - CAPEX'!$S4=2047,'BASE PAN - CAPEX'!$AD4,IF('BASE PAN - CAPEX'!$AE4=2047,'BASE PAN - CAPEX'!$AP4,IF('BASE PAN - CAPEX'!$AQ4=2047,'BASE PAN - CAPEX'!$BB4,0)))</f>
        <v>0</v>
      </c>
      <c r="AG4" s="1">
        <f>IF('BASE PAN - CAPEX'!$S4=2048,'BASE PAN - CAPEX'!$AD4,IF('BASE PAN - CAPEX'!$AE4=2048,'BASE PAN - CAPEX'!$AP4,IF('BASE PAN - CAPEX'!$AQ4=2048,'BASE PAN - CAPEX'!$BB4,0)))</f>
        <v>0</v>
      </c>
      <c r="AH4" s="1">
        <f>IF('BASE PAN - CAPEX'!$S4=2049,'BASE PAN - CAPEX'!$AD4,IF('BASE PAN - CAPEX'!$AE4=2049,'BASE PAN - CAPEX'!$AP4,IF('BASE PAN - CAPEX'!$AQ4=2049,'BASE PAN - CAPEX'!$BB4,0)))</f>
        <v>0</v>
      </c>
      <c r="AI4" s="1">
        <f>IF('BASE PAN - CAPEX'!$S4=2050,'BASE PAN - CAPEX'!$AD4,IF('BASE PAN - CAPEX'!$AE4=2050,'BASE PAN - CAPEX'!$AP4,IF('BASE PAN - CAPEX'!$AQ4=2050,'BASE PAN - CAPEX'!$BB4,0)))</f>
        <v>0</v>
      </c>
      <c r="AJ4" s="1">
        <f>IF('BASE PAN - CAPEX'!$S4=2051,'BASE PAN - CAPEX'!$AD4,IF('BASE PAN - CAPEX'!$AE4=2051,'BASE PAN - CAPEX'!$AP4,IF('BASE PAN - CAPEX'!$AQ4=2051,'BASE PAN - CAPEX'!$BB4,0)))</f>
        <v>0</v>
      </c>
      <c r="AK4" s="1">
        <f>IF('BASE PAN - CAPEX'!$S4=2052,'BASE PAN - CAPEX'!$AD4,IF('BASE PAN - CAPEX'!$AE4=2052,'BASE PAN - CAPEX'!$AP4,IF('BASE PAN - CAPEX'!$AQ4=2052,'BASE PAN - CAPEX'!$BB4,0)))</f>
        <v>0</v>
      </c>
      <c r="AL4" s="1">
        <f>IF('BASE PAN - CAPEX'!$S4=2053,'BASE PAN - CAPEX'!$AD4,IF('BASE PAN - CAPEX'!$AE4=2053,'BASE PAN - CAPEX'!$AP4,IF('BASE PAN - CAPEX'!$AQ4=2053,'BASE PAN - CAPEX'!$BB4,0)))</f>
        <v>0</v>
      </c>
      <c r="AM4" s="1">
        <f t="shared" si="0"/>
        <v>56185000</v>
      </c>
      <c r="AN4" s="3" t="s">
        <v>171</v>
      </c>
      <c r="AO4" s="3">
        <v>1</v>
      </c>
      <c r="AP4" s="3" t="s">
        <v>171</v>
      </c>
      <c r="AQ4" s="3">
        <v>2039</v>
      </c>
      <c r="AR4" s="3">
        <v>2025</v>
      </c>
      <c r="AS4" s="3" t="s">
        <v>171</v>
      </c>
      <c r="AT4" s="3">
        <v>3</v>
      </c>
      <c r="AU4" s="3">
        <v>2</v>
      </c>
      <c r="AV4" t="str">
        <f>VLOOKUP(C4,'FLUXO DE CAIXA DESC.-BLOCOS PAN'!$D$3:$AO$52,38,FALSE)</f>
        <v>Bloco Nordeste</v>
      </c>
    </row>
    <row r="5" spans="1:48" x14ac:dyDescent="0.35">
      <c r="A5" t="s">
        <v>50</v>
      </c>
      <c r="B5" t="s">
        <v>51</v>
      </c>
      <c r="C5" t="s">
        <v>52</v>
      </c>
      <c r="D5" t="s">
        <v>51</v>
      </c>
      <c r="E5" t="s">
        <v>35</v>
      </c>
      <c r="F5" t="s">
        <v>33</v>
      </c>
      <c r="G5" t="s">
        <v>34</v>
      </c>
      <c r="H5" s="1">
        <f>VLOOKUP(C5,'BASE PAN - CAPEX'!$C$3:$R$37,16,FALSE)+'BASE PAN - CAPEX'!BC5</f>
        <v>5735000</v>
      </c>
      <c r="I5" s="1">
        <f>IF('BASE PAN - CAPEX'!$S5=2024,'BASE PAN - CAPEX'!$AD5,IF('BASE PAN - CAPEX'!$AE5=2024,'BASE PAN - CAPEX'!$AP5,IF('BASE PAN - CAPEX'!$AQ5=2024,'BASE PAN - CAPEX'!$BB5,0)))</f>
        <v>0</v>
      </c>
      <c r="J5" s="1">
        <f>IF('BASE PAN - CAPEX'!$S5=2025,'BASE PAN - CAPEX'!$AD5,IF('BASE PAN - CAPEX'!$AE5=2025,'BASE PAN - CAPEX'!$AP5,IF('BASE PAN - CAPEX'!$AQ5=2025,'BASE PAN - CAPEX'!$BB5,0)))</f>
        <v>0</v>
      </c>
      <c r="K5" s="1">
        <f>IF('BASE PAN - CAPEX'!$S5=2026,'BASE PAN - CAPEX'!$AD5,IF('BASE PAN - CAPEX'!$AE5=2026,'BASE PAN - CAPEX'!$AP5,IF('BASE PAN - CAPEX'!$AQ5=2026,'BASE PAN - CAPEX'!$BB5,0)))</f>
        <v>32155000</v>
      </c>
      <c r="L5" s="1">
        <f>IF('BASE PAN - CAPEX'!$S5=2027,'BASE PAN - CAPEX'!$AD5,IF('BASE PAN - CAPEX'!$AE5=2027,'BASE PAN - CAPEX'!$AP5,IF('BASE PAN - CAPEX'!$AQ5=2027,'BASE PAN - CAPEX'!$BB5,0)))+VLOOKUP(C5,'BASE PAN - CAPEX - 1º ANO'!$C$3:$BE$35,55,FALSE)</f>
        <v>0</v>
      </c>
      <c r="M5" s="1">
        <f>IF('BASE PAN - CAPEX'!$S5=2028,'BASE PAN - CAPEX'!$AD5,IF('BASE PAN - CAPEX'!$AE5=2028,'BASE PAN - CAPEX'!$AP5,IF('BASE PAN - CAPEX'!$AQ5=2028,'BASE PAN - CAPEX'!$BB5,0)))</f>
        <v>0</v>
      </c>
      <c r="N5" s="1">
        <f>IF('BASE PAN - CAPEX'!$S5=2029,'BASE PAN - CAPEX'!$AD5,IF('BASE PAN - CAPEX'!$AE5=2029,'BASE PAN - CAPEX'!$AP5,IF('BASE PAN - CAPEX'!$AQ5=2029,'BASE PAN - CAPEX'!$BB5,0)))</f>
        <v>0</v>
      </c>
      <c r="O5" s="1">
        <f>IF('BASE PAN - CAPEX'!$S5=2030,'BASE PAN - CAPEX'!$AD5,IF('BASE PAN - CAPEX'!$AE5=2030,'BASE PAN - CAPEX'!$AP5,IF('BASE PAN - CAPEX'!$AQ5=2030,'BASE PAN - CAPEX'!$BB5,0)))</f>
        <v>0</v>
      </c>
      <c r="P5" s="1">
        <f>IF('BASE PAN - CAPEX'!$S5=2031,'BASE PAN - CAPEX'!$AD5,IF('BASE PAN - CAPEX'!$AE5=2031,'BASE PAN - CAPEX'!$AP5,IF('BASE PAN - CAPEX'!$AQ5=2031,'BASE PAN - CAPEX'!$BB5,0)))</f>
        <v>0</v>
      </c>
      <c r="Q5" s="1">
        <f>IF('BASE PAN - CAPEX'!$S5=2032,'BASE PAN - CAPEX'!$AD5,IF('BASE PAN - CAPEX'!$AE5=2032,'BASE PAN - CAPEX'!$AP5,IF('BASE PAN - CAPEX'!$AQ5=2032,'BASE PAN - CAPEX'!$BB5,0)))+VLOOKUP(C5,'BASE PAN - CAPEX - 1º ANO'!$C$3:$BF$35,56,FALSE)</f>
        <v>0</v>
      </c>
      <c r="R5" s="1">
        <f>IF('BASE PAN - CAPEX'!$S5=2033,'BASE PAN - CAPEX'!$AD5,IF('BASE PAN - CAPEX'!$AE5=2033,'BASE PAN - CAPEX'!$AP5,IF('BASE PAN - CAPEX'!$AQ5=2033,'BASE PAN - CAPEX'!$BB5,0)))</f>
        <v>0</v>
      </c>
      <c r="S5" s="1">
        <f>IF('BASE PAN - CAPEX'!$S5=2034,'BASE PAN - CAPEX'!$AD5,IF('BASE PAN - CAPEX'!$AE5=2034,'BASE PAN - CAPEX'!$AP5,IF('BASE PAN - CAPEX'!$AQ5=2034,'BASE PAN - CAPEX'!$BB5,0)))</f>
        <v>0</v>
      </c>
      <c r="T5" s="1">
        <f>IF('BASE PAN - CAPEX'!$S5=2035,'BASE PAN - CAPEX'!$AD5,IF('BASE PAN - CAPEX'!$AE5=2035,'BASE PAN - CAPEX'!$AP5,IF('BASE PAN - CAPEX'!$AQ5=2035,'BASE PAN - CAPEX'!$BB5,0)))</f>
        <v>0</v>
      </c>
      <c r="U5" s="1">
        <f>IF('BASE PAN - CAPEX'!$S5=2036,'BASE PAN - CAPEX'!$AD5,IF('BASE PAN - CAPEX'!$AE5=2036,'BASE PAN - CAPEX'!$AP5,IF('BASE PAN - CAPEX'!$AQ5=2036,'BASE PAN - CAPEX'!$BB5,0)))</f>
        <v>0</v>
      </c>
      <c r="V5" s="1">
        <f>IF('BASE PAN - CAPEX'!$S5=2037,'BASE PAN - CAPEX'!$AD5,IF('BASE PAN - CAPEX'!$AE5=2037,'BASE PAN - CAPEX'!$AP5,IF('BASE PAN - CAPEX'!$AQ5=2037,'BASE PAN - CAPEX'!$BB5,0)))+VLOOKUP(C5,'BASE PAN - CAPEX - 1º ANO'!$C$3:$BG$35,57,FALSE)</f>
        <v>0</v>
      </c>
      <c r="W5" s="1">
        <f>IF('BASE PAN - CAPEX'!$S5=2038,'BASE PAN - CAPEX'!$AD5,IF('BASE PAN - CAPEX'!$AE5=2038,'BASE PAN - CAPEX'!$AP5,IF('BASE PAN - CAPEX'!$AQ5=2038,'BASE PAN - CAPEX'!$BB5,0)))</f>
        <v>0</v>
      </c>
      <c r="X5" s="1">
        <f>IF('BASE PAN - CAPEX'!$S5=2039,'BASE PAN - CAPEX'!$AD5,IF('BASE PAN - CAPEX'!$AE5=2039,'BASE PAN - CAPEX'!$AP5,IF('BASE PAN - CAPEX'!$AQ5=2039,'BASE PAN - CAPEX'!$BB5,0)))</f>
        <v>0</v>
      </c>
      <c r="Y5" s="1">
        <f>IF('BASE PAN - CAPEX'!$S5=2040,'BASE PAN - CAPEX'!$AD5,IF('BASE PAN - CAPEX'!$AE5=2040,'BASE PAN - CAPEX'!$AP5,IF('BASE PAN - CAPEX'!$AQ5=2040,'BASE PAN - CAPEX'!$BB5,0)))</f>
        <v>0</v>
      </c>
      <c r="Z5" s="1">
        <f>IF('BASE PAN - CAPEX'!$S5=2041,'BASE PAN - CAPEX'!$AD5,IF('BASE PAN - CAPEX'!$AE5=2041,'BASE PAN - CAPEX'!$AP5,IF('BASE PAN - CAPEX'!$AQ5=2041,'BASE PAN - CAPEX'!$BB5,0)))</f>
        <v>0</v>
      </c>
      <c r="AA5" s="1">
        <f>IF('BASE PAN - CAPEX'!$S5=2042,'BASE PAN - CAPEX'!$AD5,IF('BASE PAN - CAPEX'!$AE5=2042,'BASE PAN - CAPEX'!$AP5,IF('BASE PAN - CAPEX'!$AQ5=2042,'BASE PAN - CAPEX'!$BB5,0)))</f>
        <v>0</v>
      </c>
      <c r="AB5" s="1">
        <f>IF('BASE PAN - CAPEX'!$S5=2043,'BASE PAN - CAPEX'!$AD5,IF('BASE PAN - CAPEX'!$AE5=2043,'BASE PAN - CAPEX'!$AP5,IF('BASE PAN - CAPEX'!$AQ5=2043,'BASE PAN - CAPEX'!$BB5,0)))</f>
        <v>0</v>
      </c>
      <c r="AC5" s="1">
        <f>IF('BASE PAN - CAPEX'!$S5=2044,'BASE PAN - CAPEX'!$AD5,IF('BASE PAN - CAPEX'!$AE5=2044,'BASE PAN - CAPEX'!$AP5,IF('BASE PAN - CAPEX'!$AQ5=2044,'BASE PAN - CAPEX'!$BB5,0)))</f>
        <v>0</v>
      </c>
      <c r="AD5" s="1">
        <f>IF('BASE PAN - CAPEX'!$S5=2045,'BASE PAN - CAPEX'!$AD5,IF('BASE PAN - CAPEX'!$AE5=2045,'BASE PAN - CAPEX'!$AP5,IF('BASE PAN - CAPEX'!$AQ5=2045,'BASE PAN - CAPEX'!$BB5,0)))</f>
        <v>0</v>
      </c>
      <c r="AE5" s="1">
        <f>IF('BASE PAN - CAPEX'!$S5=2046,'BASE PAN - CAPEX'!$AD5,IF('BASE PAN - CAPEX'!$AE5=2046,'BASE PAN - CAPEX'!$AP5,IF('BASE PAN - CAPEX'!$AQ5=2046,'BASE PAN - CAPEX'!$BB5,0)))</f>
        <v>0</v>
      </c>
      <c r="AF5" s="1">
        <f>IF('BASE PAN - CAPEX'!$S5=2047,'BASE PAN - CAPEX'!$AD5,IF('BASE PAN - CAPEX'!$AE5=2047,'BASE PAN - CAPEX'!$AP5,IF('BASE PAN - CAPEX'!$AQ5=2047,'BASE PAN - CAPEX'!$BB5,0)))</f>
        <v>0</v>
      </c>
      <c r="AG5" s="1">
        <f>IF('BASE PAN - CAPEX'!$S5=2048,'BASE PAN - CAPEX'!$AD5,IF('BASE PAN - CAPEX'!$AE5=2048,'BASE PAN - CAPEX'!$AP5,IF('BASE PAN - CAPEX'!$AQ5=2048,'BASE PAN - CAPEX'!$BB5,0)))</f>
        <v>0</v>
      </c>
      <c r="AH5" s="1">
        <f>IF('BASE PAN - CAPEX'!$S5=2049,'BASE PAN - CAPEX'!$AD5,IF('BASE PAN - CAPEX'!$AE5=2049,'BASE PAN - CAPEX'!$AP5,IF('BASE PAN - CAPEX'!$AQ5=2049,'BASE PAN - CAPEX'!$BB5,0)))</f>
        <v>0</v>
      </c>
      <c r="AI5" s="1">
        <f>IF('BASE PAN - CAPEX'!$S5=2050,'BASE PAN - CAPEX'!$AD5,IF('BASE PAN - CAPEX'!$AE5=2050,'BASE PAN - CAPEX'!$AP5,IF('BASE PAN - CAPEX'!$AQ5=2050,'BASE PAN - CAPEX'!$BB5,0)))</f>
        <v>0</v>
      </c>
      <c r="AJ5" s="1">
        <f>IF('BASE PAN - CAPEX'!$S5=2051,'BASE PAN - CAPEX'!$AD5,IF('BASE PAN - CAPEX'!$AE5=2051,'BASE PAN - CAPEX'!$AP5,IF('BASE PAN - CAPEX'!$AQ5=2051,'BASE PAN - CAPEX'!$BB5,0)))</f>
        <v>0</v>
      </c>
      <c r="AK5" s="1">
        <f>IF('BASE PAN - CAPEX'!$S5=2052,'BASE PAN - CAPEX'!$AD5,IF('BASE PAN - CAPEX'!$AE5=2052,'BASE PAN - CAPEX'!$AP5,IF('BASE PAN - CAPEX'!$AQ5=2052,'BASE PAN - CAPEX'!$BB5,0)))</f>
        <v>0</v>
      </c>
      <c r="AL5" s="1">
        <f>IF('BASE PAN - CAPEX'!$S5=2053,'BASE PAN - CAPEX'!$AD5,IF('BASE PAN - CAPEX'!$AE5=2053,'BASE PAN - CAPEX'!$AP5,IF('BASE PAN - CAPEX'!$AQ5=2053,'BASE PAN - CAPEX'!$BB5,0)))</f>
        <v>0</v>
      </c>
      <c r="AM5" s="1">
        <f t="shared" si="0"/>
        <v>37890000</v>
      </c>
      <c r="AN5" s="3" t="s">
        <v>171</v>
      </c>
      <c r="AO5" s="3">
        <v>0</v>
      </c>
      <c r="AP5" s="3" t="s">
        <v>171</v>
      </c>
      <c r="AQ5" s="3" t="s">
        <v>171</v>
      </c>
      <c r="AR5" s="3">
        <v>2026</v>
      </c>
      <c r="AS5" s="3" t="s">
        <v>171</v>
      </c>
      <c r="AT5" s="3" t="s">
        <v>171</v>
      </c>
      <c r="AU5" s="3">
        <v>1</v>
      </c>
      <c r="AV5" t="str">
        <f>VLOOKUP(C5,'FLUXO DE CAIXA DESC.-BLOCOS PAN'!$D$3:$AO$52,38,FALSE)</f>
        <v>AM - 2 - AL</v>
      </c>
    </row>
    <row r="6" spans="1:48" x14ac:dyDescent="0.35">
      <c r="A6" t="s">
        <v>54</v>
      </c>
      <c r="B6" t="s">
        <v>55</v>
      </c>
      <c r="C6" t="s">
        <v>56</v>
      </c>
      <c r="D6" t="s">
        <v>55</v>
      </c>
      <c r="E6" t="s">
        <v>30</v>
      </c>
      <c r="F6" t="s">
        <v>33</v>
      </c>
      <c r="G6" t="s">
        <v>34</v>
      </c>
      <c r="H6" s="1">
        <f>VLOOKUP(C6,'BASE PAN - CAPEX'!$C$3:$R$37,16,FALSE)+'BASE PAN - CAPEX'!BC6</f>
        <v>41500000</v>
      </c>
      <c r="I6" s="1">
        <f>IF('BASE PAN - CAPEX'!$S6=2024,'BASE PAN - CAPEX'!$AD6,IF('BASE PAN - CAPEX'!$AE6=2024,'BASE PAN - CAPEX'!$AP6,IF('BASE PAN - CAPEX'!$AQ6=2024,'BASE PAN - CAPEX'!$BB6,0)))</f>
        <v>0</v>
      </c>
      <c r="J6" s="1">
        <f>IF('BASE PAN - CAPEX'!$S6=2025,'BASE PAN - CAPEX'!$AD6,IF('BASE PAN - CAPEX'!$AE6=2025,'BASE PAN - CAPEX'!$AP6,IF('BASE PAN - CAPEX'!$AQ6=2025,'BASE PAN - CAPEX'!$BB6,0)))</f>
        <v>0</v>
      </c>
      <c r="K6" s="1">
        <f>IF('BASE PAN - CAPEX'!$S6=2026,'BASE PAN - CAPEX'!$AD6,IF('BASE PAN - CAPEX'!$AE6=2026,'BASE PAN - CAPEX'!$AP6,IF('BASE PAN - CAPEX'!$AQ6=2026,'BASE PAN - CAPEX'!$BB6,0)))</f>
        <v>0</v>
      </c>
      <c r="L6" s="1">
        <f>IF('BASE PAN - CAPEX'!$S6=2027,'BASE PAN - CAPEX'!$AD6,IF('BASE PAN - CAPEX'!$AE6=2027,'BASE PAN - CAPEX'!$AP6,IF('BASE PAN - CAPEX'!$AQ6=2027,'BASE PAN - CAPEX'!$BB6,0)))+VLOOKUP(C6,'BASE PAN - CAPEX - 1º ANO'!$C$3:$BE$35,55,FALSE)</f>
        <v>290000</v>
      </c>
      <c r="M6" s="1">
        <f>IF('BASE PAN - CAPEX'!$S6=2028,'BASE PAN - CAPEX'!$AD6,IF('BASE PAN - CAPEX'!$AE6=2028,'BASE PAN - CAPEX'!$AP6,IF('BASE PAN - CAPEX'!$AQ6=2028,'BASE PAN - CAPEX'!$BB6,0)))</f>
        <v>0</v>
      </c>
      <c r="N6" s="1">
        <f>IF('BASE PAN - CAPEX'!$S6=2029,'BASE PAN - CAPEX'!$AD6,IF('BASE PAN - CAPEX'!$AE6=2029,'BASE PAN - CAPEX'!$AP6,IF('BASE PAN - CAPEX'!$AQ6=2029,'BASE PAN - CAPEX'!$BB6,0)))</f>
        <v>0</v>
      </c>
      <c r="O6" s="1">
        <f>IF('BASE PAN - CAPEX'!$S6=2030,'BASE PAN - CAPEX'!$AD6,IF('BASE PAN - CAPEX'!$AE6=2030,'BASE PAN - CAPEX'!$AP6,IF('BASE PAN - CAPEX'!$AQ6=2030,'BASE PAN - CAPEX'!$BB6,0)))</f>
        <v>0</v>
      </c>
      <c r="P6" s="1">
        <f>IF('BASE PAN - CAPEX'!$S6=2031,'BASE PAN - CAPEX'!$AD6,IF('BASE PAN - CAPEX'!$AE6=2031,'BASE PAN - CAPEX'!$AP6,IF('BASE PAN - CAPEX'!$AQ6=2031,'BASE PAN - CAPEX'!$BB6,0)))</f>
        <v>0</v>
      </c>
      <c r="Q6" s="1">
        <f>IF('BASE PAN - CAPEX'!$S6=2032,'BASE PAN - CAPEX'!$AD6,IF('BASE PAN - CAPEX'!$AE6=2032,'BASE PAN - CAPEX'!$AP6,IF('BASE PAN - CAPEX'!$AQ6=2032,'BASE PAN - CAPEX'!$BB6,0)))+VLOOKUP(C6,'BASE PAN - CAPEX - 1º ANO'!$C$3:$BF$35,56,FALSE)</f>
        <v>0</v>
      </c>
      <c r="R6" s="1">
        <f>IF('BASE PAN - CAPEX'!$S6=2033,'BASE PAN - CAPEX'!$AD6,IF('BASE PAN - CAPEX'!$AE6=2033,'BASE PAN - CAPEX'!$AP6,IF('BASE PAN - CAPEX'!$AQ6=2033,'BASE PAN - CAPEX'!$BB6,0)))</f>
        <v>0</v>
      </c>
      <c r="S6" s="1">
        <f>IF('BASE PAN - CAPEX'!$S6=2034,'BASE PAN - CAPEX'!$AD6,IF('BASE PAN - CAPEX'!$AE6=2034,'BASE PAN - CAPEX'!$AP6,IF('BASE PAN - CAPEX'!$AQ6=2034,'BASE PAN - CAPEX'!$BB6,0)))</f>
        <v>0</v>
      </c>
      <c r="T6" s="1">
        <f>IF('BASE PAN - CAPEX'!$S6=2035,'BASE PAN - CAPEX'!$AD6,IF('BASE PAN - CAPEX'!$AE6=2035,'BASE PAN - CAPEX'!$AP6,IF('BASE PAN - CAPEX'!$AQ6=2035,'BASE PAN - CAPEX'!$BB6,0)))</f>
        <v>0</v>
      </c>
      <c r="U6" s="1">
        <f>IF('BASE PAN - CAPEX'!$S6=2036,'BASE PAN - CAPEX'!$AD6,IF('BASE PAN - CAPEX'!$AE6=2036,'BASE PAN - CAPEX'!$AP6,IF('BASE PAN - CAPEX'!$AQ6=2036,'BASE PAN - CAPEX'!$BB6,0)))</f>
        <v>0</v>
      </c>
      <c r="V6" s="1">
        <f>IF('BASE PAN - CAPEX'!$S6=2037,'BASE PAN - CAPEX'!$AD6,IF('BASE PAN - CAPEX'!$AE6=2037,'BASE PAN - CAPEX'!$AP6,IF('BASE PAN - CAPEX'!$AQ6=2037,'BASE PAN - CAPEX'!$BB6,0)))+VLOOKUP(C6,'BASE PAN - CAPEX - 1º ANO'!$C$3:$BG$35,57,FALSE)</f>
        <v>0</v>
      </c>
      <c r="W6" s="1">
        <f>IF('BASE PAN - CAPEX'!$S6=2038,'BASE PAN - CAPEX'!$AD6,IF('BASE PAN - CAPEX'!$AE6=2038,'BASE PAN - CAPEX'!$AP6,IF('BASE PAN - CAPEX'!$AQ6=2038,'BASE PAN - CAPEX'!$BB6,0)))</f>
        <v>0</v>
      </c>
      <c r="X6" s="1">
        <f>IF('BASE PAN - CAPEX'!$S6=2039,'BASE PAN - CAPEX'!$AD6,IF('BASE PAN - CAPEX'!$AE6=2039,'BASE PAN - CAPEX'!$AP6,IF('BASE PAN - CAPEX'!$AQ6=2039,'BASE PAN - CAPEX'!$BB6,0)))</f>
        <v>0</v>
      </c>
      <c r="Y6" s="1">
        <f>IF('BASE PAN - CAPEX'!$S6=2040,'BASE PAN - CAPEX'!$AD6,IF('BASE PAN - CAPEX'!$AE6=2040,'BASE PAN - CAPEX'!$AP6,IF('BASE PAN - CAPEX'!$AQ6=2040,'BASE PAN - CAPEX'!$BB6,0)))</f>
        <v>0</v>
      </c>
      <c r="Z6" s="1">
        <f>IF('BASE PAN - CAPEX'!$S6=2041,'BASE PAN - CAPEX'!$AD6,IF('BASE PAN - CAPEX'!$AE6=2041,'BASE PAN - CAPEX'!$AP6,IF('BASE PAN - CAPEX'!$AQ6=2041,'BASE PAN - CAPEX'!$BB6,0)))</f>
        <v>0</v>
      </c>
      <c r="AA6" s="1">
        <f>IF('BASE PAN - CAPEX'!$S6=2042,'BASE PAN - CAPEX'!$AD6,IF('BASE PAN - CAPEX'!$AE6=2042,'BASE PAN - CAPEX'!$AP6,IF('BASE PAN - CAPEX'!$AQ6=2042,'BASE PAN - CAPEX'!$BB6,0)))</f>
        <v>0</v>
      </c>
      <c r="AB6" s="1">
        <f>IF('BASE PAN - CAPEX'!$S6=2043,'BASE PAN - CAPEX'!$AD6,IF('BASE PAN - CAPEX'!$AE6=2043,'BASE PAN - CAPEX'!$AP6,IF('BASE PAN - CAPEX'!$AQ6=2043,'BASE PAN - CAPEX'!$BB6,0)))</f>
        <v>0</v>
      </c>
      <c r="AC6" s="1">
        <f>IF('BASE PAN - CAPEX'!$S6=2044,'BASE PAN - CAPEX'!$AD6,IF('BASE PAN - CAPEX'!$AE6=2044,'BASE PAN - CAPEX'!$AP6,IF('BASE PAN - CAPEX'!$AQ6=2044,'BASE PAN - CAPEX'!$BB6,0)))</f>
        <v>0</v>
      </c>
      <c r="AD6" s="1">
        <f>IF('BASE PAN - CAPEX'!$S6=2045,'BASE PAN - CAPEX'!$AD6,IF('BASE PAN - CAPEX'!$AE6=2045,'BASE PAN - CAPEX'!$AP6,IF('BASE PAN - CAPEX'!$AQ6=2045,'BASE PAN - CAPEX'!$BB6,0)))</f>
        <v>0</v>
      </c>
      <c r="AE6" s="1">
        <f>IF('BASE PAN - CAPEX'!$S6=2046,'BASE PAN - CAPEX'!$AD6,IF('BASE PAN - CAPEX'!$AE6=2046,'BASE PAN - CAPEX'!$AP6,IF('BASE PAN - CAPEX'!$AQ6=2046,'BASE PAN - CAPEX'!$BB6,0)))</f>
        <v>0</v>
      </c>
      <c r="AF6" s="1">
        <f>IF('BASE PAN - CAPEX'!$S6=2047,'BASE PAN - CAPEX'!$AD6,IF('BASE PAN - CAPEX'!$AE6=2047,'BASE PAN - CAPEX'!$AP6,IF('BASE PAN - CAPEX'!$AQ6=2047,'BASE PAN - CAPEX'!$BB6,0)))</f>
        <v>0</v>
      </c>
      <c r="AG6" s="1">
        <f>IF('BASE PAN - CAPEX'!$S6=2048,'BASE PAN - CAPEX'!$AD6,IF('BASE PAN - CAPEX'!$AE6=2048,'BASE PAN - CAPEX'!$AP6,IF('BASE PAN - CAPEX'!$AQ6=2048,'BASE PAN - CAPEX'!$BB6,0)))</f>
        <v>0</v>
      </c>
      <c r="AH6" s="1">
        <f>IF('BASE PAN - CAPEX'!$S6=2049,'BASE PAN - CAPEX'!$AD6,IF('BASE PAN - CAPEX'!$AE6=2049,'BASE PAN - CAPEX'!$AP6,IF('BASE PAN - CAPEX'!$AQ6=2049,'BASE PAN - CAPEX'!$BB6,0)))</f>
        <v>0</v>
      </c>
      <c r="AI6" s="1">
        <f>IF('BASE PAN - CAPEX'!$S6=2050,'BASE PAN - CAPEX'!$AD6,IF('BASE PAN - CAPEX'!$AE6=2050,'BASE PAN - CAPEX'!$AP6,IF('BASE PAN - CAPEX'!$AQ6=2050,'BASE PAN - CAPEX'!$BB6,0)))</f>
        <v>0</v>
      </c>
      <c r="AJ6" s="1">
        <f>IF('BASE PAN - CAPEX'!$S6=2051,'BASE PAN - CAPEX'!$AD6,IF('BASE PAN - CAPEX'!$AE6=2051,'BASE PAN - CAPEX'!$AP6,IF('BASE PAN - CAPEX'!$AQ6=2051,'BASE PAN - CAPEX'!$BB6,0)))</f>
        <v>0</v>
      </c>
      <c r="AK6" s="1">
        <f>IF('BASE PAN - CAPEX'!$S6=2052,'BASE PAN - CAPEX'!$AD6,IF('BASE PAN - CAPEX'!$AE6=2052,'BASE PAN - CAPEX'!$AP6,IF('BASE PAN - CAPEX'!$AQ6=2052,'BASE PAN - CAPEX'!$BB6,0)))</f>
        <v>0</v>
      </c>
      <c r="AL6" s="1">
        <f>IF('BASE PAN - CAPEX'!$S6=2053,'BASE PAN - CAPEX'!$AD6,IF('BASE PAN - CAPEX'!$AE6=2053,'BASE PAN - CAPEX'!$AP6,IF('BASE PAN - CAPEX'!$AQ6=2053,'BASE PAN - CAPEX'!$BB6,0)))</f>
        <v>0</v>
      </c>
      <c r="AM6" s="1">
        <f t="shared" si="0"/>
        <v>41790000</v>
      </c>
      <c r="AN6" s="3" t="s">
        <v>171</v>
      </c>
      <c r="AO6" s="3">
        <v>1</v>
      </c>
      <c r="AP6" s="3" t="s">
        <v>171</v>
      </c>
      <c r="AQ6" s="3" t="s">
        <v>171</v>
      </c>
      <c r="AR6" s="3">
        <v>2038</v>
      </c>
      <c r="AS6" s="3" t="s">
        <v>171</v>
      </c>
      <c r="AT6" s="3" t="s">
        <v>171</v>
      </c>
      <c r="AU6" s="3">
        <v>2</v>
      </c>
      <c r="AV6" t="str">
        <f>VLOOKUP(C6,'FLUXO DE CAIXA DESC.-BLOCOS PAN'!$D$3:$AO$52,38,FALSE)</f>
        <v>RO - 1 - AL</v>
      </c>
    </row>
    <row r="7" spans="1:48" x14ac:dyDescent="0.35">
      <c r="A7" t="s">
        <v>57</v>
      </c>
      <c r="B7" t="s">
        <v>58</v>
      </c>
      <c r="C7" t="s">
        <v>59</v>
      </c>
      <c r="D7" t="s">
        <v>58</v>
      </c>
      <c r="E7" t="s">
        <v>35</v>
      </c>
      <c r="F7" t="s">
        <v>33</v>
      </c>
      <c r="G7" t="s">
        <v>34</v>
      </c>
      <c r="H7" s="1">
        <f>VLOOKUP(C7,'BASE PAN - CAPEX'!$C$3:$R$37,16,FALSE)+'BASE PAN - CAPEX'!BC7</f>
        <v>75750000</v>
      </c>
      <c r="I7" s="1">
        <f>IF('BASE PAN - CAPEX'!$S7=2024,'BASE PAN - CAPEX'!$AD7,IF('BASE PAN - CAPEX'!$AE7=2024,'BASE PAN - CAPEX'!$AP7,IF('BASE PAN - CAPEX'!$AQ7=2024,'BASE PAN - CAPEX'!$BB7,0)))</f>
        <v>0</v>
      </c>
      <c r="J7" s="1">
        <f>IF('BASE PAN - CAPEX'!$S7=2025,'BASE PAN - CAPEX'!$AD7,IF('BASE PAN - CAPEX'!$AE7=2025,'BASE PAN - CAPEX'!$AP7,IF('BASE PAN - CAPEX'!$AQ7=2025,'BASE PAN - CAPEX'!$BB7,0)))</f>
        <v>0</v>
      </c>
      <c r="K7" s="1">
        <f>IF('BASE PAN - CAPEX'!$S7=2026,'BASE PAN - CAPEX'!$AD7,IF('BASE PAN - CAPEX'!$AE7=2026,'BASE PAN - CAPEX'!$AP7,IF('BASE PAN - CAPEX'!$AQ7=2026,'BASE PAN - CAPEX'!$BB7,0)))</f>
        <v>0</v>
      </c>
      <c r="L7" s="1">
        <f>IF('BASE PAN - CAPEX'!$S7=2027,'BASE PAN - CAPEX'!$AD7,IF('BASE PAN - CAPEX'!$AE7=2027,'BASE PAN - CAPEX'!$AP7,IF('BASE PAN - CAPEX'!$AQ7=2027,'BASE PAN - CAPEX'!$BB7,0)))+VLOOKUP(C7,'BASE PAN - CAPEX - 1º ANO'!$C$3:$BE$35,55,FALSE)</f>
        <v>0</v>
      </c>
      <c r="M7" s="1">
        <f>IF('BASE PAN - CAPEX'!$S7=2028,'BASE PAN - CAPEX'!$AD7,IF('BASE PAN - CAPEX'!$AE7=2028,'BASE PAN - CAPEX'!$AP7,IF('BASE PAN - CAPEX'!$AQ7=2028,'BASE PAN - CAPEX'!$BB7,0)))</f>
        <v>0</v>
      </c>
      <c r="N7" s="1">
        <f>IF('BASE PAN - CAPEX'!$S7=2029,'BASE PAN - CAPEX'!$AD7,IF('BASE PAN - CAPEX'!$AE7=2029,'BASE PAN - CAPEX'!$AP7,IF('BASE PAN - CAPEX'!$AQ7=2029,'BASE PAN - CAPEX'!$BB7,0)))</f>
        <v>0</v>
      </c>
      <c r="O7" s="1">
        <f>IF('BASE PAN - CAPEX'!$S7=2030,'BASE PAN - CAPEX'!$AD7,IF('BASE PAN - CAPEX'!$AE7=2030,'BASE PAN - CAPEX'!$AP7,IF('BASE PAN - CAPEX'!$AQ7=2030,'BASE PAN - CAPEX'!$BB7,0)))</f>
        <v>0</v>
      </c>
      <c r="P7" s="1">
        <f>IF('BASE PAN - CAPEX'!$S7=2031,'BASE PAN - CAPEX'!$AD7,IF('BASE PAN - CAPEX'!$AE7=2031,'BASE PAN - CAPEX'!$AP7,IF('BASE PAN - CAPEX'!$AQ7=2031,'BASE PAN - CAPEX'!$BB7,0)))</f>
        <v>0</v>
      </c>
      <c r="Q7" s="1">
        <f>IF('BASE PAN - CAPEX'!$S7=2032,'BASE PAN - CAPEX'!$AD7,IF('BASE PAN - CAPEX'!$AE7=2032,'BASE PAN - CAPEX'!$AP7,IF('BASE PAN - CAPEX'!$AQ7=2032,'BASE PAN - CAPEX'!$BB7,0)))+VLOOKUP(C7,'BASE PAN - CAPEX - 1º ANO'!$C$3:$BF$35,56,FALSE)</f>
        <v>0</v>
      </c>
      <c r="R7" s="1">
        <f>IF('BASE PAN - CAPEX'!$S7=2033,'BASE PAN - CAPEX'!$AD7,IF('BASE PAN - CAPEX'!$AE7=2033,'BASE PAN - CAPEX'!$AP7,IF('BASE PAN - CAPEX'!$AQ7=2033,'BASE PAN - CAPEX'!$BB7,0)))</f>
        <v>0</v>
      </c>
      <c r="S7" s="1">
        <f>IF('BASE PAN - CAPEX'!$S7=2034,'BASE PAN - CAPEX'!$AD7,IF('BASE PAN - CAPEX'!$AE7=2034,'BASE PAN - CAPEX'!$AP7,IF('BASE PAN - CAPEX'!$AQ7=2034,'BASE PAN - CAPEX'!$BB7,0)))</f>
        <v>0</v>
      </c>
      <c r="T7" s="1">
        <f>IF('BASE PAN - CAPEX'!$S7=2035,'BASE PAN - CAPEX'!$AD7,IF('BASE PAN - CAPEX'!$AE7=2035,'BASE PAN - CAPEX'!$AP7,IF('BASE PAN - CAPEX'!$AQ7=2035,'BASE PAN - CAPEX'!$BB7,0)))</f>
        <v>0</v>
      </c>
      <c r="U7" s="1">
        <f>IF('BASE PAN - CAPEX'!$S7=2036,'BASE PAN - CAPEX'!$AD7,IF('BASE PAN - CAPEX'!$AE7=2036,'BASE PAN - CAPEX'!$AP7,IF('BASE PAN - CAPEX'!$AQ7=2036,'BASE PAN - CAPEX'!$BB7,0)))</f>
        <v>0</v>
      </c>
      <c r="V7" s="1">
        <f>IF('BASE PAN - CAPEX'!$S7=2037,'BASE PAN - CAPEX'!$AD7,IF('BASE PAN - CAPEX'!$AE7=2037,'BASE PAN - CAPEX'!$AP7,IF('BASE PAN - CAPEX'!$AQ7=2037,'BASE PAN - CAPEX'!$BB7,0)))+VLOOKUP(C7,'BASE PAN - CAPEX - 1º ANO'!$C$3:$BG$35,57,FALSE)</f>
        <v>0</v>
      </c>
      <c r="W7" s="1">
        <f>IF('BASE PAN - CAPEX'!$S7=2038,'BASE PAN - CAPEX'!$AD7,IF('BASE PAN - CAPEX'!$AE7=2038,'BASE PAN - CAPEX'!$AP7,IF('BASE PAN - CAPEX'!$AQ7=2038,'BASE PAN - CAPEX'!$BB7,0)))</f>
        <v>0</v>
      </c>
      <c r="X7" s="1">
        <f>IF('BASE PAN - CAPEX'!$S7=2039,'BASE PAN - CAPEX'!$AD7,IF('BASE PAN - CAPEX'!$AE7=2039,'BASE PAN - CAPEX'!$AP7,IF('BASE PAN - CAPEX'!$AQ7=2039,'BASE PAN - CAPEX'!$BB7,0)))</f>
        <v>0</v>
      </c>
      <c r="Y7" s="1">
        <f>IF('BASE PAN - CAPEX'!$S7=2040,'BASE PAN - CAPEX'!$AD7,IF('BASE PAN - CAPEX'!$AE7=2040,'BASE PAN - CAPEX'!$AP7,IF('BASE PAN - CAPEX'!$AQ7=2040,'BASE PAN - CAPEX'!$BB7,0)))</f>
        <v>0</v>
      </c>
      <c r="Z7" s="1">
        <f>IF('BASE PAN - CAPEX'!$S7=2041,'BASE PAN - CAPEX'!$AD7,IF('BASE PAN - CAPEX'!$AE7=2041,'BASE PAN - CAPEX'!$AP7,IF('BASE PAN - CAPEX'!$AQ7=2041,'BASE PAN - CAPEX'!$BB7,0)))</f>
        <v>0</v>
      </c>
      <c r="AA7" s="1">
        <f>IF('BASE PAN - CAPEX'!$S7=2042,'BASE PAN - CAPEX'!$AD7,IF('BASE PAN - CAPEX'!$AE7=2042,'BASE PAN - CAPEX'!$AP7,IF('BASE PAN - CAPEX'!$AQ7=2042,'BASE PAN - CAPEX'!$BB7,0)))</f>
        <v>0</v>
      </c>
      <c r="AB7" s="1">
        <f>IF('BASE PAN - CAPEX'!$S7=2043,'BASE PAN - CAPEX'!$AD7,IF('BASE PAN - CAPEX'!$AE7=2043,'BASE PAN - CAPEX'!$AP7,IF('BASE PAN - CAPEX'!$AQ7=2043,'BASE PAN - CAPEX'!$BB7,0)))</f>
        <v>0</v>
      </c>
      <c r="AC7" s="1">
        <f>IF('BASE PAN - CAPEX'!$S7=2044,'BASE PAN - CAPEX'!$AD7,IF('BASE PAN - CAPEX'!$AE7=2044,'BASE PAN - CAPEX'!$AP7,IF('BASE PAN - CAPEX'!$AQ7=2044,'BASE PAN - CAPEX'!$BB7,0)))</f>
        <v>0</v>
      </c>
      <c r="AD7" s="1">
        <f>IF('BASE PAN - CAPEX'!$S7=2045,'BASE PAN - CAPEX'!$AD7,IF('BASE PAN - CAPEX'!$AE7=2045,'BASE PAN - CAPEX'!$AP7,IF('BASE PAN - CAPEX'!$AQ7=2045,'BASE PAN - CAPEX'!$BB7,0)))</f>
        <v>0</v>
      </c>
      <c r="AE7" s="1">
        <f>IF('BASE PAN - CAPEX'!$S7=2046,'BASE PAN - CAPEX'!$AD7,IF('BASE PAN - CAPEX'!$AE7=2046,'BASE PAN - CAPEX'!$AP7,IF('BASE PAN - CAPEX'!$AQ7=2046,'BASE PAN - CAPEX'!$BB7,0)))</f>
        <v>0</v>
      </c>
      <c r="AF7" s="1">
        <f>IF('BASE PAN - CAPEX'!$S7=2047,'BASE PAN - CAPEX'!$AD7,IF('BASE PAN - CAPEX'!$AE7=2047,'BASE PAN - CAPEX'!$AP7,IF('BASE PAN - CAPEX'!$AQ7=2047,'BASE PAN - CAPEX'!$BB7,0)))</f>
        <v>0</v>
      </c>
      <c r="AG7" s="1">
        <f>IF('BASE PAN - CAPEX'!$S7=2048,'BASE PAN - CAPEX'!$AD7,IF('BASE PAN - CAPEX'!$AE7=2048,'BASE PAN - CAPEX'!$AP7,IF('BASE PAN - CAPEX'!$AQ7=2048,'BASE PAN - CAPEX'!$BB7,0)))</f>
        <v>0</v>
      </c>
      <c r="AH7" s="1">
        <f>IF('BASE PAN - CAPEX'!$S7=2049,'BASE PAN - CAPEX'!$AD7,IF('BASE PAN - CAPEX'!$AE7=2049,'BASE PAN - CAPEX'!$AP7,IF('BASE PAN - CAPEX'!$AQ7=2049,'BASE PAN - CAPEX'!$BB7,0)))</f>
        <v>0</v>
      </c>
      <c r="AI7" s="1">
        <f>IF('BASE PAN - CAPEX'!$S7=2050,'BASE PAN - CAPEX'!$AD7,IF('BASE PAN - CAPEX'!$AE7=2050,'BASE PAN - CAPEX'!$AP7,IF('BASE PAN - CAPEX'!$AQ7=2050,'BASE PAN - CAPEX'!$BB7,0)))</f>
        <v>0</v>
      </c>
      <c r="AJ7" s="1">
        <f>IF('BASE PAN - CAPEX'!$S7=2051,'BASE PAN - CAPEX'!$AD7,IF('BASE PAN - CAPEX'!$AE7=2051,'BASE PAN - CAPEX'!$AP7,IF('BASE PAN - CAPEX'!$AQ7=2051,'BASE PAN - CAPEX'!$BB7,0)))</f>
        <v>0</v>
      </c>
      <c r="AK7" s="1">
        <f>IF('BASE PAN - CAPEX'!$S7=2052,'BASE PAN - CAPEX'!$AD7,IF('BASE PAN - CAPEX'!$AE7=2052,'BASE PAN - CAPEX'!$AP7,IF('BASE PAN - CAPEX'!$AQ7=2052,'BASE PAN - CAPEX'!$BB7,0)))</f>
        <v>0</v>
      </c>
      <c r="AL7" s="1">
        <f>IF('BASE PAN - CAPEX'!$S7=2053,'BASE PAN - CAPEX'!$AD7,IF('BASE PAN - CAPEX'!$AE7=2053,'BASE PAN - CAPEX'!$AP7,IF('BASE PAN - CAPEX'!$AQ7=2053,'BASE PAN - CAPEX'!$BB7,0)))</f>
        <v>0</v>
      </c>
      <c r="AM7" s="1">
        <f t="shared" si="0"/>
        <v>75750000</v>
      </c>
      <c r="AN7" s="3" t="s">
        <v>171</v>
      </c>
      <c r="AO7" s="3">
        <v>3</v>
      </c>
      <c r="AP7" s="3" t="s">
        <v>171</v>
      </c>
      <c r="AQ7" s="3" t="s">
        <v>171</v>
      </c>
      <c r="AR7" s="3" t="s">
        <v>171</v>
      </c>
      <c r="AS7" s="3" t="s">
        <v>171</v>
      </c>
      <c r="AT7" s="3" t="s">
        <v>171</v>
      </c>
      <c r="AU7" s="3" t="s">
        <v>171</v>
      </c>
      <c r="AV7" t="str">
        <f>VLOOKUP(C7,'FLUXO DE CAIXA DESC.-BLOCOS PAN'!$D$3:$AO$52,38,FALSE)</f>
        <v>AM - 3 - AL</v>
      </c>
    </row>
    <row r="8" spans="1:48" x14ac:dyDescent="0.35">
      <c r="A8" t="s">
        <v>60</v>
      </c>
      <c r="B8" t="s">
        <v>61</v>
      </c>
      <c r="C8" t="s">
        <v>62</v>
      </c>
      <c r="D8" t="s">
        <v>63</v>
      </c>
      <c r="E8" t="s">
        <v>29</v>
      </c>
      <c r="F8" t="s">
        <v>33</v>
      </c>
      <c r="G8" t="s">
        <v>34</v>
      </c>
      <c r="H8" s="1">
        <f>VLOOKUP(C8,'BASE PAN - CAPEX'!$C$3:$R$37,16,FALSE)+'BASE PAN - CAPEX'!BC8</f>
        <v>28565000</v>
      </c>
      <c r="I8" s="1">
        <f>IF('BASE PAN - CAPEX'!$S8=2024,'BASE PAN - CAPEX'!$AD8,IF('BASE PAN - CAPEX'!$AE8=2024,'BASE PAN - CAPEX'!$AP8,IF('BASE PAN - CAPEX'!$AQ8=2024,'BASE PAN - CAPEX'!$BB8,0)))</f>
        <v>0</v>
      </c>
      <c r="J8" s="1">
        <f>IF('BASE PAN - CAPEX'!$S8=2025,'BASE PAN - CAPEX'!$AD8,IF('BASE PAN - CAPEX'!$AE8=2025,'BASE PAN - CAPEX'!$AP8,IF('BASE PAN - CAPEX'!$AQ8=2025,'BASE PAN - CAPEX'!$BB8,0)))</f>
        <v>0</v>
      </c>
      <c r="K8" s="1">
        <f>IF('BASE PAN - CAPEX'!$S8=2026,'BASE PAN - CAPEX'!$AD8,IF('BASE PAN - CAPEX'!$AE8=2026,'BASE PAN - CAPEX'!$AP8,IF('BASE PAN - CAPEX'!$AQ8=2026,'BASE PAN - CAPEX'!$BB8,0)))</f>
        <v>0</v>
      </c>
      <c r="L8" s="1">
        <f>IF('BASE PAN - CAPEX'!$S8=2027,'BASE PAN - CAPEX'!$AD8,IF('BASE PAN - CAPEX'!$AE8=2027,'BASE PAN - CAPEX'!$AP8,IF('BASE PAN - CAPEX'!$AQ8=2027,'BASE PAN - CAPEX'!$BB8,0)))+VLOOKUP(C8,'BASE PAN - CAPEX - 1º ANO'!$C$3:$BE$35,55,FALSE)</f>
        <v>0</v>
      </c>
      <c r="M8" s="1">
        <f>IF('BASE PAN - CAPEX'!$S8=2028,'BASE PAN - CAPEX'!$AD8,IF('BASE PAN - CAPEX'!$AE8=2028,'BASE PAN - CAPEX'!$AP8,IF('BASE PAN - CAPEX'!$AQ8=2028,'BASE PAN - CAPEX'!$BB8,0)))</f>
        <v>0</v>
      </c>
      <c r="N8" s="1">
        <f>IF('BASE PAN - CAPEX'!$S8=2029,'BASE PAN - CAPEX'!$AD8,IF('BASE PAN - CAPEX'!$AE8=2029,'BASE PAN - CAPEX'!$AP8,IF('BASE PAN - CAPEX'!$AQ8=2029,'BASE PAN - CAPEX'!$BB8,0)))</f>
        <v>0</v>
      </c>
      <c r="O8" s="1">
        <f>IF('BASE PAN - CAPEX'!$S8=2030,'BASE PAN - CAPEX'!$AD8,IF('BASE PAN - CAPEX'!$AE8=2030,'BASE PAN - CAPEX'!$AP8,IF('BASE PAN - CAPEX'!$AQ8=2030,'BASE PAN - CAPEX'!$BB8,0)))</f>
        <v>0</v>
      </c>
      <c r="P8" s="1">
        <f>IF('BASE PAN - CAPEX'!$S8=2031,'BASE PAN - CAPEX'!$AD8,IF('BASE PAN - CAPEX'!$AE8=2031,'BASE PAN - CAPEX'!$AP8,IF('BASE PAN - CAPEX'!$AQ8=2031,'BASE PAN - CAPEX'!$BB8,0)))</f>
        <v>0</v>
      </c>
      <c r="Q8" s="1">
        <f>IF('BASE PAN - CAPEX'!$S8=2032,'BASE PAN - CAPEX'!$AD8,IF('BASE PAN - CAPEX'!$AE8=2032,'BASE PAN - CAPEX'!$AP8,IF('BASE PAN - CAPEX'!$AQ8=2032,'BASE PAN - CAPEX'!$BB8,0)))+VLOOKUP(C8,'BASE PAN - CAPEX - 1º ANO'!$C$3:$BF$35,56,FALSE)</f>
        <v>0</v>
      </c>
      <c r="R8" s="1">
        <f>IF('BASE PAN - CAPEX'!$S8=2033,'BASE PAN - CAPEX'!$AD8,IF('BASE PAN - CAPEX'!$AE8=2033,'BASE PAN - CAPEX'!$AP8,IF('BASE PAN - CAPEX'!$AQ8=2033,'BASE PAN - CAPEX'!$BB8,0)))</f>
        <v>0</v>
      </c>
      <c r="S8" s="1">
        <f>IF('BASE PAN - CAPEX'!$S8=2034,'BASE PAN - CAPEX'!$AD8,IF('BASE PAN - CAPEX'!$AE8=2034,'BASE PAN - CAPEX'!$AP8,IF('BASE PAN - CAPEX'!$AQ8=2034,'BASE PAN - CAPEX'!$BB8,0)))</f>
        <v>0</v>
      </c>
      <c r="T8" s="1">
        <f>IF('BASE PAN - CAPEX'!$S8=2035,'BASE PAN - CAPEX'!$AD8,IF('BASE PAN - CAPEX'!$AE8=2035,'BASE PAN - CAPEX'!$AP8,IF('BASE PAN - CAPEX'!$AQ8=2035,'BASE PAN - CAPEX'!$BB8,0)))</f>
        <v>0</v>
      </c>
      <c r="U8" s="1">
        <f>IF('BASE PAN - CAPEX'!$S8=2036,'BASE PAN - CAPEX'!$AD8,IF('BASE PAN - CAPEX'!$AE8=2036,'BASE PAN - CAPEX'!$AP8,IF('BASE PAN - CAPEX'!$AQ8=2036,'BASE PAN - CAPEX'!$BB8,0)))</f>
        <v>0</v>
      </c>
      <c r="V8" s="1">
        <f>IF('BASE PAN - CAPEX'!$S8=2037,'BASE PAN - CAPEX'!$AD8,IF('BASE PAN - CAPEX'!$AE8=2037,'BASE PAN - CAPEX'!$AP8,IF('BASE PAN - CAPEX'!$AQ8=2037,'BASE PAN - CAPEX'!$BB8,0)))+VLOOKUP(C8,'BASE PAN - CAPEX - 1º ANO'!$C$3:$BG$35,57,FALSE)</f>
        <v>0</v>
      </c>
      <c r="W8" s="1">
        <f>IF('BASE PAN - CAPEX'!$S8=2038,'BASE PAN - CAPEX'!$AD8,IF('BASE PAN - CAPEX'!$AE8=2038,'BASE PAN - CAPEX'!$AP8,IF('BASE PAN - CAPEX'!$AQ8=2038,'BASE PAN - CAPEX'!$BB8,0)))</f>
        <v>0</v>
      </c>
      <c r="X8" s="1">
        <f>IF('BASE PAN - CAPEX'!$S8=2039,'BASE PAN - CAPEX'!$AD8,IF('BASE PAN - CAPEX'!$AE8=2039,'BASE PAN - CAPEX'!$AP8,IF('BASE PAN - CAPEX'!$AQ8=2039,'BASE PAN - CAPEX'!$BB8,0)))</f>
        <v>0</v>
      </c>
      <c r="Y8" s="1">
        <f>IF('BASE PAN - CAPEX'!$S8=2040,'BASE PAN - CAPEX'!$AD8,IF('BASE PAN - CAPEX'!$AE8=2040,'BASE PAN - CAPEX'!$AP8,IF('BASE PAN - CAPEX'!$AQ8=2040,'BASE PAN - CAPEX'!$BB8,0)))</f>
        <v>0</v>
      </c>
      <c r="Z8" s="1">
        <f>IF('BASE PAN - CAPEX'!$S8=2041,'BASE PAN - CAPEX'!$AD8,IF('BASE PAN - CAPEX'!$AE8=2041,'BASE PAN - CAPEX'!$AP8,IF('BASE PAN - CAPEX'!$AQ8=2041,'BASE PAN - CAPEX'!$BB8,0)))</f>
        <v>0</v>
      </c>
      <c r="AA8" s="1">
        <f>IF('BASE PAN - CAPEX'!$S8=2042,'BASE PAN - CAPEX'!$AD8,IF('BASE PAN - CAPEX'!$AE8=2042,'BASE PAN - CAPEX'!$AP8,IF('BASE PAN - CAPEX'!$AQ8=2042,'BASE PAN - CAPEX'!$BB8,0)))</f>
        <v>54045000</v>
      </c>
      <c r="AB8" s="1">
        <f>IF('BASE PAN - CAPEX'!$S8=2043,'BASE PAN - CAPEX'!$AD8,IF('BASE PAN - CAPEX'!$AE8=2043,'BASE PAN - CAPEX'!$AP8,IF('BASE PAN - CAPEX'!$AQ8=2043,'BASE PAN - CAPEX'!$BB8,0)))</f>
        <v>0</v>
      </c>
      <c r="AC8" s="1">
        <f>IF('BASE PAN - CAPEX'!$S8=2044,'BASE PAN - CAPEX'!$AD8,IF('BASE PAN - CAPEX'!$AE8=2044,'BASE PAN - CAPEX'!$AP8,IF('BASE PAN - CAPEX'!$AQ8=2044,'BASE PAN - CAPEX'!$BB8,0)))</f>
        <v>0</v>
      </c>
      <c r="AD8" s="1">
        <f>IF('BASE PAN - CAPEX'!$S8=2045,'BASE PAN - CAPEX'!$AD8,IF('BASE PAN - CAPEX'!$AE8=2045,'BASE PAN - CAPEX'!$AP8,IF('BASE PAN - CAPEX'!$AQ8=2045,'BASE PAN - CAPEX'!$BB8,0)))</f>
        <v>0</v>
      </c>
      <c r="AE8" s="1">
        <f>IF('BASE PAN - CAPEX'!$S8=2046,'BASE PAN - CAPEX'!$AD8,IF('BASE PAN - CAPEX'!$AE8=2046,'BASE PAN - CAPEX'!$AP8,IF('BASE PAN - CAPEX'!$AQ8=2046,'BASE PAN - CAPEX'!$BB8,0)))</f>
        <v>0</v>
      </c>
      <c r="AF8" s="1">
        <f>IF('BASE PAN - CAPEX'!$S8=2047,'BASE PAN - CAPEX'!$AD8,IF('BASE PAN - CAPEX'!$AE8=2047,'BASE PAN - CAPEX'!$AP8,IF('BASE PAN - CAPEX'!$AQ8=2047,'BASE PAN - CAPEX'!$BB8,0)))</f>
        <v>0</v>
      </c>
      <c r="AG8" s="1">
        <f>IF('BASE PAN - CAPEX'!$S8=2048,'BASE PAN - CAPEX'!$AD8,IF('BASE PAN - CAPEX'!$AE8=2048,'BASE PAN - CAPEX'!$AP8,IF('BASE PAN - CAPEX'!$AQ8=2048,'BASE PAN - CAPEX'!$BB8,0)))</f>
        <v>0</v>
      </c>
      <c r="AH8" s="1">
        <f>IF('BASE PAN - CAPEX'!$S8=2049,'BASE PAN - CAPEX'!$AD8,IF('BASE PAN - CAPEX'!$AE8=2049,'BASE PAN - CAPEX'!$AP8,IF('BASE PAN - CAPEX'!$AQ8=2049,'BASE PAN - CAPEX'!$BB8,0)))</f>
        <v>0</v>
      </c>
      <c r="AI8" s="1">
        <f>IF('BASE PAN - CAPEX'!$S8=2050,'BASE PAN - CAPEX'!$AD8,IF('BASE PAN - CAPEX'!$AE8=2050,'BASE PAN - CAPEX'!$AP8,IF('BASE PAN - CAPEX'!$AQ8=2050,'BASE PAN - CAPEX'!$BB8,0)))</f>
        <v>0</v>
      </c>
      <c r="AJ8" s="1">
        <f>IF('BASE PAN - CAPEX'!$S8=2051,'BASE PAN - CAPEX'!$AD8,IF('BASE PAN - CAPEX'!$AE8=2051,'BASE PAN - CAPEX'!$AP8,IF('BASE PAN - CAPEX'!$AQ8=2051,'BASE PAN - CAPEX'!$BB8,0)))</f>
        <v>0</v>
      </c>
      <c r="AK8" s="1">
        <f>IF('BASE PAN - CAPEX'!$S8=2052,'BASE PAN - CAPEX'!$AD8,IF('BASE PAN - CAPEX'!$AE8=2052,'BASE PAN - CAPEX'!$AP8,IF('BASE PAN - CAPEX'!$AQ8=2052,'BASE PAN - CAPEX'!$BB8,0)))</f>
        <v>0</v>
      </c>
      <c r="AL8" s="1">
        <f>IF('BASE PAN - CAPEX'!$S8=2053,'BASE PAN - CAPEX'!$AD8,IF('BASE PAN - CAPEX'!$AE8=2053,'BASE PAN - CAPEX'!$AP8,IF('BASE PAN - CAPEX'!$AQ8=2053,'BASE PAN - CAPEX'!$BB8,0)))</f>
        <v>0</v>
      </c>
      <c r="AM8" s="1">
        <f t="shared" si="0"/>
        <v>82610000</v>
      </c>
      <c r="AN8" s="3" t="s">
        <v>171</v>
      </c>
      <c r="AO8" s="3">
        <v>1</v>
      </c>
      <c r="AP8" s="3" t="s">
        <v>171</v>
      </c>
      <c r="AQ8" s="3">
        <v>2042</v>
      </c>
      <c r="AR8" s="3">
        <v>2029</v>
      </c>
      <c r="AS8" s="3" t="s">
        <v>171</v>
      </c>
      <c r="AT8" s="3">
        <v>3</v>
      </c>
      <c r="AU8" s="3">
        <v>2</v>
      </c>
      <c r="AV8" t="str">
        <f>VLOOKUP(C8,'FLUXO DE CAIXA DESC.-BLOCOS PAN'!$D$3:$AO$52,38,FALSE)</f>
        <v>PA 3 - AL</v>
      </c>
    </row>
    <row r="9" spans="1:48" x14ac:dyDescent="0.35">
      <c r="A9" t="s">
        <v>64</v>
      </c>
      <c r="B9" t="s">
        <v>65</v>
      </c>
      <c r="C9" t="s">
        <v>66</v>
      </c>
      <c r="D9" t="s">
        <v>65</v>
      </c>
      <c r="E9" t="s">
        <v>35</v>
      </c>
      <c r="F9" t="s">
        <v>33</v>
      </c>
      <c r="G9" t="s">
        <v>34</v>
      </c>
      <c r="H9" s="1">
        <f>VLOOKUP(C9,'BASE PAN - CAPEX'!$C$3:$R$37,16,FALSE)+'BASE PAN - CAPEX'!BC9</f>
        <v>20250000</v>
      </c>
      <c r="I9" s="1">
        <f>IF('BASE PAN - CAPEX'!$S9=2024,'BASE PAN - CAPEX'!$AD9,IF('BASE PAN - CAPEX'!$AE9=2024,'BASE PAN - CAPEX'!$AP9,IF('BASE PAN - CAPEX'!$AQ9=2024,'BASE PAN - CAPEX'!$BB9,0)))</f>
        <v>0</v>
      </c>
      <c r="J9" s="1">
        <f>IF('BASE PAN - CAPEX'!$S9=2025,'BASE PAN - CAPEX'!$AD9,IF('BASE PAN - CAPEX'!$AE9=2025,'BASE PAN - CAPEX'!$AP9,IF('BASE PAN - CAPEX'!$AQ9=2025,'BASE PAN - CAPEX'!$BB9,0)))</f>
        <v>0</v>
      </c>
      <c r="K9" s="1">
        <f>IF('BASE PAN - CAPEX'!$S9=2026,'BASE PAN - CAPEX'!$AD9,IF('BASE PAN - CAPEX'!$AE9=2026,'BASE PAN - CAPEX'!$AP9,IF('BASE PAN - CAPEX'!$AQ9=2026,'BASE PAN - CAPEX'!$BB9,0)))</f>
        <v>0</v>
      </c>
      <c r="L9" s="1">
        <f>IF('BASE PAN - CAPEX'!$S9=2027,'BASE PAN - CAPEX'!$AD9,IF('BASE PAN - CAPEX'!$AE9=2027,'BASE PAN - CAPEX'!$AP9,IF('BASE PAN - CAPEX'!$AQ9=2027,'BASE PAN - CAPEX'!$BB9,0)))+VLOOKUP(C9,'BASE PAN - CAPEX - 1º ANO'!$C$3:$BE$35,55,FALSE)</f>
        <v>0</v>
      </c>
      <c r="M9" s="1">
        <f>IF('BASE PAN - CAPEX'!$S9=2028,'BASE PAN - CAPEX'!$AD9,IF('BASE PAN - CAPEX'!$AE9=2028,'BASE PAN - CAPEX'!$AP9,IF('BASE PAN - CAPEX'!$AQ9=2028,'BASE PAN - CAPEX'!$BB9,0)))</f>
        <v>0</v>
      </c>
      <c r="N9" s="1">
        <f>IF('BASE PAN - CAPEX'!$S9=2029,'BASE PAN - CAPEX'!$AD9,IF('BASE PAN - CAPEX'!$AE9=2029,'BASE PAN - CAPEX'!$AP9,IF('BASE PAN - CAPEX'!$AQ9=2029,'BASE PAN - CAPEX'!$BB9,0)))</f>
        <v>0</v>
      </c>
      <c r="O9" s="1">
        <f>IF('BASE PAN - CAPEX'!$S9=2030,'BASE PAN - CAPEX'!$AD9,IF('BASE PAN - CAPEX'!$AE9=2030,'BASE PAN - CAPEX'!$AP9,IF('BASE PAN - CAPEX'!$AQ9=2030,'BASE PAN - CAPEX'!$BB9,0)))</f>
        <v>0</v>
      </c>
      <c r="P9" s="1">
        <f>IF('BASE PAN - CAPEX'!$S9=2031,'BASE PAN - CAPEX'!$AD9,IF('BASE PAN - CAPEX'!$AE9=2031,'BASE PAN - CAPEX'!$AP9,IF('BASE PAN - CAPEX'!$AQ9=2031,'BASE PAN - CAPEX'!$BB9,0)))</f>
        <v>0</v>
      </c>
      <c r="Q9" s="1">
        <f>IF('BASE PAN - CAPEX'!$S9=2032,'BASE PAN - CAPEX'!$AD9,IF('BASE PAN - CAPEX'!$AE9=2032,'BASE PAN - CAPEX'!$AP9,IF('BASE PAN - CAPEX'!$AQ9=2032,'BASE PAN - CAPEX'!$BB9,0)))+VLOOKUP(C9,'BASE PAN - CAPEX - 1º ANO'!$C$3:$BF$35,56,FALSE)</f>
        <v>0</v>
      </c>
      <c r="R9" s="1">
        <f>IF('BASE PAN - CAPEX'!$S9=2033,'BASE PAN - CAPEX'!$AD9,IF('BASE PAN - CAPEX'!$AE9=2033,'BASE PAN - CAPEX'!$AP9,IF('BASE PAN - CAPEX'!$AQ9=2033,'BASE PAN - CAPEX'!$BB9,0)))</f>
        <v>0</v>
      </c>
      <c r="S9" s="1">
        <f>IF('BASE PAN - CAPEX'!$S9=2034,'BASE PAN - CAPEX'!$AD9,IF('BASE PAN - CAPEX'!$AE9=2034,'BASE PAN - CAPEX'!$AP9,IF('BASE PAN - CAPEX'!$AQ9=2034,'BASE PAN - CAPEX'!$BB9,0)))</f>
        <v>0</v>
      </c>
      <c r="T9" s="1">
        <f>IF('BASE PAN - CAPEX'!$S9=2035,'BASE PAN - CAPEX'!$AD9,IF('BASE PAN - CAPEX'!$AE9=2035,'BASE PAN - CAPEX'!$AP9,IF('BASE PAN - CAPEX'!$AQ9=2035,'BASE PAN - CAPEX'!$BB9,0)))</f>
        <v>0</v>
      </c>
      <c r="U9" s="1">
        <f>IF('BASE PAN - CAPEX'!$S9=2036,'BASE PAN - CAPEX'!$AD9,IF('BASE PAN - CAPEX'!$AE9=2036,'BASE PAN - CAPEX'!$AP9,IF('BASE PAN - CAPEX'!$AQ9=2036,'BASE PAN - CAPEX'!$BB9,0)))</f>
        <v>0</v>
      </c>
      <c r="V9" s="1">
        <f>IF('BASE PAN - CAPEX'!$S9=2037,'BASE PAN - CAPEX'!$AD9,IF('BASE PAN - CAPEX'!$AE9=2037,'BASE PAN - CAPEX'!$AP9,IF('BASE PAN - CAPEX'!$AQ9=2037,'BASE PAN - CAPEX'!$BB9,0)))+VLOOKUP(C9,'BASE PAN - CAPEX - 1º ANO'!$C$3:$BG$35,57,FALSE)</f>
        <v>0</v>
      </c>
      <c r="W9" s="1">
        <f>IF('BASE PAN - CAPEX'!$S9=2038,'BASE PAN - CAPEX'!$AD9,IF('BASE PAN - CAPEX'!$AE9=2038,'BASE PAN - CAPEX'!$AP9,IF('BASE PAN - CAPEX'!$AQ9=2038,'BASE PAN - CAPEX'!$BB9,0)))</f>
        <v>0</v>
      </c>
      <c r="X9" s="1">
        <f>IF('BASE PAN - CAPEX'!$S9=2039,'BASE PAN - CAPEX'!$AD9,IF('BASE PAN - CAPEX'!$AE9=2039,'BASE PAN - CAPEX'!$AP9,IF('BASE PAN - CAPEX'!$AQ9=2039,'BASE PAN - CAPEX'!$BB9,0)))</f>
        <v>0</v>
      </c>
      <c r="Y9" s="1">
        <f>IF('BASE PAN - CAPEX'!$S9=2040,'BASE PAN - CAPEX'!$AD9,IF('BASE PAN - CAPEX'!$AE9=2040,'BASE PAN - CAPEX'!$AP9,IF('BASE PAN - CAPEX'!$AQ9=2040,'BASE PAN - CAPEX'!$BB9,0)))</f>
        <v>0</v>
      </c>
      <c r="Z9" s="1">
        <f>IF('BASE PAN - CAPEX'!$S9=2041,'BASE PAN - CAPEX'!$AD9,IF('BASE PAN - CAPEX'!$AE9=2041,'BASE PAN - CAPEX'!$AP9,IF('BASE PAN - CAPEX'!$AQ9=2041,'BASE PAN - CAPEX'!$BB9,0)))</f>
        <v>0</v>
      </c>
      <c r="AA9" s="1">
        <f>IF('BASE PAN - CAPEX'!$S9=2042,'BASE PAN - CAPEX'!$AD9,IF('BASE PAN - CAPEX'!$AE9=2042,'BASE PAN - CAPEX'!$AP9,IF('BASE PAN - CAPEX'!$AQ9=2042,'BASE PAN - CAPEX'!$BB9,0)))</f>
        <v>0</v>
      </c>
      <c r="AB9" s="1">
        <f>IF('BASE PAN - CAPEX'!$S9=2043,'BASE PAN - CAPEX'!$AD9,IF('BASE PAN - CAPEX'!$AE9=2043,'BASE PAN - CAPEX'!$AP9,IF('BASE PAN - CAPEX'!$AQ9=2043,'BASE PAN - CAPEX'!$BB9,0)))</f>
        <v>0</v>
      </c>
      <c r="AC9" s="1">
        <f>IF('BASE PAN - CAPEX'!$S9=2044,'BASE PAN - CAPEX'!$AD9,IF('BASE PAN - CAPEX'!$AE9=2044,'BASE PAN - CAPEX'!$AP9,IF('BASE PAN - CAPEX'!$AQ9=2044,'BASE PAN - CAPEX'!$BB9,0)))</f>
        <v>0</v>
      </c>
      <c r="AD9" s="1">
        <f>IF('BASE PAN - CAPEX'!$S9=2045,'BASE PAN - CAPEX'!$AD9,IF('BASE PAN - CAPEX'!$AE9=2045,'BASE PAN - CAPEX'!$AP9,IF('BASE PAN - CAPEX'!$AQ9=2045,'BASE PAN - CAPEX'!$BB9,0)))</f>
        <v>270000</v>
      </c>
      <c r="AE9" s="1">
        <f>IF('BASE PAN - CAPEX'!$S9=2046,'BASE PAN - CAPEX'!$AD9,IF('BASE PAN - CAPEX'!$AE9=2046,'BASE PAN - CAPEX'!$AP9,IF('BASE PAN - CAPEX'!$AQ9=2046,'BASE PAN - CAPEX'!$BB9,0)))</f>
        <v>0</v>
      </c>
      <c r="AF9" s="1">
        <f>IF('BASE PAN - CAPEX'!$S9=2047,'BASE PAN - CAPEX'!$AD9,IF('BASE PAN - CAPEX'!$AE9=2047,'BASE PAN - CAPEX'!$AP9,IF('BASE PAN - CAPEX'!$AQ9=2047,'BASE PAN - CAPEX'!$BB9,0)))</f>
        <v>0</v>
      </c>
      <c r="AG9" s="1">
        <f>IF('BASE PAN - CAPEX'!$S9=2048,'BASE PAN - CAPEX'!$AD9,IF('BASE PAN - CAPEX'!$AE9=2048,'BASE PAN - CAPEX'!$AP9,IF('BASE PAN - CAPEX'!$AQ9=2048,'BASE PAN - CAPEX'!$BB9,0)))</f>
        <v>0</v>
      </c>
      <c r="AH9" s="1">
        <f>IF('BASE PAN - CAPEX'!$S9=2049,'BASE PAN - CAPEX'!$AD9,IF('BASE PAN - CAPEX'!$AE9=2049,'BASE PAN - CAPEX'!$AP9,IF('BASE PAN - CAPEX'!$AQ9=2049,'BASE PAN - CAPEX'!$BB9,0)))</f>
        <v>0</v>
      </c>
      <c r="AI9" s="1">
        <f>IF('BASE PAN - CAPEX'!$S9=2050,'BASE PAN - CAPEX'!$AD9,IF('BASE PAN - CAPEX'!$AE9=2050,'BASE PAN - CAPEX'!$AP9,IF('BASE PAN - CAPEX'!$AQ9=2050,'BASE PAN - CAPEX'!$BB9,0)))</f>
        <v>0</v>
      </c>
      <c r="AJ9" s="1">
        <f>IF('BASE PAN - CAPEX'!$S9=2051,'BASE PAN - CAPEX'!$AD9,IF('BASE PAN - CAPEX'!$AE9=2051,'BASE PAN - CAPEX'!$AP9,IF('BASE PAN - CAPEX'!$AQ9=2051,'BASE PAN - CAPEX'!$BB9,0)))</f>
        <v>0</v>
      </c>
      <c r="AK9" s="1">
        <f>IF('BASE PAN - CAPEX'!$S9=2052,'BASE PAN - CAPEX'!$AD9,IF('BASE PAN - CAPEX'!$AE9=2052,'BASE PAN - CAPEX'!$AP9,IF('BASE PAN - CAPEX'!$AQ9=2052,'BASE PAN - CAPEX'!$BB9,0)))</f>
        <v>0</v>
      </c>
      <c r="AL9" s="1">
        <f>IF('BASE PAN - CAPEX'!$S9=2053,'BASE PAN - CAPEX'!$AD9,IF('BASE PAN - CAPEX'!$AE9=2053,'BASE PAN - CAPEX'!$AP9,IF('BASE PAN - CAPEX'!$AQ9=2053,'BASE PAN - CAPEX'!$BB9,0)))</f>
        <v>0</v>
      </c>
      <c r="AM9" s="1">
        <f t="shared" si="0"/>
        <v>20520000</v>
      </c>
      <c r="AN9" s="3" t="s">
        <v>171</v>
      </c>
      <c r="AO9" s="3">
        <v>1</v>
      </c>
      <c r="AP9" s="3" t="s">
        <v>171</v>
      </c>
      <c r="AQ9" s="3" t="s">
        <v>171</v>
      </c>
      <c r="AR9" s="3">
        <v>2045</v>
      </c>
      <c r="AS9" s="3" t="s">
        <v>171</v>
      </c>
      <c r="AT9" s="3" t="s">
        <v>171</v>
      </c>
      <c r="AU9" s="3">
        <v>2</v>
      </c>
      <c r="AV9" t="str">
        <f>VLOOKUP(C9,'FLUXO DE CAIXA DESC.-BLOCOS PAN'!$D$3:$AO$52,38,FALSE)</f>
        <v>AM - 2 - AL</v>
      </c>
    </row>
    <row r="10" spans="1:48" x14ac:dyDescent="0.35">
      <c r="A10" t="s">
        <v>67</v>
      </c>
      <c r="B10" t="s">
        <v>68</v>
      </c>
      <c r="C10" t="s">
        <v>69</v>
      </c>
      <c r="D10" t="s">
        <v>70</v>
      </c>
      <c r="E10" t="s">
        <v>29</v>
      </c>
      <c r="F10" t="s">
        <v>33</v>
      </c>
      <c r="G10" t="s">
        <v>34</v>
      </c>
      <c r="H10" s="1">
        <f>VLOOKUP(C10,'BASE PAN - CAPEX'!$C$3:$R$37,16,FALSE)+'BASE PAN - CAPEX'!BC10</f>
        <v>17880000</v>
      </c>
      <c r="I10" s="1">
        <f>IF('BASE PAN - CAPEX'!$S10=2024,'BASE PAN - CAPEX'!$AD10,IF('BASE PAN - CAPEX'!$AE10=2024,'BASE PAN - CAPEX'!$AP10,IF('BASE PAN - CAPEX'!$AQ10=2024,'BASE PAN - CAPEX'!$BB10,0)))</f>
        <v>0</v>
      </c>
      <c r="J10" s="1">
        <f>IF('BASE PAN - CAPEX'!$S10=2025,'BASE PAN - CAPEX'!$AD10,IF('BASE PAN - CAPEX'!$AE10=2025,'BASE PAN - CAPEX'!$AP10,IF('BASE PAN - CAPEX'!$AQ10=2025,'BASE PAN - CAPEX'!$BB10,0)))</f>
        <v>0</v>
      </c>
      <c r="K10" s="1">
        <f>IF('BASE PAN - CAPEX'!$S10=2026,'BASE PAN - CAPEX'!$AD10,IF('BASE PAN - CAPEX'!$AE10=2026,'BASE PAN - CAPEX'!$AP10,IF('BASE PAN - CAPEX'!$AQ10=2026,'BASE PAN - CAPEX'!$BB10,0)))</f>
        <v>0</v>
      </c>
      <c r="L10" s="1">
        <f>IF('BASE PAN - CAPEX'!$S10=2027,'BASE PAN - CAPEX'!$AD10,IF('BASE PAN - CAPEX'!$AE10=2027,'BASE PAN - CAPEX'!$AP10,IF('BASE PAN - CAPEX'!$AQ10=2027,'BASE PAN - CAPEX'!$BB10,0)))+VLOOKUP(C10,'BASE PAN - CAPEX - 1º ANO'!$C$3:$BE$35,55,FALSE)</f>
        <v>0</v>
      </c>
      <c r="M10" s="1">
        <f>IF('BASE PAN - CAPEX'!$S10=2028,'BASE PAN - CAPEX'!$AD10,IF('BASE PAN - CAPEX'!$AE10=2028,'BASE PAN - CAPEX'!$AP10,IF('BASE PAN - CAPEX'!$AQ10=2028,'BASE PAN - CAPEX'!$BB10,0)))</f>
        <v>0</v>
      </c>
      <c r="N10" s="1">
        <f>IF('BASE PAN - CAPEX'!$S10=2029,'BASE PAN - CAPEX'!$AD10,IF('BASE PAN - CAPEX'!$AE10=2029,'BASE PAN - CAPEX'!$AP10,IF('BASE PAN - CAPEX'!$AQ10=2029,'BASE PAN - CAPEX'!$BB10,0)))</f>
        <v>0</v>
      </c>
      <c r="O10" s="1">
        <f>IF('BASE PAN - CAPEX'!$S10=2030,'BASE PAN - CAPEX'!$AD10,IF('BASE PAN - CAPEX'!$AE10=2030,'BASE PAN - CAPEX'!$AP10,IF('BASE PAN - CAPEX'!$AQ10=2030,'BASE PAN - CAPEX'!$BB10,0)))</f>
        <v>0</v>
      </c>
      <c r="P10" s="1">
        <f>IF('BASE PAN - CAPEX'!$S10=2031,'BASE PAN - CAPEX'!$AD10,IF('BASE PAN - CAPEX'!$AE10=2031,'BASE PAN - CAPEX'!$AP10,IF('BASE PAN - CAPEX'!$AQ10=2031,'BASE PAN - CAPEX'!$BB10,0)))</f>
        <v>0</v>
      </c>
      <c r="Q10" s="1">
        <f>IF('BASE PAN - CAPEX'!$S10=2032,'BASE PAN - CAPEX'!$AD10,IF('BASE PAN - CAPEX'!$AE10=2032,'BASE PAN - CAPEX'!$AP10,IF('BASE PAN - CAPEX'!$AQ10=2032,'BASE PAN - CAPEX'!$BB10,0)))+VLOOKUP(C10,'BASE PAN - CAPEX - 1º ANO'!$C$3:$BF$35,56,FALSE)</f>
        <v>0</v>
      </c>
      <c r="R10" s="1">
        <f>IF('BASE PAN - CAPEX'!$S10=2033,'BASE PAN - CAPEX'!$AD10,IF('BASE PAN - CAPEX'!$AE10=2033,'BASE PAN - CAPEX'!$AP10,IF('BASE PAN - CAPEX'!$AQ10=2033,'BASE PAN - CAPEX'!$BB10,0)))</f>
        <v>0</v>
      </c>
      <c r="S10" s="1">
        <f>IF('BASE PAN - CAPEX'!$S10=2034,'BASE PAN - CAPEX'!$AD10,IF('BASE PAN - CAPEX'!$AE10=2034,'BASE PAN - CAPEX'!$AP10,IF('BASE PAN - CAPEX'!$AQ10=2034,'BASE PAN - CAPEX'!$BB10,0)))</f>
        <v>0</v>
      </c>
      <c r="T10" s="1">
        <f>IF('BASE PAN - CAPEX'!$S10=2035,'BASE PAN - CAPEX'!$AD10,IF('BASE PAN - CAPEX'!$AE10=2035,'BASE PAN - CAPEX'!$AP10,IF('BASE PAN - CAPEX'!$AQ10=2035,'BASE PAN - CAPEX'!$BB10,0)))</f>
        <v>0</v>
      </c>
      <c r="U10" s="1">
        <f>IF('BASE PAN - CAPEX'!$S10=2036,'BASE PAN - CAPEX'!$AD10,IF('BASE PAN - CAPEX'!$AE10=2036,'BASE PAN - CAPEX'!$AP10,IF('BASE PAN - CAPEX'!$AQ10=2036,'BASE PAN - CAPEX'!$BB10,0)))</f>
        <v>0</v>
      </c>
      <c r="V10" s="1">
        <f>IF('BASE PAN - CAPEX'!$S10=2037,'BASE PAN - CAPEX'!$AD10,IF('BASE PAN - CAPEX'!$AE10=2037,'BASE PAN - CAPEX'!$AP10,IF('BASE PAN - CAPEX'!$AQ10=2037,'BASE PAN - CAPEX'!$BB10,0)))+VLOOKUP(C10,'BASE PAN - CAPEX - 1º ANO'!$C$3:$BG$35,57,FALSE)</f>
        <v>0</v>
      </c>
      <c r="W10" s="1">
        <f>IF('BASE PAN - CAPEX'!$S10=2038,'BASE PAN - CAPEX'!$AD10,IF('BASE PAN - CAPEX'!$AE10=2038,'BASE PAN - CAPEX'!$AP10,IF('BASE PAN - CAPEX'!$AQ10=2038,'BASE PAN - CAPEX'!$BB10,0)))</f>
        <v>0</v>
      </c>
      <c r="X10" s="1">
        <f>IF('BASE PAN - CAPEX'!$S10=2039,'BASE PAN - CAPEX'!$AD10,IF('BASE PAN - CAPEX'!$AE10=2039,'BASE PAN - CAPEX'!$AP10,IF('BASE PAN - CAPEX'!$AQ10=2039,'BASE PAN - CAPEX'!$BB10,0)))</f>
        <v>0</v>
      </c>
      <c r="Y10" s="1">
        <f>IF('BASE PAN - CAPEX'!$S10=2040,'BASE PAN - CAPEX'!$AD10,IF('BASE PAN - CAPEX'!$AE10=2040,'BASE PAN - CAPEX'!$AP10,IF('BASE PAN - CAPEX'!$AQ10=2040,'BASE PAN - CAPEX'!$BB10,0)))</f>
        <v>0</v>
      </c>
      <c r="Z10" s="1">
        <f>IF('BASE PAN - CAPEX'!$S10=2041,'BASE PAN - CAPEX'!$AD10,IF('BASE PAN - CAPEX'!$AE10=2041,'BASE PAN - CAPEX'!$AP10,IF('BASE PAN - CAPEX'!$AQ10=2041,'BASE PAN - CAPEX'!$BB10,0)))</f>
        <v>0</v>
      </c>
      <c r="AA10" s="1">
        <f>IF('BASE PAN - CAPEX'!$S10=2042,'BASE PAN - CAPEX'!$AD10,IF('BASE PAN - CAPEX'!$AE10=2042,'BASE PAN - CAPEX'!$AP10,IF('BASE PAN - CAPEX'!$AQ10=2042,'BASE PAN - CAPEX'!$BB10,0)))</f>
        <v>0</v>
      </c>
      <c r="AB10" s="1">
        <f>IF('BASE PAN - CAPEX'!$S10=2043,'BASE PAN - CAPEX'!$AD10,IF('BASE PAN - CAPEX'!$AE10=2043,'BASE PAN - CAPEX'!$AP10,IF('BASE PAN - CAPEX'!$AQ10=2043,'BASE PAN - CAPEX'!$BB10,0)))</f>
        <v>0</v>
      </c>
      <c r="AC10" s="1">
        <f>IF('BASE PAN - CAPEX'!$S10=2044,'BASE PAN - CAPEX'!$AD10,IF('BASE PAN - CAPEX'!$AE10=2044,'BASE PAN - CAPEX'!$AP10,IF('BASE PAN - CAPEX'!$AQ10=2044,'BASE PAN - CAPEX'!$BB10,0)))</f>
        <v>0</v>
      </c>
      <c r="AD10" s="1">
        <f>IF('BASE PAN - CAPEX'!$S10=2045,'BASE PAN - CAPEX'!$AD10,IF('BASE PAN - CAPEX'!$AE10=2045,'BASE PAN - CAPEX'!$AP10,IF('BASE PAN - CAPEX'!$AQ10=2045,'BASE PAN - CAPEX'!$BB10,0)))</f>
        <v>0</v>
      </c>
      <c r="AE10" s="1">
        <f>IF('BASE PAN - CAPEX'!$S10=2046,'BASE PAN - CAPEX'!$AD10,IF('BASE PAN - CAPEX'!$AE10=2046,'BASE PAN - CAPEX'!$AP10,IF('BASE PAN - CAPEX'!$AQ10=2046,'BASE PAN - CAPEX'!$BB10,0)))</f>
        <v>0</v>
      </c>
      <c r="AF10" s="1">
        <f>IF('BASE PAN - CAPEX'!$S10=2047,'BASE PAN - CAPEX'!$AD10,IF('BASE PAN - CAPEX'!$AE10=2047,'BASE PAN - CAPEX'!$AP10,IF('BASE PAN - CAPEX'!$AQ10=2047,'BASE PAN - CAPEX'!$BB10,0)))</f>
        <v>0</v>
      </c>
      <c r="AG10" s="1">
        <f>IF('BASE PAN - CAPEX'!$S10=2048,'BASE PAN - CAPEX'!$AD10,IF('BASE PAN - CAPEX'!$AE10=2048,'BASE PAN - CAPEX'!$AP10,IF('BASE PAN - CAPEX'!$AQ10=2048,'BASE PAN - CAPEX'!$BB10,0)))</f>
        <v>0</v>
      </c>
      <c r="AH10" s="1">
        <f>IF('BASE PAN - CAPEX'!$S10=2049,'BASE PAN - CAPEX'!$AD10,IF('BASE PAN - CAPEX'!$AE10=2049,'BASE PAN - CAPEX'!$AP10,IF('BASE PAN - CAPEX'!$AQ10=2049,'BASE PAN - CAPEX'!$BB10,0)))</f>
        <v>57050000</v>
      </c>
      <c r="AI10" s="1">
        <f>IF('BASE PAN - CAPEX'!$S10=2050,'BASE PAN - CAPEX'!$AD10,IF('BASE PAN - CAPEX'!$AE10=2050,'BASE PAN - CAPEX'!$AP10,IF('BASE PAN - CAPEX'!$AQ10=2050,'BASE PAN - CAPEX'!$BB10,0)))</f>
        <v>0</v>
      </c>
      <c r="AJ10" s="1">
        <f>IF('BASE PAN - CAPEX'!$S10=2051,'BASE PAN - CAPEX'!$AD10,IF('BASE PAN - CAPEX'!$AE10=2051,'BASE PAN - CAPEX'!$AP10,IF('BASE PAN - CAPEX'!$AQ10=2051,'BASE PAN - CAPEX'!$BB10,0)))</f>
        <v>0</v>
      </c>
      <c r="AK10" s="1">
        <f>IF('BASE PAN - CAPEX'!$S10=2052,'BASE PAN - CAPEX'!$AD10,IF('BASE PAN - CAPEX'!$AE10=2052,'BASE PAN - CAPEX'!$AP10,IF('BASE PAN - CAPEX'!$AQ10=2052,'BASE PAN - CAPEX'!$BB10,0)))</f>
        <v>0</v>
      </c>
      <c r="AL10" s="1">
        <f>IF('BASE PAN - CAPEX'!$S10=2053,'BASE PAN - CAPEX'!$AD10,IF('BASE PAN - CAPEX'!$AE10=2053,'BASE PAN - CAPEX'!$AP10,IF('BASE PAN - CAPEX'!$AQ10=2053,'BASE PAN - CAPEX'!$BB10,0)))</f>
        <v>0</v>
      </c>
      <c r="AM10" s="1">
        <f t="shared" si="0"/>
        <v>74930000</v>
      </c>
      <c r="AN10" s="3" t="s">
        <v>171</v>
      </c>
      <c r="AO10" s="3">
        <v>1</v>
      </c>
      <c r="AP10" s="3" t="s">
        <v>171</v>
      </c>
      <c r="AQ10" s="3">
        <v>2049</v>
      </c>
      <c r="AR10" s="3">
        <v>2034</v>
      </c>
      <c r="AS10" s="3" t="s">
        <v>171</v>
      </c>
      <c r="AT10" s="3">
        <v>3</v>
      </c>
      <c r="AU10" s="3">
        <v>2</v>
      </c>
      <c r="AV10" t="str">
        <f>VLOOKUP(C10,'FLUXO DE CAIXA DESC.-BLOCOS PAN'!$D$3:$AO$52,38,FALSE)</f>
        <v>PA - 1 - AL</v>
      </c>
    </row>
    <row r="11" spans="1:48" x14ac:dyDescent="0.35">
      <c r="A11" t="s">
        <v>71</v>
      </c>
      <c r="B11" t="s">
        <v>72</v>
      </c>
      <c r="C11" t="s">
        <v>73</v>
      </c>
      <c r="D11" t="s">
        <v>72</v>
      </c>
      <c r="E11" t="s">
        <v>41</v>
      </c>
      <c r="F11" t="s">
        <v>33</v>
      </c>
      <c r="G11" t="s">
        <v>34</v>
      </c>
      <c r="H11" s="1">
        <f>VLOOKUP(C11,'BASE PAN - CAPEX'!$C$3:$R$37,16,FALSE)+'BASE PAN - CAPEX'!BC11</f>
        <v>37775000</v>
      </c>
      <c r="I11" s="1">
        <f>IF('BASE PAN - CAPEX'!$S11=2024,'BASE PAN - CAPEX'!$AD11,IF('BASE PAN - CAPEX'!$AE11=2024,'BASE PAN - CAPEX'!$AP11,IF('BASE PAN - CAPEX'!$AQ11=2024,'BASE PAN - CAPEX'!$BB11,0)))</f>
        <v>0</v>
      </c>
      <c r="J11" s="1">
        <f>IF('BASE PAN - CAPEX'!$S11=2025,'BASE PAN - CAPEX'!$AD11,IF('BASE PAN - CAPEX'!$AE11=2025,'BASE PAN - CAPEX'!$AP11,IF('BASE PAN - CAPEX'!$AQ11=2025,'BASE PAN - CAPEX'!$BB11,0)))</f>
        <v>0</v>
      </c>
      <c r="K11" s="1">
        <f>IF('BASE PAN - CAPEX'!$S11=2026,'BASE PAN - CAPEX'!$AD11,IF('BASE PAN - CAPEX'!$AE11=2026,'BASE PAN - CAPEX'!$AP11,IF('BASE PAN - CAPEX'!$AQ11=2026,'BASE PAN - CAPEX'!$BB11,0)))</f>
        <v>0</v>
      </c>
      <c r="L11" s="1">
        <f>IF('BASE PAN - CAPEX'!$S11=2027,'BASE PAN - CAPEX'!$AD11,IF('BASE PAN - CAPEX'!$AE11=2027,'BASE PAN - CAPEX'!$AP11,IF('BASE PAN - CAPEX'!$AQ11=2027,'BASE PAN - CAPEX'!$BB11,0)))+VLOOKUP(C11,'BASE PAN - CAPEX - 1º ANO'!$C$3:$BE$35,55,FALSE)</f>
        <v>0</v>
      </c>
      <c r="M11" s="1">
        <f>IF('BASE PAN - CAPEX'!$S11=2028,'BASE PAN - CAPEX'!$AD11,IF('BASE PAN - CAPEX'!$AE11=2028,'BASE PAN - CAPEX'!$AP11,IF('BASE PAN - CAPEX'!$AQ11=2028,'BASE PAN - CAPEX'!$BB11,0)))</f>
        <v>0</v>
      </c>
      <c r="N11" s="1">
        <f>IF('BASE PAN - CAPEX'!$S11=2029,'BASE PAN - CAPEX'!$AD11,IF('BASE PAN - CAPEX'!$AE11=2029,'BASE PAN - CAPEX'!$AP11,IF('BASE PAN - CAPEX'!$AQ11=2029,'BASE PAN - CAPEX'!$BB11,0)))</f>
        <v>0</v>
      </c>
      <c r="O11" s="1">
        <f>IF('BASE PAN - CAPEX'!$S11=2030,'BASE PAN - CAPEX'!$AD11,IF('BASE PAN - CAPEX'!$AE11=2030,'BASE PAN - CAPEX'!$AP11,IF('BASE PAN - CAPEX'!$AQ11=2030,'BASE PAN - CAPEX'!$BB11,0)))</f>
        <v>0</v>
      </c>
      <c r="P11" s="1">
        <f>IF('BASE PAN - CAPEX'!$S11=2031,'BASE PAN - CAPEX'!$AD11,IF('BASE PAN - CAPEX'!$AE11=2031,'BASE PAN - CAPEX'!$AP11,IF('BASE PAN - CAPEX'!$AQ11=2031,'BASE PAN - CAPEX'!$BB11,0)))</f>
        <v>0</v>
      </c>
      <c r="Q11" s="1">
        <f>IF('BASE PAN - CAPEX'!$S11=2032,'BASE PAN - CAPEX'!$AD11,IF('BASE PAN - CAPEX'!$AE11=2032,'BASE PAN - CAPEX'!$AP11,IF('BASE PAN - CAPEX'!$AQ11=2032,'BASE PAN - CAPEX'!$BB11,0)))+VLOOKUP(C11,'BASE PAN - CAPEX - 1º ANO'!$C$3:$BF$35,56,FALSE)</f>
        <v>0</v>
      </c>
      <c r="R11" s="1">
        <f>IF('BASE PAN - CAPEX'!$S11=2033,'BASE PAN - CAPEX'!$AD11,IF('BASE PAN - CAPEX'!$AE11=2033,'BASE PAN - CAPEX'!$AP11,IF('BASE PAN - CAPEX'!$AQ11=2033,'BASE PAN - CAPEX'!$BB11,0)))</f>
        <v>0</v>
      </c>
      <c r="S11" s="1">
        <f>IF('BASE PAN - CAPEX'!$S11=2034,'BASE PAN - CAPEX'!$AD11,IF('BASE PAN - CAPEX'!$AE11=2034,'BASE PAN - CAPEX'!$AP11,IF('BASE PAN - CAPEX'!$AQ11=2034,'BASE PAN - CAPEX'!$BB11,0)))</f>
        <v>0</v>
      </c>
      <c r="T11" s="1">
        <f>IF('BASE PAN - CAPEX'!$S11=2035,'BASE PAN - CAPEX'!$AD11,IF('BASE PAN - CAPEX'!$AE11=2035,'BASE PAN - CAPEX'!$AP11,IF('BASE PAN - CAPEX'!$AQ11=2035,'BASE PAN - CAPEX'!$BB11,0)))</f>
        <v>0</v>
      </c>
      <c r="U11" s="1">
        <f>IF('BASE PAN - CAPEX'!$S11=2036,'BASE PAN - CAPEX'!$AD11,IF('BASE PAN - CAPEX'!$AE11=2036,'BASE PAN - CAPEX'!$AP11,IF('BASE PAN - CAPEX'!$AQ11=2036,'BASE PAN - CAPEX'!$BB11,0)))</f>
        <v>0</v>
      </c>
      <c r="V11" s="1">
        <f>IF('BASE PAN - CAPEX'!$S11=2037,'BASE PAN - CAPEX'!$AD11,IF('BASE PAN - CAPEX'!$AE11=2037,'BASE PAN - CAPEX'!$AP11,IF('BASE PAN - CAPEX'!$AQ11=2037,'BASE PAN - CAPEX'!$BB11,0)))+VLOOKUP(C11,'BASE PAN - CAPEX - 1º ANO'!$C$3:$BG$35,57,FALSE)</f>
        <v>0</v>
      </c>
      <c r="W11" s="1">
        <f>IF('BASE PAN - CAPEX'!$S11=2038,'BASE PAN - CAPEX'!$AD11,IF('BASE PAN - CAPEX'!$AE11=2038,'BASE PAN - CAPEX'!$AP11,IF('BASE PAN - CAPEX'!$AQ11=2038,'BASE PAN - CAPEX'!$BB11,0)))</f>
        <v>0</v>
      </c>
      <c r="X11" s="1">
        <f>IF('BASE PAN - CAPEX'!$S11=2039,'BASE PAN - CAPEX'!$AD11,IF('BASE PAN - CAPEX'!$AE11=2039,'BASE PAN - CAPEX'!$AP11,IF('BASE PAN - CAPEX'!$AQ11=2039,'BASE PAN - CAPEX'!$BB11,0)))</f>
        <v>0</v>
      </c>
      <c r="Y11" s="1">
        <f>IF('BASE PAN - CAPEX'!$S11=2040,'BASE PAN - CAPEX'!$AD11,IF('BASE PAN - CAPEX'!$AE11=2040,'BASE PAN - CAPEX'!$AP11,IF('BASE PAN - CAPEX'!$AQ11=2040,'BASE PAN - CAPEX'!$BB11,0)))</f>
        <v>0</v>
      </c>
      <c r="Z11" s="1">
        <f>IF('BASE PAN - CAPEX'!$S11=2041,'BASE PAN - CAPEX'!$AD11,IF('BASE PAN - CAPEX'!$AE11=2041,'BASE PAN - CAPEX'!$AP11,IF('BASE PAN - CAPEX'!$AQ11=2041,'BASE PAN - CAPEX'!$BB11,0)))</f>
        <v>0</v>
      </c>
      <c r="AA11" s="1">
        <f>IF('BASE PAN - CAPEX'!$S11=2042,'BASE PAN - CAPEX'!$AD11,IF('BASE PAN - CAPEX'!$AE11=2042,'BASE PAN - CAPEX'!$AP11,IF('BASE PAN - CAPEX'!$AQ11=2042,'BASE PAN - CAPEX'!$BB11,0)))</f>
        <v>0</v>
      </c>
      <c r="AB11" s="1">
        <f>IF('BASE PAN - CAPEX'!$S11=2043,'BASE PAN - CAPEX'!$AD11,IF('BASE PAN - CAPEX'!$AE11=2043,'BASE PAN - CAPEX'!$AP11,IF('BASE PAN - CAPEX'!$AQ11=2043,'BASE PAN - CAPEX'!$BB11,0)))</f>
        <v>0</v>
      </c>
      <c r="AC11" s="1">
        <f>IF('BASE PAN - CAPEX'!$S11=2044,'BASE PAN - CAPEX'!$AD11,IF('BASE PAN - CAPEX'!$AE11=2044,'BASE PAN - CAPEX'!$AP11,IF('BASE PAN - CAPEX'!$AQ11=2044,'BASE PAN - CAPEX'!$BB11,0)))</f>
        <v>0</v>
      </c>
      <c r="AD11" s="1">
        <f>IF('BASE PAN - CAPEX'!$S11=2045,'BASE PAN - CAPEX'!$AD11,IF('BASE PAN - CAPEX'!$AE11=2045,'BASE PAN - CAPEX'!$AP11,IF('BASE PAN - CAPEX'!$AQ11=2045,'BASE PAN - CAPEX'!$BB11,0)))</f>
        <v>0</v>
      </c>
      <c r="AE11" s="1">
        <f>IF('BASE PAN - CAPEX'!$S11=2046,'BASE PAN - CAPEX'!$AD11,IF('BASE PAN - CAPEX'!$AE11=2046,'BASE PAN - CAPEX'!$AP11,IF('BASE PAN - CAPEX'!$AQ11=2046,'BASE PAN - CAPEX'!$BB11,0)))</f>
        <v>0</v>
      </c>
      <c r="AF11" s="1">
        <f>IF('BASE PAN - CAPEX'!$S11=2047,'BASE PAN - CAPEX'!$AD11,IF('BASE PAN - CAPEX'!$AE11=2047,'BASE PAN - CAPEX'!$AP11,IF('BASE PAN - CAPEX'!$AQ11=2047,'BASE PAN - CAPEX'!$BB11,0)))</f>
        <v>0</v>
      </c>
      <c r="AG11" s="1">
        <f>IF('BASE PAN - CAPEX'!$S11=2048,'BASE PAN - CAPEX'!$AD11,IF('BASE PAN - CAPEX'!$AE11=2048,'BASE PAN - CAPEX'!$AP11,IF('BASE PAN - CAPEX'!$AQ11=2048,'BASE PAN - CAPEX'!$BB11,0)))</f>
        <v>0</v>
      </c>
      <c r="AH11" s="1">
        <f>IF('BASE PAN - CAPEX'!$S11=2049,'BASE PAN - CAPEX'!$AD11,IF('BASE PAN - CAPEX'!$AE11=2049,'BASE PAN - CAPEX'!$AP11,IF('BASE PAN - CAPEX'!$AQ11=2049,'BASE PAN - CAPEX'!$BB11,0)))</f>
        <v>0</v>
      </c>
      <c r="AI11" s="1">
        <f>IF('BASE PAN - CAPEX'!$S11=2050,'BASE PAN - CAPEX'!$AD11,IF('BASE PAN - CAPEX'!$AE11=2050,'BASE PAN - CAPEX'!$AP11,IF('BASE PAN - CAPEX'!$AQ11=2050,'BASE PAN - CAPEX'!$BB11,0)))</f>
        <v>0</v>
      </c>
      <c r="AJ11" s="1">
        <f>IF('BASE PAN - CAPEX'!$S11=2051,'BASE PAN - CAPEX'!$AD11,IF('BASE PAN - CAPEX'!$AE11=2051,'BASE PAN - CAPEX'!$AP11,IF('BASE PAN - CAPEX'!$AQ11=2051,'BASE PAN - CAPEX'!$BB11,0)))</f>
        <v>0</v>
      </c>
      <c r="AK11" s="1">
        <f>IF('BASE PAN - CAPEX'!$S11=2052,'BASE PAN - CAPEX'!$AD11,IF('BASE PAN - CAPEX'!$AE11=2052,'BASE PAN - CAPEX'!$AP11,IF('BASE PAN - CAPEX'!$AQ11=2052,'BASE PAN - CAPEX'!$BB11,0)))</f>
        <v>0</v>
      </c>
      <c r="AL11" s="1">
        <f>IF('BASE PAN - CAPEX'!$S11=2053,'BASE PAN - CAPEX'!$AD11,IF('BASE PAN - CAPEX'!$AE11=2053,'BASE PAN - CAPEX'!$AP11,IF('BASE PAN - CAPEX'!$AQ11=2053,'BASE PAN - CAPEX'!$BB11,0)))</f>
        <v>0</v>
      </c>
      <c r="AM11" s="1">
        <f t="shared" si="0"/>
        <v>37775000</v>
      </c>
      <c r="AN11" s="3" t="s">
        <v>171</v>
      </c>
      <c r="AO11" s="3">
        <v>1</v>
      </c>
      <c r="AP11" s="3" t="s">
        <v>171</v>
      </c>
      <c r="AQ11" s="3" t="s">
        <v>171</v>
      </c>
      <c r="AR11" s="3" t="s">
        <v>171</v>
      </c>
      <c r="AS11" s="3" t="s">
        <v>171</v>
      </c>
      <c r="AT11" s="3" t="s">
        <v>171</v>
      </c>
      <c r="AU11" s="3" t="s">
        <v>171</v>
      </c>
      <c r="AV11" t="str">
        <f>VLOOKUP(C11,'FLUXO DE CAIXA DESC.-BLOCOS PAN'!$D$3:$AO$52,38,FALSE)</f>
        <v>AC + AM - 1 - AL</v>
      </c>
    </row>
    <row r="12" spans="1:48" x14ac:dyDescent="0.35">
      <c r="A12" t="s">
        <v>74</v>
      </c>
      <c r="B12" t="s">
        <v>75</v>
      </c>
      <c r="C12" t="s">
        <v>76</v>
      </c>
      <c r="D12" t="s">
        <v>75</v>
      </c>
      <c r="E12" t="s">
        <v>29</v>
      </c>
      <c r="F12" t="s">
        <v>33</v>
      </c>
      <c r="G12" t="s">
        <v>34</v>
      </c>
      <c r="H12" s="1">
        <f>VLOOKUP(C12,'BASE PAN - CAPEX'!$C$3:$R$37,16,FALSE)+'BASE PAN - CAPEX'!BC12</f>
        <v>41415000</v>
      </c>
      <c r="I12" s="1">
        <f>IF('BASE PAN - CAPEX'!$S12=2024,'BASE PAN - CAPEX'!$AD12,IF('BASE PAN - CAPEX'!$AE12=2024,'BASE PAN - CAPEX'!$AP12,IF('BASE PAN - CAPEX'!$AQ12=2024,'BASE PAN - CAPEX'!$BB12,0)))</f>
        <v>0</v>
      </c>
      <c r="J12" s="1">
        <f>IF('BASE PAN - CAPEX'!$S12=2025,'BASE PAN - CAPEX'!$AD12,IF('BASE PAN - CAPEX'!$AE12=2025,'BASE PAN - CAPEX'!$AP12,IF('BASE PAN - CAPEX'!$AQ12=2025,'BASE PAN - CAPEX'!$BB12,0)))</f>
        <v>0</v>
      </c>
      <c r="K12" s="1">
        <f>IF('BASE PAN - CAPEX'!$S12=2026,'BASE PAN - CAPEX'!$AD12,IF('BASE PAN - CAPEX'!$AE12=2026,'BASE PAN - CAPEX'!$AP12,IF('BASE PAN - CAPEX'!$AQ12=2026,'BASE PAN - CAPEX'!$BB12,0)))</f>
        <v>0</v>
      </c>
      <c r="L12" s="1">
        <f>IF('BASE PAN - CAPEX'!$S12=2027,'BASE PAN - CAPEX'!$AD12,IF('BASE PAN - CAPEX'!$AE12=2027,'BASE PAN - CAPEX'!$AP12,IF('BASE PAN - CAPEX'!$AQ12=2027,'BASE PAN - CAPEX'!$BB12,0)))+VLOOKUP(C12,'BASE PAN - CAPEX - 1º ANO'!$C$3:$BE$35,55,FALSE)</f>
        <v>0</v>
      </c>
      <c r="M12" s="1">
        <f>IF('BASE PAN - CAPEX'!$S12=2028,'BASE PAN - CAPEX'!$AD12,IF('BASE PAN - CAPEX'!$AE12=2028,'BASE PAN - CAPEX'!$AP12,IF('BASE PAN - CAPEX'!$AQ12=2028,'BASE PAN - CAPEX'!$BB12,0)))</f>
        <v>0</v>
      </c>
      <c r="N12" s="1">
        <f>IF('BASE PAN - CAPEX'!$S12=2029,'BASE PAN - CAPEX'!$AD12,IF('BASE PAN - CAPEX'!$AE12=2029,'BASE PAN - CAPEX'!$AP12,IF('BASE PAN - CAPEX'!$AQ12=2029,'BASE PAN - CAPEX'!$BB12,0)))</f>
        <v>0</v>
      </c>
      <c r="O12" s="1">
        <f>IF('BASE PAN - CAPEX'!$S12=2030,'BASE PAN - CAPEX'!$AD12,IF('BASE PAN - CAPEX'!$AE12=2030,'BASE PAN - CAPEX'!$AP12,IF('BASE PAN - CAPEX'!$AQ12=2030,'BASE PAN - CAPEX'!$BB12,0)))</f>
        <v>0</v>
      </c>
      <c r="P12" s="1">
        <f>IF('BASE PAN - CAPEX'!$S12=2031,'BASE PAN - CAPEX'!$AD12,IF('BASE PAN - CAPEX'!$AE12=2031,'BASE PAN - CAPEX'!$AP12,IF('BASE PAN - CAPEX'!$AQ12=2031,'BASE PAN - CAPEX'!$BB12,0)))</f>
        <v>0</v>
      </c>
      <c r="Q12" s="1">
        <f>IF('BASE PAN - CAPEX'!$S12=2032,'BASE PAN - CAPEX'!$AD12,IF('BASE PAN - CAPEX'!$AE12=2032,'BASE PAN - CAPEX'!$AP12,IF('BASE PAN - CAPEX'!$AQ12=2032,'BASE PAN - CAPEX'!$BB12,0)))+VLOOKUP(C12,'BASE PAN - CAPEX - 1º ANO'!$C$3:$BF$35,56,FALSE)</f>
        <v>0</v>
      </c>
      <c r="R12" s="1">
        <f>IF('BASE PAN - CAPEX'!$S12=2033,'BASE PAN - CAPEX'!$AD12,IF('BASE PAN - CAPEX'!$AE12=2033,'BASE PAN - CAPEX'!$AP12,IF('BASE PAN - CAPEX'!$AQ12=2033,'BASE PAN - CAPEX'!$BB12,0)))</f>
        <v>0</v>
      </c>
      <c r="S12" s="1">
        <f>IF('BASE PAN - CAPEX'!$S12=2034,'BASE PAN - CAPEX'!$AD12,IF('BASE PAN - CAPEX'!$AE12=2034,'BASE PAN - CAPEX'!$AP12,IF('BASE PAN - CAPEX'!$AQ12=2034,'BASE PAN - CAPEX'!$BB12,0)))</f>
        <v>0</v>
      </c>
      <c r="T12" s="1">
        <f>IF('BASE PAN - CAPEX'!$S12=2035,'BASE PAN - CAPEX'!$AD12,IF('BASE PAN - CAPEX'!$AE12=2035,'BASE PAN - CAPEX'!$AP12,IF('BASE PAN - CAPEX'!$AQ12=2035,'BASE PAN - CAPEX'!$BB12,0)))</f>
        <v>0</v>
      </c>
      <c r="U12" s="1">
        <f>IF('BASE PAN - CAPEX'!$S12=2036,'BASE PAN - CAPEX'!$AD12,IF('BASE PAN - CAPEX'!$AE12=2036,'BASE PAN - CAPEX'!$AP12,IF('BASE PAN - CAPEX'!$AQ12=2036,'BASE PAN - CAPEX'!$BB12,0)))</f>
        <v>0</v>
      </c>
      <c r="V12" s="1">
        <f>IF('BASE PAN - CAPEX'!$S12=2037,'BASE PAN - CAPEX'!$AD12,IF('BASE PAN - CAPEX'!$AE12=2037,'BASE PAN - CAPEX'!$AP12,IF('BASE PAN - CAPEX'!$AQ12=2037,'BASE PAN - CAPEX'!$BB12,0)))+VLOOKUP(C12,'BASE PAN - CAPEX - 1º ANO'!$C$3:$BG$35,57,FALSE)</f>
        <v>0</v>
      </c>
      <c r="W12" s="1">
        <f>IF('BASE PAN - CAPEX'!$S12=2038,'BASE PAN - CAPEX'!$AD12,IF('BASE PAN - CAPEX'!$AE12=2038,'BASE PAN - CAPEX'!$AP12,IF('BASE PAN - CAPEX'!$AQ12=2038,'BASE PAN - CAPEX'!$BB12,0)))</f>
        <v>0</v>
      </c>
      <c r="X12" s="1">
        <f>IF('BASE PAN - CAPEX'!$S12=2039,'BASE PAN - CAPEX'!$AD12,IF('BASE PAN - CAPEX'!$AE12=2039,'BASE PAN - CAPEX'!$AP12,IF('BASE PAN - CAPEX'!$AQ12=2039,'BASE PAN - CAPEX'!$BB12,0)))</f>
        <v>0</v>
      </c>
      <c r="Y12" s="1">
        <f>IF('BASE PAN - CAPEX'!$S12=2040,'BASE PAN - CAPEX'!$AD12,IF('BASE PAN - CAPEX'!$AE12=2040,'BASE PAN - CAPEX'!$AP12,IF('BASE PAN - CAPEX'!$AQ12=2040,'BASE PAN - CAPEX'!$BB12,0)))</f>
        <v>0</v>
      </c>
      <c r="Z12" s="1">
        <f>IF('BASE PAN - CAPEX'!$S12=2041,'BASE PAN - CAPEX'!$AD12,IF('BASE PAN - CAPEX'!$AE12=2041,'BASE PAN - CAPEX'!$AP12,IF('BASE PAN - CAPEX'!$AQ12=2041,'BASE PAN - CAPEX'!$BB12,0)))</f>
        <v>0</v>
      </c>
      <c r="AA12" s="1">
        <f>IF('BASE PAN - CAPEX'!$S12=2042,'BASE PAN - CAPEX'!$AD12,IF('BASE PAN - CAPEX'!$AE12=2042,'BASE PAN - CAPEX'!$AP12,IF('BASE PAN - CAPEX'!$AQ12=2042,'BASE PAN - CAPEX'!$BB12,0)))</f>
        <v>0</v>
      </c>
      <c r="AB12" s="1">
        <f>IF('BASE PAN - CAPEX'!$S12=2043,'BASE PAN - CAPEX'!$AD12,IF('BASE PAN - CAPEX'!$AE12=2043,'BASE PAN - CAPEX'!$AP12,IF('BASE PAN - CAPEX'!$AQ12=2043,'BASE PAN - CAPEX'!$BB12,0)))</f>
        <v>0</v>
      </c>
      <c r="AC12" s="1">
        <f>IF('BASE PAN - CAPEX'!$S12=2044,'BASE PAN - CAPEX'!$AD12,IF('BASE PAN - CAPEX'!$AE12=2044,'BASE PAN - CAPEX'!$AP12,IF('BASE PAN - CAPEX'!$AQ12=2044,'BASE PAN - CAPEX'!$BB12,0)))</f>
        <v>0</v>
      </c>
      <c r="AD12" s="1">
        <f>IF('BASE PAN - CAPEX'!$S12=2045,'BASE PAN - CAPEX'!$AD12,IF('BASE PAN - CAPEX'!$AE12=2045,'BASE PAN - CAPEX'!$AP12,IF('BASE PAN - CAPEX'!$AQ12=2045,'BASE PAN - CAPEX'!$BB12,0)))</f>
        <v>0</v>
      </c>
      <c r="AE12" s="1">
        <f>IF('BASE PAN - CAPEX'!$S12=2046,'BASE PAN - CAPEX'!$AD12,IF('BASE PAN - CAPEX'!$AE12=2046,'BASE PAN - CAPEX'!$AP12,IF('BASE PAN - CAPEX'!$AQ12=2046,'BASE PAN - CAPEX'!$BB12,0)))</f>
        <v>0</v>
      </c>
      <c r="AF12" s="1">
        <f>IF('BASE PAN - CAPEX'!$S12=2047,'BASE PAN - CAPEX'!$AD12,IF('BASE PAN - CAPEX'!$AE12=2047,'BASE PAN - CAPEX'!$AP12,IF('BASE PAN - CAPEX'!$AQ12=2047,'BASE PAN - CAPEX'!$BB12,0)))</f>
        <v>0</v>
      </c>
      <c r="AG12" s="1">
        <f>IF('BASE PAN - CAPEX'!$S12=2048,'BASE PAN - CAPEX'!$AD12,IF('BASE PAN - CAPEX'!$AE12=2048,'BASE PAN - CAPEX'!$AP12,IF('BASE PAN - CAPEX'!$AQ12=2048,'BASE PAN - CAPEX'!$BB12,0)))</f>
        <v>0</v>
      </c>
      <c r="AH12" s="1">
        <f>IF('BASE PAN - CAPEX'!$S12=2049,'BASE PAN - CAPEX'!$AD12,IF('BASE PAN - CAPEX'!$AE12=2049,'BASE PAN - CAPEX'!$AP12,IF('BASE PAN - CAPEX'!$AQ12=2049,'BASE PAN - CAPEX'!$BB12,0)))</f>
        <v>55300000</v>
      </c>
      <c r="AI12" s="1">
        <f>IF('BASE PAN - CAPEX'!$S12=2050,'BASE PAN - CAPEX'!$AD12,IF('BASE PAN - CAPEX'!$AE12=2050,'BASE PAN - CAPEX'!$AP12,IF('BASE PAN - CAPEX'!$AQ12=2050,'BASE PAN - CAPEX'!$BB12,0)))</f>
        <v>0</v>
      </c>
      <c r="AJ12" s="1">
        <f>IF('BASE PAN - CAPEX'!$S12=2051,'BASE PAN - CAPEX'!$AD12,IF('BASE PAN - CAPEX'!$AE12=2051,'BASE PAN - CAPEX'!$AP12,IF('BASE PAN - CAPEX'!$AQ12=2051,'BASE PAN - CAPEX'!$BB12,0)))</f>
        <v>0</v>
      </c>
      <c r="AK12" s="1">
        <f>IF('BASE PAN - CAPEX'!$S12=2052,'BASE PAN - CAPEX'!$AD12,IF('BASE PAN - CAPEX'!$AE12=2052,'BASE PAN - CAPEX'!$AP12,IF('BASE PAN - CAPEX'!$AQ12=2052,'BASE PAN - CAPEX'!$BB12,0)))</f>
        <v>0</v>
      </c>
      <c r="AL12" s="1">
        <f>IF('BASE PAN - CAPEX'!$S12=2053,'BASE PAN - CAPEX'!$AD12,IF('BASE PAN - CAPEX'!$AE12=2053,'BASE PAN - CAPEX'!$AP12,IF('BASE PAN - CAPEX'!$AQ12=2053,'BASE PAN - CAPEX'!$BB12,0)))</f>
        <v>0</v>
      </c>
      <c r="AM12" s="1">
        <f t="shared" si="0"/>
        <v>96715000</v>
      </c>
      <c r="AN12" s="3" t="s">
        <v>171</v>
      </c>
      <c r="AO12" s="3">
        <v>1</v>
      </c>
      <c r="AP12" s="3" t="s">
        <v>171</v>
      </c>
      <c r="AQ12" s="3">
        <v>2049</v>
      </c>
      <c r="AR12" s="3">
        <v>2026</v>
      </c>
      <c r="AS12" s="3" t="s">
        <v>171</v>
      </c>
      <c r="AT12" s="3">
        <v>3</v>
      </c>
      <c r="AU12" s="3">
        <v>2</v>
      </c>
      <c r="AV12" t="str">
        <f>VLOOKUP(C12,'FLUXO DE CAIXA DESC.-BLOCOS PAN'!$D$3:$AO$52,38,FALSE)</f>
        <v>PA - 2 - AL</v>
      </c>
    </row>
    <row r="13" spans="1:48" x14ac:dyDescent="0.35">
      <c r="A13" t="s">
        <v>77</v>
      </c>
      <c r="B13" t="s">
        <v>78</v>
      </c>
      <c r="C13" t="s">
        <v>79</v>
      </c>
      <c r="D13" t="s">
        <v>78</v>
      </c>
      <c r="E13" t="s">
        <v>35</v>
      </c>
      <c r="F13" t="s">
        <v>33</v>
      </c>
      <c r="G13" t="s">
        <v>34</v>
      </c>
      <c r="H13" s="1">
        <f>VLOOKUP(C13,'BASE PAN - CAPEX'!$C$3:$R$37,16,FALSE)+'BASE PAN - CAPEX'!BC13</f>
        <v>17505000</v>
      </c>
      <c r="I13" s="1">
        <f>IF('BASE PAN - CAPEX'!$S13=2024,'BASE PAN - CAPEX'!$AD13,IF('BASE PAN - CAPEX'!$AE13=2024,'BASE PAN - CAPEX'!$AP13,IF('BASE PAN - CAPEX'!$AQ13=2024,'BASE PAN - CAPEX'!$BB13,0)))</f>
        <v>270000</v>
      </c>
      <c r="J13" s="1">
        <f>IF('BASE PAN - CAPEX'!$S13=2025,'BASE PAN - CAPEX'!$AD13,IF('BASE PAN - CAPEX'!$AE13=2025,'BASE PAN - CAPEX'!$AP13,IF('BASE PAN - CAPEX'!$AQ13=2025,'BASE PAN - CAPEX'!$BB13,0)))</f>
        <v>0</v>
      </c>
      <c r="K13" s="1">
        <f>IF('BASE PAN - CAPEX'!$S13=2026,'BASE PAN - CAPEX'!$AD13,IF('BASE PAN - CAPEX'!$AE13=2026,'BASE PAN - CAPEX'!$AP13,IF('BASE PAN - CAPEX'!$AQ13=2026,'BASE PAN - CAPEX'!$BB13,0)))</f>
        <v>0</v>
      </c>
      <c r="L13" s="1">
        <f>IF('BASE PAN - CAPEX'!$S13=2027,'BASE PAN - CAPEX'!$AD13,IF('BASE PAN - CAPEX'!$AE13=2027,'BASE PAN - CAPEX'!$AP13,IF('BASE PAN - CAPEX'!$AQ13=2027,'BASE PAN - CAPEX'!$BB13,0)))+VLOOKUP(C13,'BASE PAN - CAPEX - 1º ANO'!$C$3:$BE$35,55,FALSE)</f>
        <v>0</v>
      </c>
      <c r="M13" s="1">
        <f>IF('BASE PAN - CAPEX'!$S13=2028,'BASE PAN - CAPEX'!$AD13,IF('BASE PAN - CAPEX'!$AE13=2028,'BASE PAN - CAPEX'!$AP13,IF('BASE PAN - CAPEX'!$AQ13=2028,'BASE PAN - CAPEX'!$BB13,0)))</f>
        <v>0</v>
      </c>
      <c r="N13" s="1">
        <f>IF('BASE PAN - CAPEX'!$S13=2029,'BASE PAN - CAPEX'!$AD13,IF('BASE PAN - CAPEX'!$AE13=2029,'BASE PAN - CAPEX'!$AP13,IF('BASE PAN - CAPEX'!$AQ13=2029,'BASE PAN - CAPEX'!$BB13,0)))</f>
        <v>0</v>
      </c>
      <c r="O13" s="1">
        <f>IF('BASE PAN - CAPEX'!$S13=2030,'BASE PAN - CAPEX'!$AD13,IF('BASE PAN - CAPEX'!$AE13=2030,'BASE PAN - CAPEX'!$AP13,IF('BASE PAN - CAPEX'!$AQ13=2030,'BASE PAN - CAPEX'!$BB13,0)))</f>
        <v>0</v>
      </c>
      <c r="P13" s="1">
        <f>IF('BASE PAN - CAPEX'!$S13=2031,'BASE PAN - CAPEX'!$AD13,IF('BASE PAN - CAPEX'!$AE13=2031,'BASE PAN - CAPEX'!$AP13,IF('BASE PAN - CAPEX'!$AQ13=2031,'BASE PAN - CAPEX'!$BB13,0)))</f>
        <v>0</v>
      </c>
      <c r="Q13" s="1">
        <f>IF('BASE PAN - CAPEX'!$S13=2032,'BASE PAN - CAPEX'!$AD13,IF('BASE PAN - CAPEX'!$AE13=2032,'BASE PAN - CAPEX'!$AP13,IF('BASE PAN - CAPEX'!$AQ13=2032,'BASE PAN - CAPEX'!$BB13,0)))+VLOOKUP(C13,'BASE PAN - CAPEX - 1º ANO'!$C$3:$BF$35,56,FALSE)</f>
        <v>0</v>
      </c>
      <c r="R13" s="1">
        <f>IF('BASE PAN - CAPEX'!$S13=2033,'BASE PAN - CAPEX'!$AD13,IF('BASE PAN - CAPEX'!$AE13=2033,'BASE PAN - CAPEX'!$AP13,IF('BASE PAN - CAPEX'!$AQ13=2033,'BASE PAN - CAPEX'!$BB13,0)))</f>
        <v>0</v>
      </c>
      <c r="S13" s="1">
        <f>IF('BASE PAN - CAPEX'!$S13=2034,'BASE PAN - CAPEX'!$AD13,IF('BASE PAN - CAPEX'!$AE13=2034,'BASE PAN - CAPEX'!$AP13,IF('BASE PAN - CAPEX'!$AQ13=2034,'BASE PAN - CAPEX'!$BB13,0)))</f>
        <v>0</v>
      </c>
      <c r="T13" s="1">
        <f>IF('BASE PAN - CAPEX'!$S13=2035,'BASE PAN - CAPEX'!$AD13,IF('BASE PAN - CAPEX'!$AE13=2035,'BASE PAN - CAPEX'!$AP13,IF('BASE PAN - CAPEX'!$AQ13=2035,'BASE PAN - CAPEX'!$BB13,0)))</f>
        <v>0</v>
      </c>
      <c r="U13" s="1">
        <f>IF('BASE PAN - CAPEX'!$S13=2036,'BASE PAN - CAPEX'!$AD13,IF('BASE PAN - CAPEX'!$AE13=2036,'BASE PAN - CAPEX'!$AP13,IF('BASE PAN - CAPEX'!$AQ13=2036,'BASE PAN - CAPEX'!$BB13,0)))</f>
        <v>0</v>
      </c>
      <c r="V13" s="1">
        <f>IF('BASE PAN - CAPEX'!$S13=2037,'BASE PAN - CAPEX'!$AD13,IF('BASE PAN - CAPEX'!$AE13=2037,'BASE PAN - CAPEX'!$AP13,IF('BASE PAN - CAPEX'!$AQ13=2037,'BASE PAN - CAPEX'!$BB13,0)))+VLOOKUP(C13,'BASE PAN - CAPEX - 1º ANO'!$C$3:$BG$35,57,FALSE)</f>
        <v>0</v>
      </c>
      <c r="W13" s="1">
        <f>IF('BASE PAN - CAPEX'!$S13=2038,'BASE PAN - CAPEX'!$AD13,IF('BASE PAN - CAPEX'!$AE13=2038,'BASE PAN - CAPEX'!$AP13,IF('BASE PAN - CAPEX'!$AQ13=2038,'BASE PAN - CAPEX'!$BB13,0)))</f>
        <v>0</v>
      </c>
      <c r="X13" s="1">
        <f>IF('BASE PAN - CAPEX'!$S13=2039,'BASE PAN - CAPEX'!$AD13,IF('BASE PAN - CAPEX'!$AE13=2039,'BASE PAN - CAPEX'!$AP13,IF('BASE PAN - CAPEX'!$AQ13=2039,'BASE PAN - CAPEX'!$BB13,0)))</f>
        <v>0</v>
      </c>
      <c r="Y13" s="1">
        <f>IF('BASE PAN - CAPEX'!$S13=2040,'BASE PAN - CAPEX'!$AD13,IF('BASE PAN - CAPEX'!$AE13=2040,'BASE PAN - CAPEX'!$AP13,IF('BASE PAN - CAPEX'!$AQ13=2040,'BASE PAN - CAPEX'!$BB13,0)))</f>
        <v>0</v>
      </c>
      <c r="Z13" s="1">
        <f>IF('BASE PAN - CAPEX'!$S13=2041,'BASE PAN - CAPEX'!$AD13,IF('BASE PAN - CAPEX'!$AE13=2041,'BASE PAN - CAPEX'!$AP13,IF('BASE PAN - CAPEX'!$AQ13=2041,'BASE PAN - CAPEX'!$BB13,0)))</f>
        <v>0</v>
      </c>
      <c r="AA13" s="1">
        <f>IF('BASE PAN - CAPEX'!$S13=2042,'BASE PAN - CAPEX'!$AD13,IF('BASE PAN - CAPEX'!$AE13=2042,'BASE PAN - CAPEX'!$AP13,IF('BASE PAN - CAPEX'!$AQ13=2042,'BASE PAN - CAPEX'!$BB13,0)))</f>
        <v>0</v>
      </c>
      <c r="AB13" s="1">
        <f>IF('BASE PAN - CAPEX'!$S13=2043,'BASE PAN - CAPEX'!$AD13,IF('BASE PAN - CAPEX'!$AE13=2043,'BASE PAN - CAPEX'!$AP13,IF('BASE PAN - CAPEX'!$AQ13=2043,'BASE PAN - CAPEX'!$BB13,0)))</f>
        <v>0</v>
      </c>
      <c r="AC13" s="1">
        <f>IF('BASE PAN - CAPEX'!$S13=2044,'BASE PAN - CAPEX'!$AD13,IF('BASE PAN - CAPEX'!$AE13=2044,'BASE PAN - CAPEX'!$AP13,IF('BASE PAN - CAPEX'!$AQ13=2044,'BASE PAN - CAPEX'!$BB13,0)))</f>
        <v>0</v>
      </c>
      <c r="AD13" s="1">
        <f>IF('BASE PAN - CAPEX'!$S13=2045,'BASE PAN - CAPEX'!$AD13,IF('BASE PAN - CAPEX'!$AE13=2045,'BASE PAN - CAPEX'!$AP13,IF('BASE PAN - CAPEX'!$AQ13=2045,'BASE PAN - CAPEX'!$BB13,0)))</f>
        <v>0</v>
      </c>
      <c r="AE13" s="1">
        <f>IF('BASE PAN - CAPEX'!$S13=2046,'BASE PAN - CAPEX'!$AD13,IF('BASE PAN - CAPEX'!$AE13=2046,'BASE PAN - CAPEX'!$AP13,IF('BASE PAN - CAPEX'!$AQ13=2046,'BASE PAN - CAPEX'!$BB13,0)))</f>
        <v>0</v>
      </c>
      <c r="AF13" s="1">
        <f>IF('BASE PAN - CAPEX'!$S13=2047,'BASE PAN - CAPEX'!$AD13,IF('BASE PAN - CAPEX'!$AE13=2047,'BASE PAN - CAPEX'!$AP13,IF('BASE PAN - CAPEX'!$AQ13=2047,'BASE PAN - CAPEX'!$BB13,0)))</f>
        <v>0</v>
      </c>
      <c r="AG13" s="1">
        <f>IF('BASE PAN - CAPEX'!$S13=2048,'BASE PAN - CAPEX'!$AD13,IF('BASE PAN - CAPEX'!$AE13=2048,'BASE PAN - CAPEX'!$AP13,IF('BASE PAN - CAPEX'!$AQ13=2048,'BASE PAN - CAPEX'!$BB13,0)))</f>
        <v>0</v>
      </c>
      <c r="AH13" s="1">
        <f>IF('BASE PAN - CAPEX'!$S13=2049,'BASE PAN - CAPEX'!$AD13,IF('BASE PAN - CAPEX'!$AE13=2049,'BASE PAN - CAPEX'!$AP13,IF('BASE PAN - CAPEX'!$AQ13=2049,'BASE PAN - CAPEX'!$BB13,0)))</f>
        <v>0</v>
      </c>
      <c r="AI13" s="1">
        <f>IF('BASE PAN - CAPEX'!$S13=2050,'BASE PAN - CAPEX'!$AD13,IF('BASE PAN - CAPEX'!$AE13=2050,'BASE PAN - CAPEX'!$AP13,IF('BASE PAN - CAPEX'!$AQ13=2050,'BASE PAN - CAPEX'!$BB13,0)))</f>
        <v>0</v>
      </c>
      <c r="AJ13" s="1">
        <f>IF('BASE PAN - CAPEX'!$S13=2051,'BASE PAN - CAPEX'!$AD13,IF('BASE PAN - CAPEX'!$AE13=2051,'BASE PAN - CAPEX'!$AP13,IF('BASE PAN - CAPEX'!$AQ13=2051,'BASE PAN - CAPEX'!$BB13,0)))</f>
        <v>0</v>
      </c>
      <c r="AK13" s="1">
        <f>IF('BASE PAN - CAPEX'!$S13=2052,'BASE PAN - CAPEX'!$AD13,IF('BASE PAN - CAPEX'!$AE13=2052,'BASE PAN - CAPEX'!$AP13,IF('BASE PAN - CAPEX'!$AQ13=2052,'BASE PAN - CAPEX'!$BB13,0)))</f>
        <v>66090000</v>
      </c>
      <c r="AL13" s="1">
        <f>IF('BASE PAN - CAPEX'!$S13=2053,'BASE PAN - CAPEX'!$AD13,IF('BASE PAN - CAPEX'!$AE13=2053,'BASE PAN - CAPEX'!$AP13,IF('BASE PAN - CAPEX'!$AQ13=2053,'BASE PAN - CAPEX'!$BB13,0)))</f>
        <v>0</v>
      </c>
      <c r="AM13" s="1">
        <f t="shared" si="0"/>
        <v>83865000</v>
      </c>
      <c r="AN13" s="3" t="s">
        <v>171</v>
      </c>
      <c r="AO13" s="3">
        <v>1</v>
      </c>
      <c r="AP13" s="3" t="s">
        <v>171</v>
      </c>
      <c r="AQ13" s="3">
        <v>2052</v>
      </c>
      <c r="AR13" s="3">
        <v>2024</v>
      </c>
      <c r="AS13" s="3" t="s">
        <v>171</v>
      </c>
      <c r="AT13" s="3">
        <v>3</v>
      </c>
      <c r="AU13" s="3">
        <v>2</v>
      </c>
      <c r="AV13" t="str">
        <f>VLOOKUP(C13,'FLUXO DE CAIXA DESC.-BLOCOS PAN'!$D$3:$AO$52,38,FALSE)</f>
        <v>AM - 2 - AL</v>
      </c>
    </row>
    <row r="14" spans="1:48" x14ac:dyDescent="0.35">
      <c r="A14" t="s">
        <v>80</v>
      </c>
      <c r="B14" t="s">
        <v>81</v>
      </c>
      <c r="C14" t="s">
        <v>82</v>
      </c>
      <c r="D14" t="s">
        <v>81</v>
      </c>
      <c r="E14" t="s">
        <v>40</v>
      </c>
      <c r="F14" t="s">
        <v>33</v>
      </c>
      <c r="G14" t="s">
        <v>34</v>
      </c>
      <c r="H14" s="1">
        <f>VLOOKUP(C14,'BASE PAN - CAPEX'!$C$3:$R$37,16,FALSE)+'BASE PAN - CAPEX'!BC14</f>
        <v>10295000</v>
      </c>
      <c r="I14" s="1">
        <f>IF('BASE PAN - CAPEX'!$S14=2024,'BASE PAN - CAPEX'!$AD14,IF('BASE PAN - CAPEX'!$AE14=2024,'BASE PAN - CAPEX'!$AP14,IF('BASE PAN - CAPEX'!$AQ14=2024,'BASE PAN - CAPEX'!$BB14,0)))</f>
        <v>0</v>
      </c>
      <c r="J14" s="1">
        <f>IF('BASE PAN - CAPEX'!$S14=2025,'BASE PAN - CAPEX'!$AD14,IF('BASE PAN - CAPEX'!$AE14=2025,'BASE PAN - CAPEX'!$AP14,IF('BASE PAN - CAPEX'!$AQ14=2025,'BASE PAN - CAPEX'!$BB14,0)))</f>
        <v>0</v>
      </c>
      <c r="K14" s="1">
        <f>IF('BASE PAN - CAPEX'!$S14=2026,'BASE PAN - CAPEX'!$AD14,IF('BASE PAN - CAPEX'!$AE14=2026,'BASE PAN - CAPEX'!$AP14,IF('BASE PAN - CAPEX'!$AQ14=2026,'BASE PAN - CAPEX'!$BB14,0)))</f>
        <v>0</v>
      </c>
      <c r="L14" s="1">
        <f>IF('BASE PAN - CAPEX'!$S14=2027,'BASE PAN - CAPEX'!$AD14,IF('BASE PAN - CAPEX'!$AE14=2027,'BASE PAN - CAPEX'!$AP14,IF('BASE PAN - CAPEX'!$AQ14=2027,'BASE PAN - CAPEX'!$BB14,0)))+VLOOKUP(C14,'BASE PAN - CAPEX - 1º ANO'!$C$3:$BE$35,55,FALSE)</f>
        <v>0</v>
      </c>
      <c r="M14" s="1">
        <f>IF('BASE PAN - CAPEX'!$S14=2028,'BASE PAN - CAPEX'!$AD14,IF('BASE PAN - CAPEX'!$AE14=2028,'BASE PAN - CAPEX'!$AP14,IF('BASE PAN - CAPEX'!$AQ14=2028,'BASE PAN - CAPEX'!$BB14,0)))</f>
        <v>0</v>
      </c>
      <c r="N14" s="1">
        <f>IF('BASE PAN - CAPEX'!$S14=2029,'BASE PAN - CAPEX'!$AD14,IF('BASE PAN - CAPEX'!$AE14=2029,'BASE PAN - CAPEX'!$AP14,IF('BASE PAN - CAPEX'!$AQ14=2029,'BASE PAN - CAPEX'!$BB14,0)))</f>
        <v>0</v>
      </c>
      <c r="O14" s="1">
        <f>IF('BASE PAN - CAPEX'!$S14=2030,'BASE PAN - CAPEX'!$AD14,IF('BASE PAN - CAPEX'!$AE14=2030,'BASE PAN - CAPEX'!$AP14,IF('BASE PAN - CAPEX'!$AQ14=2030,'BASE PAN - CAPEX'!$BB14,0)))</f>
        <v>0</v>
      </c>
      <c r="P14" s="1">
        <f>IF('BASE PAN - CAPEX'!$S14=2031,'BASE PAN - CAPEX'!$AD14,IF('BASE PAN - CAPEX'!$AE14=2031,'BASE PAN - CAPEX'!$AP14,IF('BASE PAN - CAPEX'!$AQ14=2031,'BASE PAN - CAPEX'!$BB14,0)))</f>
        <v>0</v>
      </c>
      <c r="Q14" s="1">
        <f>IF('BASE PAN - CAPEX'!$S14=2032,'BASE PAN - CAPEX'!$AD14,IF('BASE PAN - CAPEX'!$AE14=2032,'BASE PAN - CAPEX'!$AP14,IF('BASE PAN - CAPEX'!$AQ14=2032,'BASE PAN - CAPEX'!$BB14,0)))+VLOOKUP(C14,'BASE PAN - CAPEX - 1º ANO'!$C$3:$BF$35,56,FALSE)</f>
        <v>0</v>
      </c>
      <c r="R14" s="1">
        <f>IF('BASE PAN - CAPEX'!$S14=2033,'BASE PAN - CAPEX'!$AD14,IF('BASE PAN - CAPEX'!$AE14=2033,'BASE PAN - CAPEX'!$AP14,IF('BASE PAN - CAPEX'!$AQ14=2033,'BASE PAN - CAPEX'!$BB14,0)))</f>
        <v>0</v>
      </c>
      <c r="S14" s="1">
        <f>IF('BASE PAN - CAPEX'!$S14=2034,'BASE PAN - CAPEX'!$AD14,IF('BASE PAN - CAPEX'!$AE14=2034,'BASE PAN - CAPEX'!$AP14,IF('BASE PAN - CAPEX'!$AQ14=2034,'BASE PAN - CAPEX'!$BB14,0)))</f>
        <v>0</v>
      </c>
      <c r="T14" s="1">
        <f>IF('BASE PAN - CAPEX'!$S14=2035,'BASE PAN - CAPEX'!$AD14,IF('BASE PAN - CAPEX'!$AE14=2035,'BASE PAN - CAPEX'!$AP14,IF('BASE PAN - CAPEX'!$AQ14=2035,'BASE PAN - CAPEX'!$BB14,0)))</f>
        <v>0</v>
      </c>
      <c r="U14" s="1">
        <f>IF('BASE PAN - CAPEX'!$S14=2036,'BASE PAN - CAPEX'!$AD14,IF('BASE PAN - CAPEX'!$AE14=2036,'BASE PAN - CAPEX'!$AP14,IF('BASE PAN - CAPEX'!$AQ14=2036,'BASE PAN - CAPEX'!$BB14,0)))</f>
        <v>0</v>
      </c>
      <c r="V14" s="1">
        <f>IF('BASE PAN - CAPEX'!$S14=2037,'BASE PAN - CAPEX'!$AD14,IF('BASE PAN - CAPEX'!$AE14=2037,'BASE PAN - CAPEX'!$AP14,IF('BASE PAN - CAPEX'!$AQ14=2037,'BASE PAN - CAPEX'!$BB14,0)))+VLOOKUP(C14,'BASE PAN - CAPEX - 1º ANO'!$C$3:$BG$35,57,FALSE)</f>
        <v>0</v>
      </c>
      <c r="W14" s="1">
        <f>IF('BASE PAN - CAPEX'!$S14=2038,'BASE PAN - CAPEX'!$AD14,IF('BASE PAN - CAPEX'!$AE14=2038,'BASE PAN - CAPEX'!$AP14,IF('BASE PAN - CAPEX'!$AQ14=2038,'BASE PAN - CAPEX'!$BB14,0)))</f>
        <v>0</v>
      </c>
      <c r="X14" s="1">
        <f>IF('BASE PAN - CAPEX'!$S14=2039,'BASE PAN - CAPEX'!$AD14,IF('BASE PAN - CAPEX'!$AE14=2039,'BASE PAN - CAPEX'!$AP14,IF('BASE PAN - CAPEX'!$AQ14=2039,'BASE PAN - CAPEX'!$BB14,0)))</f>
        <v>0</v>
      </c>
      <c r="Y14" s="1">
        <f>IF('BASE PAN - CAPEX'!$S14=2040,'BASE PAN - CAPEX'!$AD14,IF('BASE PAN - CAPEX'!$AE14=2040,'BASE PAN - CAPEX'!$AP14,IF('BASE PAN - CAPEX'!$AQ14=2040,'BASE PAN - CAPEX'!$BB14,0)))</f>
        <v>0</v>
      </c>
      <c r="Z14" s="1">
        <f>IF('BASE PAN - CAPEX'!$S14=2041,'BASE PAN - CAPEX'!$AD14,IF('BASE PAN - CAPEX'!$AE14=2041,'BASE PAN - CAPEX'!$AP14,IF('BASE PAN - CAPEX'!$AQ14=2041,'BASE PAN - CAPEX'!$BB14,0)))</f>
        <v>0</v>
      </c>
      <c r="AA14" s="1">
        <f>IF('BASE PAN - CAPEX'!$S14=2042,'BASE PAN - CAPEX'!$AD14,IF('BASE PAN - CAPEX'!$AE14=2042,'BASE PAN - CAPEX'!$AP14,IF('BASE PAN - CAPEX'!$AQ14=2042,'BASE PAN - CAPEX'!$BB14,0)))</f>
        <v>0</v>
      </c>
      <c r="AB14" s="1">
        <f>IF('BASE PAN - CAPEX'!$S14=2043,'BASE PAN - CAPEX'!$AD14,IF('BASE PAN - CAPEX'!$AE14=2043,'BASE PAN - CAPEX'!$AP14,IF('BASE PAN - CAPEX'!$AQ14=2043,'BASE PAN - CAPEX'!$BB14,0)))</f>
        <v>0</v>
      </c>
      <c r="AC14" s="1">
        <f>IF('BASE PAN - CAPEX'!$S14=2044,'BASE PAN - CAPEX'!$AD14,IF('BASE PAN - CAPEX'!$AE14=2044,'BASE PAN - CAPEX'!$AP14,IF('BASE PAN - CAPEX'!$AQ14=2044,'BASE PAN - CAPEX'!$BB14,0)))</f>
        <v>0</v>
      </c>
      <c r="AD14" s="1">
        <f>IF('BASE PAN - CAPEX'!$S14=2045,'BASE PAN - CAPEX'!$AD14,IF('BASE PAN - CAPEX'!$AE14=2045,'BASE PAN - CAPEX'!$AP14,IF('BASE PAN - CAPEX'!$AQ14=2045,'BASE PAN - CAPEX'!$BB14,0)))</f>
        <v>0</v>
      </c>
      <c r="AE14" s="1">
        <f>IF('BASE PAN - CAPEX'!$S14=2046,'BASE PAN - CAPEX'!$AD14,IF('BASE PAN - CAPEX'!$AE14=2046,'BASE PAN - CAPEX'!$AP14,IF('BASE PAN - CAPEX'!$AQ14=2046,'BASE PAN - CAPEX'!$BB14,0)))</f>
        <v>0</v>
      </c>
      <c r="AF14" s="1">
        <f>IF('BASE PAN - CAPEX'!$S14=2047,'BASE PAN - CAPEX'!$AD14,IF('BASE PAN - CAPEX'!$AE14=2047,'BASE PAN - CAPEX'!$AP14,IF('BASE PAN - CAPEX'!$AQ14=2047,'BASE PAN - CAPEX'!$BB14,0)))</f>
        <v>0</v>
      </c>
      <c r="AG14" s="1">
        <f>IF('BASE PAN - CAPEX'!$S14=2048,'BASE PAN - CAPEX'!$AD14,IF('BASE PAN - CAPEX'!$AE14=2048,'BASE PAN - CAPEX'!$AP14,IF('BASE PAN - CAPEX'!$AQ14=2048,'BASE PAN - CAPEX'!$BB14,0)))</f>
        <v>34765000</v>
      </c>
      <c r="AH14" s="1">
        <f>IF('BASE PAN - CAPEX'!$S14=2049,'BASE PAN - CAPEX'!$AD14,IF('BASE PAN - CAPEX'!$AE14=2049,'BASE PAN - CAPEX'!$AP14,IF('BASE PAN - CAPEX'!$AQ14=2049,'BASE PAN - CAPEX'!$BB14,0)))</f>
        <v>0</v>
      </c>
      <c r="AI14" s="1">
        <f>IF('BASE PAN - CAPEX'!$S14=2050,'BASE PAN - CAPEX'!$AD14,IF('BASE PAN - CAPEX'!$AE14=2050,'BASE PAN - CAPEX'!$AP14,IF('BASE PAN - CAPEX'!$AQ14=2050,'BASE PAN - CAPEX'!$BB14,0)))</f>
        <v>0</v>
      </c>
      <c r="AJ14" s="1">
        <f>IF('BASE PAN - CAPEX'!$S14=2051,'BASE PAN - CAPEX'!$AD14,IF('BASE PAN - CAPEX'!$AE14=2051,'BASE PAN - CAPEX'!$AP14,IF('BASE PAN - CAPEX'!$AQ14=2051,'BASE PAN - CAPEX'!$BB14,0)))</f>
        <v>0</v>
      </c>
      <c r="AK14" s="1">
        <f>IF('BASE PAN - CAPEX'!$S14=2052,'BASE PAN - CAPEX'!$AD14,IF('BASE PAN - CAPEX'!$AE14=2052,'BASE PAN - CAPEX'!$AP14,IF('BASE PAN - CAPEX'!$AQ14=2052,'BASE PAN - CAPEX'!$BB14,0)))</f>
        <v>0</v>
      </c>
      <c r="AL14" s="1">
        <f>IF('BASE PAN - CAPEX'!$S14=2053,'BASE PAN - CAPEX'!$AD14,IF('BASE PAN - CAPEX'!$AE14=2053,'BASE PAN - CAPEX'!$AP14,IF('BASE PAN - CAPEX'!$AQ14=2053,'BASE PAN - CAPEX'!$BB14,0)))</f>
        <v>0</v>
      </c>
      <c r="AM14" s="1">
        <f t="shared" si="0"/>
        <v>45060000</v>
      </c>
      <c r="AN14" s="3" t="s">
        <v>171</v>
      </c>
      <c r="AO14" s="3">
        <v>1</v>
      </c>
      <c r="AP14" s="3" t="s">
        <v>171</v>
      </c>
      <c r="AQ14" s="3">
        <v>2048</v>
      </c>
      <c r="AR14" s="3">
        <v>2032</v>
      </c>
      <c r="AS14" s="3" t="s">
        <v>171</v>
      </c>
      <c r="AT14" s="3">
        <v>3</v>
      </c>
      <c r="AU14" s="3">
        <v>2</v>
      </c>
      <c r="AV14" t="str">
        <f>VLOOKUP(C14,'FLUXO DE CAIXA DESC.-BLOCOS PAN'!$D$3:$AO$52,38,FALSE)</f>
        <v>Bloco Nordeste</v>
      </c>
    </row>
    <row r="15" spans="1:48" x14ac:dyDescent="0.35">
      <c r="A15" t="s">
        <v>83</v>
      </c>
      <c r="B15" t="s">
        <v>84</v>
      </c>
      <c r="C15" t="s">
        <v>85</v>
      </c>
      <c r="D15" t="s">
        <v>84</v>
      </c>
      <c r="E15" t="s">
        <v>30</v>
      </c>
      <c r="F15" t="s">
        <v>33</v>
      </c>
      <c r="G15" t="s">
        <v>34</v>
      </c>
      <c r="H15" s="1">
        <f>VLOOKUP(C15,'BASE PAN - CAPEX'!$C$3:$R$37,16,FALSE)+'BASE PAN - CAPEX'!BC15</f>
        <v>26230000</v>
      </c>
      <c r="I15" s="1">
        <f>IF('BASE PAN - CAPEX'!$S15=2024,'BASE PAN - CAPEX'!$AD15,IF('BASE PAN - CAPEX'!$AE15=2024,'BASE PAN - CAPEX'!$AP15,IF('BASE PAN - CAPEX'!$AQ15=2024,'BASE PAN - CAPEX'!$BB15,0)))</f>
        <v>0</v>
      </c>
      <c r="J15" s="1">
        <f>IF('BASE PAN - CAPEX'!$S15=2025,'BASE PAN - CAPEX'!$AD15,IF('BASE PAN - CAPEX'!$AE15=2025,'BASE PAN - CAPEX'!$AP15,IF('BASE PAN - CAPEX'!$AQ15=2025,'BASE PAN - CAPEX'!$BB15,0)))</f>
        <v>0</v>
      </c>
      <c r="K15" s="1">
        <f>IF('BASE PAN - CAPEX'!$S15=2026,'BASE PAN - CAPEX'!$AD15,IF('BASE PAN - CAPEX'!$AE15=2026,'BASE PAN - CAPEX'!$AP15,IF('BASE PAN - CAPEX'!$AQ15=2026,'BASE PAN - CAPEX'!$BB15,0)))</f>
        <v>0</v>
      </c>
      <c r="L15" s="1">
        <f>IF('BASE PAN - CAPEX'!$S15=2027,'BASE PAN - CAPEX'!$AD15,IF('BASE PAN - CAPEX'!$AE15=2027,'BASE PAN - CAPEX'!$AP15,IF('BASE PAN - CAPEX'!$AQ15=2027,'BASE PAN - CAPEX'!$BB15,0)))+VLOOKUP(C15,'BASE PAN - CAPEX - 1º ANO'!$C$3:$BE$35,55,FALSE)</f>
        <v>69775000</v>
      </c>
      <c r="M15" s="1">
        <f>IF('BASE PAN - CAPEX'!$S15=2028,'BASE PAN - CAPEX'!$AD15,IF('BASE PAN - CAPEX'!$AE15=2028,'BASE PAN - CAPEX'!$AP15,IF('BASE PAN - CAPEX'!$AQ15=2028,'BASE PAN - CAPEX'!$BB15,0)))</f>
        <v>0</v>
      </c>
      <c r="N15" s="1">
        <f>IF('BASE PAN - CAPEX'!$S15=2029,'BASE PAN - CAPEX'!$AD15,IF('BASE PAN - CAPEX'!$AE15=2029,'BASE PAN - CAPEX'!$AP15,IF('BASE PAN - CAPEX'!$AQ15=2029,'BASE PAN - CAPEX'!$BB15,0)))</f>
        <v>0</v>
      </c>
      <c r="O15" s="1">
        <f>IF('BASE PAN - CAPEX'!$S15=2030,'BASE PAN - CAPEX'!$AD15,IF('BASE PAN - CAPEX'!$AE15=2030,'BASE PAN - CAPEX'!$AP15,IF('BASE PAN - CAPEX'!$AQ15=2030,'BASE PAN - CAPEX'!$BB15,0)))</f>
        <v>0</v>
      </c>
      <c r="P15" s="1">
        <f>IF('BASE PAN - CAPEX'!$S15=2031,'BASE PAN - CAPEX'!$AD15,IF('BASE PAN - CAPEX'!$AE15=2031,'BASE PAN - CAPEX'!$AP15,IF('BASE PAN - CAPEX'!$AQ15=2031,'BASE PAN - CAPEX'!$BB15,0)))</f>
        <v>0</v>
      </c>
      <c r="Q15" s="1">
        <f>IF('BASE PAN - CAPEX'!$S15=2032,'BASE PAN - CAPEX'!$AD15,IF('BASE PAN - CAPEX'!$AE15=2032,'BASE PAN - CAPEX'!$AP15,IF('BASE PAN - CAPEX'!$AQ15=2032,'BASE PAN - CAPEX'!$BB15,0)))+VLOOKUP(C15,'BASE PAN - CAPEX - 1º ANO'!$C$3:$BF$35,56,FALSE)</f>
        <v>0</v>
      </c>
      <c r="R15" s="1">
        <f>IF('BASE PAN - CAPEX'!$S15=2033,'BASE PAN - CAPEX'!$AD15,IF('BASE PAN - CAPEX'!$AE15=2033,'BASE PAN - CAPEX'!$AP15,IF('BASE PAN - CAPEX'!$AQ15=2033,'BASE PAN - CAPEX'!$BB15,0)))</f>
        <v>0</v>
      </c>
      <c r="S15" s="1">
        <f>IF('BASE PAN - CAPEX'!$S15=2034,'BASE PAN - CAPEX'!$AD15,IF('BASE PAN - CAPEX'!$AE15=2034,'BASE PAN - CAPEX'!$AP15,IF('BASE PAN - CAPEX'!$AQ15=2034,'BASE PAN - CAPEX'!$BB15,0)))</f>
        <v>0</v>
      </c>
      <c r="T15" s="1">
        <f>IF('BASE PAN - CAPEX'!$S15=2035,'BASE PAN - CAPEX'!$AD15,IF('BASE PAN - CAPEX'!$AE15=2035,'BASE PAN - CAPEX'!$AP15,IF('BASE PAN - CAPEX'!$AQ15=2035,'BASE PAN - CAPEX'!$BB15,0)))</f>
        <v>0</v>
      </c>
      <c r="U15" s="1">
        <f>IF('BASE PAN - CAPEX'!$S15=2036,'BASE PAN - CAPEX'!$AD15,IF('BASE PAN - CAPEX'!$AE15=2036,'BASE PAN - CAPEX'!$AP15,IF('BASE PAN - CAPEX'!$AQ15=2036,'BASE PAN - CAPEX'!$BB15,0)))</f>
        <v>0</v>
      </c>
      <c r="V15" s="1">
        <f>IF('BASE PAN - CAPEX'!$S15=2037,'BASE PAN - CAPEX'!$AD15,IF('BASE PAN - CAPEX'!$AE15=2037,'BASE PAN - CAPEX'!$AP15,IF('BASE PAN - CAPEX'!$AQ15=2037,'BASE PAN - CAPEX'!$BB15,0)))+VLOOKUP(C15,'BASE PAN - CAPEX - 1º ANO'!$C$3:$BG$35,57,FALSE)</f>
        <v>0</v>
      </c>
      <c r="W15" s="1">
        <f>IF('BASE PAN - CAPEX'!$S15=2038,'BASE PAN - CAPEX'!$AD15,IF('BASE PAN - CAPEX'!$AE15=2038,'BASE PAN - CAPEX'!$AP15,IF('BASE PAN - CAPEX'!$AQ15=2038,'BASE PAN - CAPEX'!$BB15,0)))</f>
        <v>0</v>
      </c>
      <c r="X15" s="1">
        <f>IF('BASE PAN - CAPEX'!$S15=2039,'BASE PAN - CAPEX'!$AD15,IF('BASE PAN - CAPEX'!$AE15=2039,'BASE PAN - CAPEX'!$AP15,IF('BASE PAN - CAPEX'!$AQ15=2039,'BASE PAN - CAPEX'!$BB15,0)))</f>
        <v>0</v>
      </c>
      <c r="Y15" s="1">
        <f>IF('BASE PAN - CAPEX'!$S15=2040,'BASE PAN - CAPEX'!$AD15,IF('BASE PAN - CAPEX'!$AE15=2040,'BASE PAN - CAPEX'!$AP15,IF('BASE PAN - CAPEX'!$AQ15=2040,'BASE PAN - CAPEX'!$BB15,0)))</f>
        <v>0</v>
      </c>
      <c r="Z15" s="1">
        <f>IF('BASE PAN - CAPEX'!$S15=2041,'BASE PAN - CAPEX'!$AD15,IF('BASE PAN - CAPEX'!$AE15=2041,'BASE PAN - CAPEX'!$AP15,IF('BASE PAN - CAPEX'!$AQ15=2041,'BASE PAN - CAPEX'!$BB15,0)))</f>
        <v>0</v>
      </c>
      <c r="AA15" s="1">
        <f>IF('BASE PAN - CAPEX'!$S15=2042,'BASE PAN - CAPEX'!$AD15,IF('BASE PAN - CAPEX'!$AE15=2042,'BASE PAN - CAPEX'!$AP15,IF('BASE PAN - CAPEX'!$AQ15=2042,'BASE PAN - CAPEX'!$BB15,0)))</f>
        <v>0</v>
      </c>
      <c r="AB15" s="1">
        <f>IF('BASE PAN - CAPEX'!$S15=2043,'BASE PAN - CAPEX'!$AD15,IF('BASE PAN - CAPEX'!$AE15=2043,'BASE PAN - CAPEX'!$AP15,IF('BASE PAN - CAPEX'!$AQ15=2043,'BASE PAN - CAPEX'!$BB15,0)))</f>
        <v>0</v>
      </c>
      <c r="AC15" s="1">
        <f>IF('BASE PAN - CAPEX'!$S15=2044,'BASE PAN - CAPEX'!$AD15,IF('BASE PAN - CAPEX'!$AE15=2044,'BASE PAN - CAPEX'!$AP15,IF('BASE PAN - CAPEX'!$AQ15=2044,'BASE PAN - CAPEX'!$BB15,0)))</f>
        <v>0</v>
      </c>
      <c r="AD15" s="1">
        <f>IF('BASE PAN - CAPEX'!$S15=2045,'BASE PAN - CAPEX'!$AD15,IF('BASE PAN - CAPEX'!$AE15=2045,'BASE PAN - CAPEX'!$AP15,IF('BASE PAN - CAPEX'!$AQ15=2045,'BASE PAN - CAPEX'!$BB15,0)))</f>
        <v>0</v>
      </c>
      <c r="AE15" s="1">
        <f>IF('BASE PAN - CAPEX'!$S15=2046,'BASE PAN - CAPEX'!$AD15,IF('BASE PAN - CAPEX'!$AE15=2046,'BASE PAN - CAPEX'!$AP15,IF('BASE PAN - CAPEX'!$AQ15=2046,'BASE PAN - CAPEX'!$BB15,0)))</f>
        <v>0</v>
      </c>
      <c r="AF15" s="1">
        <f>IF('BASE PAN - CAPEX'!$S15=2047,'BASE PAN - CAPEX'!$AD15,IF('BASE PAN - CAPEX'!$AE15=2047,'BASE PAN - CAPEX'!$AP15,IF('BASE PAN - CAPEX'!$AQ15=2047,'BASE PAN - CAPEX'!$BB15,0)))</f>
        <v>0</v>
      </c>
      <c r="AG15" s="1">
        <f>IF('BASE PAN - CAPEX'!$S15=2048,'BASE PAN - CAPEX'!$AD15,IF('BASE PAN - CAPEX'!$AE15=2048,'BASE PAN - CAPEX'!$AP15,IF('BASE PAN - CAPEX'!$AQ15=2048,'BASE PAN - CAPEX'!$BB15,0)))</f>
        <v>0</v>
      </c>
      <c r="AH15" s="1">
        <f>IF('BASE PAN - CAPEX'!$S15=2049,'BASE PAN - CAPEX'!$AD15,IF('BASE PAN - CAPEX'!$AE15=2049,'BASE PAN - CAPEX'!$AP15,IF('BASE PAN - CAPEX'!$AQ15=2049,'BASE PAN - CAPEX'!$BB15,0)))</f>
        <v>0</v>
      </c>
      <c r="AI15" s="1">
        <f>IF('BASE PAN - CAPEX'!$S15=2050,'BASE PAN - CAPEX'!$AD15,IF('BASE PAN - CAPEX'!$AE15=2050,'BASE PAN - CAPEX'!$AP15,IF('BASE PAN - CAPEX'!$AQ15=2050,'BASE PAN - CAPEX'!$BB15,0)))</f>
        <v>0</v>
      </c>
      <c r="AJ15" s="1">
        <f>IF('BASE PAN - CAPEX'!$S15=2051,'BASE PAN - CAPEX'!$AD15,IF('BASE PAN - CAPEX'!$AE15=2051,'BASE PAN - CAPEX'!$AP15,IF('BASE PAN - CAPEX'!$AQ15=2051,'BASE PAN - CAPEX'!$BB15,0)))</f>
        <v>0</v>
      </c>
      <c r="AK15" s="1">
        <f>IF('BASE PAN - CAPEX'!$S15=2052,'BASE PAN - CAPEX'!$AD15,IF('BASE PAN - CAPEX'!$AE15=2052,'BASE PAN - CAPEX'!$AP15,IF('BASE PAN - CAPEX'!$AQ15=2052,'BASE PAN - CAPEX'!$BB15,0)))</f>
        <v>0</v>
      </c>
      <c r="AL15" s="1">
        <f>IF('BASE PAN - CAPEX'!$S15=2053,'BASE PAN - CAPEX'!$AD15,IF('BASE PAN - CAPEX'!$AE15=2053,'BASE PAN - CAPEX'!$AP15,IF('BASE PAN - CAPEX'!$AQ15=2053,'BASE PAN - CAPEX'!$BB15,0)))</f>
        <v>0</v>
      </c>
      <c r="AM15" s="1">
        <f t="shared" si="0"/>
        <v>96005000</v>
      </c>
      <c r="AN15" s="3" t="s">
        <v>171</v>
      </c>
      <c r="AO15" s="3">
        <v>2</v>
      </c>
      <c r="AP15" s="3" t="s">
        <v>171</v>
      </c>
      <c r="AQ15" s="3" t="s">
        <v>171</v>
      </c>
      <c r="AR15" s="3">
        <v>2027</v>
      </c>
      <c r="AS15" s="3" t="s">
        <v>171</v>
      </c>
      <c r="AT15" s="3" t="s">
        <v>171</v>
      </c>
      <c r="AU15" s="3">
        <v>3</v>
      </c>
      <c r="AV15" t="str">
        <f>VLOOKUP(C15,'FLUXO DE CAIXA DESC.-BLOCOS PAN'!$D$3:$AO$52,38,FALSE)</f>
        <v>RO - 1 - AL</v>
      </c>
    </row>
    <row r="16" spans="1:48" x14ac:dyDescent="0.35">
      <c r="A16" t="s">
        <v>90</v>
      </c>
      <c r="B16" t="s">
        <v>91</v>
      </c>
      <c r="C16" t="s">
        <v>92</v>
      </c>
      <c r="D16" t="s">
        <v>91</v>
      </c>
      <c r="E16" t="s">
        <v>29</v>
      </c>
      <c r="F16" t="s">
        <v>33</v>
      </c>
      <c r="G16" t="s">
        <v>34</v>
      </c>
      <c r="H16" s="1">
        <f>VLOOKUP(C16,'BASE PAN - CAPEX'!$C$3:$R$37,16,FALSE)+'BASE PAN - CAPEX'!BC16</f>
        <v>26010000</v>
      </c>
      <c r="I16" s="1">
        <f>IF('BASE PAN - CAPEX'!$S16=2024,'BASE PAN - CAPEX'!$AD16,IF('BASE PAN - CAPEX'!$AE16=2024,'BASE PAN - CAPEX'!$AP16,IF('BASE PAN - CAPEX'!$AQ16=2024,'BASE PAN - CAPEX'!$BB16,0)))</f>
        <v>0</v>
      </c>
      <c r="J16" s="1">
        <f>IF('BASE PAN - CAPEX'!$S16=2025,'BASE PAN - CAPEX'!$AD16,IF('BASE PAN - CAPEX'!$AE16=2025,'BASE PAN - CAPEX'!$AP16,IF('BASE PAN - CAPEX'!$AQ16=2025,'BASE PAN - CAPEX'!$BB16,0)))</f>
        <v>0</v>
      </c>
      <c r="K16" s="1">
        <f>IF('BASE PAN - CAPEX'!$S16=2026,'BASE PAN - CAPEX'!$AD16,IF('BASE PAN - CAPEX'!$AE16=2026,'BASE PAN - CAPEX'!$AP16,IF('BASE PAN - CAPEX'!$AQ16=2026,'BASE PAN - CAPEX'!$BB16,0)))</f>
        <v>0</v>
      </c>
      <c r="L16" s="1">
        <f>IF('BASE PAN - CAPEX'!$S16=2027,'BASE PAN - CAPEX'!$AD16,IF('BASE PAN - CAPEX'!$AE16=2027,'BASE PAN - CAPEX'!$AP16,IF('BASE PAN - CAPEX'!$AQ16=2027,'BASE PAN - CAPEX'!$BB16,0)))+VLOOKUP(C16,'BASE PAN - CAPEX - 1º ANO'!$C$3:$BE$35,55,FALSE)</f>
        <v>0</v>
      </c>
      <c r="M16" s="1">
        <f>IF('BASE PAN - CAPEX'!$S16=2028,'BASE PAN - CAPEX'!$AD16,IF('BASE PAN - CAPEX'!$AE16=2028,'BASE PAN - CAPEX'!$AP16,IF('BASE PAN - CAPEX'!$AQ16=2028,'BASE PAN - CAPEX'!$BB16,0)))</f>
        <v>0</v>
      </c>
      <c r="N16" s="1">
        <f>IF('BASE PAN - CAPEX'!$S16=2029,'BASE PAN - CAPEX'!$AD16,IF('BASE PAN - CAPEX'!$AE16=2029,'BASE PAN - CAPEX'!$AP16,IF('BASE PAN - CAPEX'!$AQ16=2029,'BASE PAN - CAPEX'!$BB16,0)))</f>
        <v>0</v>
      </c>
      <c r="O16" s="1">
        <f>IF('BASE PAN - CAPEX'!$S16=2030,'BASE PAN - CAPEX'!$AD16,IF('BASE PAN - CAPEX'!$AE16=2030,'BASE PAN - CAPEX'!$AP16,IF('BASE PAN - CAPEX'!$AQ16=2030,'BASE PAN - CAPEX'!$BB16,0)))</f>
        <v>0</v>
      </c>
      <c r="P16" s="1">
        <f>IF('BASE PAN - CAPEX'!$S16=2031,'BASE PAN - CAPEX'!$AD16,IF('BASE PAN - CAPEX'!$AE16=2031,'BASE PAN - CAPEX'!$AP16,IF('BASE PAN - CAPEX'!$AQ16=2031,'BASE PAN - CAPEX'!$BB16,0)))</f>
        <v>0</v>
      </c>
      <c r="Q16" s="1">
        <f>IF('BASE PAN - CAPEX'!$S16=2032,'BASE PAN - CAPEX'!$AD16,IF('BASE PAN - CAPEX'!$AE16=2032,'BASE PAN - CAPEX'!$AP16,IF('BASE PAN - CAPEX'!$AQ16=2032,'BASE PAN - CAPEX'!$BB16,0)))+VLOOKUP(C16,'BASE PAN - CAPEX - 1º ANO'!$C$3:$BF$35,56,FALSE)</f>
        <v>0</v>
      </c>
      <c r="R16" s="1">
        <f>IF('BASE PAN - CAPEX'!$S16=2033,'BASE PAN - CAPEX'!$AD16,IF('BASE PAN - CAPEX'!$AE16=2033,'BASE PAN - CAPEX'!$AP16,IF('BASE PAN - CAPEX'!$AQ16=2033,'BASE PAN - CAPEX'!$BB16,0)))</f>
        <v>0</v>
      </c>
      <c r="S16" s="1">
        <f>IF('BASE PAN - CAPEX'!$S16=2034,'BASE PAN - CAPEX'!$AD16,IF('BASE PAN - CAPEX'!$AE16=2034,'BASE PAN - CAPEX'!$AP16,IF('BASE PAN - CAPEX'!$AQ16=2034,'BASE PAN - CAPEX'!$BB16,0)))</f>
        <v>0</v>
      </c>
      <c r="T16" s="1">
        <f>IF('BASE PAN - CAPEX'!$S16=2035,'BASE PAN - CAPEX'!$AD16,IF('BASE PAN - CAPEX'!$AE16=2035,'BASE PAN - CAPEX'!$AP16,IF('BASE PAN - CAPEX'!$AQ16=2035,'BASE PAN - CAPEX'!$BB16,0)))</f>
        <v>0</v>
      </c>
      <c r="U16" s="1">
        <f>IF('BASE PAN - CAPEX'!$S16=2036,'BASE PAN - CAPEX'!$AD16,IF('BASE PAN - CAPEX'!$AE16=2036,'BASE PAN - CAPEX'!$AP16,IF('BASE PAN - CAPEX'!$AQ16=2036,'BASE PAN - CAPEX'!$BB16,0)))</f>
        <v>0</v>
      </c>
      <c r="V16" s="1">
        <f>IF('BASE PAN - CAPEX'!$S16=2037,'BASE PAN - CAPEX'!$AD16,IF('BASE PAN - CAPEX'!$AE16=2037,'BASE PAN - CAPEX'!$AP16,IF('BASE PAN - CAPEX'!$AQ16=2037,'BASE PAN - CAPEX'!$BB16,0)))+VLOOKUP(C16,'BASE PAN - CAPEX - 1º ANO'!$C$3:$BG$35,57,FALSE)</f>
        <v>0</v>
      </c>
      <c r="W16" s="1">
        <f>IF('BASE PAN - CAPEX'!$S16=2038,'BASE PAN - CAPEX'!$AD16,IF('BASE PAN - CAPEX'!$AE16=2038,'BASE PAN - CAPEX'!$AP16,IF('BASE PAN - CAPEX'!$AQ16=2038,'BASE PAN - CAPEX'!$BB16,0)))</f>
        <v>0</v>
      </c>
      <c r="X16" s="1">
        <f>IF('BASE PAN - CAPEX'!$S16=2039,'BASE PAN - CAPEX'!$AD16,IF('BASE PAN - CAPEX'!$AE16=2039,'BASE PAN - CAPEX'!$AP16,IF('BASE PAN - CAPEX'!$AQ16=2039,'BASE PAN - CAPEX'!$BB16,0)))</f>
        <v>0</v>
      </c>
      <c r="Y16" s="1">
        <f>IF('BASE PAN - CAPEX'!$S16=2040,'BASE PAN - CAPEX'!$AD16,IF('BASE PAN - CAPEX'!$AE16=2040,'BASE PAN - CAPEX'!$AP16,IF('BASE PAN - CAPEX'!$AQ16=2040,'BASE PAN - CAPEX'!$BB16,0)))</f>
        <v>0</v>
      </c>
      <c r="Z16" s="1">
        <f>IF('BASE PAN - CAPEX'!$S16=2041,'BASE PAN - CAPEX'!$AD16,IF('BASE PAN - CAPEX'!$AE16=2041,'BASE PAN - CAPEX'!$AP16,IF('BASE PAN - CAPEX'!$AQ16=2041,'BASE PAN - CAPEX'!$BB16,0)))</f>
        <v>0</v>
      </c>
      <c r="AA16" s="1">
        <f>IF('BASE PAN - CAPEX'!$S16=2042,'BASE PAN - CAPEX'!$AD16,IF('BASE PAN - CAPEX'!$AE16=2042,'BASE PAN - CAPEX'!$AP16,IF('BASE PAN - CAPEX'!$AQ16=2042,'BASE PAN - CAPEX'!$BB16,0)))</f>
        <v>0</v>
      </c>
      <c r="AB16" s="1">
        <f>IF('BASE PAN - CAPEX'!$S16=2043,'BASE PAN - CAPEX'!$AD16,IF('BASE PAN - CAPEX'!$AE16=2043,'BASE PAN - CAPEX'!$AP16,IF('BASE PAN - CAPEX'!$AQ16=2043,'BASE PAN - CAPEX'!$BB16,0)))</f>
        <v>0</v>
      </c>
      <c r="AC16" s="1">
        <f>IF('BASE PAN - CAPEX'!$S16=2044,'BASE PAN - CAPEX'!$AD16,IF('BASE PAN - CAPEX'!$AE16=2044,'BASE PAN - CAPEX'!$AP16,IF('BASE PAN - CAPEX'!$AQ16=2044,'BASE PAN - CAPEX'!$BB16,0)))</f>
        <v>0</v>
      </c>
      <c r="AD16" s="1">
        <f>IF('BASE PAN - CAPEX'!$S16=2045,'BASE PAN - CAPEX'!$AD16,IF('BASE PAN - CAPEX'!$AE16=2045,'BASE PAN - CAPEX'!$AP16,IF('BASE PAN - CAPEX'!$AQ16=2045,'BASE PAN - CAPEX'!$BB16,0)))</f>
        <v>0</v>
      </c>
      <c r="AE16" s="1">
        <f>IF('BASE PAN - CAPEX'!$S16=2046,'BASE PAN - CAPEX'!$AD16,IF('BASE PAN - CAPEX'!$AE16=2046,'BASE PAN - CAPEX'!$AP16,IF('BASE PAN - CAPEX'!$AQ16=2046,'BASE PAN - CAPEX'!$BB16,0)))</f>
        <v>0</v>
      </c>
      <c r="AF16" s="1">
        <f>IF('BASE PAN - CAPEX'!$S16=2047,'BASE PAN - CAPEX'!$AD16,IF('BASE PAN - CAPEX'!$AE16=2047,'BASE PAN - CAPEX'!$AP16,IF('BASE PAN - CAPEX'!$AQ16=2047,'BASE PAN - CAPEX'!$BB16,0)))</f>
        <v>0</v>
      </c>
      <c r="AG16" s="1">
        <f>IF('BASE PAN - CAPEX'!$S16=2048,'BASE PAN - CAPEX'!$AD16,IF('BASE PAN - CAPEX'!$AE16=2048,'BASE PAN - CAPEX'!$AP16,IF('BASE PAN - CAPEX'!$AQ16=2048,'BASE PAN - CAPEX'!$BB16,0)))</f>
        <v>0</v>
      </c>
      <c r="AH16" s="1">
        <f>IF('BASE PAN - CAPEX'!$S16=2049,'BASE PAN - CAPEX'!$AD16,IF('BASE PAN - CAPEX'!$AE16=2049,'BASE PAN - CAPEX'!$AP16,IF('BASE PAN - CAPEX'!$AQ16=2049,'BASE PAN - CAPEX'!$BB16,0)))</f>
        <v>0</v>
      </c>
      <c r="AI16" s="1">
        <f>IF('BASE PAN - CAPEX'!$S16=2050,'BASE PAN - CAPEX'!$AD16,IF('BASE PAN - CAPEX'!$AE16=2050,'BASE PAN - CAPEX'!$AP16,IF('BASE PAN - CAPEX'!$AQ16=2050,'BASE PAN - CAPEX'!$BB16,0)))</f>
        <v>0</v>
      </c>
      <c r="AJ16" s="1">
        <f>IF('BASE PAN - CAPEX'!$S16=2051,'BASE PAN - CAPEX'!$AD16,IF('BASE PAN - CAPEX'!$AE16=2051,'BASE PAN - CAPEX'!$AP16,IF('BASE PAN - CAPEX'!$AQ16=2051,'BASE PAN - CAPEX'!$BB16,0)))</f>
        <v>0</v>
      </c>
      <c r="AK16" s="1">
        <f>IF('BASE PAN - CAPEX'!$S16=2052,'BASE PAN - CAPEX'!$AD16,IF('BASE PAN - CAPEX'!$AE16=2052,'BASE PAN - CAPEX'!$AP16,IF('BASE PAN - CAPEX'!$AQ16=2052,'BASE PAN - CAPEX'!$BB16,0)))</f>
        <v>0</v>
      </c>
      <c r="AL16" s="1">
        <f>IF('BASE PAN - CAPEX'!$S16=2053,'BASE PAN - CAPEX'!$AD16,IF('BASE PAN - CAPEX'!$AE16=2053,'BASE PAN - CAPEX'!$AP16,IF('BASE PAN - CAPEX'!$AQ16=2053,'BASE PAN - CAPEX'!$BB16,0)))</f>
        <v>0</v>
      </c>
      <c r="AM16" s="1">
        <f t="shared" si="0"/>
        <v>26010000</v>
      </c>
      <c r="AN16" s="3" t="s">
        <v>171</v>
      </c>
      <c r="AO16" s="3">
        <v>1</v>
      </c>
      <c r="AP16" s="3" t="s">
        <v>171</v>
      </c>
      <c r="AQ16" s="3" t="s">
        <v>171</v>
      </c>
      <c r="AR16" s="3" t="s">
        <v>171</v>
      </c>
      <c r="AS16" s="3" t="s">
        <v>171</v>
      </c>
      <c r="AT16" s="3" t="s">
        <v>171</v>
      </c>
      <c r="AU16" s="3" t="s">
        <v>171</v>
      </c>
      <c r="AV16" t="str">
        <f>VLOOKUP(C16,'FLUXO DE CAIXA DESC.-BLOCOS PAN'!$D$3:$AO$52,38,FALSE)</f>
        <v>PA - 2 - AL</v>
      </c>
    </row>
    <row r="17" spans="1:48" x14ac:dyDescent="0.35">
      <c r="A17" t="s">
        <v>93</v>
      </c>
      <c r="B17" t="s">
        <v>94</v>
      </c>
      <c r="C17" t="s">
        <v>95</v>
      </c>
      <c r="D17" t="s">
        <v>96</v>
      </c>
      <c r="E17" t="s">
        <v>29</v>
      </c>
      <c r="F17" t="s">
        <v>33</v>
      </c>
      <c r="G17" t="s">
        <v>34</v>
      </c>
      <c r="H17" s="1">
        <f>VLOOKUP(C17,'BASE PAN - CAPEX'!$C$3:$R$37,16,FALSE)+'BASE PAN - CAPEX'!BC17</f>
        <v>38045000</v>
      </c>
      <c r="I17" s="1">
        <f>IF('BASE PAN - CAPEX'!$S17=2024,'BASE PAN - CAPEX'!$AD17,IF('BASE PAN - CAPEX'!$AE17=2024,'BASE PAN - CAPEX'!$AP17,IF('BASE PAN - CAPEX'!$AQ17=2024,'BASE PAN - CAPEX'!$BB17,0)))</f>
        <v>0</v>
      </c>
      <c r="J17" s="1">
        <f>IF('BASE PAN - CAPEX'!$S17=2025,'BASE PAN - CAPEX'!$AD17,IF('BASE PAN - CAPEX'!$AE17=2025,'BASE PAN - CAPEX'!$AP17,IF('BASE PAN - CAPEX'!$AQ17=2025,'BASE PAN - CAPEX'!$BB17,0)))</f>
        <v>0</v>
      </c>
      <c r="K17" s="1">
        <f>IF('BASE PAN - CAPEX'!$S17=2026,'BASE PAN - CAPEX'!$AD17,IF('BASE PAN - CAPEX'!$AE17=2026,'BASE PAN - CAPEX'!$AP17,IF('BASE PAN - CAPEX'!$AQ17=2026,'BASE PAN - CAPEX'!$BB17,0)))</f>
        <v>0</v>
      </c>
      <c r="L17" s="1">
        <f>IF('BASE PAN - CAPEX'!$S17=2027,'BASE PAN - CAPEX'!$AD17,IF('BASE PAN - CAPEX'!$AE17=2027,'BASE PAN - CAPEX'!$AP17,IF('BASE PAN - CAPEX'!$AQ17=2027,'BASE PAN - CAPEX'!$BB17,0)))+VLOOKUP(C17,'BASE PAN - CAPEX - 1º ANO'!$C$3:$BE$35,55,FALSE)</f>
        <v>0</v>
      </c>
      <c r="M17" s="1">
        <f>IF('BASE PAN - CAPEX'!$S17=2028,'BASE PAN - CAPEX'!$AD17,IF('BASE PAN - CAPEX'!$AE17=2028,'BASE PAN - CAPEX'!$AP17,IF('BASE PAN - CAPEX'!$AQ17=2028,'BASE PAN - CAPEX'!$BB17,0)))</f>
        <v>0</v>
      </c>
      <c r="N17" s="1">
        <f>IF('BASE PAN - CAPEX'!$S17=2029,'BASE PAN - CAPEX'!$AD17,IF('BASE PAN - CAPEX'!$AE17=2029,'BASE PAN - CAPEX'!$AP17,IF('BASE PAN - CAPEX'!$AQ17=2029,'BASE PAN - CAPEX'!$BB17,0)))</f>
        <v>0</v>
      </c>
      <c r="O17" s="1">
        <f>IF('BASE PAN - CAPEX'!$S17=2030,'BASE PAN - CAPEX'!$AD17,IF('BASE PAN - CAPEX'!$AE17=2030,'BASE PAN - CAPEX'!$AP17,IF('BASE PAN - CAPEX'!$AQ17=2030,'BASE PAN - CAPEX'!$BB17,0)))</f>
        <v>0</v>
      </c>
      <c r="P17" s="1">
        <f>IF('BASE PAN - CAPEX'!$S17=2031,'BASE PAN - CAPEX'!$AD17,IF('BASE PAN - CAPEX'!$AE17=2031,'BASE PAN - CAPEX'!$AP17,IF('BASE PAN - CAPEX'!$AQ17=2031,'BASE PAN - CAPEX'!$BB17,0)))</f>
        <v>0</v>
      </c>
      <c r="Q17" s="1">
        <f>IF('BASE PAN - CAPEX'!$S17=2032,'BASE PAN - CAPEX'!$AD17,IF('BASE PAN - CAPEX'!$AE17=2032,'BASE PAN - CAPEX'!$AP17,IF('BASE PAN - CAPEX'!$AQ17=2032,'BASE PAN - CAPEX'!$BB17,0)))+VLOOKUP(C17,'BASE PAN - CAPEX - 1º ANO'!$C$3:$BF$35,56,FALSE)</f>
        <v>0</v>
      </c>
      <c r="R17" s="1">
        <f>IF('BASE PAN - CAPEX'!$S17=2033,'BASE PAN - CAPEX'!$AD17,IF('BASE PAN - CAPEX'!$AE17=2033,'BASE PAN - CAPEX'!$AP17,IF('BASE PAN - CAPEX'!$AQ17=2033,'BASE PAN - CAPEX'!$BB17,0)))</f>
        <v>0</v>
      </c>
      <c r="S17" s="1">
        <f>IF('BASE PAN - CAPEX'!$S17=2034,'BASE PAN - CAPEX'!$AD17,IF('BASE PAN - CAPEX'!$AE17=2034,'BASE PAN - CAPEX'!$AP17,IF('BASE PAN - CAPEX'!$AQ17=2034,'BASE PAN - CAPEX'!$BB17,0)))</f>
        <v>250000</v>
      </c>
      <c r="T17" s="1">
        <f>IF('BASE PAN - CAPEX'!$S17=2035,'BASE PAN - CAPEX'!$AD17,IF('BASE PAN - CAPEX'!$AE17=2035,'BASE PAN - CAPEX'!$AP17,IF('BASE PAN - CAPEX'!$AQ17=2035,'BASE PAN - CAPEX'!$BB17,0)))</f>
        <v>0</v>
      </c>
      <c r="U17" s="1">
        <f>IF('BASE PAN - CAPEX'!$S17=2036,'BASE PAN - CAPEX'!$AD17,IF('BASE PAN - CAPEX'!$AE17=2036,'BASE PAN - CAPEX'!$AP17,IF('BASE PAN - CAPEX'!$AQ17=2036,'BASE PAN - CAPEX'!$BB17,0)))</f>
        <v>0</v>
      </c>
      <c r="V17" s="1">
        <f>IF('BASE PAN - CAPEX'!$S17=2037,'BASE PAN - CAPEX'!$AD17,IF('BASE PAN - CAPEX'!$AE17=2037,'BASE PAN - CAPEX'!$AP17,IF('BASE PAN - CAPEX'!$AQ17=2037,'BASE PAN - CAPEX'!$BB17,0)))+VLOOKUP(C17,'BASE PAN - CAPEX - 1º ANO'!$C$3:$BG$35,57,FALSE)</f>
        <v>0</v>
      </c>
      <c r="W17" s="1">
        <f>IF('BASE PAN - CAPEX'!$S17=2038,'BASE PAN - CAPEX'!$AD17,IF('BASE PAN - CAPEX'!$AE17=2038,'BASE PAN - CAPEX'!$AP17,IF('BASE PAN - CAPEX'!$AQ17=2038,'BASE PAN - CAPEX'!$BB17,0)))</f>
        <v>0</v>
      </c>
      <c r="X17" s="1">
        <f>IF('BASE PAN - CAPEX'!$S17=2039,'BASE PAN - CAPEX'!$AD17,IF('BASE PAN - CAPEX'!$AE17=2039,'BASE PAN - CAPEX'!$AP17,IF('BASE PAN - CAPEX'!$AQ17=2039,'BASE PAN - CAPEX'!$BB17,0)))</f>
        <v>0</v>
      </c>
      <c r="Y17" s="1">
        <f>IF('BASE PAN - CAPEX'!$S17=2040,'BASE PAN - CAPEX'!$AD17,IF('BASE PAN - CAPEX'!$AE17=2040,'BASE PAN - CAPEX'!$AP17,IF('BASE PAN - CAPEX'!$AQ17=2040,'BASE PAN - CAPEX'!$BB17,0)))</f>
        <v>0</v>
      </c>
      <c r="Z17" s="1">
        <f>IF('BASE PAN - CAPEX'!$S17=2041,'BASE PAN - CAPEX'!$AD17,IF('BASE PAN - CAPEX'!$AE17=2041,'BASE PAN - CAPEX'!$AP17,IF('BASE PAN - CAPEX'!$AQ17=2041,'BASE PAN - CAPEX'!$BB17,0)))</f>
        <v>0</v>
      </c>
      <c r="AA17" s="1">
        <f>IF('BASE PAN - CAPEX'!$S17=2042,'BASE PAN - CAPEX'!$AD17,IF('BASE PAN - CAPEX'!$AE17=2042,'BASE PAN - CAPEX'!$AP17,IF('BASE PAN - CAPEX'!$AQ17=2042,'BASE PAN - CAPEX'!$BB17,0)))</f>
        <v>0</v>
      </c>
      <c r="AB17" s="1">
        <f>IF('BASE PAN - CAPEX'!$S17=2043,'BASE PAN - CAPEX'!$AD17,IF('BASE PAN - CAPEX'!$AE17=2043,'BASE PAN - CAPEX'!$AP17,IF('BASE PAN - CAPEX'!$AQ17=2043,'BASE PAN - CAPEX'!$BB17,0)))</f>
        <v>0</v>
      </c>
      <c r="AC17" s="1">
        <f>IF('BASE PAN - CAPEX'!$S17=2044,'BASE PAN - CAPEX'!$AD17,IF('BASE PAN - CAPEX'!$AE17=2044,'BASE PAN - CAPEX'!$AP17,IF('BASE PAN - CAPEX'!$AQ17=2044,'BASE PAN - CAPEX'!$BB17,0)))</f>
        <v>0</v>
      </c>
      <c r="AD17" s="1">
        <f>IF('BASE PAN - CAPEX'!$S17=2045,'BASE PAN - CAPEX'!$AD17,IF('BASE PAN - CAPEX'!$AE17=2045,'BASE PAN - CAPEX'!$AP17,IF('BASE PAN - CAPEX'!$AQ17=2045,'BASE PAN - CAPEX'!$BB17,0)))</f>
        <v>0</v>
      </c>
      <c r="AE17" s="1">
        <f>IF('BASE PAN - CAPEX'!$S17=2046,'BASE PAN - CAPEX'!$AD17,IF('BASE PAN - CAPEX'!$AE17=2046,'BASE PAN - CAPEX'!$AP17,IF('BASE PAN - CAPEX'!$AQ17=2046,'BASE PAN - CAPEX'!$BB17,0)))</f>
        <v>0</v>
      </c>
      <c r="AF17" s="1">
        <f>IF('BASE PAN - CAPEX'!$S17=2047,'BASE PAN - CAPEX'!$AD17,IF('BASE PAN - CAPEX'!$AE17=2047,'BASE PAN - CAPEX'!$AP17,IF('BASE PAN - CAPEX'!$AQ17=2047,'BASE PAN - CAPEX'!$BB17,0)))</f>
        <v>0</v>
      </c>
      <c r="AG17" s="1">
        <f>IF('BASE PAN - CAPEX'!$S17=2048,'BASE PAN - CAPEX'!$AD17,IF('BASE PAN - CAPEX'!$AE17=2048,'BASE PAN - CAPEX'!$AP17,IF('BASE PAN - CAPEX'!$AQ17=2048,'BASE PAN - CAPEX'!$BB17,0)))</f>
        <v>0</v>
      </c>
      <c r="AH17" s="1">
        <f>IF('BASE PAN - CAPEX'!$S17=2049,'BASE PAN - CAPEX'!$AD17,IF('BASE PAN - CAPEX'!$AE17=2049,'BASE PAN - CAPEX'!$AP17,IF('BASE PAN - CAPEX'!$AQ17=2049,'BASE PAN - CAPEX'!$BB17,0)))</f>
        <v>67580000</v>
      </c>
      <c r="AI17" s="1">
        <f>IF('BASE PAN - CAPEX'!$S17=2050,'BASE PAN - CAPEX'!$AD17,IF('BASE PAN - CAPEX'!$AE17=2050,'BASE PAN - CAPEX'!$AP17,IF('BASE PAN - CAPEX'!$AQ17=2050,'BASE PAN - CAPEX'!$BB17,0)))</f>
        <v>0</v>
      </c>
      <c r="AJ17" s="1">
        <f>IF('BASE PAN - CAPEX'!$S17=2051,'BASE PAN - CAPEX'!$AD17,IF('BASE PAN - CAPEX'!$AE17=2051,'BASE PAN - CAPEX'!$AP17,IF('BASE PAN - CAPEX'!$AQ17=2051,'BASE PAN - CAPEX'!$BB17,0)))</f>
        <v>0</v>
      </c>
      <c r="AK17" s="1">
        <f>IF('BASE PAN - CAPEX'!$S17=2052,'BASE PAN - CAPEX'!$AD17,IF('BASE PAN - CAPEX'!$AE17=2052,'BASE PAN - CAPEX'!$AP17,IF('BASE PAN - CAPEX'!$AQ17=2052,'BASE PAN - CAPEX'!$BB17,0)))</f>
        <v>0</v>
      </c>
      <c r="AL17" s="1">
        <f>IF('BASE PAN - CAPEX'!$S17=2053,'BASE PAN - CAPEX'!$AD17,IF('BASE PAN - CAPEX'!$AE17=2053,'BASE PAN - CAPEX'!$AP17,IF('BASE PAN - CAPEX'!$AQ17=2053,'BASE PAN - CAPEX'!$BB17,0)))</f>
        <v>0</v>
      </c>
      <c r="AM17" s="1">
        <f t="shared" si="0"/>
        <v>105875000</v>
      </c>
      <c r="AN17" s="3" t="s">
        <v>171</v>
      </c>
      <c r="AO17" s="3">
        <v>1</v>
      </c>
      <c r="AP17" s="3" t="s">
        <v>171</v>
      </c>
      <c r="AQ17" s="3">
        <v>2049</v>
      </c>
      <c r="AR17" s="3">
        <v>2034</v>
      </c>
      <c r="AS17" s="3" t="s">
        <v>171</v>
      </c>
      <c r="AT17" s="3">
        <v>3</v>
      </c>
      <c r="AU17" s="3">
        <v>2</v>
      </c>
      <c r="AV17" t="str">
        <f>VLOOKUP(C17,'FLUXO DE CAIXA DESC.-BLOCOS PAN'!$D$3:$AO$52,38,FALSE)</f>
        <v>PA - 2 - AL</v>
      </c>
    </row>
    <row r="18" spans="1:48" x14ac:dyDescent="0.35">
      <c r="A18" t="s">
        <v>97</v>
      </c>
      <c r="B18" t="s">
        <v>98</v>
      </c>
      <c r="C18" t="s">
        <v>99</v>
      </c>
      <c r="D18" t="s">
        <v>98</v>
      </c>
      <c r="E18" t="s">
        <v>29</v>
      </c>
      <c r="F18" t="s">
        <v>33</v>
      </c>
      <c r="G18" t="s">
        <v>34</v>
      </c>
      <c r="H18" s="1">
        <f>VLOOKUP(C18,'BASE PAN - CAPEX'!$C$3:$R$37,16,FALSE)+'BASE PAN - CAPEX'!BC18</f>
        <v>27615000</v>
      </c>
      <c r="I18" s="1">
        <f>IF('BASE PAN - CAPEX'!$S18=2024,'BASE PAN - CAPEX'!$AD18,IF('BASE PAN - CAPEX'!$AE18=2024,'BASE PAN - CAPEX'!$AP18,IF('BASE PAN - CAPEX'!$AQ18=2024,'BASE PAN - CAPEX'!$BB18,0)))</f>
        <v>0</v>
      </c>
      <c r="J18" s="1">
        <f>IF('BASE PAN - CAPEX'!$S18=2025,'BASE PAN - CAPEX'!$AD18,IF('BASE PAN - CAPEX'!$AE18=2025,'BASE PAN - CAPEX'!$AP18,IF('BASE PAN - CAPEX'!$AQ18=2025,'BASE PAN - CAPEX'!$BB18,0)))</f>
        <v>0</v>
      </c>
      <c r="K18" s="1">
        <f>IF('BASE PAN - CAPEX'!$S18=2026,'BASE PAN - CAPEX'!$AD18,IF('BASE PAN - CAPEX'!$AE18=2026,'BASE PAN - CAPEX'!$AP18,IF('BASE PAN - CAPEX'!$AQ18=2026,'BASE PAN - CAPEX'!$BB18,0)))</f>
        <v>0</v>
      </c>
      <c r="L18" s="1">
        <f>IF('BASE PAN - CAPEX'!$S18=2027,'BASE PAN - CAPEX'!$AD18,IF('BASE PAN - CAPEX'!$AE18=2027,'BASE PAN - CAPEX'!$AP18,IF('BASE PAN - CAPEX'!$AQ18=2027,'BASE PAN - CAPEX'!$BB18,0)))+VLOOKUP(C18,'BASE PAN - CAPEX - 1º ANO'!$C$3:$BE$35,55,FALSE)</f>
        <v>0</v>
      </c>
      <c r="M18" s="1">
        <f>IF('BASE PAN - CAPEX'!$S18=2028,'BASE PAN - CAPEX'!$AD18,IF('BASE PAN - CAPEX'!$AE18=2028,'BASE PAN - CAPEX'!$AP18,IF('BASE PAN - CAPEX'!$AQ18=2028,'BASE PAN - CAPEX'!$BB18,0)))</f>
        <v>0</v>
      </c>
      <c r="N18" s="1">
        <f>IF('BASE PAN - CAPEX'!$S18=2029,'BASE PAN - CAPEX'!$AD18,IF('BASE PAN - CAPEX'!$AE18=2029,'BASE PAN - CAPEX'!$AP18,IF('BASE PAN - CAPEX'!$AQ18=2029,'BASE PAN - CAPEX'!$BB18,0)))</f>
        <v>0</v>
      </c>
      <c r="O18" s="1">
        <f>IF('BASE PAN - CAPEX'!$S18=2030,'BASE PAN - CAPEX'!$AD18,IF('BASE PAN - CAPEX'!$AE18=2030,'BASE PAN - CAPEX'!$AP18,IF('BASE PAN - CAPEX'!$AQ18=2030,'BASE PAN - CAPEX'!$BB18,0)))</f>
        <v>0</v>
      </c>
      <c r="P18" s="1">
        <f>IF('BASE PAN - CAPEX'!$S18=2031,'BASE PAN - CAPEX'!$AD18,IF('BASE PAN - CAPEX'!$AE18=2031,'BASE PAN - CAPEX'!$AP18,IF('BASE PAN - CAPEX'!$AQ18=2031,'BASE PAN - CAPEX'!$BB18,0)))</f>
        <v>0</v>
      </c>
      <c r="Q18" s="1">
        <f>IF('BASE PAN - CAPEX'!$S18=2032,'BASE PAN - CAPEX'!$AD18,IF('BASE PAN - CAPEX'!$AE18=2032,'BASE PAN - CAPEX'!$AP18,IF('BASE PAN - CAPEX'!$AQ18=2032,'BASE PAN - CAPEX'!$BB18,0)))+VLOOKUP(C18,'BASE PAN - CAPEX - 1º ANO'!$C$3:$BF$35,56,FALSE)</f>
        <v>0</v>
      </c>
      <c r="R18" s="1">
        <f>IF('BASE PAN - CAPEX'!$S18=2033,'BASE PAN - CAPEX'!$AD18,IF('BASE PAN - CAPEX'!$AE18=2033,'BASE PAN - CAPEX'!$AP18,IF('BASE PAN - CAPEX'!$AQ18=2033,'BASE PAN - CAPEX'!$BB18,0)))</f>
        <v>0</v>
      </c>
      <c r="S18" s="1">
        <f>IF('BASE PAN - CAPEX'!$S18=2034,'BASE PAN - CAPEX'!$AD18,IF('BASE PAN - CAPEX'!$AE18=2034,'BASE PAN - CAPEX'!$AP18,IF('BASE PAN - CAPEX'!$AQ18=2034,'BASE PAN - CAPEX'!$BB18,0)))</f>
        <v>0</v>
      </c>
      <c r="T18" s="1">
        <f>IF('BASE PAN - CAPEX'!$S18=2035,'BASE PAN - CAPEX'!$AD18,IF('BASE PAN - CAPEX'!$AE18=2035,'BASE PAN - CAPEX'!$AP18,IF('BASE PAN - CAPEX'!$AQ18=2035,'BASE PAN - CAPEX'!$BB18,0)))</f>
        <v>0</v>
      </c>
      <c r="U18" s="1">
        <f>IF('BASE PAN - CAPEX'!$S18=2036,'BASE PAN - CAPEX'!$AD18,IF('BASE PAN - CAPEX'!$AE18=2036,'BASE PAN - CAPEX'!$AP18,IF('BASE PAN - CAPEX'!$AQ18=2036,'BASE PAN - CAPEX'!$BB18,0)))</f>
        <v>0</v>
      </c>
      <c r="V18" s="1">
        <f>IF('BASE PAN - CAPEX'!$S18=2037,'BASE PAN - CAPEX'!$AD18,IF('BASE PAN - CAPEX'!$AE18=2037,'BASE PAN - CAPEX'!$AP18,IF('BASE PAN - CAPEX'!$AQ18=2037,'BASE PAN - CAPEX'!$BB18,0)))+VLOOKUP(C18,'BASE PAN - CAPEX - 1º ANO'!$C$3:$BG$35,57,FALSE)</f>
        <v>0</v>
      </c>
      <c r="W18" s="1">
        <f>IF('BASE PAN - CAPEX'!$S18=2038,'BASE PAN - CAPEX'!$AD18,IF('BASE PAN - CAPEX'!$AE18=2038,'BASE PAN - CAPEX'!$AP18,IF('BASE PAN - CAPEX'!$AQ18=2038,'BASE PAN - CAPEX'!$BB18,0)))</f>
        <v>0</v>
      </c>
      <c r="X18" s="1">
        <f>IF('BASE PAN - CAPEX'!$S18=2039,'BASE PAN - CAPEX'!$AD18,IF('BASE PAN - CAPEX'!$AE18=2039,'BASE PAN - CAPEX'!$AP18,IF('BASE PAN - CAPEX'!$AQ18=2039,'BASE PAN - CAPEX'!$BB18,0)))</f>
        <v>0</v>
      </c>
      <c r="Y18" s="1">
        <f>IF('BASE PAN - CAPEX'!$S18=2040,'BASE PAN - CAPEX'!$AD18,IF('BASE PAN - CAPEX'!$AE18=2040,'BASE PAN - CAPEX'!$AP18,IF('BASE PAN - CAPEX'!$AQ18=2040,'BASE PAN - CAPEX'!$BB18,0)))</f>
        <v>0</v>
      </c>
      <c r="Z18" s="1">
        <f>IF('BASE PAN - CAPEX'!$S18=2041,'BASE PAN - CAPEX'!$AD18,IF('BASE PAN - CAPEX'!$AE18=2041,'BASE PAN - CAPEX'!$AP18,IF('BASE PAN - CAPEX'!$AQ18=2041,'BASE PAN - CAPEX'!$BB18,0)))</f>
        <v>0</v>
      </c>
      <c r="AA18" s="1">
        <f>IF('BASE PAN - CAPEX'!$S18=2042,'BASE PAN - CAPEX'!$AD18,IF('BASE PAN - CAPEX'!$AE18=2042,'BASE PAN - CAPEX'!$AP18,IF('BASE PAN - CAPEX'!$AQ18=2042,'BASE PAN - CAPEX'!$BB18,0)))</f>
        <v>0</v>
      </c>
      <c r="AB18" s="1">
        <f>IF('BASE PAN - CAPEX'!$S18=2043,'BASE PAN - CAPEX'!$AD18,IF('BASE PAN - CAPEX'!$AE18=2043,'BASE PAN - CAPEX'!$AP18,IF('BASE PAN - CAPEX'!$AQ18=2043,'BASE PAN - CAPEX'!$BB18,0)))</f>
        <v>0</v>
      </c>
      <c r="AC18" s="1">
        <f>IF('BASE PAN - CAPEX'!$S18=2044,'BASE PAN - CAPEX'!$AD18,IF('BASE PAN - CAPEX'!$AE18=2044,'BASE PAN - CAPEX'!$AP18,IF('BASE PAN - CAPEX'!$AQ18=2044,'BASE PAN - CAPEX'!$BB18,0)))</f>
        <v>0</v>
      </c>
      <c r="AD18" s="1">
        <f>IF('BASE PAN - CAPEX'!$S18=2045,'BASE PAN - CAPEX'!$AD18,IF('BASE PAN - CAPEX'!$AE18=2045,'BASE PAN - CAPEX'!$AP18,IF('BASE PAN - CAPEX'!$AQ18=2045,'BASE PAN - CAPEX'!$BB18,0)))</f>
        <v>0</v>
      </c>
      <c r="AE18" s="1">
        <f>IF('BASE PAN - CAPEX'!$S18=2046,'BASE PAN - CAPEX'!$AD18,IF('BASE PAN - CAPEX'!$AE18=2046,'BASE PAN - CAPEX'!$AP18,IF('BASE PAN - CAPEX'!$AQ18=2046,'BASE PAN - CAPEX'!$BB18,0)))</f>
        <v>0</v>
      </c>
      <c r="AF18" s="1">
        <f>IF('BASE PAN - CAPEX'!$S18=2047,'BASE PAN - CAPEX'!$AD18,IF('BASE PAN - CAPEX'!$AE18=2047,'BASE PAN - CAPEX'!$AP18,IF('BASE PAN - CAPEX'!$AQ18=2047,'BASE PAN - CAPEX'!$BB18,0)))</f>
        <v>0</v>
      </c>
      <c r="AG18" s="1">
        <f>IF('BASE PAN - CAPEX'!$S18=2048,'BASE PAN - CAPEX'!$AD18,IF('BASE PAN - CAPEX'!$AE18=2048,'BASE PAN - CAPEX'!$AP18,IF('BASE PAN - CAPEX'!$AQ18=2048,'BASE PAN - CAPEX'!$BB18,0)))</f>
        <v>0</v>
      </c>
      <c r="AH18" s="1">
        <f>IF('BASE PAN - CAPEX'!$S18=2049,'BASE PAN - CAPEX'!$AD18,IF('BASE PAN - CAPEX'!$AE18=2049,'BASE PAN - CAPEX'!$AP18,IF('BASE PAN - CAPEX'!$AQ18=2049,'BASE PAN - CAPEX'!$BB18,0)))</f>
        <v>0</v>
      </c>
      <c r="AI18" s="1">
        <f>IF('BASE PAN - CAPEX'!$S18=2050,'BASE PAN - CAPEX'!$AD18,IF('BASE PAN - CAPEX'!$AE18=2050,'BASE PAN - CAPEX'!$AP18,IF('BASE PAN - CAPEX'!$AQ18=2050,'BASE PAN - CAPEX'!$BB18,0)))</f>
        <v>0</v>
      </c>
      <c r="AJ18" s="1">
        <f>IF('BASE PAN - CAPEX'!$S18=2051,'BASE PAN - CAPEX'!$AD18,IF('BASE PAN - CAPEX'!$AE18=2051,'BASE PAN - CAPEX'!$AP18,IF('BASE PAN - CAPEX'!$AQ18=2051,'BASE PAN - CAPEX'!$BB18,0)))</f>
        <v>0</v>
      </c>
      <c r="AK18" s="1">
        <f>IF('BASE PAN - CAPEX'!$S18=2052,'BASE PAN - CAPEX'!$AD18,IF('BASE PAN - CAPEX'!$AE18=2052,'BASE PAN - CAPEX'!$AP18,IF('BASE PAN - CAPEX'!$AQ18=2052,'BASE PAN - CAPEX'!$BB18,0)))</f>
        <v>0</v>
      </c>
      <c r="AL18" s="1">
        <f>IF('BASE PAN - CAPEX'!$S18=2053,'BASE PAN - CAPEX'!$AD18,IF('BASE PAN - CAPEX'!$AE18=2053,'BASE PAN - CAPEX'!$AP18,IF('BASE PAN - CAPEX'!$AQ18=2053,'BASE PAN - CAPEX'!$BB18,0)))</f>
        <v>0</v>
      </c>
      <c r="AM18" s="1">
        <f t="shared" si="0"/>
        <v>27615000</v>
      </c>
      <c r="AN18" s="3" t="s">
        <v>171</v>
      </c>
      <c r="AO18" s="3">
        <v>1</v>
      </c>
      <c r="AP18" s="3" t="s">
        <v>171</v>
      </c>
      <c r="AQ18" s="3" t="s">
        <v>171</v>
      </c>
      <c r="AR18" s="3" t="s">
        <v>171</v>
      </c>
      <c r="AS18" s="3" t="s">
        <v>171</v>
      </c>
      <c r="AT18" s="3" t="s">
        <v>171</v>
      </c>
      <c r="AU18" s="3" t="s">
        <v>171</v>
      </c>
      <c r="AV18" t="str">
        <f>VLOOKUP(C18,'FLUXO DE CAIXA DESC.-BLOCOS PAN'!$D$3:$AO$52,38,FALSE)</f>
        <v>PA - 2 - AL</v>
      </c>
    </row>
    <row r="19" spans="1:48" x14ac:dyDescent="0.35">
      <c r="A19" t="s">
        <v>100</v>
      </c>
      <c r="B19" t="s">
        <v>101</v>
      </c>
      <c r="C19" t="s">
        <v>102</v>
      </c>
      <c r="D19" t="s">
        <v>103</v>
      </c>
      <c r="E19" t="s">
        <v>40</v>
      </c>
      <c r="F19" t="s">
        <v>33</v>
      </c>
      <c r="G19" t="s">
        <v>34</v>
      </c>
      <c r="H19" s="1">
        <f>VLOOKUP(C19,'BASE PAN - CAPEX'!$C$3:$R$37,16,FALSE)+'BASE PAN - CAPEX'!BC19</f>
        <v>15210000</v>
      </c>
      <c r="I19" s="1">
        <f>IF('BASE PAN - CAPEX'!$S19=2024,'BASE PAN - CAPEX'!$AD19,IF('BASE PAN - CAPEX'!$AE19=2024,'BASE PAN - CAPEX'!$AP19,IF('BASE PAN - CAPEX'!$AQ19=2024,'BASE PAN - CAPEX'!$BB19,0)))</f>
        <v>0</v>
      </c>
      <c r="J19" s="1">
        <f>IF('BASE PAN - CAPEX'!$S19=2025,'BASE PAN - CAPEX'!$AD19,IF('BASE PAN - CAPEX'!$AE19=2025,'BASE PAN - CAPEX'!$AP19,IF('BASE PAN - CAPEX'!$AQ19=2025,'BASE PAN - CAPEX'!$BB19,0)))</f>
        <v>0</v>
      </c>
      <c r="K19" s="1">
        <f>IF('BASE PAN - CAPEX'!$S19=2026,'BASE PAN - CAPEX'!$AD19,IF('BASE PAN - CAPEX'!$AE19=2026,'BASE PAN - CAPEX'!$AP19,IF('BASE PAN - CAPEX'!$AQ19=2026,'BASE PAN - CAPEX'!$BB19,0)))</f>
        <v>0</v>
      </c>
      <c r="L19" s="1">
        <f>IF('BASE PAN - CAPEX'!$S19=2027,'BASE PAN - CAPEX'!$AD19,IF('BASE PAN - CAPEX'!$AE19=2027,'BASE PAN - CAPEX'!$AP19,IF('BASE PAN - CAPEX'!$AQ19=2027,'BASE PAN - CAPEX'!$BB19,0)))+VLOOKUP(C19,'BASE PAN - CAPEX - 1º ANO'!$C$3:$BE$35,55,FALSE)</f>
        <v>54715000</v>
      </c>
      <c r="M19" s="1">
        <f>IF('BASE PAN - CAPEX'!$S19=2028,'BASE PAN - CAPEX'!$AD19,IF('BASE PAN - CAPEX'!$AE19=2028,'BASE PAN - CAPEX'!$AP19,IF('BASE PAN - CAPEX'!$AQ19=2028,'BASE PAN - CAPEX'!$BB19,0)))</f>
        <v>0</v>
      </c>
      <c r="N19" s="1">
        <f>IF('BASE PAN - CAPEX'!$S19=2029,'BASE PAN - CAPEX'!$AD19,IF('BASE PAN - CAPEX'!$AE19=2029,'BASE PAN - CAPEX'!$AP19,IF('BASE PAN - CAPEX'!$AQ19=2029,'BASE PAN - CAPEX'!$BB19,0)))</f>
        <v>0</v>
      </c>
      <c r="O19" s="1">
        <f>IF('BASE PAN - CAPEX'!$S19=2030,'BASE PAN - CAPEX'!$AD19,IF('BASE PAN - CAPEX'!$AE19=2030,'BASE PAN - CAPEX'!$AP19,IF('BASE PAN - CAPEX'!$AQ19=2030,'BASE PAN - CAPEX'!$BB19,0)))</f>
        <v>0</v>
      </c>
      <c r="P19" s="1">
        <f>IF('BASE PAN - CAPEX'!$S19=2031,'BASE PAN - CAPEX'!$AD19,IF('BASE PAN - CAPEX'!$AE19=2031,'BASE PAN - CAPEX'!$AP19,IF('BASE PAN - CAPEX'!$AQ19=2031,'BASE PAN - CAPEX'!$BB19,0)))</f>
        <v>0</v>
      </c>
      <c r="Q19" s="1">
        <f>IF('BASE PAN - CAPEX'!$S19=2032,'BASE PAN - CAPEX'!$AD19,IF('BASE PAN - CAPEX'!$AE19=2032,'BASE PAN - CAPEX'!$AP19,IF('BASE PAN - CAPEX'!$AQ19=2032,'BASE PAN - CAPEX'!$BB19,0)))+VLOOKUP(C19,'BASE PAN - CAPEX - 1º ANO'!$C$3:$BF$35,56,FALSE)</f>
        <v>0</v>
      </c>
      <c r="R19" s="1">
        <f>IF('BASE PAN - CAPEX'!$S19=2033,'BASE PAN - CAPEX'!$AD19,IF('BASE PAN - CAPEX'!$AE19=2033,'BASE PAN - CAPEX'!$AP19,IF('BASE PAN - CAPEX'!$AQ19=2033,'BASE PAN - CAPEX'!$BB19,0)))</f>
        <v>0</v>
      </c>
      <c r="S19" s="1">
        <f>IF('BASE PAN - CAPEX'!$S19=2034,'BASE PAN - CAPEX'!$AD19,IF('BASE PAN - CAPEX'!$AE19=2034,'BASE PAN - CAPEX'!$AP19,IF('BASE PAN - CAPEX'!$AQ19=2034,'BASE PAN - CAPEX'!$BB19,0)))</f>
        <v>0</v>
      </c>
      <c r="T19" s="1">
        <f>IF('BASE PAN - CAPEX'!$S19=2035,'BASE PAN - CAPEX'!$AD19,IF('BASE PAN - CAPEX'!$AE19=2035,'BASE PAN - CAPEX'!$AP19,IF('BASE PAN - CAPEX'!$AQ19=2035,'BASE PAN - CAPEX'!$BB19,0)))</f>
        <v>0</v>
      </c>
      <c r="U19" s="1">
        <f>IF('BASE PAN - CAPEX'!$S19=2036,'BASE PAN - CAPEX'!$AD19,IF('BASE PAN - CAPEX'!$AE19=2036,'BASE PAN - CAPEX'!$AP19,IF('BASE PAN - CAPEX'!$AQ19=2036,'BASE PAN - CAPEX'!$BB19,0)))</f>
        <v>0</v>
      </c>
      <c r="V19" s="1">
        <f>IF('BASE PAN - CAPEX'!$S19=2037,'BASE PAN - CAPEX'!$AD19,IF('BASE PAN - CAPEX'!$AE19=2037,'BASE PAN - CAPEX'!$AP19,IF('BASE PAN - CAPEX'!$AQ19=2037,'BASE PAN - CAPEX'!$BB19,0)))+VLOOKUP(C19,'BASE PAN - CAPEX - 1º ANO'!$C$3:$BG$35,57,FALSE)</f>
        <v>0</v>
      </c>
      <c r="W19" s="1">
        <f>IF('BASE PAN - CAPEX'!$S19=2038,'BASE PAN - CAPEX'!$AD19,IF('BASE PAN - CAPEX'!$AE19=2038,'BASE PAN - CAPEX'!$AP19,IF('BASE PAN - CAPEX'!$AQ19=2038,'BASE PAN - CAPEX'!$BB19,0)))</f>
        <v>0</v>
      </c>
      <c r="X19" s="1">
        <f>IF('BASE PAN - CAPEX'!$S19=2039,'BASE PAN - CAPEX'!$AD19,IF('BASE PAN - CAPEX'!$AE19=2039,'BASE PAN - CAPEX'!$AP19,IF('BASE PAN - CAPEX'!$AQ19=2039,'BASE PAN - CAPEX'!$BB19,0)))</f>
        <v>0</v>
      </c>
      <c r="Y19" s="1">
        <f>IF('BASE PAN - CAPEX'!$S19=2040,'BASE PAN - CAPEX'!$AD19,IF('BASE PAN - CAPEX'!$AE19=2040,'BASE PAN - CAPEX'!$AP19,IF('BASE PAN - CAPEX'!$AQ19=2040,'BASE PAN - CAPEX'!$BB19,0)))</f>
        <v>0</v>
      </c>
      <c r="Z19" s="1">
        <f>IF('BASE PAN - CAPEX'!$S19=2041,'BASE PAN - CAPEX'!$AD19,IF('BASE PAN - CAPEX'!$AE19=2041,'BASE PAN - CAPEX'!$AP19,IF('BASE PAN - CAPEX'!$AQ19=2041,'BASE PAN - CAPEX'!$BB19,0)))</f>
        <v>0</v>
      </c>
      <c r="AA19" s="1">
        <f>IF('BASE PAN - CAPEX'!$S19=2042,'BASE PAN - CAPEX'!$AD19,IF('BASE PAN - CAPEX'!$AE19=2042,'BASE PAN - CAPEX'!$AP19,IF('BASE PAN - CAPEX'!$AQ19=2042,'BASE PAN - CAPEX'!$BB19,0)))</f>
        <v>0</v>
      </c>
      <c r="AB19" s="1">
        <f>IF('BASE PAN - CAPEX'!$S19=2043,'BASE PAN - CAPEX'!$AD19,IF('BASE PAN - CAPEX'!$AE19=2043,'BASE PAN - CAPEX'!$AP19,IF('BASE PAN - CAPEX'!$AQ19=2043,'BASE PAN - CAPEX'!$BB19,0)))</f>
        <v>0</v>
      </c>
      <c r="AC19" s="1">
        <f>IF('BASE PAN - CAPEX'!$S19=2044,'BASE PAN - CAPEX'!$AD19,IF('BASE PAN - CAPEX'!$AE19=2044,'BASE PAN - CAPEX'!$AP19,IF('BASE PAN - CAPEX'!$AQ19=2044,'BASE PAN - CAPEX'!$BB19,0)))</f>
        <v>0</v>
      </c>
      <c r="AD19" s="1">
        <f>IF('BASE PAN - CAPEX'!$S19=2045,'BASE PAN - CAPEX'!$AD19,IF('BASE PAN - CAPEX'!$AE19=2045,'BASE PAN - CAPEX'!$AP19,IF('BASE PAN - CAPEX'!$AQ19=2045,'BASE PAN - CAPEX'!$BB19,0)))</f>
        <v>0</v>
      </c>
      <c r="AE19" s="1">
        <f>IF('BASE PAN - CAPEX'!$S19=2046,'BASE PAN - CAPEX'!$AD19,IF('BASE PAN - CAPEX'!$AE19=2046,'BASE PAN - CAPEX'!$AP19,IF('BASE PAN - CAPEX'!$AQ19=2046,'BASE PAN - CAPEX'!$BB19,0)))</f>
        <v>0</v>
      </c>
      <c r="AF19" s="1">
        <f>IF('BASE PAN - CAPEX'!$S19=2047,'BASE PAN - CAPEX'!$AD19,IF('BASE PAN - CAPEX'!$AE19=2047,'BASE PAN - CAPEX'!$AP19,IF('BASE PAN - CAPEX'!$AQ19=2047,'BASE PAN - CAPEX'!$BB19,0)))</f>
        <v>0</v>
      </c>
      <c r="AG19" s="1">
        <f>IF('BASE PAN - CAPEX'!$S19=2048,'BASE PAN - CAPEX'!$AD19,IF('BASE PAN - CAPEX'!$AE19=2048,'BASE PAN - CAPEX'!$AP19,IF('BASE PAN - CAPEX'!$AQ19=2048,'BASE PAN - CAPEX'!$BB19,0)))</f>
        <v>0</v>
      </c>
      <c r="AH19" s="1">
        <f>IF('BASE PAN - CAPEX'!$S19=2049,'BASE PAN - CAPEX'!$AD19,IF('BASE PAN - CAPEX'!$AE19=2049,'BASE PAN - CAPEX'!$AP19,IF('BASE PAN - CAPEX'!$AQ19=2049,'BASE PAN - CAPEX'!$BB19,0)))</f>
        <v>0</v>
      </c>
      <c r="AI19" s="1">
        <f>IF('BASE PAN - CAPEX'!$S19=2050,'BASE PAN - CAPEX'!$AD19,IF('BASE PAN - CAPEX'!$AE19=2050,'BASE PAN - CAPEX'!$AP19,IF('BASE PAN - CAPEX'!$AQ19=2050,'BASE PAN - CAPEX'!$BB19,0)))</f>
        <v>0</v>
      </c>
      <c r="AJ19" s="1">
        <f>IF('BASE PAN - CAPEX'!$S19=2051,'BASE PAN - CAPEX'!$AD19,IF('BASE PAN - CAPEX'!$AE19=2051,'BASE PAN - CAPEX'!$AP19,IF('BASE PAN - CAPEX'!$AQ19=2051,'BASE PAN - CAPEX'!$BB19,0)))</f>
        <v>0</v>
      </c>
      <c r="AK19" s="1">
        <f>IF('BASE PAN - CAPEX'!$S19=2052,'BASE PAN - CAPEX'!$AD19,IF('BASE PAN - CAPEX'!$AE19=2052,'BASE PAN - CAPEX'!$AP19,IF('BASE PAN - CAPEX'!$AQ19=2052,'BASE PAN - CAPEX'!$BB19,0)))</f>
        <v>0</v>
      </c>
      <c r="AL19" s="1">
        <f>IF('BASE PAN - CAPEX'!$S19=2053,'BASE PAN - CAPEX'!$AD19,IF('BASE PAN - CAPEX'!$AE19=2053,'BASE PAN - CAPEX'!$AP19,IF('BASE PAN - CAPEX'!$AQ19=2053,'BASE PAN - CAPEX'!$BB19,0)))</f>
        <v>0</v>
      </c>
      <c r="AM19" s="1">
        <f t="shared" si="0"/>
        <v>69925000</v>
      </c>
      <c r="AN19" s="3" t="s">
        <v>171</v>
      </c>
      <c r="AO19" s="3">
        <v>2</v>
      </c>
      <c r="AP19" s="3" t="s">
        <v>171</v>
      </c>
      <c r="AQ19" s="3" t="s">
        <v>171</v>
      </c>
      <c r="AR19" s="3">
        <v>2027</v>
      </c>
      <c r="AS19" s="3" t="s">
        <v>171</v>
      </c>
      <c r="AT19" s="3" t="s">
        <v>171</v>
      </c>
      <c r="AU19" s="3">
        <v>3</v>
      </c>
      <c r="AV19" t="str">
        <f>VLOOKUP(C19,'FLUXO DE CAIXA DESC.-BLOCOS PAN'!$D$3:$AO$52,38,FALSE)</f>
        <v>Bloco Nordeste</v>
      </c>
    </row>
    <row r="20" spans="1:48" x14ac:dyDescent="0.35">
      <c r="A20" t="s">
        <v>104</v>
      </c>
      <c r="B20" t="s">
        <v>105</v>
      </c>
      <c r="C20" t="s">
        <v>106</v>
      </c>
      <c r="D20" t="s">
        <v>107</v>
      </c>
      <c r="E20" t="s">
        <v>36</v>
      </c>
      <c r="F20" t="s">
        <v>33</v>
      </c>
      <c r="G20" t="s">
        <v>34</v>
      </c>
      <c r="H20" s="1">
        <f>VLOOKUP(C20,'BASE PAN - CAPEX'!$C$3:$R$37,16,FALSE)+'BASE PAN - CAPEX'!BC20</f>
        <v>27610000</v>
      </c>
      <c r="I20" s="1">
        <f>IF('BASE PAN - CAPEX'!$S20=2024,'BASE PAN - CAPEX'!$AD20,IF('BASE PAN - CAPEX'!$AE20=2024,'BASE PAN - CAPEX'!$AP20,IF('BASE PAN - CAPEX'!$AQ20=2024,'BASE PAN - CAPEX'!$BB20,0)))</f>
        <v>0</v>
      </c>
      <c r="J20" s="1">
        <f>IF('BASE PAN - CAPEX'!$S20=2025,'BASE PAN - CAPEX'!$AD20,IF('BASE PAN - CAPEX'!$AE20=2025,'BASE PAN - CAPEX'!$AP20,IF('BASE PAN - CAPEX'!$AQ20=2025,'BASE PAN - CAPEX'!$BB20,0)))</f>
        <v>0</v>
      </c>
      <c r="K20" s="1">
        <f>IF('BASE PAN - CAPEX'!$S20=2026,'BASE PAN - CAPEX'!$AD20,IF('BASE PAN - CAPEX'!$AE20=2026,'BASE PAN - CAPEX'!$AP20,IF('BASE PAN - CAPEX'!$AQ20=2026,'BASE PAN - CAPEX'!$BB20,0)))</f>
        <v>0</v>
      </c>
      <c r="L20" s="1">
        <f>IF('BASE PAN - CAPEX'!$S20=2027,'BASE PAN - CAPEX'!$AD20,IF('BASE PAN - CAPEX'!$AE20=2027,'BASE PAN - CAPEX'!$AP20,IF('BASE PAN - CAPEX'!$AQ20=2027,'BASE PAN - CAPEX'!$BB20,0)))+VLOOKUP(C20,'BASE PAN - CAPEX - 1º ANO'!$C$3:$BE$35,55,FALSE)</f>
        <v>0</v>
      </c>
      <c r="M20" s="1">
        <f>IF('BASE PAN - CAPEX'!$S20=2028,'BASE PAN - CAPEX'!$AD20,IF('BASE PAN - CAPEX'!$AE20=2028,'BASE PAN - CAPEX'!$AP20,IF('BASE PAN - CAPEX'!$AQ20=2028,'BASE PAN - CAPEX'!$BB20,0)))</f>
        <v>0</v>
      </c>
      <c r="N20" s="1">
        <f>IF('BASE PAN - CAPEX'!$S20=2029,'BASE PAN - CAPEX'!$AD20,IF('BASE PAN - CAPEX'!$AE20=2029,'BASE PAN - CAPEX'!$AP20,IF('BASE PAN - CAPEX'!$AQ20=2029,'BASE PAN - CAPEX'!$BB20,0)))</f>
        <v>0</v>
      </c>
      <c r="O20" s="1">
        <f>IF('BASE PAN - CAPEX'!$S20=2030,'BASE PAN - CAPEX'!$AD20,IF('BASE PAN - CAPEX'!$AE20=2030,'BASE PAN - CAPEX'!$AP20,IF('BASE PAN - CAPEX'!$AQ20=2030,'BASE PAN - CAPEX'!$BB20,0)))</f>
        <v>0</v>
      </c>
      <c r="P20" s="1">
        <f>IF('BASE PAN - CAPEX'!$S20=2031,'BASE PAN - CAPEX'!$AD20,IF('BASE PAN - CAPEX'!$AE20=2031,'BASE PAN - CAPEX'!$AP20,IF('BASE PAN - CAPEX'!$AQ20=2031,'BASE PAN - CAPEX'!$BB20,0)))</f>
        <v>0</v>
      </c>
      <c r="Q20" s="1">
        <f>IF('BASE PAN - CAPEX'!$S20=2032,'BASE PAN - CAPEX'!$AD20,IF('BASE PAN - CAPEX'!$AE20=2032,'BASE PAN - CAPEX'!$AP20,IF('BASE PAN - CAPEX'!$AQ20=2032,'BASE PAN - CAPEX'!$BB20,0)))+VLOOKUP(C20,'BASE PAN - CAPEX - 1º ANO'!$C$3:$BF$35,56,FALSE)</f>
        <v>0</v>
      </c>
      <c r="R20" s="1">
        <f>IF('BASE PAN - CAPEX'!$S20=2033,'BASE PAN - CAPEX'!$AD20,IF('BASE PAN - CAPEX'!$AE20=2033,'BASE PAN - CAPEX'!$AP20,IF('BASE PAN - CAPEX'!$AQ20=2033,'BASE PAN - CAPEX'!$BB20,0)))</f>
        <v>0</v>
      </c>
      <c r="S20" s="1">
        <f>IF('BASE PAN - CAPEX'!$S20=2034,'BASE PAN - CAPEX'!$AD20,IF('BASE PAN - CAPEX'!$AE20=2034,'BASE PAN - CAPEX'!$AP20,IF('BASE PAN - CAPEX'!$AQ20=2034,'BASE PAN - CAPEX'!$BB20,0)))</f>
        <v>0</v>
      </c>
      <c r="T20" s="1">
        <f>IF('BASE PAN - CAPEX'!$S20=2035,'BASE PAN - CAPEX'!$AD20,IF('BASE PAN - CAPEX'!$AE20=2035,'BASE PAN - CAPEX'!$AP20,IF('BASE PAN - CAPEX'!$AQ20=2035,'BASE PAN - CAPEX'!$BB20,0)))</f>
        <v>0</v>
      </c>
      <c r="U20" s="1">
        <f>IF('BASE PAN - CAPEX'!$S20=2036,'BASE PAN - CAPEX'!$AD20,IF('BASE PAN - CAPEX'!$AE20=2036,'BASE PAN - CAPEX'!$AP20,IF('BASE PAN - CAPEX'!$AQ20=2036,'BASE PAN - CAPEX'!$BB20,0)))</f>
        <v>0</v>
      </c>
      <c r="V20" s="1">
        <f>IF('BASE PAN - CAPEX'!$S20=2037,'BASE PAN - CAPEX'!$AD20,IF('BASE PAN - CAPEX'!$AE20=2037,'BASE PAN - CAPEX'!$AP20,IF('BASE PAN - CAPEX'!$AQ20=2037,'BASE PAN - CAPEX'!$BB20,0)))+VLOOKUP(C20,'BASE PAN - CAPEX - 1º ANO'!$C$3:$BG$35,57,FALSE)</f>
        <v>0</v>
      </c>
      <c r="W20" s="1">
        <f>IF('BASE PAN - CAPEX'!$S20=2038,'BASE PAN - CAPEX'!$AD20,IF('BASE PAN - CAPEX'!$AE20=2038,'BASE PAN - CAPEX'!$AP20,IF('BASE PAN - CAPEX'!$AQ20=2038,'BASE PAN - CAPEX'!$BB20,0)))</f>
        <v>0</v>
      </c>
      <c r="X20" s="1">
        <f>IF('BASE PAN - CAPEX'!$S20=2039,'BASE PAN - CAPEX'!$AD20,IF('BASE PAN - CAPEX'!$AE20=2039,'BASE PAN - CAPEX'!$AP20,IF('BASE PAN - CAPEX'!$AQ20=2039,'BASE PAN - CAPEX'!$BB20,0)))</f>
        <v>0</v>
      </c>
      <c r="Y20" s="1">
        <f>IF('BASE PAN - CAPEX'!$S20=2040,'BASE PAN - CAPEX'!$AD20,IF('BASE PAN - CAPEX'!$AE20=2040,'BASE PAN - CAPEX'!$AP20,IF('BASE PAN - CAPEX'!$AQ20=2040,'BASE PAN - CAPEX'!$BB20,0)))</f>
        <v>0</v>
      </c>
      <c r="Z20" s="1">
        <f>IF('BASE PAN - CAPEX'!$S20=2041,'BASE PAN - CAPEX'!$AD20,IF('BASE PAN - CAPEX'!$AE20=2041,'BASE PAN - CAPEX'!$AP20,IF('BASE PAN - CAPEX'!$AQ20=2041,'BASE PAN - CAPEX'!$BB20,0)))</f>
        <v>0</v>
      </c>
      <c r="AA20" s="1">
        <f>IF('BASE PAN - CAPEX'!$S20=2042,'BASE PAN - CAPEX'!$AD20,IF('BASE PAN - CAPEX'!$AE20=2042,'BASE PAN - CAPEX'!$AP20,IF('BASE PAN - CAPEX'!$AQ20=2042,'BASE PAN - CAPEX'!$BB20,0)))</f>
        <v>0</v>
      </c>
      <c r="AB20" s="1">
        <f>IF('BASE PAN - CAPEX'!$S20=2043,'BASE PAN - CAPEX'!$AD20,IF('BASE PAN - CAPEX'!$AE20=2043,'BASE PAN - CAPEX'!$AP20,IF('BASE PAN - CAPEX'!$AQ20=2043,'BASE PAN - CAPEX'!$BB20,0)))</f>
        <v>0</v>
      </c>
      <c r="AC20" s="1">
        <f>IF('BASE PAN - CAPEX'!$S20=2044,'BASE PAN - CAPEX'!$AD20,IF('BASE PAN - CAPEX'!$AE20=2044,'BASE PAN - CAPEX'!$AP20,IF('BASE PAN - CAPEX'!$AQ20=2044,'BASE PAN - CAPEX'!$BB20,0)))</f>
        <v>0</v>
      </c>
      <c r="AD20" s="1">
        <f>IF('BASE PAN - CAPEX'!$S20=2045,'BASE PAN - CAPEX'!$AD20,IF('BASE PAN - CAPEX'!$AE20=2045,'BASE PAN - CAPEX'!$AP20,IF('BASE PAN - CAPEX'!$AQ20=2045,'BASE PAN - CAPEX'!$BB20,0)))</f>
        <v>0</v>
      </c>
      <c r="AE20" s="1">
        <f>IF('BASE PAN - CAPEX'!$S20=2046,'BASE PAN - CAPEX'!$AD20,IF('BASE PAN - CAPEX'!$AE20=2046,'BASE PAN - CAPEX'!$AP20,IF('BASE PAN - CAPEX'!$AQ20=2046,'BASE PAN - CAPEX'!$BB20,0)))</f>
        <v>0</v>
      </c>
      <c r="AF20" s="1">
        <f>IF('BASE PAN - CAPEX'!$S20=2047,'BASE PAN - CAPEX'!$AD20,IF('BASE PAN - CAPEX'!$AE20=2047,'BASE PAN - CAPEX'!$AP20,IF('BASE PAN - CAPEX'!$AQ20=2047,'BASE PAN - CAPEX'!$BB20,0)))</f>
        <v>0</v>
      </c>
      <c r="AG20" s="1">
        <f>IF('BASE PAN - CAPEX'!$S20=2048,'BASE PAN - CAPEX'!$AD20,IF('BASE PAN - CAPEX'!$AE20=2048,'BASE PAN - CAPEX'!$AP20,IF('BASE PAN - CAPEX'!$AQ20=2048,'BASE PAN - CAPEX'!$BB20,0)))</f>
        <v>0</v>
      </c>
      <c r="AH20" s="1">
        <f>IF('BASE PAN - CAPEX'!$S20=2049,'BASE PAN - CAPEX'!$AD20,IF('BASE PAN - CAPEX'!$AE20=2049,'BASE PAN - CAPEX'!$AP20,IF('BASE PAN - CAPEX'!$AQ20=2049,'BASE PAN - CAPEX'!$BB20,0)))</f>
        <v>0</v>
      </c>
      <c r="AI20" s="1">
        <f>IF('BASE PAN - CAPEX'!$S20=2050,'BASE PAN - CAPEX'!$AD20,IF('BASE PAN - CAPEX'!$AE20=2050,'BASE PAN - CAPEX'!$AP20,IF('BASE PAN - CAPEX'!$AQ20=2050,'BASE PAN - CAPEX'!$BB20,0)))</f>
        <v>0</v>
      </c>
      <c r="AJ20" s="1">
        <f>IF('BASE PAN - CAPEX'!$S20=2051,'BASE PAN - CAPEX'!$AD20,IF('BASE PAN - CAPEX'!$AE20=2051,'BASE PAN - CAPEX'!$AP20,IF('BASE PAN - CAPEX'!$AQ20=2051,'BASE PAN - CAPEX'!$BB20,0)))</f>
        <v>0</v>
      </c>
      <c r="AK20" s="1">
        <f>IF('BASE PAN - CAPEX'!$S20=2052,'BASE PAN - CAPEX'!$AD20,IF('BASE PAN - CAPEX'!$AE20=2052,'BASE PAN - CAPEX'!$AP20,IF('BASE PAN - CAPEX'!$AQ20=2052,'BASE PAN - CAPEX'!$BB20,0)))</f>
        <v>0</v>
      </c>
      <c r="AL20" s="1">
        <f>IF('BASE PAN - CAPEX'!$S20=2053,'BASE PAN - CAPEX'!$AD20,IF('BASE PAN - CAPEX'!$AE20=2053,'BASE PAN - CAPEX'!$AP20,IF('BASE PAN - CAPEX'!$AQ20=2053,'BASE PAN - CAPEX'!$BB20,0)))</f>
        <v>0</v>
      </c>
      <c r="AM20" s="1">
        <f t="shared" si="0"/>
        <v>27610000</v>
      </c>
      <c r="AN20" s="3" t="s">
        <v>171</v>
      </c>
      <c r="AO20" s="3">
        <v>1</v>
      </c>
      <c r="AP20" s="3" t="s">
        <v>171</v>
      </c>
      <c r="AQ20" s="3" t="s">
        <v>171</v>
      </c>
      <c r="AR20" s="3" t="s">
        <v>171</v>
      </c>
      <c r="AS20" s="3" t="s">
        <v>171</v>
      </c>
      <c r="AT20" s="3" t="s">
        <v>171</v>
      </c>
      <c r="AU20" s="3" t="s">
        <v>171</v>
      </c>
      <c r="AV20" t="str">
        <f>VLOOKUP(C20,'FLUXO DE CAIXA DESC.-BLOCOS PAN'!$D$3:$AO$52,38,FALSE)</f>
        <v>Bloco Nordeste</v>
      </c>
    </row>
    <row r="21" spans="1:48" x14ac:dyDescent="0.35">
      <c r="A21" t="s">
        <v>108</v>
      </c>
      <c r="B21" t="s">
        <v>109</v>
      </c>
      <c r="C21" t="s">
        <v>110</v>
      </c>
      <c r="D21" t="s">
        <v>109</v>
      </c>
      <c r="E21" t="s">
        <v>29</v>
      </c>
      <c r="F21" t="s">
        <v>33</v>
      </c>
      <c r="G21" t="s">
        <v>34</v>
      </c>
      <c r="H21" s="1">
        <f>VLOOKUP(C21,'BASE PAN - CAPEX'!$C$3:$R$37,16,FALSE)</f>
        <v>29220000</v>
      </c>
      <c r="I21" s="1">
        <f>IF('BASE PAN - CAPEX'!$S21=2024,'BASE PAN - CAPEX'!$AD21,IF('BASE PAN - CAPEX'!$AE21=2024,'BASE PAN - CAPEX'!$AP21,IF('BASE PAN - CAPEX'!$AQ21=2024,'BASE PAN - CAPEX'!$BB21,0)))</f>
        <v>0</v>
      </c>
      <c r="J21" s="1">
        <f>IF('BASE PAN - CAPEX'!$S21=2025,'BASE PAN - CAPEX'!$AD21,IF('BASE PAN - CAPEX'!$AE21=2025,'BASE PAN - CAPEX'!$AP21,IF('BASE PAN - CAPEX'!$AQ21=2025,'BASE PAN - CAPEX'!$BB21,0)))</f>
        <v>0</v>
      </c>
      <c r="K21" s="1">
        <f>IF('BASE PAN - CAPEX'!$S21=2026,'BASE PAN - CAPEX'!$AD21,IF('BASE PAN - CAPEX'!$AE21=2026,'BASE PAN - CAPEX'!$AP21,IF('BASE PAN - CAPEX'!$AQ21=2026,'BASE PAN - CAPEX'!$BB21,0)))</f>
        <v>0</v>
      </c>
      <c r="L21" s="1">
        <f>IF('BASE PAN - CAPEX'!$S21=2027,'BASE PAN - CAPEX'!$AD21,IF('BASE PAN - CAPEX'!$AE21=2027,'BASE PAN - CAPEX'!$AP21,IF('BASE PAN - CAPEX'!$AQ21=2027,'BASE PAN - CAPEX'!$BB21,0)))+VLOOKUP(C21,'BASE PAN - CAPEX - 1º ANO'!$C$3:$BE$35,55,FALSE)</f>
        <v>1005000</v>
      </c>
      <c r="M21" s="1">
        <f>IF('BASE PAN - CAPEX'!$S21=2028,'BASE PAN - CAPEX'!$AD21,IF('BASE PAN - CAPEX'!$AE21=2028,'BASE PAN - CAPEX'!$AP21,IF('BASE PAN - CAPEX'!$AQ21=2028,'BASE PAN - CAPEX'!$BB21,0)))</f>
        <v>0</v>
      </c>
      <c r="N21" s="1">
        <f>IF('BASE PAN - CAPEX'!$S21=2029,'BASE PAN - CAPEX'!$AD21,IF('BASE PAN - CAPEX'!$AE21=2029,'BASE PAN - CAPEX'!$AP21,IF('BASE PAN - CAPEX'!$AQ21=2029,'BASE PAN - CAPEX'!$BB21,0)))</f>
        <v>0</v>
      </c>
      <c r="O21" s="1">
        <f>IF('BASE PAN - CAPEX'!$S21=2030,'BASE PAN - CAPEX'!$AD21,IF('BASE PAN - CAPEX'!$AE21=2030,'BASE PAN - CAPEX'!$AP21,IF('BASE PAN - CAPEX'!$AQ21=2030,'BASE PAN - CAPEX'!$BB21,0)))</f>
        <v>0</v>
      </c>
      <c r="P21" s="1">
        <f>IF('BASE PAN - CAPEX'!$S21=2031,'BASE PAN - CAPEX'!$AD21,IF('BASE PAN - CAPEX'!$AE21=2031,'BASE PAN - CAPEX'!$AP21,IF('BASE PAN - CAPEX'!$AQ21=2031,'BASE PAN - CAPEX'!$BB21,0)))</f>
        <v>0</v>
      </c>
      <c r="Q21" s="1">
        <f>IF('BASE PAN - CAPEX'!$S21=2032,'BASE PAN - CAPEX'!$AD21,IF('BASE PAN - CAPEX'!$AE21=2032,'BASE PAN - CAPEX'!$AP21,IF('BASE PAN - CAPEX'!$AQ21=2032,'BASE PAN - CAPEX'!$BB21,0)))+VLOOKUP(C21,'BASE PAN - CAPEX - 1º ANO'!$C$3:$BF$35,56,FALSE)</f>
        <v>250000</v>
      </c>
      <c r="R21" s="1">
        <f>IF('BASE PAN - CAPEX'!$S21=2033,'BASE PAN - CAPEX'!$AD21,IF('BASE PAN - CAPEX'!$AE21=2033,'BASE PAN - CAPEX'!$AP21,IF('BASE PAN - CAPEX'!$AQ21=2033,'BASE PAN - CAPEX'!$BB21,0)))</f>
        <v>0</v>
      </c>
      <c r="S21" s="1">
        <f>IF('BASE PAN - CAPEX'!$S21=2034,'BASE PAN - CAPEX'!$AD21,IF('BASE PAN - CAPEX'!$AE21=2034,'BASE PAN - CAPEX'!$AP21,IF('BASE PAN - CAPEX'!$AQ21=2034,'BASE PAN - CAPEX'!$BB21,0)))</f>
        <v>0</v>
      </c>
      <c r="T21" s="1">
        <f>IF('BASE PAN - CAPEX'!$S21=2035,'BASE PAN - CAPEX'!$AD21,IF('BASE PAN - CAPEX'!$AE21=2035,'BASE PAN - CAPEX'!$AP21,IF('BASE PAN - CAPEX'!$AQ21=2035,'BASE PAN - CAPEX'!$BB21,0)))</f>
        <v>0</v>
      </c>
      <c r="U21" s="1">
        <f>IF('BASE PAN - CAPEX'!$S21=2036,'BASE PAN - CAPEX'!$AD21,IF('BASE PAN - CAPEX'!$AE21=2036,'BASE PAN - CAPEX'!$AP21,IF('BASE PAN - CAPEX'!$AQ21=2036,'BASE PAN - CAPEX'!$BB21,0)))</f>
        <v>0</v>
      </c>
      <c r="V21" s="1">
        <f>IF('BASE PAN - CAPEX'!$S21=2037,'BASE PAN - CAPEX'!$AD21,IF('BASE PAN - CAPEX'!$AE21=2037,'BASE PAN - CAPEX'!$AP21,IF('BASE PAN - CAPEX'!$AQ21=2037,'BASE PAN - CAPEX'!$BB21,0)))+VLOOKUP(C21,'BASE PAN - CAPEX - 1º ANO'!$C$3:$BG$35,57,FALSE)</f>
        <v>0</v>
      </c>
      <c r="W21" s="1">
        <f>IF('BASE PAN - CAPEX'!$S21=2038,'BASE PAN - CAPEX'!$AD21,IF('BASE PAN - CAPEX'!$AE21=2038,'BASE PAN - CAPEX'!$AP21,IF('BASE PAN - CAPEX'!$AQ21=2038,'BASE PAN - CAPEX'!$BB21,0)))</f>
        <v>0</v>
      </c>
      <c r="X21" s="1">
        <f>IF('BASE PAN - CAPEX'!$S21=2039,'BASE PAN - CAPEX'!$AD21,IF('BASE PAN - CAPEX'!$AE21=2039,'BASE PAN - CAPEX'!$AP21,IF('BASE PAN - CAPEX'!$AQ21=2039,'BASE PAN - CAPEX'!$BB21,0)))</f>
        <v>0</v>
      </c>
      <c r="Y21" s="1">
        <f>IF('BASE PAN - CAPEX'!$S21=2040,'BASE PAN - CAPEX'!$AD21,IF('BASE PAN - CAPEX'!$AE21=2040,'BASE PAN - CAPEX'!$AP21,IF('BASE PAN - CAPEX'!$AQ21=2040,'BASE PAN - CAPEX'!$BB21,0)))</f>
        <v>0</v>
      </c>
      <c r="Z21" s="1">
        <f>IF('BASE PAN - CAPEX'!$S21=2041,'BASE PAN - CAPEX'!$AD21,IF('BASE PAN - CAPEX'!$AE21=2041,'BASE PAN - CAPEX'!$AP21,IF('BASE PAN - CAPEX'!$AQ21=2041,'BASE PAN - CAPEX'!$BB21,0)))</f>
        <v>0</v>
      </c>
      <c r="AA21" s="1">
        <f>IF('BASE PAN - CAPEX'!$S21=2042,'BASE PAN - CAPEX'!$AD21,IF('BASE PAN - CAPEX'!$AE21=2042,'BASE PAN - CAPEX'!$AP21,IF('BASE PAN - CAPEX'!$AQ21=2042,'BASE PAN - CAPEX'!$BB21,0)))</f>
        <v>0</v>
      </c>
      <c r="AB21" s="1">
        <f>IF('BASE PAN - CAPEX'!$S21=2043,'BASE PAN - CAPEX'!$AD21,IF('BASE PAN - CAPEX'!$AE21=2043,'BASE PAN - CAPEX'!$AP21,IF('BASE PAN - CAPEX'!$AQ21=2043,'BASE PAN - CAPEX'!$BB21,0)))</f>
        <v>0</v>
      </c>
      <c r="AC21" s="1">
        <f>IF('BASE PAN - CAPEX'!$S21=2044,'BASE PAN - CAPEX'!$AD21,IF('BASE PAN - CAPEX'!$AE21=2044,'BASE PAN - CAPEX'!$AP21,IF('BASE PAN - CAPEX'!$AQ21=2044,'BASE PAN - CAPEX'!$BB21,0)))</f>
        <v>0</v>
      </c>
      <c r="AD21" s="1">
        <f>IF('BASE PAN - CAPEX'!$S21=2045,'BASE PAN - CAPEX'!$AD21,IF('BASE PAN - CAPEX'!$AE21=2045,'BASE PAN - CAPEX'!$AP21,IF('BASE PAN - CAPEX'!$AQ21=2045,'BASE PAN - CAPEX'!$BB21,0)))</f>
        <v>0</v>
      </c>
      <c r="AE21" s="1">
        <f>IF('BASE PAN - CAPEX'!$S21=2046,'BASE PAN - CAPEX'!$AD21,IF('BASE PAN - CAPEX'!$AE21=2046,'BASE PAN - CAPEX'!$AP21,IF('BASE PAN - CAPEX'!$AQ21=2046,'BASE PAN - CAPEX'!$BB21,0)))</f>
        <v>0</v>
      </c>
      <c r="AF21" s="1">
        <f>IF('BASE PAN - CAPEX'!$S21=2047,'BASE PAN - CAPEX'!$AD21,IF('BASE PAN - CAPEX'!$AE21=2047,'BASE PAN - CAPEX'!$AP21,IF('BASE PAN - CAPEX'!$AQ21=2047,'BASE PAN - CAPEX'!$BB21,0)))</f>
        <v>0</v>
      </c>
      <c r="AG21" s="1">
        <f>IF('BASE PAN - CAPEX'!$S21=2048,'BASE PAN - CAPEX'!$AD21,IF('BASE PAN - CAPEX'!$AE21=2048,'BASE PAN - CAPEX'!$AP21,IF('BASE PAN - CAPEX'!$AQ21=2048,'BASE PAN - CAPEX'!$BB21,0)))</f>
        <v>0</v>
      </c>
      <c r="AH21" s="1">
        <f>IF('BASE PAN - CAPEX'!$S21=2049,'BASE PAN - CAPEX'!$AD21,IF('BASE PAN - CAPEX'!$AE21=2049,'BASE PAN - CAPEX'!$AP21,IF('BASE PAN - CAPEX'!$AQ21=2049,'BASE PAN - CAPEX'!$BB21,0)))</f>
        <v>0</v>
      </c>
      <c r="AI21" s="1">
        <f>IF('BASE PAN - CAPEX'!$S21=2050,'BASE PAN - CAPEX'!$AD21,IF('BASE PAN - CAPEX'!$AE21=2050,'BASE PAN - CAPEX'!$AP21,IF('BASE PAN - CAPEX'!$AQ21=2050,'BASE PAN - CAPEX'!$BB21,0)))</f>
        <v>0</v>
      </c>
      <c r="AJ21" s="1">
        <f>IF('BASE PAN - CAPEX'!$S21=2051,'BASE PAN - CAPEX'!$AD21,IF('BASE PAN - CAPEX'!$AE21=2051,'BASE PAN - CAPEX'!$AP21,IF('BASE PAN - CAPEX'!$AQ21=2051,'BASE PAN - CAPEX'!$BB21,0)))</f>
        <v>0</v>
      </c>
      <c r="AK21" s="1">
        <f>IF('BASE PAN - CAPEX'!$S21=2052,'BASE PAN - CAPEX'!$AD21,IF('BASE PAN - CAPEX'!$AE21=2052,'BASE PAN - CAPEX'!$AP21,IF('BASE PAN - CAPEX'!$AQ21=2052,'BASE PAN - CAPEX'!$BB21,0)))</f>
        <v>0</v>
      </c>
      <c r="AL21" s="1">
        <f>IF('BASE PAN - CAPEX'!$S21=2053,'BASE PAN - CAPEX'!$AD21,IF('BASE PAN - CAPEX'!$AE21=2053,'BASE PAN - CAPEX'!$AP21,IF('BASE PAN - CAPEX'!$AQ21=2053,'BASE PAN - CAPEX'!$BB21,0)))</f>
        <v>0</v>
      </c>
      <c r="AM21" s="1">
        <f t="shared" si="0"/>
        <v>30475000</v>
      </c>
      <c r="AN21" s="3" t="s">
        <v>171</v>
      </c>
      <c r="AO21" s="3">
        <v>1</v>
      </c>
      <c r="AP21" s="3" t="s">
        <v>171</v>
      </c>
      <c r="AQ21" s="3" t="s">
        <v>171</v>
      </c>
      <c r="AR21" s="3">
        <v>2032</v>
      </c>
      <c r="AS21" s="3" t="s">
        <v>171</v>
      </c>
      <c r="AT21" s="3" t="s">
        <v>171</v>
      </c>
      <c r="AU21" s="3">
        <v>2</v>
      </c>
      <c r="AV21" t="str">
        <f>VLOOKUP(C21,'FLUXO DE CAIXA DESC.-BLOCOS PAN'!$D$3:$AO$52,38,FALSE)</f>
        <v>PA 3 - AL</v>
      </c>
    </row>
    <row r="22" spans="1:48" x14ac:dyDescent="0.35">
      <c r="A22" t="s">
        <v>111</v>
      </c>
      <c r="B22" t="s">
        <v>112</v>
      </c>
      <c r="C22" t="s">
        <v>113</v>
      </c>
      <c r="D22" t="s">
        <v>112</v>
      </c>
      <c r="E22" t="s">
        <v>30</v>
      </c>
      <c r="F22" t="s">
        <v>33</v>
      </c>
      <c r="G22" t="s">
        <v>34</v>
      </c>
      <c r="H22" s="1">
        <f>VLOOKUP(C22,'BASE PAN - CAPEX'!$C$3:$R$37,16,FALSE)+'BASE PAN - CAPEX'!BC22</f>
        <v>21035000</v>
      </c>
      <c r="I22" s="1">
        <f>IF('BASE PAN - CAPEX'!$S22=2024,'BASE PAN - CAPEX'!$AD22,IF('BASE PAN - CAPEX'!$AE22=2024,'BASE PAN - CAPEX'!$AP22,IF('BASE PAN - CAPEX'!$AQ22=2024,'BASE PAN - CAPEX'!$BB22,0)))</f>
        <v>0</v>
      </c>
      <c r="J22" s="1">
        <f>IF('BASE PAN - CAPEX'!$S22=2025,'BASE PAN - CAPEX'!$AD22,IF('BASE PAN - CAPEX'!$AE22=2025,'BASE PAN - CAPEX'!$AP22,IF('BASE PAN - CAPEX'!$AQ22=2025,'BASE PAN - CAPEX'!$BB22,0)))</f>
        <v>49050000</v>
      </c>
      <c r="K22" s="1">
        <f>IF('BASE PAN - CAPEX'!$S22=2026,'BASE PAN - CAPEX'!$AD22,IF('BASE PAN - CAPEX'!$AE22=2026,'BASE PAN - CAPEX'!$AP22,IF('BASE PAN - CAPEX'!$AQ22=2026,'BASE PAN - CAPEX'!$BB22,0)))</f>
        <v>0</v>
      </c>
      <c r="L22" s="1">
        <f>IF('BASE PAN - CAPEX'!$S22=2027,'BASE PAN - CAPEX'!$AD22,IF('BASE PAN - CAPEX'!$AE22=2027,'BASE PAN - CAPEX'!$AP22,IF('BASE PAN - CAPEX'!$AQ22=2027,'BASE PAN - CAPEX'!$BB22,0)))+VLOOKUP(C22,'BASE PAN - CAPEX - 1º ANO'!$C$3:$BE$35,55,FALSE)</f>
        <v>290000</v>
      </c>
      <c r="M22" s="1">
        <f>IF('BASE PAN - CAPEX'!$S22=2028,'BASE PAN - CAPEX'!$AD22,IF('BASE PAN - CAPEX'!$AE22=2028,'BASE PAN - CAPEX'!$AP22,IF('BASE PAN - CAPEX'!$AQ22=2028,'BASE PAN - CAPEX'!$BB22,0)))</f>
        <v>0</v>
      </c>
      <c r="N22" s="1">
        <f>IF('BASE PAN - CAPEX'!$S22=2029,'BASE PAN - CAPEX'!$AD22,IF('BASE PAN - CAPEX'!$AE22=2029,'BASE PAN - CAPEX'!$AP22,IF('BASE PAN - CAPEX'!$AQ22=2029,'BASE PAN - CAPEX'!$BB22,0)))</f>
        <v>0</v>
      </c>
      <c r="O22" s="1">
        <f>IF('BASE PAN - CAPEX'!$S22=2030,'BASE PAN - CAPEX'!$AD22,IF('BASE PAN - CAPEX'!$AE22=2030,'BASE PAN - CAPEX'!$AP22,IF('BASE PAN - CAPEX'!$AQ22=2030,'BASE PAN - CAPEX'!$BB22,0)))</f>
        <v>0</v>
      </c>
      <c r="P22" s="1">
        <f>IF('BASE PAN - CAPEX'!$S22=2031,'BASE PAN - CAPEX'!$AD22,IF('BASE PAN - CAPEX'!$AE22=2031,'BASE PAN - CAPEX'!$AP22,IF('BASE PAN - CAPEX'!$AQ22=2031,'BASE PAN - CAPEX'!$BB22,0)))</f>
        <v>0</v>
      </c>
      <c r="Q22" s="1">
        <f>IF('BASE PAN - CAPEX'!$S22=2032,'BASE PAN - CAPEX'!$AD22,IF('BASE PAN - CAPEX'!$AE22=2032,'BASE PAN - CAPEX'!$AP22,IF('BASE PAN - CAPEX'!$AQ22=2032,'BASE PAN - CAPEX'!$BB22,0)))+VLOOKUP(C22,'BASE PAN - CAPEX - 1º ANO'!$C$3:$BF$35,56,FALSE)</f>
        <v>0</v>
      </c>
      <c r="R22" s="1">
        <f>IF('BASE PAN - CAPEX'!$S22=2033,'BASE PAN - CAPEX'!$AD22,IF('BASE PAN - CAPEX'!$AE22=2033,'BASE PAN - CAPEX'!$AP22,IF('BASE PAN - CAPEX'!$AQ22=2033,'BASE PAN - CAPEX'!$BB22,0)))</f>
        <v>0</v>
      </c>
      <c r="S22" s="1">
        <f>IF('BASE PAN - CAPEX'!$S22=2034,'BASE PAN - CAPEX'!$AD22,IF('BASE PAN - CAPEX'!$AE22=2034,'BASE PAN - CAPEX'!$AP22,IF('BASE PAN - CAPEX'!$AQ22=2034,'BASE PAN - CAPEX'!$BB22,0)))</f>
        <v>0</v>
      </c>
      <c r="T22" s="1">
        <f>IF('BASE PAN - CAPEX'!$S22=2035,'BASE PAN - CAPEX'!$AD22,IF('BASE PAN - CAPEX'!$AE22=2035,'BASE PAN - CAPEX'!$AP22,IF('BASE PAN - CAPEX'!$AQ22=2035,'BASE PAN - CAPEX'!$BB22,0)))</f>
        <v>0</v>
      </c>
      <c r="U22" s="1">
        <f>IF('BASE PAN - CAPEX'!$S22=2036,'BASE PAN - CAPEX'!$AD22,IF('BASE PAN - CAPEX'!$AE22=2036,'BASE PAN - CAPEX'!$AP22,IF('BASE PAN - CAPEX'!$AQ22=2036,'BASE PAN - CAPEX'!$BB22,0)))</f>
        <v>0</v>
      </c>
      <c r="V22" s="1">
        <f>IF('BASE PAN - CAPEX'!$S22=2037,'BASE PAN - CAPEX'!$AD22,IF('BASE PAN - CAPEX'!$AE22=2037,'BASE PAN - CAPEX'!$AP22,IF('BASE PAN - CAPEX'!$AQ22=2037,'BASE PAN - CAPEX'!$BB22,0)))+VLOOKUP(C22,'BASE PAN - CAPEX - 1º ANO'!$C$3:$BG$35,57,FALSE)</f>
        <v>0</v>
      </c>
      <c r="W22" s="1">
        <f>IF('BASE PAN - CAPEX'!$S22=2038,'BASE PAN - CAPEX'!$AD22,IF('BASE PAN - CAPEX'!$AE22=2038,'BASE PAN - CAPEX'!$AP22,IF('BASE PAN - CAPEX'!$AQ22=2038,'BASE PAN - CAPEX'!$BB22,0)))</f>
        <v>0</v>
      </c>
      <c r="X22" s="1">
        <f>IF('BASE PAN - CAPEX'!$S22=2039,'BASE PAN - CAPEX'!$AD22,IF('BASE PAN - CAPEX'!$AE22=2039,'BASE PAN - CAPEX'!$AP22,IF('BASE PAN - CAPEX'!$AQ22=2039,'BASE PAN - CAPEX'!$BB22,0)))</f>
        <v>0</v>
      </c>
      <c r="Y22" s="1">
        <f>IF('BASE PAN - CAPEX'!$S22=2040,'BASE PAN - CAPEX'!$AD22,IF('BASE PAN - CAPEX'!$AE22=2040,'BASE PAN - CAPEX'!$AP22,IF('BASE PAN - CAPEX'!$AQ22=2040,'BASE PAN - CAPEX'!$BB22,0)))</f>
        <v>0</v>
      </c>
      <c r="Z22" s="1">
        <f>IF('BASE PAN - CAPEX'!$S22=2041,'BASE PAN - CAPEX'!$AD22,IF('BASE PAN - CAPEX'!$AE22=2041,'BASE PAN - CAPEX'!$AP22,IF('BASE PAN - CAPEX'!$AQ22=2041,'BASE PAN - CAPEX'!$BB22,0)))</f>
        <v>0</v>
      </c>
      <c r="AA22" s="1">
        <f>IF('BASE PAN - CAPEX'!$S22=2042,'BASE PAN - CAPEX'!$AD22,IF('BASE PAN - CAPEX'!$AE22=2042,'BASE PAN - CAPEX'!$AP22,IF('BASE PAN - CAPEX'!$AQ22=2042,'BASE PAN - CAPEX'!$BB22,0)))</f>
        <v>0</v>
      </c>
      <c r="AB22" s="1">
        <f>IF('BASE PAN - CAPEX'!$S22=2043,'BASE PAN - CAPEX'!$AD22,IF('BASE PAN - CAPEX'!$AE22=2043,'BASE PAN - CAPEX'!$AP22,IF('BASE PAN - CAPEX'!$AQ22=2043,'BASE PAN - CAPEX'!$BB22,0)))</f>
        <v>0</v>
      </c>
      <c r="AC22" s="1">
        <f>IF('BASE PAN - CAPEX'!$S22=2044,'BASE PAN - CAPEX'!$AD22,IF('BASE PAN - CAPEX'!$AE22=2044,'BASE PAN - CAPEX'!$AP22,IF('BASE PAN - CAPEX'!$AQ22=2044,'BASE PAN - CAPEX'!$BB22,0)))</f>
        <v>0</v>
      </c>
      <c r="AD22" s="1">
        <f>IF('BASE PAN - CAPEX'!$S22=2045,'BASE PAN - CAPEX'!$AD22,IF('BASE PAN - CAPEX'!$AE22=2045,'BASE PAN - CAPEX'!$AP22,IF('BASE PAN - CAPEX'!$AQ22=2045,'BASE PAN - CAPEX'!$BB22,0)))</f>
        <v>0</v>
      </c>
      <c r="AE22" s="1">
        <f>IF('BASE PAN - CAPEX'!$S22=2046,'BASE PAN - CAPEX'!$AD22,IF('BASE PAN - CAPEX'!$AE22=2046,'BASE PAN - CAPEX'!$AP22,IF('BASE PAN - CAPEX'!$AQ22=2046,'BASE PAN - CAPEX'!$BB22,0)))</f>
        <v>0</v>
      </c>
      <c r="AF22" s="1">
        <f>IF('BASE PAN - CAPEX'!$S22=2047,'BASE PAN - CAPEX'!$AD22,IF('BASE PAN - CAPEX'!$AE22=2047,'BASE PAN - CAPEX'!$AP22,IF('BASE PAN - CAPEX'!$AQ22=2047,'BASE PAN - CAPEX'!$BB22,0)))</f>
        <v>0</v>
      </c>
      <c r="AG22" s="1">
        <f>IF('BASE PAN - CAPEX'!$S22=2048,'BASE PAN - CAPEX'!$AD22,IF('BASE PAN - CAPEX'!$AE22=2048,'BASE PAN - CAPEX'!$AP22,IF('BASE PAN - CAPEX'!$AQ22=2048,'BASE PAN - CAPEX'!$BB22,0)))</f>
        <v>0</v>
      </c>
      <c r="AH22" s="1">
        <f>IF('BASE PAN - CAPEX'!$S22=2049,'BASE PAN - CAPEX'!$AD22,IF('BASE PAN - CAPEX'!$AE22=2049,'BASE PAN - CAPEX'!$AP22,IF('BASE PAN - CAPEX'!$AQ22=2049,'BASE PAN - CAPEX'!$BB22,0)))</f>
        <v>0</v>
      </c>
      <c r="AI22" s="1">
        <f>IF('BASE PAN - CAPEX'!$S22=2050,'BASE PAN - CAPEX'!$AD22,IF('BASE PAN - CAPEX'!$AE22=2050,'BASE PAN - CAPEX'!$AP22,IF('BASE PAN - CAPEX'!$AQ22=2050,'BASE PAN - CAPEX'!$BB22,0)))</f>
        <v>0</v>
      </c>
      <c r="AJ22" s="1">
        <f>IF('BASE PAN - CAPEX'!$S22=2051,'BASE PAN - CAPEX'!$AD22,IF('BASE PAN - CAPEX'!$AE22=2051,'BASE PAN - CAPEX'!$AP22,IF('BASE PAN - CAPEX'!$AQ22=2051,'BASE PAN - CAPEX'!$BB22,0)))</f>
        <v>0</v>
      </c>
      <c r="AK22" s="1">
        <f>IF('BASE PAN - CAPEX'!$S22=2052,'BASE PAN - CAPEX'!$AD22,IF('BASE PAN - CAPEX'!$AE22=2052,'BASE PAN - CAPEX'!$AP22,IF('BASE PAN - CAPEX'!$AQ22=2052,'BASE PAN - CAPEX'!$BB22,0)))</f>
        <v>0</v>
      </c>
      <c r="AL22" s="1">
        <f>IF('BASE PAN - CAPEX'!$S22=2053,'BASE PAN - CAPEX'!$AD22,IF('BASE PAN - CAPEX'!$AE22=2053,'BASE PAN - CAPEX'!$AP22,IF('BASE PAN - CAPEX'!$AQ22=2053,'BASE PAN - CAPEX'!$BB22,0)))</f>
        <v>0</v>
      </c>
      <c r="AM22" s="1">
        <f t="shared" si="0"/>
        <v>70375000</v>
      </c>
      <c r="AN22" s="3" t="s">
        <v>171</v>
      </c>
      <c r="AO22" s="3">
        <v>2</v>
      </c>
      <c r="AP22" s="3" t="s">
        <v>171</v>
      </c>
      <c r="AQ22" s="3" t="s">
        <v>171</v>
      </c>
      <c r="AR22" s="3">
        <v>2025</v>
      </c>
      <c r="AS22" s="3" t="s">
        <v>171</v>
      </c>
      <c r="AT22" s="3" t="s">
        <v>171</v>
      </c>
      <c r="AU22" s="3">
        <v>3</v>
      </c>
      <c r="AV22" t="str">
        <f>VLOOKUP(C22,'FLUXO DE CAIXA DESC.-BLOCOS PAN'!$D$3:$AO$52,38,FALSE)</f>
        <v>RO - 1 - AL</v>
      </c>
    </row>
    <row r="23" spans="1:48" x14ac:dyDescent="0.35">
      <c r="A23" t="s">
        <v>116</v>
      </c>
      <c r="B23" t="s">
        <v>117</v>
      </c>
      <c r="C23" t="s">
        <v>118</v>
      </c>
      <c r="D23" t="s">
        <v>117</v>
      </c>
      <c r="E23" t="s">
        <v>37</v>
      </c>
      <c r="F23" t="s">
        <v>33</v>
      </c>
      <c r="G23" t="s">
        <v>34</v>
      </c>
      <c r="H23" s="1">
        <f>VLOOKUP(C23,'BASE PAN - CAPEX'!$C$3:$R$37,16,FALSE)+'BASE PAN - CAPEX'!BC23</f>
        <v>41245000</v>
      </c>
      <c r="I23" s="1">
        <f>IF('BASE PAN - CAPEX'!$S23=2024,'BASE PAN - CAPEX'!$AD23,IF('BASE PAN - CAPEX'!$AE23=2024,'BASE PAN - CAPEX'!$AP23,IF('BASE PAN - CAPEX'!$AQ23=2024,'BASE PAN - CAPEX'!$BB23,0)))</f>
        <v>0</v>
      </c>
      <c r="J23" s="1">
        <f>IF('BASE PAN - CAPEX'!$S23=2025,'BASE PAN - CAPEX'!$AD23,IF('BASE PAN - CAPEX'!$AE23=2025,'BASE PAN - CAPEX'!$AP23,IF('BASE PAN - CAPEX'!$AQ23=2025,'BASE PAN - CAPEX'!$BB23,0)))</f>
        <v>0</v>
      </c>
      <c r="K23" s="1">
        <f>IF('BASE PAN - CAPEX'!$S23=2026,'BASE PAN - CAPEX'!$AD23,IF('BASE PAN - CAPEX'!$AE23=2026,'BASE PAN - CAPEX'!$AP23,IF('BASE PAN - CAPEX'!$AQ23=2026,'BASE PAN - CAPEX'!$BB23,0)))</f>
        <v>0</v>
      </c>
      <c r="L23" s="1">
        <f>IF('BASE PAN - CAPEX'!$S23=2027,'BASE PAN - CAPEX'!$AD23,IF('BASE PAN - CAPEX'!$AE23=2027,'BASE PAN - CAPEX'!$AP23,IF('BASE PAN - CAPEX'!$AQ23=2027,'BASE PAN - CAPEX'!$BB23,0)))+VLOOKUP(C23,'BASE PAN - CAPEX - 1º ANO'!$C$3:$BE$35,55,FALSE)</f>
        <v>0</v>
      </c>
      <c r="M23" s="1">
        <f>IF('BASE PAN - CAPEX'!$S23=2028,'BASE PAN - CAPEX'!$AD23,IF('BASE PAN - CAPEX'!$AE23=2028,'BASE PAN - CAPEX'!$AP23,IF('BASE PAN - CAPEX'!$AQ23=2028,'BASE PAN - CAPEX'!$BB23,0)))</f>
        <v>0</v>
      </c>
      <c r="N23" s="1">
        <f>IF('BASE PAN - CAPEX'!$S23=2029,'BASE PAN - CAPEX'!$AD23,IF('BASE PAN - CAPEX'!$AE23=2029,'BASE PAN - CAPEX'!$AP23,IF('BASE PAN - CAPEX'!$AQ23=2029,'BASE PAN - CAPEX'!$BB23,0)))</f>
        <v>0</v>
      </c>
      <c r="O23" s="1">
        <f>IF('BASE PAN - CAPEX'!$S23=2030,'BASE PAN - CAPEX'!$AD23,IF('BASE PAN - CAPEX'!$AE23=2030,'BASE PAN - CAPEX'!$AP23,IF('BASE PAN - CAPEX'!$AQ23=2030,'BASE PAN - CAPEX'!$BB23,0)))</f>
        <v>0</v>
      </c>
      <c r="P23" s="1">
        <f>IF('BASE PAN - CAPEX'!$S23=2031,'BASE PAN - CAPEX'!$AD23,IF('BASE PAN - CAPEX'!$AE23=2031,'BASE PAN - CAPEX'!$AP23,IF('BASE PAN - CAPEX'!$AQ23=2031,'BASE PAN - CAPEX'!$BB23,0)))</f>
        <v>0</v>
      </c>
      <c r="Q23" s="1">
        <f>IF('BASE PAN - CAPEX'!$S23=2032,'BASE PAN - CAPEX'!$AD23,IF('BASE PAN - CAPEX'!$AE23=2032,'BASE PAN - CAPEX'!$AP23,IF('BASE PAN - CAPEX'!$AQ23=2032,'BASE PAN - CAPEX'!$BB23,0)))+VLOOKUP(C23,'BASE PAN - CAPEX - 1º ANO'!$C$3:$BF$35,56,FALSE)</f>
        <v>0</v>
      </c>
      <c r="R23" s="1">
        <f>IF('BASE PAN - CAPEX'!$S23=2033,'BASE PAN - CAPEX'!$AD23,IF('BASE PAN - CAPEX'!$AE23=2033,'BASE PAN - CAPEX'!$AP23,IF('BASE PAN - CAPEX'!$AQ23=2033,'BASE PAN - CAPEX'!$BB23,0)))</f>
        <v>0</v>
      </c>
      <c r="S23" s="1">
        <f>IF('BASE PAN - CAPEX'!$S23=2034,'BASE PAN - CAPEX'!$AD23,IF('BASE PAN - CAPEX'!$AE23=2034,'BASE PAN - CAPEX'!$AP23,IF('BASE PAN - CAPEX'!$AQ23=2034,'BASE PAN - CAPEX'!$BB23,0)))</f>
        <v>0</v>
      </c>
      <c r="T23" s="1">
        <f>IF('BASE PAN - CAPEX'!$S23=2035,'BASE PAN - CAPEX'!$AD23,IF('BASE PAN - CAPEX'!$AE23=2035,'BASE PAN - CAPEX'!$AP23,IF('BASE PAN - CAPEX'!$AQ23=2035,'BASE PAN - CAPEX'!$BB23,0)))</f>
        <v>0</v>
      </c>
      <c r="U23" s="1">
        <f>IF('BASE PAN - CAPEX'!$S23=2036,'BASE PAN - CAPEX'!$AD23,IF('BASE PAN - CAPEX'!$AE23=2036,'BASE PAN - CAPEX'!$AP23,IF('BASE PAN - CAPEX'!$AQ23=2036,'BASE PAN - CAPEX'!$BB23,0)))</f>
        <v>0</v>
      </c>
      <c r="V23" s="1">
        <f>IF('BASE PAN - CAPEX'!$S23=2037,'BASE PAN - CAPEX'!$AD23,IF('BASE PAN - CAPEX'!$AE23=2037,'BASE PAN - CAPEX'!$AP23,IF('BASE PAN - CAPEX'!$AQ23=2037,'BASE PAN - CAPEX'!$BB23,0)))+VLOOKUP(C23,'BASE PAN - CAPEX - 1º ANO'!$C$3:$BG$35,57,FALSE)</f>
        <v>0</v>
      </c>
      <c r="W23" s="1">
        <f>IF('BASE PAN - CAPEX'!$S23=2038,'BASE PAN - CAPEX'!$AD23,IF('BASE PAN - CAPEX'!$AE23=2038,'BASE PAN - CAPEX'!$AP23,IF('BASE PAN - CAPEX'!$AQ23=2038,'BASE PAN - CAPEX'!$BB23,0)))</f>
        <v>0</v>
      </c>
      <c r="X23" s="1">
        <f>IF('BASE PAN - CAPEX'!$S23=2039,'BASE PAN - CAPEX'!$AD23,IF('BASE PAN - CAPEX'!$AE23=2039,'BASE PAN - CAPEX'!$AP23,IF('BASE PAN - CAPEX'!$AQ23=2039,'BASE PAN - CAPEX'!$BB23,0)))</f>
        <v>0</v>
      </c>
      <c r="Y23" s="1">
        <f>IF('BASE PAN - CAPEX'!$S23=2040,'BASE PAN - CAPEX'!$AD23,IF('BASE PAN - CAPEX'!$AE23=2040,'BASE PAN - CAPEX'!$AP23,IF('BASE PAN - CAPEX'!$AQ23=2040,'BASE PAN - CAPEX'!$BB23,0)))</f>
        <v>0</v>
      </c>
      <c r="Z23" s="1">
        <f>IF('BASE PAN - CAPEX'!$S23=2041,'BASE PAN - CAPEX'!$AD23,IF('BASE PAN - CAPEX'!$AE23=2041,'BASE PAN - CAPEX'!$AP23,IF('BASE PAN - CAPEX'!$AQ23=2041,'BASE PAN - CAPEX'!$BB23,0)))</f>
        <v>0</v>
      </c>
      <c r="AA23" s="1">
        <f>IF('BASE PAN - CAPEX'!$S23=2042,'BASE PAN - CAPEX'!$AD23,IF('BASE PAN - CAPEX'!$AE23=2042,'BASE PAN - CAPEX'!$AP23,IF('BASE PAN - CAPEX'!$AQ23=2042,'BASE PAN - CAPEX'!$BB23,0)))</f>
        <v>0</v>
      </c>
      <c r="AB23" s="1">
        <f>IF('BASE PAN - CAPEX'!$S23=2043,'BASE PAN - CAPEX'!$AD23,IF('BASE PAN - CAPEX'!$AE23=2043,'BASE PAN - CAPEX'!$AP23,IF('BASE PAN - CAPEX'!$AQ23=2043,'BASE PAN - CAPEX'!$BB23,0)))</f>
        <v>0</v>
      </c>
      <c r="AC23" s="1">
        <f>IF('BASE PAN - CAPEX'!$S23=2044,'BASE PAN - CAPEX'!$AD23,IF('BASE PAN - CAPEX'!$AE23=2044,'BASE PAN - CAPEX'!$AP23,IF('BASE PAN - CAPEX'!$AQ23=2044,'BASE PAN - CAPEX'!$BB23,0)))</f>
        <v>0</v>
      </c>
      <c r="AD23" s="1">
        <f>IF('BASE PAN - CAPEX'!$S23=2045,'BASE PAN - CAPEX'!$AD23,IF('BASE PAN - CAPEX'!$AE23=2045,'BASE PAN - CAPEX'!$AP23,IF('BASE PAN - CAPEX'!$AQ23=2045,'BASE PAN - CAPEX'!$BB23,0)))</f>
        <v>0</v>
      </c>
      <c r="AE23" s="1">
        <f>IF('BASE PAN - CAPEX'!$S23=2046,'BASE PAN - CAPEX'!$AD23,IF('BASE PAN - CAPEX'!$AE23=2046,'BASE PAN - CAPEX'!$AP23,IF('BASE PAN - CAPEX'!$AQ23=2046,'BASE PAN - CAPEX'!$BB23,0)))</f>
        <v>0</v>
      </c>
      <c r="AF23" s="1">
        <f>IF('BASE PAN - CAPEX'!$S23=2047,'BASE PAN - CAPEX'!$AD23,IF('BASE PAN - CAPEX'!$AE23=2047,'BASE PAN - CAPEX'!$AP23,IF('BASE PAN - CAPEX'!$AQ23=2047,'BASE PAN - CAPEX'!$BB23,0)))</f>
        <v>0</v>
      </c>
      <c r="AG23" s="1">
        <f>IF('BASE PAN - CAPEX'!$S23=2048,'BASE PAN - CAPEX'!$AD23,IF('BASE PAN - CAPEX'!$AE23=2048,'BASE PAN - CAPEX'!$AP23,IF('BASE PAN - CAPEX'!$AQ23=2048,'BASE PAN - CAPEX'!$BB23,0)))</f>
        <v>0</v>
      </c>
      <c r="AH23" s="1">
        <f>IF('BASE PAN - CAPEX'!$S23=2049,'BASE PAN - CAPEX'!$AD23,IF('BASE PAN - CAPEX'!$AE23=2049,'BASE PAN - CAPEX'!$AP23,IF('BASE PAN - CAPEX'!$AQ23=2049,'BASE PAN - CAPEX'!$BB23,0)))</f>
        <v>0</v>
      </c>
      <c r="AI23" s="1">
        <f>IF('BASE PAN - CAPEX'!$S23=2050,'BASE PAN - CAPEX'!$AD23,IF('BASE PAN - CAPEX'!$AE23=2050,'BASE PAN - CAPEX'!$AP23,IF('BASE PAN - CAPEX'!$AQ23=2050,'BASE PAN - CAPEX'!$BB23,0)))</f>
        <v>0</v>
      </c>
      <c r="AJ23" s="1">
        <f>IF('BASE PAN - CAPEX'!$S23=2051,'BASE PAN - CAPEX'!$AD23,IF('BASE PAN - CAPEX'!$AE23=2051,'BASE PAN - CAPEX'!$AP23,IF('BASE PAN - CAPEX'!$AQ23=2051,'BASE PAN - CAPEX'!$BB23,0)))</f>
        <v>0</v>
      </c>
      <c r="AK23" s="1">
        <f>IF('BASE PAN - CAPEX'!$S23=2052,'BASE PAN - CAPEX'!$AD23,IF('BASE PAN - CAPEX'!$AE23=2052,'BASE PAN - CAPEX'!$AP23,IF('BASE PAN - CAPEX'!$AQ23=2052,'BASE PAN - CAPEX'!$BB23,0)))</f>
        <v>0</v>
      </c>
      <c r="AL23" s="1">
        <f>IF('BASE PAN - CAPEX'!$S23=2053,'BASE PAN - CAPEX'!$AD23,IF('BASE PAN - CAPEX'!$AE23=2053,'BASE PAN - CAPEX'!$AP23,IF('BASE PAN - CAPEX'!$AQ23=2053,'BASE PAN - CAPEX'!$BB23,0)))</f>
        <v>0</v>
      </c>
      <c r="AM23" s="1">
        <f t="shared" si="0"/>
        <v>41245000</v>
      </c>
      <c r="AN23" s="3" t="s">
        <v>171</v>
      </c>
      <c r="AO23" s="3">
        <v>1</v>
      </c>
      <c r="AP23" s="3" t="s">
        <v>171</v>
      </c>
      <c r="AQ23" s="3" t="s">
        <v>171</v>
      </c>
      <c r="AR23" s="3" t="s">
        <v>171</v>
      </c>
      <c r="AS23" s="3" t="s">
        <v>171</v>
      </c>
      <c r="AT23" s="3" t="s">
        <v>171</v>
      </c>
      <c r="AU23" s="3" t="s">
        <v>171</v>
      </c>
      <c r="AV23" t="str">
        <f>VLOOKUP(C23,'FLUXO DE CAIXA DESC.-BLOCOS PAN'!$D$3:$AO$52,38,FALSE)</f>
        <v>MT - 1 - AL</v>
      </c>
    </row>
    <row r="24" spans="1:48" x14ac:dyDescent="0.35">
      <c r="A24" t="s">
        <v>119</v>
      </c>
      <c r="B24" t="s">
        <v>120</v>
      </c>
      <c r="C24" t="s">
        <v>121</v>
      </c>
      <c r="D24" t="s">
        <v>120</v>
      </c>
      <c r="E24" t="s">
        <v>35</v>
      </c>
      <c r="F24" t="s">
        <v>33</v>
      </c>
      <c r="G24" t="s">
        <v>34</v>
      </c>
      <c r="H24" s="1">
        <f>VLOOKUP(C24,'BASE PAN - CAPEX'!$C$3:$R$37,16,FALSE)+'BASE PAN - CAPEX'!BC24</f>
        <v>31810000</v>
      </c>
      <c r="I24" s="1">
        <f>IF('BASE PAN - CAPEX'!$S24=2024,'BASE PAN - CAPEX'!$AD24,IF('BASE PAN - CAPEX'!$AE24=2024,'BASE PAN - CAPEX'!$AP24,IF('BASE PAN - CAPEX'!$AQ24=2024,'BASE PAN - CAPEX'!$BB24,0)))</f>
        <v>0</v>
      </c>
      <c r="J24" s="1">
        <f>IF('BASE PAN - CAPEX'!$S24=2025,'BASE PAN - CAPEX'!$AD24,IF('BASE PAN - CAPEX'!$AE24=2025,'BASE PAN - CAPEX'!$AP24,IF('BASE PAN - CAPEX'!$AQ24=2025,'BASE PAN - CAPEX'!$BB24,0)))</f>
        <v>0</v>
      </c>
      <c r="K24" s="1">
        <f>IF('BASE PAN - CAPEX'!$S24=2026,'BASE PAN - CAPEX'!$AD24,IF('BASE PAN - CAPEX'!$AE24=2026,'BASE PAN - CAPEX'!$AP24,IF('BASE PAN - CAPEX'!$AQ24=2026,'BASE PAN - CAPEX'!$BB24,0)))</f>
        <v>0</v>
      </c>
      <c r="L24" s="1">
        <f>IF('BASE PAN - CAPEX'!$S24=2027,'BASE PAN - CAPEX'!$AD24,IF('BASE PAN - CAPEX'!$AE24=2027,'BASE PAN - CAPEX'!$AP24,IF('BASE PAN - CAPEX'!$AQ24=2027,'BASE PAN - CAPEX'!$BB24,0)))+VLOOKUP(C24,'BASE PAN - CAPEX - 1º ANO'!$C$3:$BE$35,55,FALSE)</f>
        <v>0</v>
      </c>
      <c r="M24" s="1">
        <f>IF('BASE PAN - CAPEX'!$S24=2028,'BASE PAN - CAPEX'!$AD24,IF('BASE PAN - CAPEX'!$AE24=2028,'BASE PAN - CAPEX'!$AP24,IF('BASE PAN - CAPEX'!$AQ24=2028,'BASE PAN - CAPEX'!$BB24,0)))</f>
        <v>0</v>
      </c>
      <c r="N24" s="1">
        <f>IF('BASE PAN - CAPEX'!$S24=2029,'BASE PAN - CAPEX'!$AD24,IF('BASE PAN - CAPEX'!$AE24=2029,'BASE PAN - CAPEX'!$AP24,IF('BASE PAN - CAPEX'!$AQ24=2029,'BASE PAN - CAPEX'!$BB24,0)))</f>
        <v>0</v>
      </c>
      <c r="O24" s="1">
        <f>IF('BASE PAN - CAPEX'!$S24=2030,'BASE PAN - CAPEX'!$AD24,IF('BASE PAN - CAPEX'!$AE24=2030,'BASE PAN - CAPEX'!$AP24,IF('BASE PAN - CAPEX'!$AQ24=2030,'BASE PAN - CAPEX'!$BB24,0)))</f>
        <v>0</v>
      </c>
      <c r="P24" s="1">
        <f>IF('BASE PAN - CAPEX'!$S24=2031,'BASE PAN - CAPEX'!$AD24,IF('BASE PAN - CAPEX'!$AE24=2031,'BASE PAN - CAPEX'!$AP24,IF('BASE PAN - CAPEX'!$AQ24=2031,'BASE PAN - CAPEX'!$BB24,0)))</f>
        <v>0</v>
      </c>
      <c r="Q24" s="1">
        <f>IF('BASE PAN - CAPEX'!$S24=2032,'BASE PAN - CAPEX'!$AD24,IF('BASE PAN - CAPEX'!$AE24=2032,'BASE PAN - CAPEX'!$AP24,IF('BASE PAN - CAPEX'!$AQ24=2032,'BASE PAN - CAPEX'!$BB24,0)))+VLOOKUP(C24,'BASE PAN - CAPEX - 1º ANO'!$C$3:$BF$35,56,FALSE)</f>
        <v>0</v>
      </c>
      <c r="R24" s="1">
        <f>IF('BASE PAN - CAPEX'!$S24=2033,'BASE PAN - CAPEX'!$AD24,IF('BASE PAN - CAPEX'!$AE24=2033,'BASE PAN - CAPEX'!$AP24,IF('BASE PAN - CAPEX'!$AQ24=2033,'BASE PAN - CAPEX'!$BB24,0)))</f>
        <v>0</v>
      </c>
      <c r="S24" s="1">
        <f>IF('BASE PAN - CAPEX'!$S24=2034,'BASE PAN - CAPEX'!$AD24,IF('BASE PAN - CAPEX'!$AE24=2034,'BASE PAN - CAPEX'!$AP24,IF('BASE PAN - CAPEX'!$AQ24=2034,'BASE PAN - CAPEX'!$BB24,0)))</f>
        <v>0</v>
      </c>
      <c r="T24" s="1">
        <f>IF('BASE PAN - CAPEX'!$S24=2035,'BASE PAN - CAPEX'!$AD24,IF('BASE PAN - CAPEX'!$AE24=2035,'BASE PAN - CAPEX'!$AP24,IF('BASE PAN - CAPEX'!$AQ24=2035,'BASE PAN - CAPEX'!$BB24,0)))</f>
        <v>0</v>
      </c>
      <c r="U24" s="1">
        <f>IF('BASE PAN - CAPEX'!$S24=2036,'BASE PAN - CAPEX'!$AD24,IF('BASE PAN - CAPEX'!$AE24=2036,'BASE PAN - CAPEX'!$AP24,IF('BASE PAN - CAPEX'!$AQ24=2036,'BASE PAN - CAPEX'!$BB24,0)))</f>
        <v>0</v>
      </c>
      <c r="V24" s="1">
        <f>IF('BASE PAN - CAPEX'!$S24=2037,'BASE PAN - CAPEX'!$AD24,IF('BASE PAN - CAPEX'!$AE24=2037,'BASE PAN - CAPEX'!$AP24,IF('BASE PAN - CAPEX'!$AQ24=2037,'BASE PAN - CAPEX'!$BB24,0)))+VLOOKUP(C24,'BASE PAN - CAPEX - 1º ANO'!$C$3:$BG$35,57,FALSE)</f>
        <v>0</v>
      </c>
      <c r="W24" s="1">
        <f>IF('BASE PAN - CAPEX'!$S24=2038,'BASE PAN - CAPEX'!$AD24,IF('BASE PAN - CAPEX'!$AE24=2038,'BASE PAN - CAPEX'!$AP24,IF('BASE PAN - CAPEX'!$AQ24=2038,'BASE PAN - CAPEX'!$BB24,0)))</f>
        <v>0</v>
      </c>
      <c r="X24" s="1">
        <f>IF('BASE PAN - CAPEX'!$S24=2039,'BASE PAN - CAPEX'!$AD24,IF('BASE PAN - CAPEX'!$AE24=2039,'BASE PAN - CAPEX'!$AP24,IF('BASE PAN - CAPEX'!$AQ24=2039,'BASE PAN - CAPEX'!$BB24,0)))</f>
        <v>0</v>
      </c>
      <c r="Y24" s="1">
        <f>IF('BASE PAN - CAPEX'!$S24=2040,'BASE PAN - CAPEX'!$AD24,IF('BASE PAN - CAPEX'!$AE24=2040,'BASE PAN - CAPEX'!$AP24,IF('BASE PAN - CAPEX'!$AQ24=2040,'BASE PAN - CAPEX'!$BB24,0)))</f>
        <v>0</v>
      </c>
      <c r="Z24" s="1">
        <f>IF('BASE PAN - CAPEX'!$S24=2041,'BASE PAN - CAPEX'!$AD24,IF('BASE PAN - CAPEX'!$AE24=2041,'BASE PAN - CAPEX'!$AP24,IF('BASE PAN - CAPEX'!$AQ24=2041,'BASE PAN - CAPEX'!$BB24,0)))</f>
        <v>0</v>
      </c>
      <c r="AA24" s="1">
        <f>IF('BASE PAN - CAPEX'!$S24=2042,'BASE PAN - CAPEX'!$AD24,IF('BASE PAN - CAPEX'!$AE24=2042,'BASE PAN - CAPEX'!$AP24,IF('BASE PAN - CAPEX'!$AQ24=2042,'BASE PAN - CAPEX'!$BB24,0)))</f>
        <v>0</v>
      </c>
      <c r="AB24" s="1">
        <f>IF('BASE PAN - CAPEX'!$S24=2043,'BASE PAN - CAPEX'!$AD24,IF('BASE PAN - CAPEX'!$AE24=2043,'BASE PAN - CAPEX'!$AP24,IF('BASE PAN - CAPEX'!$AQ24=2043,'BASE PAN - CAPEX'!$BB24,0)))</f>
        <v>0</v>
      </c>
      <c r="AC24" s="1">
        <f>IF('BASE PAN - CAPEX'!$S24=2044,'BASE PAN - CAPEX'!$AD24,IF('BASE PAN - CAPEX'!$AE24=2044,'BASE PAN - CAPEX'!$AP24,IF('BASE PAN - CAPEX'!$AQ24=2044,'BASE PAN - CAPEX'!$BB24,0)))</f>
        <v>0</v>
      </c>
      <c r="AD24" s="1">
        <f>IF('BASE PAN - CAPEX'!$S24=2045,'BASE PAN - CAPEX'!$AD24,IF('BASE PAN - CAPEX'!$AE24=2045,'BASE PAN - CAPEX'!$AP24,IF('BASE PAN - CAPEX'!$AQ24=2045,'BASE PAN - CAPEX'!$BB24,0)))</f>
        <v>0</v>
      </c>
      <c r="AE24" s="1">
        <f>IF('BASE PAN - CAPEX'!$S24=2046,'BASE PAN - CAPEX'!$AD24,IF('BASE PAN - CAPEX'!$AE24=2046,'BASE PAN - CAPEX'!$AP24,IF('BASE PAN - CAPEX'!$AQ24=2046,'BASE PAN - CAPEX'!$BB24,0)))</f>
        <v>0</v>
      </c>
      <c r="AF24" s="1">
        <f>IF('BASE PAN - CAPEX'!$S24=2047,'BASE PAN - CAPEX'!$AD24,IF('BASE PAN - CAPEX'!$AE24=2047,'BASE PAN - CAPEX'!$AP24,IF('BASE PAN - CAPEX'!$AQ24=2047,'BASE PAN - CAPEX'!$BB24,0)))</f>
        <v>0</v>
      </c>
      <c r="AG24" s="1">
        <f>IF('BASE PAN - CAPEX'!$S24=2048,'BASE PAN - CAPEX'!$AD24,IF('BASE PAN - CAPEX'!$AE24=2048,'BASE PAN - CAPEX'!$AP24,IF('BASE PAN - CAPEX'!$AQ24=2048,'BASE PAN - CAPEX'!$BB24,0)))</f>
        <v>0</v>
      </c>
      <c r="AH24" s="1">
        <f>IF('BASE PAN - CAPEX'!$S24=2049,'BASE PAN - CAPEX'!$AD24,IF('BASE PAN - CAPEX'!$AE24=2049,'BASE PAN - CAPEX'!$AP24,IF('BASE PAN - CAPEX'!$AQ24=2049,'BASE PAN - CAPEX'!$BB24,0)))</f>
        <v>0</v>
      </c>
      <c r="AI24" s="1">
        <f>IF('BASE PAN - CAPEX'!$S24=2050,'BASE PAN - CAPEX'!$AD24,IF('BASE PAN - CAPEX'!$AE24=2050,'BASE PAN - CAPEX'!$AP24,IF('BASE PAN - CAPEX'!$AQ24=2050,'BASE PAN - CAPEX'!$BB24,0)))</f>
        <v>0</v>
      </c>
      <c r="AJ24" s="1">
        <f>IF('BASE PAN - CAPEX'!$S24=2051,'BASE PAN - CAPEX'!$AD24,IF('BASE PAN - CAPEX'!$AE24=2051,'BASE PAN - CAPEX'!$AP24,IF('BASE PAN - CAPEX'!$AQ24=2051,'BASE PAN - CAPEX'!$BB24,0)))</f>
        <v>0</v>
      </c>
      <c r="AK24" s="1">
        <f>IF('BASE PAN - CAPEX'!$S24=2052,'BASE PAN - CAPEX'!$AD24,IF('BASE PAN - CAPEX'!$AE24=2052,'BASE PAN - CAPEX'!$AP24,IF('BASE PAN - CAPEX'!$AQ24=2052,'BASE PAN - CAPEX'!$BB24,0)))</f>
        <v>0</v>
      </c>
      <c r="AL24" s="1">
        <f>IF('BASE PAN - CAPEX'!$S24=2053,'BASE PAN - CAPEX'!$AD24,IF('BASE PAN - CAPEX'!$AE24=2053,'BASE PAN - CAPEX'!$AP24,IF('BASE PAN - CAPEX'!$AQ24=2053,'BASE PAN - CAPEX'!$BB24,0)))</f>
        <v>0</v>
      </c>
      <c r="AM24" s="1">
        <f t="shared" si="0"/>
        <v>31810000</v>
      </c>
      <c r="AN24" s="3" t="s">
        <v>171</v>
      </c>
      <c r="AO24" s="3">
        <v>1</v>
      </c>
      <c r="AP24" s="3" t="s">
        <v>171</v>
      </c>
      <c r="AQ24" s="3" t="s">
        <v>171</v>
      </c>
      <c r="AR24" s="3" t="s">
        <v>171</v>
      </c>
      <c r="AS24" s="3" t="s">
        <v>171</v>
      </c>
      <c r="AT24" s="3" t="s">
        <v>171</v>
      </c>
      <c r="AU24" s="3" t="s">
        <v>171</v>
      </c>
      <c r="AV24" t="str">
        <f>VLOOKUP(C24,'FLUXO DE CAIXA DESC.-BLOCOS PAN'!$D$3:$AO$52,38,FALSE)</f>
        <v>AM - 3 - AL</v>
      </c>
    </row>
    <row r="25" spans="1:48" x14ac:dyDescent="0.35">
      <c r="A25" t="s">
        <v>122</v>
      </c>
      <c r="B25" t="s">
        <v>123</v>
      </c>
      <c r="C25" t="s">
        <v>124</v>
      </c>
      <c r="D25" t="s">
        <v>123</v>
      </c>
      <c r="E25" t="s">
        <v>35</v>
      </c>
      <c r="F25" t="s">
        <v>33</v>
      </c>
      <c r="G25" t="s">
        <v>34</v>
      </c>
      <c r="H25" s="1">
        <f>VLOOKUP(C25,'BASE PAN - CAPEX'!$C$3:$R$37,16,FALSE)+'BASE PAN - CAPEX'!BC25</f>
        <v>38100000</v>
      </c>
      <c r="I25" s="1">
        <f>IF('BASE PAN - CAPEX'!$S25=2024,'BASE PAN - CAPEX'!$AD25,IF('BASE PAN - CAPEX'!$AE25=2024,'BASE PAN - CAPEX'!$AP25,IF('BASE PAN - CAPEX'!$AQ25=2024,'BASE PAN - CAPEX'!$BB25,0)))</f>
        <v>0</v>
      </c>
      <c r="J25" s="1">
        <f>IF('BASE PAN - CAPEX'!$S25=2025,'BASE PAN - CAPEX'!$AD25,IF('BASE PAN - CAPEX'!$AE25=2025,'BASE PAN - CAPEX'!$AP25,IF('BASE PAN - CAPEX'!$AQ25=2025,'BASE PAN - CAPEX'!$BB25,0)))</f>
        <v>0</v>
      </c>
      <c r="K25" s="1">
        <f>IF('BASE PAN - CAPEX'!$S25=2026,'BASE PAN - CAPEX'!$AD25,IF('BASE PAN - CAPEX'!$AE25=2026,'BASE PAN - CAPEX'!$AP25,IF('BASE PAN - CAPEX'!$AQ25=2026,'BASE PAN - CAPEX'!$BB25,0)))</f>
        <v>0</v>
      </c>
      <c r="L25" s="1">
        <f>IF('BASE PAN - CAPEX'!$S25=2027,'BASE PAN - CAPEX'!$AD25,IF('BASE PAN - CAPEX'!$AE25=2027,'BASE PAN - CAPEX'!$AP25,IF('BASE PAN - CAPEX'!$AQ25=2027,'BASE PAN - CAPEX'!$BB25,0)))+VLOOKUP(C25,'BASE PAN - CAPEX - 1º ANO'!$C$3:$BE$35,55,FALSE)</f>
        <v>290000</v>
      </c>
      <c r="M25" s="1">
        <f>IF('BASE PAN - CAPEX'!$S25=2028,'BASE PAN - CAPEX'!$AD25,IF('BASE PAN - CAPEX'!$AE25=2028,'BASE PAN - CAPEX'!$AP25,IF('BASE PAN - CAPEX'!$AQ25=2028,'BASE PAN - CAPEX'!$BB25,0)))</f>
        <v>0</v>
      </c>
      <c r="N25" s="1">
        <f>IF('BASE PAN - CAPEX'!$S25=2029,'BASE PAN - CAPEX'!$AD25,IF('BASE PAN - CAPEX'!$AE25=2029,'BASE PAN - CAPEX'!$AP25,IF('BASE PAN - CAPEX'!$AQ25=2029,'BASE PAN - CAPEX'!$BB25,0)))</f>
        <v>270000</v>
      </c>
      <c r="O25" s="1">
        <f>IF('BASE PAN - CAPEX'!$S25=2030,'BASE PAN - CAPEX'!$AD25,IF('BASE PAN - CAPEX'!$AE25=2030,'BASE PAN - CAPEX'!$AP25,IF('BASE PAN - CAPEX'!$AQ25=2030,'BASE PAN - CAPEX'!$BB25,0)))</f>
        <v>0</v>
      </c>
      <c r="P25" s="1">
        <f>IF('BASE PAN - CAPEX'!$S25=2031,'BASE PAN - CAPEX'!$AD25,IF('BASE PAN - CAPEX'!$AE25=2031,'BASE PAN - CAPEX'!$AP25,IF('BASE PAN - CAPEX'!$AQ25=2031,'BASE PAN - CAPEX'!$BB25,0)))</f>
        <v>0</v>
      </c>
      <c r="Q25" s="1">
        <f>IF('BASE PAN - CAPEX'!$S25=2032,'BASE PAN - CAPEX'!$AD25,IF('BASE PAN - CAPEX'!$AE25=2032,'BASE PAN - CAPEX'!$AP25,IF('BASE PAN - CAPEX'!$AQ25=2032,'BASE PAN - CAPEX'!$BB25,0)))+VLOOKUP(C25,'BASE PAN - CAPEX - 1º ANO'!$C$3:$BF$35,56,FALSE)</f>
        <v>0</v>
      </c>
      <c r="R25" s="1">
        <f>IF('BASE PAN - CAPEX'!$S25=2033,'BASE PAN - CAPEX'!$AD25,IF('BASE PAN - CAPEX'!$AE25=2033,'BASE PAN - CAPEX'!$AP25,IF('BASE PAN - CAPEX'!$AQ25=2033,'BASE PAN - CAPEX'!$BB25,0)))</f>
        <v>0</v>
      </c>
      <c r="S25" s="1">
        <f>IF('BASE PAN - CAPEX'!$S25=2034,'BASE PAN - CAPEX'!$AD25,IF('BASE PAN - CAPEX'!$AE25=2034,'BASE PAN - CAPEX'!$AP25,IF('BASE PAN - CAPEX'!$AQ25=2034,'BASE PAN - CAPEX'!$BB25,0)))</f>
        <v>0</v>
      </c>
      <c r="T25" s="1">
        <f>IF('BASE PAN - CAPEX'!$S25=2035,'BASE PAN - CAPEX'!$AD25,IF('BASE PAN - CAPEX'!$AE25=2035,'BASE PAN - CAPEX'!$AP25,IF('BASE PAN - CAPEX'!$AQ25=2035,'BASE PAN - CAPEX'!$BB25,0)))</f>
        <v>0</v>
      </c>
      <c r="U25" s="1">
        <f>IF('BASE PAN - CAPEX'!$S25=2036,'BASE PAN - CAPEX'!$AD25,IF('BASE PAN - CAPEX'!$AE25=2036,'BASE PAN - CAPEX'!$AP25,IF('BASE PAN - CAPEX'!$AQ25=2036,'BASE PAN - CAPEX'!$BB25,0)))</f>
        <v>0</v>
      </c>
      <c r="V25" s="1">
        <f>IF('BASE PAN - CAPEX'!$S25=2037,'BASE PAN - CAPEX'!$AD25,IF('BASE PAN - CAPEX'!$AE25=2037,'BASE PAN - CAPEX'!$AP25,IF('BASE PAN - CAPEX'!$AQ25=2037,'BASE PAN - CAPEX'!$BB25,0)))+VLOOKUP(C25,'BASE PAN - CAPEX - 1º ANO'!$C$3:$BG$35,57,FALSE)</f>
        <v>0</v>
      </c>
      <c r="W25" s="1">
        <f>IF('BASE PAN - CAPEX'!$S25=2038,'BASE PAN - CAPEX'!$AD25,IF('BASE PAN - CAPEX'!$AE25=2038,'BASE PAN - CAPEX'!$AP25,IF('BASE PAN - CAPEX'!$AQ25=2038,'BASE PAN - CAPEX'!$BB25,0)))</f>
        <v>0</v>
      </c>
      <c r="X25" s="1">
        <f>IF('BASE PAN - CAPEX'!$S25=2039,'BASE PAN - CAPEX'!$AD25,IF('BASE PAN - CAPEX'!$AE25=2039,'BASE PAN - CAPEX'!$AP25,IF('BASE PAN - CAPEX'!$AQ25=2039,'BASE PAN - CAPEX'!$BB25,0)))</f>
        <v>0</v>
      </c>
      <c r="Y25" s="1">
        <f>IF('BASE PAN - CAPEX'!$S25=2040,'BASE PAN - CAPEX'!$AD25,IF('BASE PAN - CAPEX'!$AE25=2040,'BASE PAN - CAPEX'!$AP25,IF('BASE PAN - CAPEX'!$AQ25=2040,'BASE PAN - CAPEX'!$BB25,0)))</f>
        <v>0</v>
      </c>
      <c r="Z25" s="1">
        <f>IF('BASE PAN - CAPEX'!$S25=2041,'BASE PAN - CAPEX'!$AD25,IF('BASE PAN - CAPEX'!$AE25=2041,'BASE PAN - CAPEX'!$AP25,IF('BASE PAN - CAPEX'!$AQ25=2041,'BASE PAN - CAPEX'!$BB25,0)))</f>
        <v>0</v>
      </c>
      <c r="AA25" s="1">
        <f>IF('BASE PAN - CAPEX'!$S25=2042,'BASE PAN - CAPEX'!$AD25,IF('BASE PAN - CAPEX'!$AE25=2042,'BASE PAN - CAPEX'!$AP25,IF('BASE PAN - CAPEX'!$AQ25=2042,'BASE PAN - CAPEX'!$BB25,0)))</f>
        <v>0</v>
      </c>
      <c r="AB25" s="1">
        <f>IF('BASE PAN - CAPEX'!$S25=2043,'BASE PAN - CAPEX'!$AD25,IF('BASE PAN - CAPEX'!$AE25=2043,'BASE PAN - CAPEX'!$AP25,IF('BASE PAN - CAPEX'!$AQ25=2043,'BASE PAN - CAPEX'!$BB25,0)))</f>
        <v>0</v>
      </c>
      <c r="AC25" s="1">
        <f>IF('BASE PAN - CAPEX'!$S25=2044,'BASE PAN - CAPEX'!$AD25,IF('BASE PAN - CAPEX'!$AE25=2044,'BASE PAN - CAPEX'!$AP25,IF('BASE PAN - CAPEX'!$AQ25=2044,'BASE PAN - CAPEX'!$BB25,0)))</f>
        <v>0</v>
      </c>
      <c r="AD25" s="1">
        <f>IF('BASE PAN - CAPEX'!$S25=2045,'BASE PAN - CAPEX'!$AD25,IF('BASE PAN - CAPEX'!$AE25=2045,'BASE PAN - CAPEX'!$AP25,IF('BASE PAN - CAPEX'!$AQ25=2045,'BASE PAN - CAPEX'!$BB25,0)))</f>
        <v>0</v>
      </c>
      <c r="AE25" s="1">
        <f>IF('BASE PAN - CAPEX'!$S25=2046,'BASE PAN - CAPEX'!$AD25,IF('BASE PAN - CAPEX'!$AE25=2046,'BASE PAN - CAPEX'!$AP25,IF('BASE PAN - CAPEX'!$AQ25=2046,'BASE PAN - CAPEX'!$BB25,0)))</f>
        <v>0</v>
      </c>
      <c r="AF25" s="1">
        <f>IF('BASE PAN - CAPEX'!$S25=2047,'BASE PAN - CAPEX'!$AD25,IF('BASE PAN - CAPEX'!$AE25=2047,'BASE PAN - CAPEX'!$AP25,IF('BASE PAN - CAPEX'!$AQ25=2047,'BASE PAN - CAPEX'!$BB25,0)))</f>
        <v>0</v>
      </c>
      <c r="AG25" s="1">
        <f>IF('BASE PAN - CAPEX'!$S25=2048,'BASE PAN - CAPEX'!$AD25,IF('BASE PAN - CAPEX'!$AE25=2048,'BASE PAN - CAPEX'!$AP25,IF('BASE PAN - CAPEX'!$AQ25=2048,'BASE PAN - CAPEX'!$BB25,0)))</f>
        <v>0</v>
      </c>
      <c r="AH25" s="1">
        <f>IF('BASE PAN - CAPEX'!$S25=2049,'BASE PAN - CAPEX'!$AD25,IF('BASE PAN - CAPEX'!$AE25=2049,'BASE PAN - CAPEX'!$AP25,IF('BASE PAN - CAPEX'!$AQ25=2049,'BASE PAN - CAPEX'!$BB25,0)))</f>
        <v>0</v>
      </c>
      <c r="AI25" s="1">
        <f>IF('BASE PAN - CAPEX'!$S25=2050,'BASE PAN - CAPEX'!$AD25,IF('BASE PAN - CAPEX'!$AE25=2050,'BASE PAN - CAPEX'!$AP25,IF('BASE PAN - CAPEX'!$AQ25=2050,'BASE PAN - CAPEX'!$BB25,0)))</f>
        <v>0</v>
      </c>
      <c r="AJ25" s="1">
        <f>IF('BASE PAN - CAPEX'!$S25=2051,'BASE PAN - CAPEX'!$AD25,IF('BASE PAN - CAPEX'!$AE25=2051,'BASE PAN - CAPEX'!$AP25,IF('BASE PAN - CAPEX'!$AQ25=2051,'BASE PAN - CAPEX'!$BB25,0)))</f>
        <v>0</v>
      </c>
      <c r="AK25" s="1">
        <f>IF('BASE PAN - CAPEX'!$S25=2052,'BASE PAN - CAPEX'!$AD25,IF('BASE PAN - CAPEX'!$AE25=2052,'BASE PAN - CAPEX'!$AP25,IF('BASE PAN - CAPEX'!$AQ25=2052,'BASE PAN - CAPEX'!$BB25,0)))</f>
        <v>0</v>
      </c>
      <c r="AL25" s="1">
        <f>IF('BASE PAN - CAPEX'!$S25=2053,'BASE PAN - CAPEX'!$AD25,IF('BASE PAN - CAPEX'!$AE25=2053,'BASE PAN - CAPEX'!$AP25,IF('BASE PAN - CAPEX'!$AQ25=2053,'BASE PAN - CAPEX'!$BB25,0)))</f>
        <v>0</v>
      </c>
      <c r="AM25" s="1">
        <f t="shared" si="0"/>
        <v>38660000</v>
      </c>
      <c r="AN25" s="3" t="s">
        <v>171</v>
      </c>
      <c r="AO25" s="3">
        <v>1</v>
      </c>
      <c r="AP25" s="3" t="s">
        <v>171</v>
      </c>
      <c r="AQ25" s="3" t="s">
        <v>171</v>
      </c>
      <c r="AR25" s="3">
        <v>2029</v>
      </c>
      <c r="AS25" s="3" t="s">
        <v>171</v>
      </c>
      <c r="AT25" s="3" t="s">
        <v>171</v>
      </c>
      <c r="AU25" s="3">
        <v>2</v>
      </c>
      <c r="AV25" t="str">
        <f>VLOOKUP(C25,'FLUXO DE CAIXA DESC.-BLOCOS PAN'!$D$3:$AO$52,38,FALSE)</f>
        <v>AC + AM - 1 - AL</v>
      </c>
    </row>
    <row r="26" spans="1:48" x14ac:dyDescent="0.35">
      <c r="A26" t="s">
        <v>126</v>
      </c>
      <c r="B26" t="s">
        <v>127</v>
      </c>
      <c r="C26" t="s">
        <v>128</v>
      </c>
      <c r="D26" t="s">
        <v>127</v>
      </c>
      <c r="E26" t="s">
        <v>35</v>
      </c>
      <c r="F26" t="s">
        <v>33</v>
      </c>
      <c r="G26" t="s">
        <v>34</v>
      </c>
      <c r="H26" s="1">
        <f>VLOOKUP(C26,'BASE PAN - CAPEX'!$C$3:$R$37,16,FALSE)+'BASE PAN - CAPEX'!BC26</f>
        <v>21265000</v>
      </c>
      <c r="I26" s="1">
        <f>IF('BASE PAN - CAPEX'!$S26=2024,'BASE PAN - CAPEX'!$AD26,IF('BASE PAN - CAPEX'!$AE26=2024,'BASE PAN - CAPEX'!$AP26,IF('BASE PAN - CAPEX'!$AQ26=2024,'BASE PAN - CAPEX'!$BB26,0)))</f>
        <v>0</v>
      </c>
      <c r="J26" s="1">
        <f>IF('BASE PAN - CAPEX'!$S26=2025,'BASE PAN - CAPEX'!$AD26,IF('BASE PAN - CAPEX'!$AE26=2025,'BASE PAN - CAPEX'!$AP26,IF('BASE PAN - CAPEX'!$AQ26=2025,'BASE PAN - CAPEX'!$BB26,0)))</f>
        <v>0</v>
      </c>
      <c r="K26" s="1">
        <f>IF('BASE PAN - CAPEX'!$S26=2026,'BASE PAN - CAPEX'!$AD26,IF('BASE PAN - CAPEX'!$AE26=2026,'BASE PAN - CAPEX'!$AP26,IF('BASE PAN - CAPEX'!$AQ26=2026,'BASE PAN - CAPEX'!$BB26,0)))</f>
        <v>0</v>
      </c>
      <c r="L26" s="1">
        <f>IF('BASE PAN - CAPEX'!$S26=2027,'BASE PAN - CAPEX'!$AD26,IF('BASE PAN - CAPEX'!$AE26=2027,'BASE PAN - CAPEX'!$AP26,IF('BASE PAN - CAPEX'!$AQ26=2027,'BASE PAN - CAPEX'!$BB26,0)))+VLOOKUP(C26,'BASE PAN - CAPEX - 1º ANO'!$C$3:$BE$35,55,FALSE)</f>
        <v>290000</v>
      </c>
      <c r="M26" s="1">
        <f>IF('BASE PAN - CAPEX'!$S26=2028,'BASE PAN - CAPEX'!$AD26,IF('BASE PAN - CAPEX'!$AE26=2028,'BASE PAN - CAPEX'!$AP26,IF('BASE PAN - CAPEX'!$AQ26=2028,'BASE PAN - CAPEX'!$BB26,0)))</f>
        <v>0</v>
      </c>
      <c r="N26" s="1">
        <f>IF('BASE PAN - CAPEX'!$S26=2029,'BASE PAN - CAPEX'!$AD26,IF('BASE PAN - CAPEX'!$AE26=2029,'BASE PAN - CAPEX'!$AP26,IF('BASE PAN - CAPEX'!$AQ26=2029,'BASE PAN - CAPEX'!$BB26,0)))</f>
        <v>0</v>
      </c>
      <c r="O26" s="1">
        <f>IF('BASE PAN - CAPEX'!$S26=2030,'BASE PAN - CAPEX'!$AD26,IF('BASE PAN - CAPEX'!$AE26=2030,'BASE PAN - CAPEX'!$AP26,IF('BASE PAN - CAPEX'!$AQ26=2030,'BASE PAN - CAPEX'!$BB26,0)))</f>
        <v>0</v>
      </c>
      <c r="P26" s="1">
        <f>IF('BASE PAN - CAPEX'!$S26=2031,'BASE PAN - CAPEX'!$AD26,IF('BASE PAN - CAPEX'!$AE26=2031,'BASE PAN - CAPEX'!$AP26,IF('BASE PAN - CAPEX'!$AQ26=2031,'BASE PAN - CAPEX'!$BB26,0)))</f>
        <v>0</v>
      </c>
      <c r="Q26" s="1">
        <f>IF('BASE PAN - CAPEX'!$S26=2032,'BASE PAN - CAPEX'!$AD26,IF('BASE PAN - CAPEX'!$AE26=2032,'BASE PAN - CAPEX'!$AP26,IF('BASE PAN - CAPEX'!$AQ26=2032,'BASE PAN - CAPEX'!$BB26,0)))+VLOOKUP(C26,'BASE PAN - CAPEX - 1º ANO'!$C$3:$BF$35,56,FALSE)</f>
        <v>0</v>
      </c>
      <c r="R26" s="1">
        <f>IF('BASE PAN - CAPEX'!$S26=2033,'BASE PAN - CAPEX'!$AD26,IF('BASE PAN - CAPEX'!$AE26=2033,'BASE PAN - CAPEX'!$AP26,IF('BASE PAN - CAPEX'!$AQ26=2033,'BASE PAN - CAPEX'!$BB26,0)))</f>
        <v>0</v>
      </c>
      <c r="S26" s="1">
        <f>IF('BASE PAN - CAPEX'!$S26=2034,'BASE PAN - CAPEX'!$AD26,IF('BASE PAN - CAPEX'!$AE26=2034,'BASE PAN - CAPEX'!$AP26,IF('BASE PAN - CAPEX'!$AQ26=2034,'BASE PAN - CAPEX'!$BB26,0)))</f>
        <v>0</v>
      </c>
      <c r="T26" s="1">
        <f>IF('BASE PAN - CAPEX'!$S26=2035,'BASE PAN - CAPEX'!$AD26,IF('BASE PAN - CAPEX'!$AE26=2035,'BASE PAN - CAPEX'!$AP26,IF('BASE PAN - CAPEX'!$AQ26=2035,'BASE PAN - CAPEX'!$BB26,0)))</f>
        <v>0</v>
      </c>
      <c r="U26" s="1">
        <f>IF('BASE PAN - CAPEX'!$S26=2036,'BASE PAN - CAPEX'!$AD26,IF('BASE PAN - CAPEX'!$AE26=2036,'BASE PAN - CAPEX'!$AP26,IF('BASE PAN - CAPEX'!$AQ26=2036,'BASE PAN - CAPEX'!$BB26,0)))</f>
        <v>0</v>
      </c>
      <c r="V26" s="1">
        <f>IF('BASE PAN - CAPEX'!$S26=2037,'BASE PAN - CAPEX'!$AD26,IF('BASE PAN - CAPEX'!$AE26=2037,'BASE PAN - CAPEX'!$AP26,IF('BASE PAN - CAPEX'!$AQ26=2037,'BASE PAN - CAPEX'!$BB26,0)))+VLOOKUP(C26,'BASE PAN - CAPEX - 1º ANO'!$C$3:$BG$35,57,FALSE)</f>
        <v>0</v>
      </c>
      <c r="W26" s="1">
        <f>IF('BASE PAN - CAPEX'!$S26=2038,'BASE PAN - CAPEX'!$AD26,IF('BASE PAN - CAPEX'!$AE26=2038,'BASE PAN - CAPEX'!$AP26,IF('BASE PAN - CAPEX'!$AQ26=2038,'BASE PAN - CAPEX'!$BB26,0)))</f>
        <v>0</v>
      </c>
      <c r="X26" s="1">
        <f>IF('BASE PAN - CAPEX'!$S26=2039,'BASE PAN - CAPEX'!$AD26,IF('BASE PAN - CAPEX'!$AE26=2039,'BASE PAN - CAPEX'!$AP26,IF('BASE PAN - CAPEX'!$AQ26=2039,'BASE PAN - CAPEX'!$BB26,0)))</f>
        <v>0</v>
      </c>
      <c r="Y26" s="1">
        <f>IF('BASE PAN - CAPEX'!$S26=2040,'BASE PAN - CAPEX'!$AD26,IF('BASE PAN - CAPEX'!$AE26=2040,'BASE PAN - CAPEX'!$AP26,IF('BASE PAN - CAPEX'!$AQ26=2040,'BASE PAN - CAPEX'!$BB26,0)))</f>
        <v>0</v>
      </c>
      <c r="Z26" s="1">
        <f>IF('BASE PAN - CAPEX'!$S26=2041,'BASE PAN - CAPEX'!$AD26,IF('BASE PAN - CAPEX'!$AE26=2041,'BASE PAN - CAPEX'!$AP26,IF('BASE PAN - CAPEX'!$AQ26=2041,'BASE PAN - CAPEX'!$BB26,0)))</f>
        <v>0</v>
      </c>
      <c r="AA26" s="1">
        <f>IF('BASE PAN - CAPEX'!$S26=2042,'BASE PAN - CAPEX'!$AD26,IF('BASE PAN - CAPEX'!$AE26=2042,'BASE PAN - CAPEX'!$AP26,IF('BASE PAN - CAPEX'!$AQ26=2042,'BASE PAN - CAPEX'!$BB26,0)))</f>
        <v>0</v>
      </c>
      <c r="AB26" s="1">
        <f>IF('BASE PAN - CAPEX'!$S26=2043,'BASE PAN - CAPEX'!$AD26,IF('BASE PAN - CAPEX'!$AE26=2043,'BASE PAN - CAPEX'!$AP26,IF('BASE PAN - CAPEX'!$AQ26=2043,'BASE PAN - CAPEX'!$BB26,0)))</f>
        <v>0</v>
      </c>
      <c r="AC26" s="1">
        <f>IF('BASE PAN - CAPEX'!$S26=2044,'BASE PAN - CAPEX'!$AD26,IF('BASE PAN - CAPEX'!$AE26=2044,'BASE PAN - CAPEX'!$AP26,IF('BASE PAN - CAPEX'!$AQ26=2044,'BASE PAN - CAPEX'!$BB26,0)))</f>
        <v>0</v>
      </c>
      <c r="AD26" s="1">
        <f>IF('BASE PAN - CAPEX'!$S26=2045,'BASE PAN - CAPEX'!$AD26,IF('BASE PAN - CAPEX'!$AE26=2045,'BASE PAN - CAPEX'!$AP26,IF('BASE PAN - CAPEX'!$AQ26=2045,'BASE PAN - CAPEX'!$BB26,0)))</f>
        <v>0</v>
      </c>
      <c r="AE26" s="1">
        <f>IF('BASE PAN - CAPEX'!$S26=2046,'BASE PAN - CAPEX'!$AD26,IF('BASE PAN - CAPEX'!$AE26=2046,'BASE PAN - CAPEX'!$AP26,IF('BASE PAN - CAPEX'!$AQ26=2046,'BASE PAN - CAPEX'!$BB26,0)))</f>
        <v>0</v>
      </c>
      <c r="AF26" s="1">
        <f>IF('BASE PAN - CAPEX'!$S26=2047,'BASE PAN - CAPEX'!$AD26,IF('BASE PAN - CAPEX'!$AE26=2047,'BASE PAN - CAPEX'!$AP26,IF('BASE PAN - CAPEX'!$AQ26=2047,'BASE PAN - CAPEX'!$BB26,0)))</f>
        <v>0</v>
      </c>
      <c r="AG26" s="1">
        <f>IF('BASE PAN - CAPEX'!$S26=2048,'BASE PAN - CAPEX'!$AD26,IF('BASE PAN - CAPEX'!$AE26=2048,'BASE PAN - CAPEX'!$AP26,IF('BASE PAN - CAPEX'!$AQ26=2048,'BASE PAN - CAPEX'!$BB26,0)))</f>
        <v>0</v>
      </c>
      <c r="AH26" s="1">
        <f>IF('BASE PAN - CAPEX'!$S26=2049,'BASE PAN - CAPEX'!$AD26,IF('BASE PAN - CAPEX'!$AE26=2049,'BASE PAN - CAPEX'!$AP26,IF('BASE PAN - CAPEX'!$AQ26=2049,'BASE PAN - CAPEX'!$BB26,0)))</f>
        <v>0</v>
      </c>
      <c r="AI26" s="1">
        <f>IF('BASE PAN - CAPEX'!$S26=2050,'BASE PAN - CAPEX'!$AD26,IF('BASE PAN - CAPEX'!$AE26=2050,'BASE PAN - CAPEX'!$AP26,IF('BASE PAN - CAPEX'!$AQ26=2050,'BASE PAN - CAPEX'!$BB26,0)))</f>
        <v>0</v>
      </c>
      <c r="AJ26" s="1">
        <f>IF('BASE PAN - CAPEX'!$S26=2051,'BASE PAN - CAPEX'!$AD26,IF('BASE PAN - CAPEX'!$AE26=2051,'BASE PAN - CAPEX'!$AP26,IF('BASE PAN - CAPEX'!$AQ26=2051,'BASE PAN - CAPEX'!$BB26,0)))</f>
        <v>270000</v>
      </c>
      <c r="AK26" s="1">
        <f>IF('BASE PAN - CAPEX'!$S26=2052,'BASE PAN - CAPEX'!$AD26,IF('BASE PAN - CAPEX'!$AE26=2052,'BASE PAN - CAPEX'!$AP26,IF('BASE PAN - CAPEX'!$AQ26=2052,'BASE PAN - CAPEX'!$BB26,0)))</f>
        <v>0</v>
      </c>
      <c r="AL26" s="1">
        <f>IF('BASE PAN - CAPEX'!$S26=2053,'BASE PAN - CAPEX'!$AD26,IF('BASE PAN - CAPEX'!$AE26=2053,'BASE PAN - CAPEX'!$AP26,IF('BASE PAN - CAPEX'!$AQ26=2053,'BASE PAN - CAPEX'!$BB26,0)))</f>
        <v>0</v>
      </c>
      <c r="AM26" s="1">
        <f t="shared" si="0"/>
        <v>21825000</v>
      </c>
      <c r="AN26" s="3" t="s">
        <v>171</v>
      </c>
      <c r="AO26" s="3">
        <v>1</v>
      </c>
      <c r="AP26" s="3" t="s">
        <v>171</v>
      </c>
      <c r="AQ26" s="3" t="s">
        <v>171</v>
      </c>
      <c r="AR26" s="3">
        <v>2051</v>
      </c>
      <c r="AS26" s="3" t="s">
        <v>171</v>
      </c>
      <c r="AT26" s="3" t="s">
        <v>171</v>
      </c>
      <c r="AU26" s="3">
        <v>2</v>
      </c>
      <c r="AV26" t="str">
        <f>VLOOKUP(C26,'FLUXO DE CAIXA DESC.-BLOCOS PAN'!$D$3:$AO$52,38,FALSE)</f>
        <v>AC + AM - 1 - AL</v>
      </c>
    </row>
    <row r="27" spans="1:48" x14ac:dyDescent="0.35">
      <c r="A27" t="s">
        <v>129</v>
      </c>
      <c r="B27" t="s">
        <v>42</v>
      </c>
      <c r="C27" t="s">
        <v>130</v>
      </c>
      <c r="D27" t="s">
        <v>42</v>
      </c>
      <c r="E27" t="s">
        <v>37</v>
      </c>
      <c r="F27" t="s">
        <v>33</v>
      </c>
      <c r="G27" t="s">
        <v>34</v>
      </c>
      <c r="H27" s="1">
        <f>VLOOKUP(C27,'BASE PAN - CAPEX'!$C$3:$R$37,16,FALSE)+'BASE PAN - CAPEX'!BC27</f>
        <v>58259126.039999999</v>
      </c>
      <c r="I27" s="1">
        <f>IF('BASE PAN - CAPEX'!$S27=2024,'BASE PAN - CAPEX'!$AD27,IF('BASE PAN - CAPEX'!$AE27=2024,'BASE PAN - CAPEX'!$AP27,IF('BASE PAN - CAPEX'!$AQ27=2024,'BASE PAN - CAPEX'!$BB27,0)))</f>
        <v>0</v>
      </c>
      <c r="J27" s="1">
        <f>IF('BASE PAN - CAPEX'!$S27=2025,'BASE PAN - CAPEX'!$AD27,IF('BASE PAN - CAPEX'!$AE27=2025,'BASE PAN - CAPEX'!$AP27,IF('BASE PAN - CAPEX'!$AQ27=2025,'BASE PAN - CAPEX'!$BB27,0)))</f>
        <v>0</v>
      </c>
      <c r="K27" s="1">
        <f>IF('BASE PAN - CAPEX'!$S27=2026,'BASE PAN - CAPEX'!$AD27,IF('BASE PAN - CAPEX'!$AE27=2026,'BASE PAN - CAPEX'!$AP27,IF('BASE PAN - CAPEX'!$AQ27=2026,'BASE PAN - CAPEX'!$BB27,0)))</f>
        <v>0</v>
      </c>
      <c r="L27" s="1">
        <f>IF('BASE PAN - CAPEX'!$S27=2027,'BASE PAN - CAPEX'!$AD27,IF('BASE PAN - CAPEX'!$AE27=2027,'BASE PAN - CAPEX'!$AP27,IF('BASE PAN - CAPEX'!$AQ27=2027,'BASE PAN - CAPEX'!$BB27,0)))+VLOOKUP(C27,'BASE PAN - CAPEX - 1º ANO'!$C$3:$BE$35,55,FALSE)</f>
        <v>0</v>
      </c>
      <c r="M27" s="1">
        <f>IF('BASE PAN - CAPEX'!$S27=2028,'BASE PAN - CAPEX'!$AD27,IF('BASE PAN - CAPEX'!$AE27=2028,'BASE PAN - CAPEX'!$AP27,IF('BASE PAN - CAPEX'!$AQ27=2028,'BASE PAN - CAPEX'!$BB27,0)))</f>
        <v>0</v>
      </c>
      <c r="N27" s="1">
        <f>IF('BASE PAN - CAPEX'!$S27=2029,'BASE PAN - CAPEX'!$AD27,IF('BASE PAN - CAPEX'!$AE27=2029,'BASE PAN - CAPEX'!$AP27,IF('BASE PAN - CAPEX'!$AQ27=2029,'BASE PAN - CAPEX'!$BB27,0)))</f>
        <v>0</v>
      </c>
      <c r="O27" s="1">
        <f>IF('BASE PAN - CAPEX'!$S27=2030,'BASE PAN - CAPEX'!$AD27,IF('BASE PAN - CAPEX'!$AE27=2030,'BASE PAN - CAPEX'!$AP27,IF('BASE PAN - CAPEX'!$AQ27=2030,'BASE PAN - CAPEX'!$BB27,0)))</f>
        <v>270000</v>
      </c>
      <c r="P27" s="1">
        <f>IF('BASE PAN - CAPEX'!$S27=2031,'BASE PAN - CAPEX'!$AD27,IF('BASE PAN - CAPEX'!$AE27=2031,'BASE PAN - CAPEX'!$AP27,IF('BASE PAN - CAPEX'!$AQ27=2031,'BASE PAN - CAPEX'!$BB27,0)))</f>
        <v>0</v>
      </c>
      <c r="Q27" s="1">
        <f>IF('BASE PAN - CAPEX'!$S27=2032,'BASE PAN - CAPEX'!$AD27,IF('BASE PAN - CAPEX'!$AE27=2032,'BASE PAN - CAPEX'!$AP27,IF('BASE PAN - CAPEX'!$AQ27=2032,'BASE PAN - CAPEX'!$BB27,0)))+VLOOKUP(C27,'BASE PAN - CAPEX - 1º ANO'!$C$3:$BF$35,56,FALSE)</f>
        <v>0</v>
      </c>
      <c r="R27" s="1">
        <f>IF('BASE PAN - CAPEX'!$S27=2033,'BASE PAN - CAPEX'!$AD27,IF('BASE PAN - CAPEX'!$AE27=2033,'BASE PAN - CAPEX'!$AP27,IF('BASE PAN - CAPEX'!$AQ27=2033,'BASE PAN - CAPEX'!$BB27,0)))</f>
        <v>0</v>
      </c>
      <c r="S27" s="1">
        <f>IF('BASE PAN - CAPEX'!$S27=2034,'BASE PAN - CAPEX'!$AD27,IF('BASE PAN - CAPEX'!$AE27=2034,'BASE PAN - CAPEX'!$AP27,IF('BASE PAN - CAPEX'!$AQ27=2034,'BASE PAN - CAPEX'!$BB27,0)))</f>
        <v>0</v>
      </c>
      <c r="T27" s="1">
        <f>IF('BASE PAN - CAPEX'!$S27=2035,'BASE PAN - CAPEX'!$AD27,IF('BASE PAN - CAPEX'!$AE27=2035,'BASE PAN - CAPEX'!$AP27,IF('BASE PAN - CAPEX'!$AQ27=2035,'BASE PAN - CAPEX'!$BB27,0)))</f>
        <v>0</v>
      </c>
      <c r="U27" s="1">
        <f>IF('BASE PAN - CAPEX'!$S27=2036,'BASE PAN - CAPEX'!$AD27,IF('BASE PAN - CAPEX'!$AE27=2036,'BASE PAN - CAPEX'!$AP27,IF('BASE PAN - CAPEX'!$AQ27=2036,'BASE PAN - CAPEX'!$BB27,0)))</f>
        <v>0</v>
      </c>
      <c r="V27" s="1">
        <f>IF('BASE PAN - CAPEX'!$S27=2037,'BASE PAN - CAPEX'!$AD27,IF('BASE PAN - CAPEX'!$AE27=2037,'BASE PAN - CAPEX'!$AP27,IF('BASE PAN - CAPEX'!$AQ27=2037,'BASE PAN - CAPEX'!$BB27,0)))+VLOOKUP(C27,'BASE PAN - CAPEX - 1º ANO'!$C$3:$BG$35,57,FALSE)</f>
        <v>0</v>
      </c>
      <c r="W27" s="1">
        <f>IF('BASE PAN - CAPEX'!$S27=2038,'BASE PAN - CAPEX'!$AD27,IF('BASE PAN - CAPEX'!$AE27=2038,'BASE PAN - CAPEX'!$AP27,IF('BASE PAN - CAPEX'!$AQ27=2038,'BASE PAN - CAPEX'!$BB27,0)))</f>
        <v>0</v>
      </c>
      <c r="X27" s="1">
        <f>IF('BASE PAN - CAPEX'!$S27=2039,'BASE PAN - CAPEX'!$AD27,IF('BASE PAN - CAPEX'!$AE27=2039,'BASE PAN - CAPEX'!$AP27,IF('BASE PAN - CAPEX'!$AQ27=2039,'BASE PAN - CAPEX'!$BB27,0)))</f>
        <v>0</v>
      </c>
      <c r="Y27" s="1">
        <f>IF('BASE PAN - CAPEX'!$S27=2040,'BASE PAN - CAPEX'!$AD27,IF('BASE PAN - CAPEX'!$AE27=2040,'BASE PAN - CAPEX'!$AP27,IF('BASE PAN - CAPEX'!$AQ27=2040,'BASE PAN - CAPEX'!$BB27,0)))</f>
        <v>0</v>
      </c>
      <c r="Z27" s="1">
        <f>IF('BASE PAN - CAPEX'!$S27=2041,'BASE PAN - CAPEX'!$AD27,IF('BASE PAN - CAPEX'!$AE27=2041,'BASE PAN - CAPEX'!$AP27,IF('BASE PAN - CAPEX'!$AQ27=2041,'BASE PAN - CAPEX'!$BB27,0)))</f>
        <v>0</v>
      </c>
      <c r="AA27" s="1">
        <f>IF('BASE PAN - CAPEX'!$S27=2042,'BASE PAN - CAPEX'!$AD27,IF('BASE PAN - CAPEX'!$AE27=2042,'BASE PAN - CAPEX'!$AP27,IF('BASE PAN - CAPEX'!$AQ27=2042,'BASE PAN - CAPEX'!$BB27,0)))</f>
        <v>0</v>
      </c>
      <c r="AB27" s="1">
        <f>IF('BASE PAN - CAPEX'!$S27=2043,'BASE PAN - CAPEX'!$AD27,IF('BASE PAN - CAPEX'!$AE27=2043,'BASE PAN - CAPEX'!$AP27,IF('BASE PAN - CAPEX'!$AQ27=2043,'BASE PAN - CAPEX'!$BB27,0)))</f>
        <v>0</v>
      </c>
      <c r="AC27" s="1">
        <f>IF('BASE PAN - CAPEX'!$S27=2044,'BASE PAN - CAPEX'!$AD27,IF('BASE PAN - CAPEX'!$AE27=2044,'BASE PAN - CAPEX'!$AP27,IF('BASE PAN - CAPEX'!$AQ27=2044,'BASE PAN - CAPEX'!$BB27,0)))</f>
        <v>0</v>
      </c>
      <c r="AD27" s="1">
        <f>IF('BASE PAN - CAPEX'!$S27=2045,'BASE PAN - CAPEX'!$AD27,IF('BASE PAN - CAPEX'!$AE27=2045,'BASE PAN - CAPEX'!$AP27,IF('BASE PAN - CAPEX'!$AQ27=2045,'BASE PAN - CAPEX'!$BB27,0)))</f>
        <v>0</v>
      </c>
      <c r="AE27" s="1">
        <f>IF('BASE PAN - CAPEX'!$S27=2046,'BASE PAN - CAPEX'!$AD27,IF('BASE PAN - CAPEX'!$AE27=2046,'BASE PAN - CAPEX'!$AP27,IF('BASE PAN - CAPEX'!$AQ27=2046,'BASE PAN - CAPEX'!$BB27,0)))</f>
        <v>0</v>
      </c>
      <c r="AF27" s="1">
        <f>IF('BASE PAN - CAPEX'!$S27=2047,'BASE PAN - CAPEX'!$AD27,IF('BASE PAN - CAPEX'!$AE27=2047,'BASE PAN - CAPEX'!$AP27,IF('BASE PAN - CAPEX'!$AQ27=2047,'BASE PAN - CAPEX'!$BB27,0)))</f>
        <v>0</v>
      </c>
      <c r="AG27" s="1">
        <f>IF('BASE PAN - CAPEX'!$S27=2048,'BASE PAN - CAPEX'!$AD27,IF('BASE PAN - CAPEX'!$AE27=2048,'BASE PAN - CAPEX'!$AP27,IF('BASE PAN - CAPEX'!$AQ27=2048,'BASE PAN - CAPEX'!$BB27,0)))</f>
        <v>0</v>
      </c>
      <c r="AH27" s="1">
        <f>IF('BASE PAN - CAPEX'!$S27=2049,'BASE PAN - CAPEX'!$AD27,IF('BASE PAN - CAPEX'!$AE27=2049,'BASE PAN - CAPEX'!$AP27,IF('BASE PAN - CAPEX'!$AQ27=2049,'BASE PAN - CAPEX'!$BB27,0)))</f>
        <v>0</v>
      </c>
      <c r="AI27" s="1">
        <f>IF('BASE PAN - CAPEX'!$S27=2050,'BASE PAN - CAPEX'!$AD27,IF('BASE PAN - CAPEX'!$AE27=2050,'BASE PAN - CAPEX'!$AP27,IF('BASE PAN - CAPEX'!$AQ27=2050,'BASE PAN - CAPEX'!$BB27,0)))</f>
        <v>0</v>
      </c>
      <c r="AJ27" s="1">
        <f>IF('BASE PAN - CAPEX'!$S27=2051,'BASE PAN - CAPEX'!$AD27,IF('BASE PAN - CAPEX'!$AE27=2051,'BASE PAN - CAPEX'!$AP27,IF('BASE PAN - CAPEX'!$AQ27=2051,'BASE PAN - CAPEX'!$BB27,0)))</f>
        <v>0</v>
      </c>
      <c r="AK27" s="1">
        <f>IF('BASE PAN - CAPEX'!$S27=2052,'BASE PAN - CAPEX'!$AD27,IF('BASE PAN - CAPEX'!$AE27=2052,'BASE PAN - CAPEX'!$AP27,IF('BASE PAN - CAPEX'!$AQ27=2052,'BASE PAN - CAPEX'!$BB27,0)))</f>
        <v>0</v>
      </c>
      <c r="AL27" s="1">
        <f>IF('BASE PAN - CAPEX'!$S27=2053,'BASE PAN - CAPEX'!$AD27,IF('BASE PAN - CAPEX'!$AE27=2053,'BASE PAN - CAPEX'!$AP27,IF('BASE PAN - CAPEX'!$AQ27=2053,'BASE PAN - CAPEX'!$BB27,0)))</f>
        <v>0</v>
      </c>
      <c r="AM27" s="1">
        <f t="shared" si="0"/>
        <v>58529126.039999999</v>
      </c>
      <c r="AN27" s="3" t="s">
        <v>171</v>
      </c>
      <c r="AO27" s="3">
        <v>1</v>
      </c>
      <c r="AP27" s="3" t="s">
        <v>171</v>
      </c>
      <c r="AQ27" s="3" t="s">
        <v>171</v>
      </c>
      <c r="AR27" s="3">
        <v>2030</v>
      </c>
      <c r="AS27" s="3" t="s">
        <v>171</v>
      </c>
      <c r="AT27" s="3" t="s">
        <v>171</v>
      </c>
      <c r="AU27" s="3">
        <v>2</v>
      </c>
      <c r="AV27" t="str">
        <f>VLOOKUP(C27,'FLUXO DE CAIXA DESC.-BLOCOS PAN'!$D$3:$AO$52,38,FALSE)</f>
        <v>MT - 2 - AL</v>
      </c>
    </row>
    <row r="28" spans="1:48" x14ac:dyDescent="0.35">
      <c r="A28" t="s">
        <v>131</v>
      </c>
      <c r="B28" t="s">
        <v>132</v>
      </c>
      <c r="C28" t="s">
        <v>133</v>
      </c>
      <c r="D28" t="s">
        <v>132</v>
      </c>
      <c r="E28" t="s">
        <v>32</v>
      </c>
      <c r="F28" t="s">
        <v>33</v>
      </c>
      <c r="G28" t="s">
        <v>34</v>
      </c>
      <c r="H28" s="1">
        <f>VLOOKUP(C28,'BASE PAN - CAPEX'!$C$3:$R$37,16,FALSE)+'BASE PAN - CAPEX'!BC28</f>
        <v>19205000</v>
      </c>
      <c r="I28" s="1">
        <f>IF('BASE PAN - CAPEX'!$S28=2024,'BASE PAN - CAPEX'!$AD28,IF('BASE PAN - CAPEX'!$AE28=2024,'BASE PAN - CAPEX'!$AP28,IF('BASE PAN - CAPEX'!$AQ28=2024,'BASE PAN - CAPEX'!$BB28,0)))</f>
        <v>0</v>
      </c>
      <c r="J28" s="1">
        <f>IF('BASE PAN - CAPEX'!$S28=2025,'BASE PAN - CAPEX'!$AD28,IF('BASE PAN - CAPEX'!$AE28=2025,'BASE PAN - CAPEX'!$AP28,IF('BASE PAN - CAPEX'!$AQ28=2025,'BASE PAN - CAPEX'!$BB28,0)))</f>
        <v>0</v>
      </c>
      <c r="K28" s="1">
        <f>IF('BASE PAN - CAPEX'!$S28=2026,'BASE PAN - CAPEX'!$AD28,IF('BASE PAN - CAPEX'!$AE28=2026,'BASE PAN - CAPEX'!$AP28,IF('BASE PAN - CAPEX'!$AQ28=2026,'BASE PAN - CAPEX'!$BB28,0)))</f>
        <v>0</v>
      </c>
      <c r="L28" s="1">
        <f>IF('BASE PAN - CAPEX'!$S28=2027,'BASE PAN - CAPEX'!$AD28,IF('BASE PAN - CAPEX'!$AE28=2027,'BASE PAN - CAPEX'!$AP28,IF('BASE PAN - CAPEX'!$AQ28=2027,'BASE PAN - CAPEX'!$BB28,0)))+VLOOKUP(C28,'BASE PAN - CAPEX - 1º ANO'!$C$3:$BE$35,55,FALSE)</f>
        <v>290000</v>
      </c>
      <c r="M28" s="1">
        <f>IF('BASE PAN - CAPEX'!$S28=2028,'BASE PAN - CAPEX'!$AD28,IF('BASE PAN - CAPEX'!$AE28=2028,'BASE PAN - CAPEX'!$AP28,IF('BASE PAN - CAPEX'!$AQ28=2028,'BASE PAN - CAPEX'!$BB28,0)))</f>
        <v>0</v>
      </c>
      <c r="N28" s="1">
        <f>IF('BASE PAN - CAPEX'!$S28=2029,'BASE PAN - CAPEX'!$AD28,IF('BASE PAN - CAPEX'!$AE28=2029,'BASE PAN - CAPEX'!$AP28,IF('BASE PAN - CAPEX'!$AQ28=2029,'BASE PAN - CAPEX'!$BB28,0)))</f>
        <v>0</v>
      </c>
      <c r="O28" s="1">
        <f>IF('BASE PAN - CAPEX'!$S28=2030,'BASE PAN - CAPEX'!$AD28,IF('BASE PAN - CAPEX'!$AE28=2030,'BASE PAN - CAPEX'!$AP28,IF('BASE PAN - CAPEX'!$AQ28=2030,'BASE PAN - CAPEX'!$BB28,0)))</f>
        <v>0</v>
      </c>
      <c r="P28" s="1">
        <f>IF('BASE PAN - CAPEX'!$S28=2031,'BASE PAN - CAPEX'!$AD28,IF('BASE PAN - CAPEX'!$AE28=2031,'BASE PAN - CAPEX'!$AP28,IF('BASE PAN - CAPEX'!$AQ28=2031,'BASE PAN - CAPEX'!$BB28,0)))</f>
        <v>0</v>
      </c>
      <c r="Q28" s="1">
        <f>IF('BASE PAN - CAPEX'!$S28=2032,'BASE PAN - CAPEX'!$AD28,IF('BASE PAN - CAPEX'!$AE28=2032,'BASE PAN - CAPEX'!$AP28,IF('BASE PAN - CAPEX'!$AQ28=2032,'BASE PAN - CAPEX'!$BB28,0)))+VLOOKUP(C28,'BASE PAN - CAPEX - 1º ANO'!$C$3:$BF$35,56,FALSE)</f>
        <v>0</v>
      </c>
      <c r="R28" s="1">
        <f>IF('BASE PAN - CAPEX'!$S28=2033,'BASE PAN - CAPEX'!$AD28,IF('BASE PAN - CAPEX'!$AE28=2033,'BASE PAN - CAPEX'!$AP28,IF('BASE PAN - CAPEX'!$AQ28=2033,'BASE PAN - CAPEX'!$BB28,0)))</f>
        <v>0</v>
      </c>
      <c r="S28" s="1">
        <f>IF('BASE PAN - CAPEX'!$S28=2034,'BASE PAN - CAPEX'!$AD28,IF('BASE PAN - CAPEX'!$AE28=2034,'BASE PAN - CAPEX'!$AP28,IF('BASE PAN - CAPEX'!$AQ28=2034,'BASE PAN - CAPEX'!$BB28,0)))</f>
        <v>0</v>
      </c>
      <c r="T28" s="1">
        <f>IF('BASE PAN - CAPEX'!$S28=2035,'BASE PAN - CAPEX'!$AD28,IF('BASE PAN - CAPEX'!$AE28=2035,'BASE PAN - CAPEX'!$AP28,IF('BASE PAN - CAPEX'!$AQ28=2035,'BASE PAN - CAPEX'!$BB28,0)))</f>
        <v>0</v>
      </c>
      <c r="U28" s="1">
        <f>IF('BASE PAN - CAPEX'!$S28=2036,'BASE PAN - CAPEX'!$AD28,IF('BASE PAN - CAPEX'!$AE28=2036,'BASE PAN - CAPEX'!$AP28,IF('BASE PAN - CAPEX'!$AQ28=2036,'BASE PAN - CAPEX'!$BB28,0)))</f>
        <v>0</v>
      </c>
      <c r="V28" s="1">
        <f>IF('BASE PAN - CAPEX'!$S28=2037,'BASE PAN - CAPEX'!$AD28,IF('BASE PAN - CAPEX'!$AE28=2037,'BASE PAN - CAPEX'!$AP28,IF('BASE PAN - CAPEX'!$AQ28=2037,'BASE PAN - CAPEX'!$BB28,0)))+VLOOKUP(C28,'BASE PAN - CAPEX - 1º ANO'!$C$3:$BG$35,57,FALSE)</f>
        <v>0</v>
      </c>
      <c r="W28" s="1">
        <f>IF('BASE PAN - CAPEX'!$S28=2038,'BASE PAN - CAPEX'!$AD28,IF('BASE PAN - CAPEX'!$AE28=2038,'BASE PAN - CAPEX'!$AP28,IF('BASE PAN - CAPEX'!$AQ28=2038,'BASE PAN - CAPEX'!$BB28,0)))</f>
        <v>45280000</v>
      </c>
      <c r="X28" s="1">
        <f>IF('BASE PAN - CAPEX'!$S28=2039,'BASE PAN - CAPEX'!$AD28,IF('BASE PAN - CAPEX'!$AE28=2039,'BASE PAN - CAPEX'!$AP28,IF('BASE PAN - CAPEX'!$AQ28=2039,'BASE PAN - CAPEX'!$BB28,0)))</f>
        <v>0</v>
      </c>
      <c r="Y28" s="1">
        <f>IF('BASE PAN - CAPEX'!$S28=2040,'BASE PAN - CAPEX'!$AD28,IF('BASE PAN - CAPEX'!$AE28=2040,'BASE PAN - CAPEX'!$AP28,IF('BASE PAN - CAPEX'!$AQ28=2040,'BASE PAN - CAPEX'!$BB28,0)))</f>
        <v>0</v>
      </c>
      <c r="Z28" s="1">
        <f>IF('BASE PAN - CAPEX'!$S28=2041,'BASE PAN - CAPEX'!$AD28,IF('BASE PAN - CAPEX'!$AE28=2041,'BASE PAN - CAPEX'!$AP28,IF('BASE PAN - CAPEX'!$AQ28=2041,'BASE PAN - CAPEX'!$BB28,0)))</f>
        <v>0</v>
      </c>
      <c r="AA28" s="1">
        <f>IF('BASE PAN - CAPEX'!$S28=2042,'BASE PAN - CAPEX'!$AD28,IF('BASE PAN - CAPEX'!$AE28=2042,'BASE PAN - CAPEX'!$AP28,IF('BASE PAN - CAPEX'!$AQ28=2042,'BASE PAN - CAPEX'!$BB28,0)))</f>
        <v>0</v>
      </c>
      <c r="AB28" s="1">
        <f>IF('BASE PAN - CAPEX'!$S28=2043,'BASE PAN - CAPEX'!$AD28,IF('BASE PAN - CAPEX'!$AE28=2043,'BASE PAN - CAPEX'!$AP28,IF('BASE PAN - CAPEX'!$AQ28=2043,'BASE PAN - CAPEX'!$BB28,0)))</f>
        <v>0</v>
      </c>
      <c r="AC28" s="1">
        <f>IF('BASE PAN - CAPEX'!$S28=2044,'BASE PAN - CAPEX'!$AD28,IF('BASE PAN - CAPEX'!$AE28=2044,'BASE PAN - CAPEX'!$AP28,IF('BASE PAN - CAPEX'!$AQ28=2044,'BASE PAN - CAPEX'!$BB28,0)))</f>
        <v>0</v>
      </c>
      <c r="AD28" s="1">
        <f>IF('BASE PAN - CAPEX'!$S28=2045,'BASE PAN - CAPEX'!$AD28,IF('BASE PAN - CAPEX'!$AE28=2045,'BASE PAN - CAPEX'!$AP28,IF('BASE PAN - CAPEX'!$AQ28=2045,'BASE PAN - CAPEX'!$BB28,0)))</f>
        <v>0</v>
      </c>
      <c r="AE28" s="1">
        <f>IF('BASE PAN - CAPEX'!$S28=2046,'BASE PAN - CAPEX'!$AD28,IF('BASE PAN - CAPEX'!$AE28=2046,'BASE PAN - CAPEX'!$AP28,IF('BASE PAN - CAPEX'!$AQ28=2046,'BASE PAN - CAPEX'!$BB28,0)))</f>
        <v>0</v>
      </c>
      <c r="AF28" s="1">
        <f>IF('BASE PAN - CAPEX'!$S28=2047,'BASE PAN - CAPEX'!$AD28,IF('BASE PAN - CAPEX'!$AE28=2047,'BASE PAN - CAPEX'!$AP28,IF('BASE PAN - CAPEX'!$AQ28=2047,'BASE PAN - CAPEX'!$BB28,0)))</f>
        <v>0</v>
      </c>
      <c r="AG28" s="1">
        <f>IF('BASE PAN - CAPEX'!$S28=2048,'BASE PAN - CAPEX'!$AD28,IF('BASE PAN - CAPEX'!$AE28=2048,'BASE PAN - CAPEX'!$AP28,IF('BASE PAN - CAPEX'!$AQ28=2048,'BASE PAN - CAPEX'!$BB28,0)))</f>
        <v>0</v>
      </c>
      <c r="AH28" s="1">
        <f>IF('BASE PAN - CAPEX'!$S28=2049,'BASE PAN - CAPEX'!$AD28,IF('BASE PAN - CAPEX'!$AE28=2049,'BASE PAN - CAPEX'!$AP28,IF('BASE PAN - CAPEX'!$AQ28=2049,'BASE PAN - CAPEX'!$BB28,0)))</f>
        <v>0</v>
      </c>
      <c r="AI28" s="1">
        <f>IF('BASE PAN - CAPEX'!$S28=2050,'BASE PAN - CAPEX'!$AD28,IF('BASE PAN - CAPEX'!$AE28=2050,'BASE PAN - CAPEX'!$AP28,IF('BASE PAN - CAPEX'!$AQ28=2050,'BASE PAN - CAPEX'!$BB28,0)))</f>
        <v>0</v>
      </c>
      <c r="AJ28" s="1">
        <f>IF('BASE PAN - CAPEX'!$S28=2051,'BASE PAN - CAPEX'!$AD28,IF('BASE PAN - CAPEX'!$AE28=2051,'BASE PAN - CAPEX'!$AP28,IF('BASE PAN - CAPEX'!$AQ28=2051,'BASE PAN - CAPEX'!$BB28,0)))</f>
        <v>0</v>
      </c>
      <c r="AK28" s="1">
        <f>IF('BASE PAN - CAPEX'!$S28=2052,'BASE PAN - CAPEX'!$AD28,IF('BASE PAN - CAPEX'!$AE28=2052,'BASE PAN - CAPEX'!$AP28,IF('BASE PAN - CAPEX'!$AQ28=2052,'BASE PAN - CAPEX'!$BB28,0)))</f>
        <v>0</v>
      </c>
      <c r="AL28" s="1">
        <f>IF('BASE PAN - CAPEX'!$S28=2053,'BASE PAN - CAPEX'!$AD28,IF('BASE PAN - CAPEX'!$AE28=2053,'BASE PAN - CAPEX'!$AP28,IF('BASE PAN - CAPEX'!$AQ28=2053,'BASE PAN - CAPEX'!$BB28,0)))</f>
        <v>0</v>
      </c>
      <c r="AM28" s="1">
        <f t="shared" si="0"/>
        <v>64775000</v>
      </c>
      <c r="AN28" s="3" t="s">
        <v>171</v>
      </c>
      <c r="AO28" s="3">
        <v>1</v>
      </c>
      <c r="AP28" s="3" t="s">
        <v>171</v>
      </c>
      <c r="AQ28" s="3">
        <v>2038</v>
      </c>
      <c r="AR28" s="3">
        <v>2024</v>
      </c>
      <c r="AS28" s="3" t="s">
        <v>171</v>
      </c>
      <c r="AT28" s="3">
        <v>3</v>
      </c>
      <c r="AU28" s="3">
        <v>2</v>
      </c>
      <c r="AV28" t="str">
        <f>VLOOKUP(C28,'FLUXO DE CAIXA DESC.-BLOCOS PAN'!$D$3:$AO$52,38,FALSE)</f>
        <v>MA + TO - AL</v>
      </c>
    </row>
    <row r="29" spans="1:48" x14ac:dyDescent="0.35">
      <c r="A29" t="s">
        <v>135</v>
      </c>
      <c r="B29" t="s">
        <v>136</v>
      </c>
      <c r="C29" t="s">
        <v>137</v>
      </c>
      <c r="D29" t="s">
        <v>136</v>
      </c>
      <c r="E29" t="s">
        <v>37</v>
      </c>
      <c r="F29" t="s">
        <v>33</v>
      </c>
      <c r="G29" t="s">
        <v>34</v>
      </c>
      <c r="H29" s="1">
        <f>VLOOKUP(C29,'BASE PAN - CAPEX'!$C$3:$R$37,16,FALSE)+'BASE PAN - CAPEX'!BC29</f>
        <v>6745000</v>
      </c>
      <c r="I29" s="1">
        <f>IF('BASE PAN - CAPEX'!$S29=2024,'BASE PAN - CAPEX'!$AD29,IF('BASE PAN - CAPEX'!$AE29=2024,'BASE PAN - CAPEX'!$AP29,IF('BASE PAN - CAPEX'!$AQ29=2024,'BASE PAN - CAPEX'!$BB29,0)))</f>
        <v>0</v>
      </c>
      <c r="J29" s="1">
        <f>IF('BASE PAN - CAPEX'!$S29=2025,'BASE PAN - CAPEX'!$AD29,IF('BASE PAN - CAPEX'!$AE29=2025,'BASE PAN - CAPEX'!$AP29,IF('BASE PAN - CAPEX'!$AQ29=2025,'BASE PAN - CAPEX'!$BB29,0)))</f>
        <v>0</v>
      </c>
      <c r="K29" s="1">
        <f>IF('BASE PAN - CAPEX'!$S29=2026,'BASE PAN - CAPEX'!$AD29,IF('BASE PAN - CAPEX'!$AE29=2026,'BASE PAN - CAPEX'!$AP29,IF('BASE PAN - CAPEX'!$AQ29=2026,'BASE PAN - CAPEX'!$BB29,0)))</f>
        <v>0</v>
      </c>
      <c r="L29" s="1">
        <f>IF('BASE PAN - CAPEX'!$S29=2027,'BASE PAN - CAPEX'!$AD29,IF('BASE PAN - CAPEX'!$AE29=2027,'BASE PAN - CAPEX'!$AP29,IF('BASE PAN - CAPEX'!$AQ29=2027,'BASE PAN - CAPEX'!$BB29,0)))+VLOOKUP(C29,'BASE PAN - CAPEX - 1º ANO'!$C$3:$BE$35,55,FALSE)</f>
        <v>0</v>
      </c>
      <c r="M29" s="1">
        <f>IF('BASE PAN - CAPEX'!$S29=2028,'BASE PAN - CAPEX'!$AD29,IF('BASE PAN - CAPEX'!$AE29=2028,'BASE PAN - CAPEX'!$AP29,IF('BASE PAN - CAPEX'!$AQ29=2028,'BASE PAN - CAPEX'!$BB29,0)))</f>
        <v>0</v>
      </c>
      <c r="N29" s="1">
        <f>IF('BASE PAN - CAPEX'!$S29=2029,'BASE PAN - CAPEX'!$AD29,IF('BASE PAN - CAPEX'!$AE29=2029,'BASE PAN - CAPEX'!$AP29,IF('BASE PAN - CAPEX'!$AQ29=2029,'BASE PAN - CAPEX'!$BB29,0)))</f>
        <v>0</v>
      </c>
      <c r="O29" s="1">
        <f>IF('BASE PAN - CAPEX'!$S29=2030,'BASE PAN - CAPEX'!$AD29,IF('BASE PAN - CAPEX'!$AE29=2030,'BASE PAN - CAPEX'!$AP29,IF('BASE PAN - CAPEX'!$AQ29=2030,'BASE PAN - CAPEX'!$BB29,0)))</f>
        <v>0</v>
      </c>
      <c r="P29" s="1">
        <f>IF('BASE PAN - CAPEX'!$S29=2031,'BASE PAN - CAPEX'!$AD29,IF('BASE PAN - CAPEX'!$AE29=2031,'BASE PAN - CAPEX'!$AP29,IF('BASE PAN - CAPEX'!$AQ29=2031,'BASE PAN - CAPEX'!$BB29,0)))</f>
        <v>0</v>
      </c>
      <c r="Q29" s="1">
        <f>IF('BASE PAN - CAPEX'!$S29=2032,'BASE PAN - CAPEX'!$AD29,IF('BASE PAN - CAPEX'!$AE29=2032,'BASE PAN - CAPEX'!$AP29,IF('BASE PAN - CAPEX'!$AQ29=2032,'BASE PAN - CAPEX'!$BB29,0)))+VLOOKUP(C29,'BASE PAN - CAPEX - 1º ANO'!$C$3:$BF$35,56,FALSE)</f>
        <v>0</v>
      </c>
      <c r="R29" s="1">
        <f>IF('BASE PAN - CAPEX'!$S29=2033,'BASE PAN - CAPEX'!$AD29,IF('BASE PAN - CAPEX'!$AE29=2033,'BASE PAN - CAPEX'!$AP29,IF('BASE PAN - CAPEX'!$AQ29=2033,'BASE PAN - CAPEX'!$BB29,0)))</f>
        <v>0</v>
      </c>
      <c r="S29" s="1">
        <f>IF('BASE PAN - CAPEX'!$S29=2034,'BASE PAN - CAPEX'!$AD29,IF('BASE PAN - CAPEX'!$AE29=2034,'BASE PAN - CAPEX'!$AP29,IF('BASE PAN - CAPEX'!$AQ29=2034,'BASE PAN - CAPEX'!$BB29,0)))</f>
        <v>0</v>
      </c>
      <c r="T29" s="1">
        <f>IF('BASE PAN - CAPEX'!$S29=2035,'BASE PAN - CAPEX'!$AD29,IF('BASE PAN - CAPEX'!$AE29=2035,'BASE PAN - CAPEX'!$AP29,IF('BASE PAN - CAPEX'!$AQ29=2035,'BASE PAN - CAPEX'!$BB29,0)))</f>
        <v>0</v>
      </c>
      <c r="U29" s="1">
        <f>IF('BASE PAN - CAPEX'!$S29=2036,'BASE PAN - CAPEX'!$AD29,IF('BASE PAN - CAPEX'!$AE29=2036,'BASE PAN - CAPEX'!$AP29,IF('BASE PAN - CAPEX'!$AQ29=2036,'BASE PAN - CAPEX'!$BB29,0)))</f>
        <v>0</v>
      </c>
      <c r="V29" s="1">
        <f>IF('BASE PAN - CAPEX'!$S29=2037,'BASE PAN - CAPEX'!$AD29,IF('BASE PAN - CAPEX'!$AE29=2037,'BASE PAN - CAPEX'!$AP29,IF('BASE PAN - CAPEX'!$AQ29=2037,'BASE PAN - CAPEX'!$BB29,0)))+VLOOKUP(C29,'BASE PAN - CAPEX - 1º ANO'!$C$3:$BG$35,57,FALSE)</f>
        <v>290000</v>
      </c>
      <c r="W29" s="1">
        <f>IF('BASE PAN - CAPEX'!$S29=2038,'BASE PAN - CAPEX'!$AD29,IF('BASE PAN - CAPEX'!$AE29=2038,'BASE PAN - CAPEX'!$AP29,IF('BASE PAN - CAPEX'!$AQ29=2038,'BASE PAN - CAPEX'!$BB29,0)))</f>
        <v>0</v>
      </c>
      <c r="X29" s="1">
        <f>IF('BASE PAN - CAPEX'!$S29=2039,'BASE PAN - CAPEX'!$AD29,IF('BASE PAN - CAPEX'!$AE29=2039,'BASE PAN - CAPEX'!$AP29,IF('BASE PAN - CAPEX'!$AQ29=2039,'BASE PAN - CAPEX'!$BB29,0)))</f>
        <v>0</v>
      </c>
      <c r="Y29" s="1">
        <f>IF('BASE PAN - CAPEX'!$S29=2040,'BASE PAN - CAPEX'!$AD29,IF('BASE PAN - CAPEX'!$AE29=2040,'BASE PAN - CAPEX'!$AP29,IF('BASE PAN - CAPEX'!$AQ29=2040,'BASE PAN - CAPEX'!$BB29,0)))</f>
        <v>0</v>
      </c>
      <c r="Z29" s="1">
        <f>IF('BASE PAN - CAPEX'!$S29=2041,'BASE PAN - CAPEX'!$AD29,IF('BASE PAN - CAPEX'!$AE29=2041,'BASE PAN - CAPEX'!$AP29,IF('BASE PAN - CAPEX'!$AQ29=2041,'BASE PAN - CAPEX'!$BB29,0)))</f>
        <v>0</v>
      </c>
      <c r="AA29" s="1">
        <f>IF('BASE PAN - CAPEX'!$S29=2042,'BASE PAN - CAPEX'!$AD29,IF('BASE PAN - CAPEX'!$AE29=2042,'BASE PAN - CAPEX'!$AP29,IF('BASE PAN - CAPEX'!$AQ29=2042,'BASE PAN - CAPEX'!$BB29,0)))</f>
        <v>0</v>
      </c>
      <c r="AB29" s="1">
        <f>IF('BASE PAN - CAPEX'!$S29=2043,'BASE PAN - CAPEX'!$AD29,IF('BASE PAN - CAPEX'!$AE29=2043,'BASE PAN - CAPEX'!$AP29,IF('BASE PAN - CAPEX'!$AQ29=2043,'BASE PAN - CAPEX'!$BB29,0)))</f>
        <v>0</v>
      </c>
      <c r="AC29" s="1">
        <f>IF('BASE PAN - CAPEX'!$S29=2044,'BASE PAN - CAPEX'!$AD29,IF('BASE PAN - CAPEX'!$AE29=2044,'BASE PAN - CAPEX'!$AP29,IF('BASE PAN - CAPEX'!$AQ29=2044,'BASE PAN - CAPEX'!$BB29,0)))</f>
        <v>0</v>
      </c>
      <c r="AD29" s="1">
        <f>IF('BASE PAN - CAPEX'!$S29=2045,'BASE PAN - CAPEX'!$AD29,IF('BASE PAN - CAPEX'!$AE29=2045,'BASE PAN - CAPEX'!$AP29,IF('BASE PAN - CAPEX'!$AQ29=2045,'BASE PAN - CAPEX'!$BB29,0)))</f>
        <v>0</v>
      </c>
      <c r="AE29" s="1">
        <f>IF('BASE PAN - CAPEX'!$S29=2046,'BASE PAN - CAPEX'!$AD29,IF('BASE PAN - CAPEX'!$AE29=2046,'BASE PAN - CAPEX'!$AP29,IF('BASE PAN - CAPEX'!$AQ29=2046,'BASE PAN - CAPEX'!$BB29,0)))</f>
        <v>0</v>
      </c>
      <c r="AF29" s="1">
        <f>IF('BASE PAN - CAPEX'!$S29=2047,'BASE PAN - CAPEX'!$AD29,IF('BASE PAN - CAPEX'!$AE29=2047,'BASE PAN - CAPEX'!$AP29,IF('BASE PAN - CAPEX'!$AQ29=2047,'BASE PAN - CAPEX'!$BB29,0)))</f>
        <v>0</v>
      </c>
      <c r="AG29" s="1">
        <f>IF('BASE PAN - CAPEX'!$S29=2048,'BASE PAN - CAPEX'!$AD29,IF('BASE PAN - CAPEX'!$AE29=2048,'BASE PAN - CAPEX'!$AP29,IF('BASE PAN - CAPEX'!$AQ29=2048,'BASE PAN - CAPEX'!$BB29,0)))</f>
        <v>0</v>
      </c>
      <c r="AH29" s="1">
        <f>IF('BASE PAN - CAPEX'!$S29=2049,'BASE PAN - CAPEX'!$AD29,IF('BASE PAN - CAPEX'!$AE29=2049,'BASE PAN - CAPEX'!$AP29,IF('BASE PAN - CAPEX'!$AQ29=2049,'BASE PAN - CAPEX'!$BB29,0)))</f>
        <v>0</v>
      </c>
      <c r="AI29" s="1">
        <f>IF('BASE PAN - CAPEX'!$S29=2050,'BASE PAN - CAPEX'!$AD29,IF('BASE PAN - CAPEX'!$AE29=2050,'BASE PAN - CAPEX'!$AP29,IF('BASE PAN - CAPEX'!$AQ29=2050,'BASE PAN - CAPEX'!$BB29,0)))</f>
        <v>0</v>
      </c>
      <c r="AJ29" s="1">
        <f>IF('BASE PAN - CAPEX'!$S29=2051,'BASE PAN - CAPEX'!$AD29,IF('BASE PAN - CAPEX'!$AE29=2051,'BASE PAN - CAPEX'!$AP29,IF('BASE PAN - CAPEX'!$AQ29=2051,'BASE PAN - CAPEX'!$BB29,0)))</f>
        <v>0</v>
      </c>
      <c r="AK29" s="1">
        <f>IF('BASE PAN - CAPEX'!$S29=2052,'BASE PAN - CAPEX'!$AD29,IF('BASE PAN - CAPEX'!$AE29=2052,'BASE PAN - CAPEX'!$AP29,IF('BASE PAN - CAPEX'!$AQ29=2052,'BASE PAN - CAPEX'!$BB29,0)))</f>
        <v>0</v>
      </c>
      <c r="AL29" s="1">
        <f>IF('BASE PAN - CAPEX'!$S29=2053,'BASE PAN - CAPEX'!$AD29,IF('BASE PAN - CAPEX'!$AE29=2053,'BASE PAN - CAPEX'!$AP29,IF('BASE PAN - CAPEX'!$AQ29=2053,'BASE PAN - CAPEX'!$BB29,0)))</f>
        <v>0</v>
      </c>
      <c r="AM29" s="1">
        <f t="shared" si="0"/>
        <v>7035000</v>
      </c>
      <c r="AN29" s="3" t="s">
        <v>171</v>
      </c>
      <c r="AO29" s="3">
        <v>0</v>
      </c>
      <c r="AP29" s="3" t="s">
        <v>171</v>
      </c>
      <c r="AQ29" s="3" t="s">
        <v>171</v>
      </c>
      <c r="AR29" s="3" t="s">
        <v>171</v>
      </c>
      <c r="AS29" s="3" t="s">
        <v>171</v>
      </c>
      <c r="AT29" s="3" t="s">
        <v>171</v>
      </c>
      <c r="AU29" s="3" t="s">
        <v>171</v>
      </c>
      <c r="AV29" t="str">
        <f>VLOOKUP(C29,'FLUXO DE CAIXA DESC.-BLOCOS PAN'!$D$3:$AO$52,38,FALSE)</f>
        <v>MT - 1 - AL</v>
      </c>
    </row>
    <row r="30" spans="1:48" x14ac:dyDescent="0.35">
      <c r="A30" t="s">
        <v>138</v>
      </c>
      <c r="B30" t="s">
        <v>139</v>
      </c>
      <c r="C30" t="s">
        <v>140</v>
      </c>
      <c r="D30" t="s">
        <v>139</v>
      </c>
      <c r="E30" t="s">
        <v>37</v>
      </c>
      <c r="F30" t="s">
        <v>33</v>
      </c>
      <c r="G30" t="s">
        <v>34</v>
      </c>
      <c r="H30" s="1">
        <f>VLOOKUP(C30,'BASE PAN - CAPEX'!$C$3:$R$37,16,FALSE)+'BASE PAN - CAPEX'!BC30</f>
        <v>19725000</v>
      </c>
      <c r="I30" s="1">
        <f>IF('BASE PAN - CAPEX'!$S30=2024,'BASE PAN - CAPEX'!$AD30,IF('BASE PAN - CAPEX'!$AE30=2024,'BASE PAN - CAPEX'!$AP30,IF('BASE PAN - CAPEX'!$AQ30=2024,'BASE PAN - CAPEX'!$BB30,0)))</f>
        <v>0</v>
      </c>
      <c r="J30" s="1">
        <f>IF('BASE PAN - CAPEX'!$S30=2025,'BASE PAN - CAPEX'!$AD30,IF('BASE PAN - CAPEX'!$AE30=2025,'BASE PAN - CAPEX'!$AP30,IF('BASE PAN - CAPEX'!$AQ30=2025,'BASE PAN - CAPEX'!$BB30,0)))</f>
        <v>0</v>
      </c>
      <c r="K30" s="1">
        <f>IF('BASE PAN - CAPEX'!$S30=2026,'BASE PAN - CAPEX'!$AD30,IF('BASE PAN - CAPEX'!$AE30=2026,'BASE PAN - CAPEX'!$AP30,IF('BASE PAN - CAPEX'!$AQ30=2026,'BASE PAN - CAPEX'!$BB30,0)))</f>
        <v>0</v>
      </c>
      <c r="L30" s="1">
        <f>IF('BASE PAN - CAPEX'!$S30=2027,'BASE PAN - CAPEX'!$AD30,IF('BASE PAN - CAPEX'!$AE30=2027,'BASE PAN - CAPEX'!$AP30,IF('BASE PAN - CAPEX'!$AQ30=2027,'BASE PAN - CAPEX'!$BB30,0)))+VLOOKUP(C30,'BASE PAN - CAPEX - 1º ANO'!$C$3:$BE$35,55,FALSE)</f>
        <v>0</v>
      </c>
      <c r="M30" s="1">
        <f>IF('BASE PAN - CAPEX'!$S30=2028,'BASE PAN - CAPEX'!$AD30,IF('BASE PAN - CAPEX'!$AE30=2028,'BASE PAN - CAPEX'!$AP30,IF('BASE PAN - CAPEX'!$AQ30=2028,'BASE PAN - CAPEX'!$BB30,0)))</f>
        <v>0</v>
      </c>
      <c r="N30" s="1">
        <f>IF('BASE PAN - CAPEX'!$S30=2029,'BASE PAN - CAPEX'!$AD30,IF('BASE PAN - CAPEX'!$AE30=2029,'BASE PAN - CAPEX'!$AP30,IF('BASE PAN - CAPEX'!$AQ30=2029,'BASE PAN - CAPEX'!$BB30,0)))</f>
        <v>0</v>
      </c>
      <c r="O30" s="1">
        <f>IF('BASE PAN - CAPEX'!$S30=2030,'BASE PAN - CAPEX'!$AD30,IF('BASE PAN - CAPEX'!$AE30=2030,'BASE PAN - CAPEX'!$AP30,IF('BASE PAN - CAPEX'!$AQ30=2030,'BASE PAN - CAPEX'!$BB30,0)))</f>
        <v>0</v>
      </c>
      <c r="P30" s="1">
        <f>IF('BASE PAN - CAPEX'!$S30=2031,'BASE PAN - CAPEX'!$AD30,IF('BASE PAN - CAPEX'!$AE30=2031,'BASE PAN - CAPEX'!$AP30,IF('BASE PAN - CAPEX'!$AQ30=2031,'BASE PAN - CAPEX'!$BB30,0)))</f>
        <v>0</v>
      </c>
      <c r="Q30" s="1">
        <f>IF('BASE PAN - CAPEX'!$S30=2032,'BASE PAN - CAPEX'!$AD30,IF('BASE PAN - CAPEX'!$AE30=2032,'BASE PAN - CAPEX'!$AP30,IF('BASE PAN - CAPEX'!$AQ30=2032,'BASE PAN - CAPEX'!$BB30,0)))+VLOOKUP(C30,'BASE PAN - CAPEX - 1º ANO'!$C$3:$BF$35,56,FALSE)</f>
        <v>0</v>
      </c>
      <c r="R30" s="1">
        <f>IF('BASE PAN - CAPEX'!$S30=2033,'BASE PAN - CAPEX'!$AD30,IF('BASE PAN - CAPEX'!$AE30=2033,'BASE PAN - CAPEX'!$AP30,IF('BASE PAN - CAPEX'!$AQ30=2033,'BASE PAN - CAPEX'!$BB30,0)))</f>
        <v>0</v>
      </c>
      <c r="S30" s="1">
        <f>IF('BASE PAN - CAPEX'!$S30=2034,'BASE PAN - CAPEX'!$AD30,IF('BASE PAN - CAPEX'!$AE30=2034,'BASE PAN - CAPEX'!$AP30,IF('BASE PAN - CAPEX'!$AQ30=2034,'BASE PAN - CAPEX'!$BB30,0)))</f>
        <v>0</v>
      </c>
      <c r="T30" s="1">
        <f>IF('BASE PAN - CAPEX'!$S30=2035,'BASE PAN - CAPEX'!$AD30,IF('BASE PAN - CAPEX'!$AE30=2035,'BASE PAN - CAPEX'!$AP30,IF('BASE PAN - CAPEX'!$AQ30=2035,'BASE PAN - CAPEX'!$BB30,0)))</f>
        <v>0</v>
      </c>
      <c r="U30" s="1">
        <f>IF('BASE PAN - CAPEX'!$S30=2036,'BASE PAN - CAPEX'!$AD30,IF('BASE PAN - CAPEX'!$AE30=2036,'BASE PAN - CAPEX'!$AP30,IF('BASE PAN - CAPEX'!$AQ30=2036,'BASE PAN - CAPEX'!$BB30,0)))</f>
        <v>0</v>
      </c>
      <c r="V30" s="1">
        <f>IF('BASE PAN - CAPEX'!$S30=2037,'BASE PAN - CAPEX'!$AD30,IF('BASE PAN - CAPEX'!$AE30=2037,'BASE PAN - CAPEX'!$AP30,IF('BASE PAN - CAPEX'!$AQ30=2037,'BASE PAN - CAPEX'!$BB30,0)))+VLOOKUP(C30,'BASE PAN - CAPEX - 1º ANO'!$C$3:$BG$35,57,FALSE)</f>
        <v>0</v>
      </c>
      <c r="W30" s="1">
        <f>IF('BASE PAN - CAPEX'!$S30=2038,'BASE PAN - CAPEX'!$AD30,IF('BASE PAN - CAPEX'!$AE30=2038,'BASE PAN - CAPEX'!$AP30,IF('BASE PAN - CAPEX'!$AQ30=2038,'BASE PAN - CAPEX'!$BB30,0)))</f>
        <v>0</v>
      </c>
      <c r="X30" s="1">
        <f>IF('BASE PAN - CAPEX'!$S30=2039,'BASE PAN - CAPEX'!$AD30,IF('BASE PAN - CAPEX'!$AE30=2039,'BASE PAN - CAPEX'!$AP30,IF('BASE PAN - CAPEX'!$AQ30=2039,'BASE PAN - CAPEX'!$BB30,0)))</f>
        <v>0</v>
      </c>
      <c r="Y30" s="1">
        <f>IF('BASE PAN - CAPEX'!$S30=2040,'BASE PAN - CAPEX'!$AD30,IF('BASE PAN - CAPEX'!$AE30=2040,'BASE PAN - CAPEX'!$AP30,IF('BASE PAN - CAPEX'!$AQ30=2040,'BASE PAN - CAPEX'!$BB30,0)))</f>
        <v>0</v>
      </c>
      <c r="Z30" s="1">
        <f>IF('BASE PAN - CAPEX'!$S30=2041,'BASE PAN - CAPEX'!$AD30,IF('BASE PAN - CAPEX'!$AE30=2041,'BASE PAN - CAPEX'!$AP30,IF('BASE PAN - CAPEX'!$AQ30=2041,'BASE PAN - CAPEX'!$BB30,0)))</f>
        <v>0</v>
      </c>
      <c r="AA30" s="1">
        <f>IF('BASE PAN - CAPEX'!$S30=2042,'BASE PAN - CAPEX'!$AD30,IF('BASE PAN - CAPEX'!$AE30=2042,'BASE PAN - CAPEX'!$AP30,IF('BASE PAN - CAPEX'!$AQ30=2042,'BASE PAN - CAPEX'!$BB30,0)))</f>
        <v>0</v>
      </c>
      <c r="AB30" s="1">
        <f>IF('BASE PAN - CAPEX'!$S30=2043,'BASE PAN - CAPEX'!$AD30,IF('BASE PAN - CAPEX'!$AE30=2043,'BASE PAN - CAPEX'!$AP30,IF('BASE PAN - CAPEX'!$AQ30=2043,'BASE PAN - CAPEX'!$BB30,0)))</f>
        <v>0</v>
      </c>
      <c r="AC30" s="1">
        <f>IF('BASE PAN - CAPEX'!$S30=2044,'BASE PAN - CAPEX'!$AD30,IF('BASE PAN - CAPEX'!$AE30=2044,'BASE PAN - CAPEX'!$AP30,IF('BASE PAN - CAPEX'!$AQ30=2044,'BASE PAN - CAPEX'!$BB30,0)))</f>
        <v>0</v>
      </c>
      <c r="AD30" s="1">
        <f>IF('BASE PAN - CAPEX'!$S30=2045,'BASE PAN - CAPEX'!$AD30,IF('BASE PAN - CAPEX'!$AE30=2045,'BASE PAN - CAPEX'!$AP30,IF('BASE PAN - CAPEX'!$AQ30=2045,'BASE PAN - CAPEX'!$BB30,0)))</f>
        <v>0</v>
      </c>
      <c r="AE30" s="1">
        <f>IF('BASE PAN - CAPEX'!$S30=2046,'BASE PAN - CAPEX'!$AD30,IF('BASE PAN - CAPEX'!$AE30=2046,'BASE PAN - CAPEX'!$AP30,IF('BASE PAN - CAPEX'!$AQ30=2046,'BASE PAN - CAPEX'!$BB30,0)))</f>
        <v>0</v>
      </c>
      <c r="AF30" s="1">
        <f>IF('BASE PAN - CAPEX'!$S30=2047,'BASE PAN - CAPEX'!$AD30,IF('BASE PAN - CAPEX'!$AE30=2047,'BASE PAN - CAPEX'!$AP30,IF('BASE PAN - CAPEX'!$AQ30=2047,'BASE PAN - CAPEX'!$BB30,0)))</f>
        <v>0</v>
      </c>
      <c r="AG30" s="1">
        <f>IF('BASE PAN - CAPEX'!$S30=2048,'BASE PAN - CAPEX'!$AD30,IF('BASE PAN - CAPEX'!$AE30=2048,'BASE PAN - CAPEX'!$AP30,IF('BASE PAN - CAPEX'!$AQ30=2048,'BASE PAN - CAPEX'!$BB30,0)))</f>
        <v>0</v>
      </c>
      <c r="AH30" s="1">
        <f>IF('BASE PAN - CAPEX'!$S30=2049,'BASE PAN - CAPEX'!$AD30,IF('BASE PAN - CAPEX'!$AE30=2049,'BASE PAN - CAPEX'!$AP30,IF('BASE PAN - CAPEX'!$AQ30=2049,'BASE PAN - CAPEX'!$BB30,0)))</f>
        <v>0</v>
      </c>
      <c r="AI30" s="1">
        <f>IF('BASE PAN - CAPEX'!$S30=2050,'BASE PAN - CAPEX'!$AD30,IF('BASE PAN - CAPEX'!$AE30=2050,'BASE PAN - CAPEX'!$AP30,IF('BASE PAN - CAPEX'!$AQ30=2050,'BASE PAN - CAPEX'!$BB30,0)))</f>
        <v>0</v>
      </c>
      <c r="AJ30" s="1">
        <f>IF('BASE PAN - CAPEX'!$S30=2051,'BASE PAN - CAPEX'!$AD30,IF('BASE PAN - CAPEX'!$AE30=2051,'BASE PAN - CAPEX'!$AP30,IF('BASE PAN - CAPEX'!$AQ30=2051,'BASE PAN - CAPEX'!$BB30,0)))</f>
        <v>0</v>
      </c>
      <c r="AK30" s="1">
        <f>IF('BASE PAN - CAPEX'!$S30=2052,'BASE PAN - CAPEX'!$AD30,IF('BASE PAN - CAPEX'!$AE30=2052,'BASE PAN - CAPEX'!$AP30,IF('BASE PAN - CAPEX'!$AQ30=2052,'BASE PAN - CAPEX'!$BB30,0)))</f>
        <v>0</v>
      </c>
      <c r="AL30" s="1">
        <f>IF('BASE PAN - CAPEX'!$S30=2053,'BASE PAN - CAPEX'!$AD30,IF('BASE PAN - CAPEX'!$AE30=2053,'BASE PAN - CAPEX'!$AP30,IF('BASE PAN - CAPEX'!$AQ30=2053,'BASE PAN - CAPEX'!$BB30,0)))</f>
        <v>0</v>
      </c>
      <c r="AM30" s="1">
        <f t="shared" si="0"/>
        <v>19725000</v>
      </c>
      <c r="AN30" s="3" t="s">
        <v>171</v>
      </c>
      <c r="AO30" s="3">
        <v>1</v>
      </c>
      <c r="AP30" s="3" t="s">
        <v>171</v>
      </c>
      <c r="AQ30" s="3" t="s">
        <v>171</v>
      </c>
      <c r="AR30" s="3" t="s">
        <v>171</v>
      </c>
      <c r="AS30" s="3" t="s">
        <v>171</v>
      </c>
      <c r="AT30" s="3" t="s">
        <v>171</v>
      </c>
      <c r="AU30" s="3" t="s">
        <v>171</v>
      </c>
      <c r="AV30" t="str">
        <f>VLOOKUP(C30,'FLUXO DE CAIXA DESC.-BLOCOS PAN'!$D$3:$AO$52,38,FALSE)</f>
        <v>MT - 1 - AL</v>
      </c>
    </row>
    <row r="31" spans="1:48" x14ac:dyDescent="0.35">
      <c r="A31" t="s">
        <v>141</v>
      </c>
      <c r="B31" t="s">
        <v>142</v>
      </c>
      <c r="C31" t="s">
        <v>143</v>
      </c>
      <c r="D31" t="s">
        <v>144</v>
      </c>
      <c r="E31" t="s">
        <v>38</v>
      </c>
      <c r="F31" t="s">
        <v>33</v>
      </c>
      <c r="G31" t="s">
        <v>34</v>
      </c>
      <c r="H31" s="1">
        <f>VLOOKUP(C31,'BASE PAN - CAPEX'!$C$3:$R$37,16,FALSE)+'BASE PAN - CAPEX'!BC31</f>
        <v>9685000</v>
      </c>
      <c r="I31" s="1">
        <f>IF('BASE PAN - CAPEX'!$S31=2024,'BASE PAN - CAPEX'!$AD31,IF('BASE PAN - CAPEX'!$AE31=2024,'BASE PAN - CAPEX'!$AP31,IF('BASE PAN - CAPEX'!$AQ31=2024,'BASE PAN - CAPEX'!$BB31,0)))</f>
        <v>0</v>
      </c>
      <c r="J31" s="1">
        <f>IF('BASE PAN - CAPEX'!$S31=2025,'BASE PAN - CAPEX'!$AD31,IF('BASE PAN - CAPEX'!$AE31=2025,'BASE PAN - CAPEX'!$AP31,IF('BASE PAN - CAPEX'!$AQ31=2025,'BASE PAN - CAPEX'!$BB31,0)))</f>
        <v>0</v>
      </c>
      <c r="K31" s="1">
        <f>IF('BASE PAN - CAPEX'!$S31=2026,'BASE PAN - CAPEX'!$AD31,IF('BASE PAN - CAPEX'!$AE31=2026,'BASE PAN - CAPEX'!$AP31,IF('BASE PAN - CAPEX'!$AQ31=2026,'BASE PAN - CAPEX'!$BB31,0)))</f>
        <v>0</v>
      </c>
      <c r="L31" s="1">
        <f>IF('BASE PAN - CAPEX'!$S31=2027,'BASE PAN - CAPEX'!$AD31,IF('BASE PAN - CAPEX'!$AE31=2027,'BASE PAN - CAPEX'!$AP31,IF('BASE PAN - CAPEX'!$AQ31=2027,'BASE PAN - CAPEX'!$BB31,0)))+VLOOKUP(C31,'BASE PAN - CAPEX - 1º ANO'!$C$3:$BE$35,55,FALSE)</f>
        <v>0</v>
      </c>
      <c r="M31" s="1">
        <f>IF('BASE PAN - CAPEX'!$S31=2028,'BASE PAN - CAPEX'!$AD31,IF('BASE PAN - CAPEX'!$AE31=2028,'BASE PAN - CAPEX'!$AP31,IF('BASE PAN - CAPEX'!$AQ31=2028,'BASE PAN - CAPEX'!$BB31,0)))</f>
        <v>0</v>
      </c>
      <c r="N31" s="1">
        <f>IF('BASE PAN - CAPEX'!$S31=2029,'BASE PAN - CAPEX'!$AD31,IF('BASE PAN - CAPEX'!$AE31=2029,'BASE PAN - CAPEX'!$AP31,IF('BASE PAN - CAPEX'!$AQ31=2029,'BASE PAN - CAPEX'!$BB31,0)))</f>
        <v>0</v>
      </c>
      <c r="O31" s="1">
        <f>IF('BASE PAN - CAPEX'!$S31=2030,'BASE PAN - CAPEX'!$AD31,IF('BASE PAN - CAPEX'!$AE31=2030,'BASE PAN - CAPEX'!$AP31,IF('BASE PAN - CAPEX'!$AQ31=2030,'BASE PAN - CAPEX'!$BB31,0)))</f>
        <v>0</v>
      </c>
      <c r="P31" s="1">
        <f>IF('BASE PAN - CAPEX'!$S31=2031,'BASE PAN - CAPEX'!$AD31,IF('BASE PAN - CAPEX'!$AE31=2031,'BASE PAN - CAPEX'!$AP31,IF('BASE PAN - CAPEX'!$AQ31=2031,'BASE PAN - CAPEX'!$BB31,0)))</f>
        <v>0</v>
      </c>
      <c r="Q31" s="1">
        <f>IF('BASE PAN - CAPEX'!$S31=2032,'BASE PAN - CAPEX'!$AD31,IF('BASE PAN - CAPEX'!$AE31=2032,'BASE PAN - CAPEX'!$AP31,IF('BASE PAN - CAPEX'!$AQ31=2032,'BASE PAN - CAPEX'!$BB31,0)))+VLOOKUP(C31,'BASE PAN - CAPEX - 1º ANO'!$C$3:$BF$35,56,FALSE)</f>
        <v>0</v>
      </c>
      <c r="R31" s="1">
        <f>IF('BASE PAN - CAPEX'!$S31=2033,'BASE PAN - CAPEX'!$AD31,IF('BASE PAN - CAPEX'!$AE31=2033,'BASE PAN - CAPEX'!$AP31,IF('BASE PAN - CAPEX'!$AQ31=2033,'BASE PAN - CAPEX'!$BB31,0)))</f>
        <v>0</v>
      </c>
      <c r="S31" s="1">
        <f>IF('BASE PAN - CAPEX'!$S31=2034,'BASE PAN - CAPEX'!$AD31,IF('BASE PAN - CAPEX'!$AE31=2034,'BASE PAN - CAPEX'!$AP31,IF('BASE PAN - CAPEX'!$AQ31=2034,'BASE PAN - CAPEX'!$BB31,0)))</f>
        <v>0</v>
      </c>
      <c r="T31" s="1">
        <f>IF('BASE PAN - CAPEX'!$S31=2035,'BASE PAN - CAPEX'!$AD31,IF('BASE PAN - CAPEX'!$AE31=2035,'BASE PAN - CAPEX'!$AP31,IF('BASE PAN - CAPEX'!$AQ31=2035,'BASE PAN - CAPEX'!$BB31,0)))</f>
        <v>0</v>
      </c>
      <c r="U31" s="1">
        <f>IF('BASE PAN - CAPEX'!$S31=2036,'BASE PAN - CAPEX'!$AD31,IF('BASE PAN - CAPEX'!$AE31=2036,'BASE PAN - CAPEX'!$AP31,IF('BASE PAN - CAPEX'!$AQ31=2036,'BASE PAN - CAPEX'!$BB31,0)))</f>
        <v>0</v>
      </c>
      <c r="V31" s="1">
        <f>IF('BASE PAN - CAPEX'!$S31=2037,'BASE PAN - CAPEX'!$AD31,IF('BASE PAN - CAPEX'!$AE31=2037,'BASE PAN - CAPEX'!$AP31,IF('BASE PAN - CAPEX'!$AQ31=2037,'BASE PAN - CAPEX'!$BB31,0)))+VLOOKUP(C31,'BASE PAN - CAPEX - 1º ANO'!$C$3:$BG$35,57,FALSE)</f>
        <v>0</v>
      </c>
      <c r="W31" s="1">
        <f>IF('BASE PAN - CAPEX'!$S31=2038,'BASE PAN - CAPEX'!$AD31,IF('BASE PAN - CAPEX'!$AE31=2038,'BASE PAN - CAPEX'!$AP31,IF('BASE PAN - CAPEX'!$AQ31=2038,'BASE PAN - CAPEX'!$BB31,0)))</f>
        <v>0</v>
      </c>
      <c r="X31" s="1">
        <f>IF('BASE PAN - CAPEX'!$S31=2039,'BASE PAN - CAPEX'!$AD31,IF('BASE PAN - CAPEX'!$AE31=2039,'BASE PAN - CAPEX'!$AP31,IF('BASE PAN - CAPEX'!$AQ31=2039,'BASE PAN - CAPEX'!$BB31,0)))</f>
        <v>0</v>
      </c>
      <c r="Y31" s="1">
        <f>IF('BASE PAN - CAPEX'!$S31=2040,'BASE PAN - CAPEX'!$AD31,IF('BASE PAN - CAPEX'!$AE31=2040,'BASE PAN - CAPEX'!$AP31,IF('BASE PAN - CAPEX'!$AQ31=2040,'BASE PAN - CAPEX'!$BB31,0)))</f>
        <v>0</v>
      </c>
      <c r="Z31" s="1">
        <f>IF('BASE PAN - CAPEX'!$S31=2041,'BASE PAN - CAPEX'!$AD31,IF('BASE PAN - CAPEX'!$AE31=2041,'BASE PAN - CAPEX'!$AP31,IF('BASE PAN - CAPEX'!$AQ31=2041,'BASE PAN - CAPEX'!$BB31,0)))</f>
        <v>0</v>
      </c>
      <c r="AA31" s="1">
        <f>IF('BASE PAN - CAPEX'!$S31=2042,'BASE PAN - CAPEX'!$AD31,IF('BASE PAN - CAPEX'!$AE31=2042,'BASE PAN - CAPEX'!$AP31,IF('BASE PAN - CAPEX'!$AQ31=2042,'BASE PAN - CAPEX'!$BB31,0)))</f>
        <v>0</v>
      </c>
      <c r="AB31" s="1">
        <f>IF('BASE PAN - CAPEX'!$S31=2043,'BASE PAN - CAPEX'!$AD31,IF('BASE PAN - CAPEX'!$AE31=2043,'BASE PAN - CAPEX'!$AP31,IF('BASE PAN - CAPEX'!$AQ31=2043,'BASE PAN - CAPEX'!$BB31,0)))</f>
        <v>0</v>
      </c>
      <c r="AC31" s="1">
        <f>IF('BASE PAN - CAPEX'!$S31=2044,'BASE PAN - CAPEX'!$AD31,IF('BASE PAN - CAPEX'!$AE31=2044,'BASE PAN - CAPEX'!$AP31,IF('BASE PAN - CAPEX'!$AQ31=2044,'BASE PAN - CAPEX'!$BB31,0)))</f>
        <v>0</v>
      </c>
      <c r="AD31" s="1">
        <f>IF('BASE PAN - CAPEX'!$S31=2045,'BASE PAN - CAPEX'!$AD31,IF('BASE PAN - CAPEX'!$AE31=2045,'BASE PAN - CAPEX'!$AP31,IF('BASE PAN - CAPEX'!$AQ31=2045,'BASE PAN - CAPEX'!$BB31,0)))</f>
        <v>0</v>
      </c>
      <c r="AE31" s="1">
        <f>IF('BASE PAN - CAPEX'!$S31=2046,'BASE PAN - CAPEX'!$AD31,IF('BASE PAN - CAPEX'!$AE31=2046,'BASE PAN - CAPEX'!$AP31,IF('BASE PAN - CAPEX'!$AQ31=2046,'BASE PAN - CAPEX'!$BB31,0)))</f>
        <v>0</v>
      </c>
      <c r="AF31" s="1">
        <f>IF('BASE PAN - CAPEX'!$S31=2047,'BASE PAN - CAPEX'!$AD31,IF('BASE PAN - CAPEX'!$AE31=2047,'BASE PAN - CAPEX'!$AP31,IF('BASE PAN - CAPEX'!$AQ31=2047,'BASE PAN - CAPEX'!$BB31,0)))</f>
        <v>0</v>
      </c>
      <c r="AG31" s="1">
        <f>IF('BASE PAN - CAPEX'!$S31=2048,'BASE PAN - CAPEX'!$AD31,IF('BASE PAN - CAPEX'!$AE31=2048,'BASE PAN - CAPEX'!$AP31,IF('BASE PAN - CAPEX'!$AQ31=2048,'BASE PAN - CAPEX'!$BB31,0)))</f>
        <v>0</v>
      </c>
      <c r="AH31" s="1">
        <f>IF('BASE PAN - CAPEX'!$S31=2049,'BASE PAN - CAPEX'!$AD31,IF('BASE PAN - CAPEX'!$AE31=2049,'BASE PAN - CAPEX'!$AP31,IF('BASE PAN - CAPEX'!$AQ31=2049,'BASE PAN - CAPEX'!$BB31,0)))</f>
        <v>0</v>
      </c>
      <c r="AI31" s="1">
        <f>IF('BASE PAN - CAPEX'!$S31=2050,'BASE PAN - CAPEX'!$AD31,IF('BASE PAN - CAPEX'!$AE31=2050,'BASE PAN - CAPEX'!$AP31,IF('BASE PAN - CAPEX'!$AQ31=2050,'BASE PAN - CAPEX'!$BB31,0)))</f>
        <v>0</v>
      </c>
      <c r="AJ31" s="1">
        <f>IF('BASE PAN - CAPEX'!$S31=2051,'BASE PAN - CAPEX'!$AD31,IF('BASE PAN - CAPEX'!$AE31=2051,'BASE PAN - CAPEX'!$AP31,IF('BASE PAN - CAPEX'!$AQ31=2051,'BASE PAN - CAPEX'!$BB31,0)))</f>
        <v>0</v>
      </c>
      <c r="AK31" s="1">
        <f>IF('BASE PAN - CAPEX'!$S31=2052,'BASE PAN - CAPEX'!$AD31,IF('BASE PAN - CAPEX'!$AE31=2052,'BASE PAN - CAPEX'!$AP31,IF('BASE PAN - CAPEX'!$AQ31=2052,'BASE PAN - CAPEX'!$BB31,0)))</f>
        <v>0</v>
      </c>
      <c r="AL31" s="1">
        <f>IF('BASE PAN - CAPEX'!$S31=2053,'BASE PAN - CAPEX'!$AD31,IF('BASE PAN - CAPEX'!$AE31=2053,'BASE PAN - CAPEX'!$AP31,IF('BASE PAN - CAPEX'!$AQ31=2053,'BASE PAN - CAPEX'!$BB31,0)))</f>
        <v>0</v>
      </c>
      <c r="AM31" s="1">
        <f t="shared" si="0"/>
        <v>9685000</v>
      </c>
      <c r="AN31" s="3" t="s">
        <v>171</v>
      </c>
      <c r="AO31" s="3">
        <v>1</v>
      </c>
      <c r="AP31" s="3" t="s">
        <v>171</v>
      </c>
      <c r="AQ31" s="3" t="s">
        <v>171</v>
      </c>
      <c r="AR31" s="3">
        <v>2029</v>
      </c>
      <c r="AS31" s="3" t="s">
        <v>171</v>
      </c>
      <c r="AT31" s="3" t="s">
        <v>171</v>
      </c>
      <c r="AU31" s="3">
        <v>2</v>
      </c>
      <c r="AV31" t="str">
        <f>VLOOKUP(C31,'FLUXO DE CAIXA DESC.-BLOCOS PAN'!$D$3:$AO$52,38,FALSE)</f>
        <v>Bloco Nordeste</v>
      </c>
    </row>
    <row r="32" spans="1:48" x14ac:dyDescent="0.35">
      <c r="A32" t="s">
        <v>145</v>
      </c>
      <c r="B32" t="s">
        <v>146</v>
      </c>
      <c r="C32" t="s">
        <v>147</v>
      </c>
      <c r="D32" t="s">
        <v>146</v>
      </c>
      <c r="E32" t="s">
        <v>35</v>
      </c>
      <c r="F32" t="s">
        <v>33</v>
      </c>
      <c r="G32" t="s">
        <v>34</v>
      </c>
      <c r="H32" s="1">
        <f>VLOOKUP(C32,'BASE PAN - CAPEX'!$C$3:$R$37,16,FALSE)+'BASE PAN - CAPEX'!BC32</f>
        <v>32105000</v>
      </c>
      <c r="I32" s="1">
        <f>IF('BASE PAN - CAPEX'!$S32=2024,'BASE PAN - CAPEX'!$AD32,IF('BASE PAN - CAPEX'!$AE32=2024,'BASE PAN - CAPEX'!$AP32,IF('BASE PAN - CAPEX'!$AQ32=2024,'BASE PAN - CAPEX'!$BB32,0)))</f>
        <v>0</v>
      </c>
      <c r="J32" s="1">
        <f>IF('BASE PAN - CAPEX'!$S32=2025,'BASE PAN - CAPEX'!$AD32,IF('BASE PAN - CAPEX'!$AE32=2025,'BASE PAN - CAPEX'!$AP32,IF('BASE PAN - CAPEX'!$AQ32=2025,'BASE PAN - CAPEX'!$BB32,0)))</f>
        <v>0</v>
      </c>
      <c r="K32" s="1">
        <f>IF('BASE PAN - CAPEX'!$S32=2026,'BASE PAN - CAPEX'!$AD32,IF('BASE PAN - CAPEX'!$AE32=2026,'BASE PAN - CAPEX'!$AP32,IF('BASE PAN - CAPEX'!$AQ32=2026,'BASE PAN - CAPEX'!$BB32,0)))</f>
        <v>0</v>
      </c>
      <c r="L32" s="1">
        <f>IF('BASE PAN - CAPEX'!$S32=2027,'BASE PAN - CAPEX'!$AD32,IF('BASE PAN - CAPEX'!$AE32=2027,'BASE PAN - CAPEX'!$AP32,IF('BASE PAN - CAPEX'!$AQ32=2027,'BASE PAN - CAPEX'!$BB32,0)))+VLOOKUP(C32,'BASE PAN - CAPEX - 1º ANO'!$C$3:$BE$35,55,FALSE)</f>
        <v>1005000</v>
      </c>
      <c r="M32" s="1">
        <f>IF('BASE PAN - CAPEX'!$S32=2028,'BASE PAN - CAPEX'!$AD32,IF('BASE PAN - CAPEX'!$AE32=2028,'BASE PAN - CAPEX'!$AP32,IF('BASE PAN - CAPEX'!$AQ32=2028,'BASE PAN - CAPEX'!$BB32,0)))</f>
        <v>0</v>
      </c>
      <c r="N32" s="1">
        <f>IF('BASE PAN - CAPEX'!$S32=2029,'BASE PAN - CAPEX'!$AD32,IF('BASE PAN - CAPEX'!$AE32=2029,'BASE PAN - CAPEX'!$AP32,IF('BASE PAN - CAPEX'!$AQ32=2029,'BASE PAN - CAPEX'!$BB32,0)))</f>
        <v>0</v>
      </c>
      <c r="O32" s="1">
        <f>IF('BASE PAN - CAPEX'!$S32=2030,'BASE PAN - CAPEX'!$AD32,IF('BASE PAN - CAPEX'!$AE32=2030,'BASE PAN - CAPEX'!$AP32,IF('BASE PAN - CAPEX'!$AQ32=2030,'BASE PAN - CAPEX'!$BB32,0)))</f>
        <v>0</v>
      </c>
      <c r="P32" s="1">
        <f>IF('BASE PAN - CAPEX'!$S32=2031,'BASE PAN - CAPEX'!$AD32,IF('BASE PAN - CAPEX'!$AE32=2031,'BASE PAN - CAPEX'!$AP32,IF('BASE PAN - CAPEX'!$AQ32=2031,'BASE PAN - CAPEX'!$BB32,0)))</f>
        <v>0</v>
      </c>
      <c r="Q32" s="1">
        <f>IF('BASE PAN - CAPEX'!$S32=2032,'BASE PAN - CAPEX'!$AD32,IF('BASE PAN - CAPEX'!$AE32=2032,'BASE PAN - CAPEX'!$AP32,IF('BASE PAN - CAPEX'!$AQ32=2032,'BASE PAN - CAPEX'!$BB32,0)))+VLOOKUP(C32,'BASE PAN - CAPEX - 1º ANO'!$C$3:$BF$35,56,FALSE)</f>
        <v>0</v>
      </c>
      <c r="R32" s="1">
        <f>IF('BASE PAN - CAPEX'!$S32=2033,'BASE PAN - CAPEX'!$AD32,IF('BASE PAN - CAPEX'!$AE32=2033,'BASE PAN - CAPEX'!$AP32,IF('BASE PAN - CAPEX'!$AQ32=2033,'BASE PAN - CAPEX'!$BB32,0)))</f>
        <v>0</v>
      </c>
      <c r="S32" s="1">
        <f>IF('BASE PAN - CAPEX'!$S32=2034,'BASE PAN - CAPEX'!$AD32,IF('BASE PAN - CAPEX'!$AE32=2034,'BASE PAN - CAPEX'!$AP32,IF('BASE PAN - CAPEX'!$AQ32=2034,'BASE PAN - CAPEX'!$BB32,0)))</f>
        <v>0</v>
      </c>
      <c r="T32" s="1">
        <f>IF('BASE PAN - CAPEX'!$S32=2035,'BASE PAN - CAPEX'!$AD32,IF('BASE PAN - CAPEX'!$AE32=2035,'BASE PAN - CAPEX'!$AP32,IF('BASE PAN - CAPEX'!$AQ32=2035,'BASE PAN - CAPEX'!$BB32,0)))</f>
        <v>0</v>
      </c>
      <c r="U32" s="1">
        <f>IF('BASE PAN - CAPEX'!$S32=2036,'BASE PAN - CAPEX'!$AD32,IF('BASE PAN - CAPEX'!$AE32=2036,'BASE PAN - CAPEX'!$AP32,IF('BASE PAN - CAPEX'!$AQ32=2036,'BASE PAN - CAPEX'!$BB32,0)))</f>
        <v>0</v>
      </c>
      <c r="V32" s="1">
        <f>IF('BASE PAN - CAPEX'!$S32=2037,'BASE PAN - CAPEX'!$AD32,IF('BASE PAN - CAPEX'!$AE32=2037,'BASE PAN - CAPEX'!$AP32,IF('BASE PAN - CAPEX'!$AQ32=2037,'BASE PAN - CAPEX'!$BB32,0)))+VLOOKUP(C32,'BASE PAN - CAPEX - 1º ANO'!$C$3:$BG$35,57,FALSE)</f>
        <v>0</v>
      </c>
      <c r="W32" s="1">
        <f>IF('BASE PAN - CAPEX'!$S32=2038,'BASE PAN - CAPEX'!$AD32,IF('BASE PAN - CAPEX'!$AE32=2038,'BASE PAN - CAPEX'!$AP32,IF('BASE PAN - CAPEX'!$AQ32=2038,'BASE PAN - CAPEX'!$BB32,0)))</f>
        <v>0</v>
      </c>
      <c r="X32" s="1">
        <f>IF('BASE PAN - CAPEX'!$S32=2039,'BASE PAN - CAPEX'!$AD32,IF('BASE PAN - CAPEX'!$AE32=2039,'BASE PAN - CAPEX'!$AP32,IF('BASE PAN - CAPEX'!$AQ32=2039,'BASE PAN - CAPEX'!$BB32,0)))</f>
        <v>0</v>
      </c>
      <c r="Y32" s="1">
        <f>IF('BASE PAN - CAPEX'!$S32=2040,'BASE PAN - CAPEX'!$AD32,IF('BASE PAN - CAPEX'!$AE32=2040,'BASE PAN - CAPEX'!$AP32,IF('BASE PAN - CAPEX'!$AQ32=2040,'BASE PAN - CAPEX'!$BB32,0)))</f>
        <v>0</v>
      </c>
      <c r="Z32" s="1">
        <f>IF('BASE PAN - CAPEX'!$S32=2041,'BASE PAN - CAPEX'!$AD32,IF('BASE PAN - CAPEX'!$AE32=2041,'BASE PAN - CAPEX'!$AP32,IF('BASE PAN - CAPEX'!$AQ32=2041,'BASE PAN - CAPEX'!$BB32,0)))</f>
        <v>0</v>
      </c>
      <c r="AA32" s="1">
        <f>IF('BASE PAN - CAPEX'!$S32=2042,'BASE PAN - CAPEX'!$AD32,IF('BASE PAN - CAPEX'!$AE32=2042,'BASE PAN - CAPEX'!$AP32,IF('BASE PAN - CAPEX'!$AQ32=2042,'BASE PAN - CAPEX'!$BB32,0)))</f>
        <v>0</v>
      </c>
      <c r="AB32" s="1">
        <f>IF('BASE PAN - CAPEX'!$S32=2043,'BASE PAN - CAPEX'!$AD32,IF('BASE PAN - CAPEX'!$AE32=2043,'BASE PAN - CAPEX'!$AP32,IF('BASE PAN - CAPEX'!$AQ32=2043,'BASE PAN - CAPEX'!$BB32,0)))</f>
        <v>0</v>
      </c>
      <c r="AC32" s="1">
        <f>IF('BASE PAN - CAPEX'!$S32=2044,'BASE PAN - CAPEX'!$AD32,IF('BASE PAN - CAPEX'!$AE32=2044,'BASE PAN - CAPEX'!$AP32,IF('BASE PAN - CAPEX'!$AQ32=2044,'BASE PAN - CAPEX'!$BB32,0)))</f>
        <v>0</v>
      </c>
      <c r="AD32" s="1">
        <f>IF('BASE PAN - CAPEX'!$S32=2045,'BASE PAN - CAPEX'!$AD32,IF('BASE PAN - CAPEX'!$AE32=2045,'BASE PAN - CAPEX'!$AP32,IF('BASE PAN - CAPEX'!$AQ32=2045,'BASE PAN - CAPEX'!$BB32,0)))</f>
        <v>0</v>
      </c>
      <c r="AE32" s="1">
        <f>IF('BASE PAN - CAPEX'!$S32=2046,'BASE PAN - CAPEX'!$AD32,IF('BASE PAN - CAPEX'!$AE32=2046,'BASE PAN - CAPEX'!$AP32,IF('BASE PAN - CAPEX'!$AQ32=2046,'BASE PAN - CAPEX'!$BB32,0)))</f>
        <v>0</v>
      </c>
      <c r="AF32" s="1">
        <f>IF('BASE PAN - CAPEX'!$S32=2047,'BASE PAN - CAPEX'!$AD32,IF('BASE PAN - CAPEX'!$AE32=2047,'BASE PAN - CAPEX'!$AP32,IF('BASE PAN - CAPEX'!$AQ32=2047,'BASE PAN - CAPEX'!$BB32,0)))</f>
        <v>0</v>
      </c>
      <c r="AG32" s="1">
        <f>IF('BASE PAN - CAPEX'!$S32=2048,'BASE PAN - CAPEX'!$AD32,IF('BASE PAN - CAPEX'!$AE32=2048,'BASE PAN - CAPEX'!$AP32,IF('BASE PAN - CAPEX'!$AQ32=2048,'BASE PAN - CAPEX'!$BB32,0)))</f>
        <v>0</v>
      </c>
      <c r="AH32" s="1">
        <f>IF('BASE PAN - CAPEX'!$S32=2049,'BASE PAN - CAPEX'!$AD32,IF('BASE PAN - CAPEX'!$AE32=2049,'BASE PAN - CAPEX'!$AP32,IF('BASE PAN - CAPEX'!$AQ32=2049,'BASE PAN - CAPEX'!$BB32,0)))</f>
        <v>0</v>
      </c>
      <c r="AI32" s="1">
        <f>IF('BASE PAN - CAPEX'!$S32=2050,'BASE PAN - CAPEX'!$AD32,IF('BASE PAN - CAPEX'!$AE32=2050,'BASE PAN - CAPEX'!$AP32,IF('BASE PAN - CAPEX'!$AQ32=2050,'BASE PAN - CAPEX'!$BB32,0)))</f>
        <v>0</v>
      </c>
      <c r="AJ32" s="1">
        <f>IF('BASE PAN - CAPEX'!$S32=2051,'BASE PAN - CAPEX'!$AD32,IF('BASE PAN - CAPEX'!$AE32=2051,'BASE PAN - CAPEX'!$AP32,IF('BASE PAN - CAPEX'!$AQ32=2051,'BASE PAN - CAPEX'!$BB32,0)))</f>
        <v>0</v>
      </c>
      <c r="AK32" s="1">
        <f>IF('BASE PAN - CAPEX'!$S32=2052,'BASE PAN - CAPEX'!$AD32,IF('BASE PAN - CAPEX'!$AE32=2052,'BASE PAN - CAPEX'!$AP32,IF('BASE PAN - CAPEX'!$AQ32=2052,'BASE PAN - CAPEX'!$BB32,0)))</f>
        <v>0</v>
      </c>
      <c r="AL32" s="1">
        <f>IF('BASE PAN - CAPEX'!$S32=2053,'BASE PAN - CAPEX'!$AD32,IF('BASE PAN - CAPEX'!$AE32=2053,'BASE PAN - CAPEX'!$AP32,IF('BASE PAN - CAPEX'!$AQ32=2053,'BASE PAN - CAPEX'!$BB32,0)))</f>
        <v>0</v>
      </c>
      <c r="AM32" s="1">
        <f t="shared" si="0"/>
        <v>33110000</v>
      </c>
      <c r="AN32" s="3" t="s">
        <v>171</v>
      </c>
      <c r="AO32" s="3">
        <v>1</v>
      </c>
      <c r="AP32" s="3" t="s">
        <v>171</v>
      </c>
      <c r="AQ32" s="3" t="s">
        <v>171</v>
      </c>
      <c r="AR32" s="3" t="s">
        <v>171</v>
      </c>
      <c r="AS32" s="3" t="s">
        <v>171</v>
      </c>
      <c r="AT32" s="3" t="s">
        <v>171</v>
      </c>
      <c r="AU32" s="3" t="s">
        <v>171</v>
      </c>
      <c r="AV32" t="str">
        <f>VLOOKUP(C32,'FLUXO DE CAIXA DESC.-BLOCOS PAN'!$D$3:$AO$52,38,FALSE)</f>
        <v>AC + AM - 1 - AL</v>
      </c>
    </row>
    <row r="33" spans="1:48" x14ac:dyDescent="0.35">
      <c r="A33" t="s">
        <v>148</v>
      </c>
      <c r="B33" t="s">
        <v>149</v>
      </c>
      <c r="C33" t="s">
        <v>150</v>
      </c>
      <c r="D33" t="s">
        <v>149</v>
      </c>
      <c r="E33" t="s">
        <v>35</v>
      </c>
      <c r="F33" t="s">
        <v>33</v>
      </c>
      <c r="G33" t="s">
        <v>34</v>
      </c>
      <c r="H33" s="1">
        <f>VLOOKUP(C33,'BASE PAN - CAPEX'!$C$3:$R$37,16,FALSE)+'BASE PAN - CAPEX'!BC33</f>
        <v>7355000</v>
      </c>
      <c r="I33" s="1">
        <f>IF('BASE PAN - CAPEX'!$S33=2024,'BASE PAN - CAPEX'!$AD33,IF('BASE PAN - CAPEX'!$AE33=2024,'BASE PAN - CAPEX'!$AP33,IF('BASE PAN - CAPEX'!$AQ33=2024,'BASE PAN - CAPEX'!$BB33,0)))</f>
        <v>0</v>
      </c>
      <c r="J33" s="1">
        <f>IF('BASE PAN - CAPEX'!$S33=2025,'BASE PAN - CAPEX'!$AD33,IF('BASE PAN - CAPEX'!$AE33=2025,'BASE PAN - CAPEX'!$AP33,IF('BASE PAN - CAPEX'!$AQ33=2025,'BASE PAN - CAPEX'!$BB33,0)))</f>
        <v>0</v>
      </c>
      <c r="K33" s="1">
        <f>IF('BASE PAN - CAPEX'!$S33=2026,'BASE PAN - CAPEX'!$AD33,IF('BASE PAN - CAPEX'!$AE33=2026,'BASE PAN - CAPEX'!$AP33,IF('BASE PAN - CAPEX'!$AQ33=2026,'BASE PAN - CAPEX'!$BB33,0)))</f>
        <v>0</v>
      </c>
      <c r="L33" s="1">
        <f>IF('BASE PAN - CAPEX'!$S33=2027,'BASE PAN - CAPEX'!$AD33,IF('BASE PAN - CAPEX'!$AE33=2027,'BASE PAN - CAPEX'!$AP33,IF('BASE PAN - CAPEX'!$AQ33=2027,'BASE PAN - CAPEX'!$BB33,0)))+VLOOKUP(C33,'BASE PAN - CAPEX - 1º ANO'!$C$3:$BE$35,55,FALSE)</f>
        <v>1005000</v>
      </c>
      <c r="M33" s="1">
        <f>IF('BASE PAN - CAPEX'!$S33=2028,'BASE PAN - CAPEX'!$AD33,IF('BASE PAN - CAPEX'!$AE33=2028,'BASE PAN - CAPEX'!$AP33,IF('BASE PAN - CAPEX'!$AQ33=2028,'BASE PAN - CAPEX'!$BB33,0)))</f>
        <v>0</v>
      </c>
      <c r="N33" s="1">
        <f>IF('BASE PAN - CAPEX'!$S33=2029,'BASE PAN - CAPEX'!$AD33,IF('BASE PAN - CAPEX'!$AE33=2029,'BASE PAN - CAPEX'!$AP33,IF('BASE PAN - CAPEX'!$AQ33=2029,'BASE PAN - CAPEX'!$BB33,0)))</f>
        <v>0</v>
      </c>
      <c r="O33" s="1">
        <f>IF('BASE PAN - CAPEX'!$S33=2030,'BASE PAN - CAPEX'!$AD33,IF('BASE PAN - CAPEX'!$AE33=2030,'BASE PAN - CAPEX'!$AP33,IF('BASE PAN - CAPEX'!$AQ33=2030,'BASE PAN - CAPEX'!$BB33,0)))</f>
        <v>0</v>
      </c>
      <c r="P33" s="1">
        <f>IF('BASE PAN - CAPEX'!$S33=2031,'BASE PAN - CAPEX'!$AD33,IF('BASE PAN - CAPEX'!$AE33=2031,'BASE PAN - CAPEX'!$AP33,IF('BASE PAN - CAPEX'!$AQ33=2031,'BASE PAN - CAPEX'!$BB33,0)))</f>
        <v>0</v>
      </c>
      <c r="Q33" s="1">
        <f>IF('BASE PAN - CAPEX'!$S33=2032,'BASE PAN - CAPEX'!$AD33,IF('BASE PAN - CAPEX'!$AE33=2032,'BASE PAN - CAPEX'!$AP33,IF('BASE PAN - CAPEX'!$AQ33=2032,'BASE PAN - CAPEX'!$BB33,0)))+VLOOKUP(C33,'BASE PAN - CAPEX - 1º ANO'!$C$3:$BF$35,56,FALSE)</f>
        <v>0</v>
      </c>
      <c r="R33" s="1">
        <f>IF('BASE PAN - CAPEX'!$S33=2033,'BASE PAN - CAPEX'!$AD33,IF('BASE PAN - CAPEX'!$AE33=2033,'BASE PAN - CAPEX'!$AP33,IF('BASE PAN - CAPEX'!$AQ33=2033,'BASE PAN - CAPEX'!$BB33,0)))</f>
        <v>0</v>
      </c>
      <c r="S33" s="1">
        <f>IF('BASE PAN - CAPEX'!$S33=2034,'BASE PAN - CAPEX'!$AD33,IF('BASE PAN - CAPEX'!$AE33=2034,'BASE PAN - CAPEX'!$AP33,IF('BASE PAN - CAPEX'!$AQ33=2034,'BASE PAN - CAPEX'!$BB33,0)))</f>
        <v>0</v>
      </c>
      <c r="T33" s="1">
        <f>IF('BASE PAN - CAPEX'!$S33=2035,'BASE PAN - CAPEX'!$AD33,IF('BASE PAN - CAPEX'!$AE33=2035,'BASE PAN - CAPEX'!$AP33,IF('BASE PAN - CAPEX'!$AQ33=2035,'BASE PAN - CAPEX'!$BB33,0)))</f>
        <v>0</v>
      </c>
      <c r="U33" s="1">
        <f>IF('BASE PAN - CAPEX'!$S33=2036,'BASE PAN - CAPEX'!$AD33,IF('BASE PAN - CAPEX'!$AE33=2036,'BASE PAN - CAPEX'!$AP33,IF('BASE PAN - CAPEX'!$AQ33=2036,'BASE PAN - CAPEX'!$BB33,0)))</f>
        <v>0</v>
      </c>
      <c r="V33" s="1">
        <f>IF('BASE PAN - CAPEX'!$S33=2037,'BASE PAN - CAPEX'!$AD33,IF('BASE PAN - CAPEX'!$AE33=2037,'BASE PAN - CAPEX'!$AP33,IF('BASE PAN - CAPEX'!$AQ33=2037,'BASE PAN - CAPEX'!$BB33,0)))+VLOOKUP(C33,'BASE PAN - CAPEX - 1º ANO'!$C$3:$BG$35,57,FALSE)</f>
        <v>0</v>
      </c>
      <c r="W33" s="1">
        <f>IF('BASE PAN - CAPEX'!$S33=2038,'BASE PAN - CAPEX'!$AD33,IF('BASE PAN - CAPEX'!$AE33=2038,'BASE PAN - CAPEX'!$AP33,IF('BASE PAN - CAPEX'!$AQ33=2038,'BASE PAN - CAPEX'!$BB33,0)))</f>
        <v>0</v>
      </c>
      <c r="X33" s="1">
        <f>IF('BASE PAN - CAPEX'!$S33=2039,'BASE PAN - CAPEX'!$AD33,IF('BASE PAN - CAPEX'!$AE33=2039,'BASE PAN - CAPEX'!$AP33,IF('BASE PAN - CAPEX'!$AQ33=2039,'BASE PAN - CAPEX'!$BB33,0)))</f>
        <v>0</v>
      </c>
      <c r="Y33" s="1">
        <f>IF('BASE PAN - CAPEX'!$S33=2040,'BASE PAN - CAPEX'!$AD33,IF('BASE PAN - CAPEX'!$AE33=2040,'BASE PAN - CAPEX'!$AP33,IF('BASE PAN - CAPEX'!$AQ33=2040,'BASE PAN - CAPEX'!$BB33,0)))</f>
        <v>0</v>
      </c>
      <c r="Z33" s="1">
        <f>IF('BASE PAN - CAPEX'!$S33=2041,'BASE PAN - CAPEX'!$AD33,IF('BASE PAN - CAPEX'!$AE33=2041,'BASE PAN - CAPEX'!$AP33,IF('BASE PAN - CAPEX'!$AQ33=2041,'BASE PAN - CAPEX'!$BB33,0)))</f>
        <v>0</v>
      </c>
      <c r="AA33" s="1">
        <f>IF('BASE PAN - CAPEX'!$S33=2042,'BASE PAN - CAPEX'!$AD33,IF('BASE PAN - CAPEX'!$AE33=2042,'BASE PAN - CAPEX'!$AP33,IF('BASE PAN - CAPEX'!$AQ33=2042,'BASE PAN - CAPEX'!$BB33,0)))</f>
        <v>0</v>
      </c>
      <c r="AB33" s="1">
        <f>IF('BASE PAN - CAPEX'!$S33=2043,'BASE PAN - CAPEX'!$AD33,IF('BASE PAN - CAPEX'!$AE33=2043,'BASE PAN - CAPEX'!$AP33,IF('BASE PAN - CAPEX'!$AQ33=2043,'BASE PAN - CAPEX'!$BB33,0)))</f>
        <v>0</v>
      </c>
      <c r="AC33" s="1">
        <f>IF('BASE PAN - CAPEX'!$S33=2044,'BASE PAN - CAPEX'!$AD33,IF('BASE PAN - CAPEX'!$AE33=2044,'BASE PAN - CAPEX'!$AP33,IF('BASE PAN - CAPEX'!$AQ33=2044,'BASE PAN - CAPEX'!$BB33,0)))</f>
        <v>0</v>
      </c>
      <c r="AD33" s="1">
        <f>IF('BASE PAN - CAPEX'!$S33=2045,'BASE PAN - CAPEX'!$AD33,IF('BASE PAN - CAPEX'!$AE33=2045,'BASE PAN - CAPEX'!$AP33,IF('BASE PAN - CAPEX'!$AQ33=2045,'BASE PAN - CAPEX'!$BB33,0)))</f>
        <v>0</v>
      </c>
      <c r="AE33" s="1">
        <f>IF('BASE PAN - CAPEX'!$S33=2046,'BASE PAN - CAPEX'!$AD33,IF('BASE PAN - CAPEX'!$AE33=2046,'BASE PAN - CAPEX'!$AP33,IF('BASE PAN - CAPEX'!$AQ33=2046,'BASE PAN - CAPEX'!$BB33,0)))</f>
        <v>0</v>
      </c>
      <c r="AF33" s="1">
        <f>IF('BASE PAN - CAPEX'!$S33=2047,'BASE PAN - CAPEX'!$AD33,IF('BASE PAN - CAPEX'!$AE33=2047,'BASE PAN - CAPEX'!$AP33,IF('BASE PAN - CAPEX'!$AQ33=2047,'BASE PAN - CAPEX'!$BB33,0)))</f>
        <v>0</v>
      </c>
      <c r="AG33" s="1">
        <f>IF('BASE PAN - CAPEX'!$S33=2048,'BASE PAN - CAPEX'!$AD33,IF('BASE PAN - CAPEX'!$AE33=2048,'BASE PAN - CAPEX'!$AP33,IF('BASE PAN - CAPEX'!$AQ33=2048,'BASE PAN - CAPEX'!$BB33,0)))</f>
        <v>0</v>
      </c>
      <c r="AH33" s="1">
        <f>IF('BASE PAN - CAPEX'!$S33=2049,'BASE PAN - CAPEX'!$AD33,IF('BASE PAN - CAPEX'!$AE33=2049,'BASE PAN - CAPEX'!$AP33,IF('BASE PAN - CAPEX'!$AQ33=2049,'BASE PAN - CAPEX'!$BB33,0)))</f>
        <v>0</v>
      </c>
      <c r="AI33" s="1">
        <f>IF('BASE PAN - CAPEX'!$S33=2050,'BASE PAN - CAPEX'!$AD33,IF('BASE PAN - CAPEX'!$AE33=2050,'BASE PAN - CAPEX'!$AP33,IF('BASE PAN - CAPEX'!$AQ33=2050,'BASE PAN - CAPEX'!$BB33,0)))</f>
        <v>0</v>
      </c>
      <c r="AJ33" s="1">
        <f>IF('BASE PAN - CAPEX'!$S33=2051,'BASE PAN - CAPEX'!$AD33,IF('BASE PAN - CAPEX'!$AE33=2051,'BASE PAN - CAPEX'!$AP33,IF('BASE PAN - CAPEX'!$AQ33=2051,'BASE PAN - CAPEX'!$BB33,0)))</f>
        <v>0</v>
      </c>
      <c r="AK33" s="1">
        <f>IF('BASE PAN - CAPEX'!$S33=2052,'BASE PAN - CAPEX'!$AD33,IF('BASE PAN - CAPEX'!$AE33=2052,'BASE PAN - CAPEX'!$AP33,IF('BASE PAN - CAPEX'!$AQ33=2052,'BASE PAN - CAPEX'!$BB33,0)))</f>
        <v>0</v>
      </c>
      <c r="AL33" s="1">
        <f>IF('BASE PAN - CAPEX'!$S33=2053,'BASE PAN - CAPEX'!$AD33,IF('BASE PAN - CAPEX'!$AE33=2053,'BASE PAN - CAPEX'!$AP33,IF('BASE PAN - CAPEX'!$AQ33=2053,'BASE PAN - CAPEX'!$BB33,0)))</f>
        <v>0</v>
      </c>
      <c r="AM33" s="1">
        <f t="shared" si="0"/>
        <v>8360000</v>
      </c>
      <c r="AN33" s="3" t="s">
        <v>171</v>
      </c>
      <c r="AO33" s="3">
        <v>0</v>
      </c>
      <c r="AP33" s="3" t="s">
        <v>171</v>
      </c>
      <c r="AQ33" s="3" t="s">
        <v>171</v>
      </c>
      <c r="AR33" s="3" t="s">
        <v>171</v>
      </c>
      <c r="AS33" s="3" t="s">
        <v>171</v>
      </c>
      <c r="AT33" s="3" t="s">
        <v>171</v>
      </c>
      <c r="AU33" s="3" t="s">
        <v>171</v>
      </c>
      <c r="AV33" t="str">
        <f>VLOOKUP(C33,'FLUXO DE CAIXA DESC.-BLOCOS PAN'!$D$3:$AO$52,38,FALSE)</f>
        <v>AM - 3 - AL</v>
      </c>
    </row>
    <row r="34" spans="1:48" x14ac:dyDescent="0.35">
      <c r="A34" t="s">
        <v>152</v>
      </c>
      <c r="B34" t="s">
        <v>153</v>
      </c>
      <c r="C34" t="s">
        <v>154</v>
      </c>
      <c r="D34" t="s">
        <v>153</v>
      </c>
      <c r="E34" t="s">
        <v>35</v>
      </c>
      <c r="F34" t="s">
        <v>33</v>
      </c>
      <c r="G34" t="s">
        <v>34</v>
      </c>
      <c r="H34" s="1">
        <f>VLOOKUP(C34,'BASE PAN - CAPEX'!$C$3:$R$37,16,FALSE)+'BASE PAN - CAPEX'!BC34</f>
        <v>67135000</v>
      </c>
      <c r="I34" s="1">
        <f>IF('BASE PAN - CAPEX'!$S34=2024,'BASE PAN - CAPEX'!$AD34,IF('BASE PAN - CAPEX'!$AE34=2024,'BASE PAN - CAPEX'!$AP34,IF('BASE PAN - CAPEX'!$AQ34=2024,'BASE PAN - CAPEX'!$BB34,0)))</f>
        <v>0</v>
      </c>
      <c r="J34" s="1">
        <f>IF('BASE PAN - CAPEX'!$S34=2025,'BASE PAN - CAPEX'!$AD34,IF('BASE PAN - CAPEX'!$AE34=2025,'BASE PAN - CAPEX'!$AP34,IF('BASE PAN - CAPEX'!$AQ34=2025,'BASE PAN - CAPEX'!$BB34,0)))</f>
        <v>0</v>
      </c>
      <c r="K34" s="1">
        <f>IF('BASE PAN - CAPEX'!$S34=2026,'BASE PAN - CAPEX'!$AD34,IF('BASE PAN - CAPEX'!$AE34=2026,'BASE PAN - CAPEX'!$AP34,IF('BASE PAN - CAPEX'!$AQ34=2026,'BASE PAN - CAPEX'!$BB34,0)))</f>
        <v>0</v>
      </c>
      <c r="L34" s="1">
        <f>IF('BASE PAN - CAPEX'!$S34=2027,'BASE PAN - CAPEX'!$AD34,IF('BASE PAN - CAPEX'!$AE34=2027,'BASE PAN - CAPEX'!$AP34,IF('BASE PAN - CAPEX'!$AQ34=2027,'BASE PAN - CAPEX'!$BB34,0)))+VLOOKUP(C34,'BASE PAN - CAPEX - 1º ANO'!$C$3:$BE$35,55,FALSE)</f>
        <v>290000</v>
      </c>
      <c r="M34" s="1">
        <f>IF('BASE PAN - CAPEX'!$S34=2028,'BASE PAN - CAPEX'!$AD34,IF('BASE PAN - CAPEX'!$AE34=2028,'BASE PAN - CAPEX'!$AP34,IF('BASE PAN - CAPEX'!$AQ34=2028,'BASE PAN - CAPEX'!$BB34,0)))</f>
        <v>0</v>
      </c>
      <c r="N34" s="1">
        <f>IF('BASE PAN - CAPEX'!$S34=2029,'BASE PAN - CAPEX'!$AD34,IF('BASE PAN - CAPEX'!$AE34=2029,'BASE PAN - CAPEX'!$AP34,IF('BASE PAN - CAPEX'!$AQ34=2029,'BASE PAN - CAPEX'!$BB34,0)))</f>
        <v>0</v>
      </c>
      <c r="O34" s="1">
        <f>IF('BASE PAN - CAPEX'!$S34=2030,'BASE PAN - CAPEX'!$AD34,IF('BASE PAN - CAPEX'!$AE34=2030,'BASE PAN - CAPEX'!$AP34,IF('BASE PAN - CAPEX'!$AQ34=2030,'BASE PAN - CAPEX'!$BB34,0)))</f>
        <v>0</v>
      </c>
      <c r="P34" s="1">
        <f>IF('BASE PAN - CAPEX'!$S34=2031,'BASE PAN - CAPEX'!$AD34,IF('BASE PAN - CAPEX'!$AE34=2031,'BASE PAN - CAPEX'!$AP34,IF('BASE PAN - CAPEX'!$AQ34=2031,'BASE PAN - CAPEX'!$BB34,0)))</f>
        <v>0</v>
      </c>
      <c r="Q34" s="1">
        <f>IF('BASE PAN - CAPEX'!$S34=2032,'BASE PAN - CAPEX'!$AD34,IF('BASE PAN - CAPEX'!$AE34=2032,'BASE PAN - CAPEX'!$AP34,IF('BASE PAN - CAPEX'!$AQ34=2032,'BASE PAN - CAPEX'!$BB34,0)))+VLOOKUP(C34,'BASE PAN - CAPEX - 1º ANO'!$C$3:$BF$35,56,FALSE)</f>
        <v>0</v>
      </c>
      <c r="R34" s="1">
        <f>IF('BASE PAN - CAPEX'!$S34=2033,'BASE PAN - CAPEX'!$AD34,IF('BASE PAN - CAPEX'!$AE34=2033,'BASE PAN - CAPEX'!$AP34,IF('BASE PAN - CAPEX'!$AQ34=2033,'BASE PAN - CAPEX'!$BB34,0)))</f>
        <v>0</v>
      </c>
      <c r="S34" s="1">
        <f>IF('BASE PAN - CAPEX'!$S34=2034,'BASE PAN - CAPEX'!$AD34,IF('BASE PAN - CAPEX'!$AE34=2034,'BASE PAN - CAPEX'!$AP34,IF('BASE PAN - CAPEX'!$AQ34=2034,'BASE PAN - CAPEX'!$BB34,0)))</f>
        <v>0</v>
      </c>
      <c r="T34" s="1">
        <f>IF('BASE PAN - CAPEX'!$S34=2035,'BASE PAN - CAPEX'!$AD34,IF('BASE PAN - CAPEX'!$AE34=2035,'BASE PAN - CAPEX'!$AP34,IF('BASE PAN - CAPEX'!$AQ34=2035,'BASE PAN - CAPEX'!$BB34,0)))</f>
        <v>0</v>
      </c>
      <c r="U34" s="1">
        <f>IF('BASE PAN - CAPEX'!$S34=2036,'BASE PAN - CAPEX'!$AD34,IF('BASE PAN - CAPEX'!$AE34=2036,'BASE PAN - CAPEX'!$AP34,IF('BASE PAN - CAPEX'!$AQ34=2036,'BASE PAN - CAPEX'!$BB34,0)))</f>
        <v>0</v>
      </c>
      <c r="V34" s="1">
        <f>IF('BASE PAN - CAPEX'!$S34=2037,'BASE PAN - CAPEX'!$AD34,IF('BASE PAN - CAPEX'!$AE34=2037,'BASE PAN - CAPEX'!$AP34,IF('BASE PAN - CAPEX'!$AQ34=2037,'BASE PAN - CAPEX'!$BB34,0)))+VLOOKUP(C34,'BASE PAN - CAPEX - 1º ANO'!$C$3:$BG$35,57,FALSE)</f>
        <v>0</v>
      </c>
      <c r="W34" s="1">
        <f>IF('BASE PAN - CAPEX'!$S34=2038,'BASE PAN - CAPEX'!$AD34,IF('BASE PAN - CAPEX'!$AE34=2038,'BASE PAN - CAPEX'!$AP34,IF('BASE PAN - CAPEX'!$AQ34=2038,'BASE PAN - CAPEX'!$BB34,0)))</f>
        <v>0</v>
      </c>
      <c r="X34" s="1">
        <f>IF('BASE PAN - CAPEX'!$S34=2039,'BASE PAN - CAPEX'!$AD34,IF('BASE PAN - CAPEX'!$AE34=2039,'BASE PAN - CAPEX'!$AP34,IF('BASE PAN - CAPEX'!$AQ34=2039,'BASE PAN - CAPEX'!$BB34,0)))</f>
        <v>0</v>
      </c>
      <c r="Y34" s="1">
        <f>IF('BASE PAN - CAPEX'!$S34=2040,'BASE PAN - CAPEX'!$AD34,IF('BASE PAN - CAPEX'!$AE34=2040,'BASE PAN - CAPEX'!$AP34,IF('BASE PAN - CAPEX'!$AQ34=2040,'BASE PAN - CAPEX'!$BB34,0)))</f>
        <v>0</v>
      </c>
      <c r="Z34" s="1">
        <f>IF('BASE PAN - CAPEX'!$S34=2041,'BASE PAN - CAPEX'!$AD34,IF('BASE PAN - CAPEX'!$AE34=2041,'BASE PAN - CAPEX'!$AP34,IF('BASE PAN - CAPEX'!$AQ34=2041,'BASE PAN - CAPEX'!$BB34,0)))</f>
        <v>0</v>
      </c>
      <c r="AA34" s="1">
        <f>IF('BASE PAN - CAPEX'!$S34=2042,'BASE PAN - CAPEX'!$AD34,IF('BASE PAN - CAPEX'!$AE34=2042,'BASE PAN - CAPEX'!$AP34,IF('BASE PAN - CAPEX'!$AQ34=2042,'BASE PAN - CAPEX'!$BB34,0)))</f>
        <v>0</v>
      </c>
      <c r="AB34" s="1">
        <f>IF('BASE PAN - CAPEX'!$S34=2043,'BASE PAN - CAPEX'!$AD34,IF('BASE PAN - CAPEX'!$AE34=2043,'BASE PAN - CAPEX'!$AP34,IF('BASE PAN - CAPEX'!$AQ34=2043,'BASE PAN - CAPEX'!$BB34,0)))</f>
        <v>0</v>
      </c>
      <c r="AC34" s="1">
        <f>IF('BASE PAN - CAPEX'!$S34=2044,'BASE PAN - CAPEX'!$AD34,IF('BASE PAN - CAPEX'!$AE34=2044,'BASE PAN - CAPEX'!$AP34,IF('BASE PAN - CAPEX'!$AQ34=2044,'BASE PAN - CAPEX'!$BB34,0)))</f>
        <v>0</v>
      </c>
      <c r="AD34" s="1">
        <f>IF('BASE PAN - CAPEX'!$S34=2045,'BASE PAN - CAPEX'!$AD34,IF('BASE PAN - CAPEX'!$AE34=2045,'BASE PAN - CAPEX'!$AP34,IF('BASE PAN - CAPEX'!$AQ34=2045,'BASE PAN - CAPEX'!$BB34,0)))</f>
        <v>0</v>
      </c>
      <c r="AE34" s="1">
        <f>IF('BASE PAN - CAPEX'!$S34=2046,'BASE PAN - CAPEX'!$AD34,IF('BASE PAN - CAPEX'!$AE34=2046,'BASE PAN - CAPEX'!$AP34,IF('BASE PAN - CAPEX'!$AQ34=2046,'BASE PAN - CAPEX'!$BB34,0)))</f>
        <v>0</v>
      </c>
      <c r="AF34" s="1">
        <f>IF('BASE PAN - CAPEX'!$S34=2047,'BASE PAN - CAPEX'!$AD34,IF('BASE PAN - CAPEX'!$AE34=2047,'BASE PAN - CAPEX'!$AP34,IF('BASE PAN - CAPEX'!$AQ34=2047,'BASE PAN - CAPEX'!$BB34,0)))</f>
        <v>0</v>
      </c>
      <c r="AG34" s="1">
        <f>IF('BASE PAN - CAPEX'!$S34=2048,'BASE PAN - CAPEX'!$AD34,IF('BASE PAN - CAPEX'!$AE34=2048,'BASE PAN - CAPEX'!$AP34,IF('BASE PAN - CAPEX'!$AQ34=2048,'BASE PAN - CAPEX'!$BB34,0)))</f>
        <v>0</v>
      </c>
      <c r="AH34" s="1">
        <f>IF('BASE PAN - CAPEX'!$S34=2049,'BASE PAN - CAPEX'!$AD34,IF('BASE PAN - CAPEX'!$AE34=2049,'BASE PAN - CAPEX'!$AP34,IF('BASE PAN - CAPEX'!$AQ34=2049,'BASE PAN - CAPEX'!$BB34,0)))</f>
        <v>0</v>
      </c>
      <c r="AI34" s="1">
        <f>IF('BASE PAN - CAPEX'!$S34=2050,'BASE PAN - CAPEX'!$AD34,IF('BASE PAN - CAPEX'!$AE34=2050,'BASE PAN - CAPEX'!$AP34,IF('BASE PAN - CAPEX'!$AQ34=2050,'BASE PAN - CAPEX'!$BB34,0)))</f>
        <v>0</v>
      </c>
      <c r="AJ34" s="1">
        <f>IF('BASE PAN - CAPEX'!$S34=2051,'BASE PAN - CAPEX'!$AD34,IF('BASE PAN - CAPEX'!$AE34=2051,'BASE PAN - CAPEX'!$AP34,IF('BASE PAN - CAPEX'!$AQ34=2051,'BASE PAN - CAPEX'!$BB34,0)))</f>
        <v>0</v>
      </c>
      <c r="AK34" s="1">
        <f>IF('BASE PAN - CAPEX'!$S34=2052,'BASE PAN - CAPEX'!$AD34,IF('BASE PAN - CAPEX'!$AE34=2052,'BASE PAN - CAPEX'!$AP34,IF('BASE PAN - CAPEX'!$AQ34=2052,'BASE PAN - CAPEX'!$BB34,0)))</f>
        <v>0</v>
      </c>
      <c r="AL34" s="1">
        <f>IF('BASE PAN - CAPEX'!$S34=2053,'BASE PAN - CAPEX'!$AD34,IF('BASE PAN - CAPEX'!$AE34=2053,'BASE PAN - CAPEX'!$AP34,IF('BASE PAN - CAPEX'!$AQ34=2053,'BASE PAN - CAPEX'!$BB34,0)))</f>
        <v>0</v>
      </c>
      <c r="AM34" s="1">
        <f t="shared" si="0"/>
        <v>67425000</v>
      </c>
      <c r="AN34" s="3" t="s">
        <v>171</v>
      </c>
      <c r="AO34" s="3">
        <v>3</v>
      </c>
      <c r="AP34" s="3" t="s">
        <v>171</v>
      </c>
      <c r="AQ34" s="3" t="s">
        <v>171</v>
      </c>
      <c r="AR34" s="3" t="s">
        <v>171</v>
      </c>
      <c r="AS34" s="3" t="s">
        <v>171</v>
      </c>
      <c r="AT34" s="3" t="s">
        <v>171</v>
      </c>
      <c r="AU34" s="3" t="s">
        <v>171</v>
      </c>
      <c r="AV34" t="str">
        <f>VLOOKUP(C34,'FLUXO DE CAIXA DESC.-BLOCOS PAN'!$D$3:$AO$52,38,FALSE)</f>
        <v>AM - 3 - AL</v>
      </c>
    </row>
    <row r="35" spans="1:48" x14ac:dyDescent="0.35">
      <c r="A35" t="s">
        <v>157</v>
      </c>
      <c r="B35" t="s">
        <v>158</v>
      </c>
      <c r="C35" t="s">
        <v>159</v>
      </c>
      <c r="D35" t="s">
        <v>158</v>
      </c>
      <c r="E35" t="s">
        <v>37</v>
      </c>
      <c r="F35" t="s">
        <v>33</v>
      </c>
      <c r="G35" t="s">
        <v>34</v>
      </c>
      <c r="H35" s="1">
        <f>VLOOKUP(C35,'BASE PAN - CAPEX'!$C$3:$R$37,16,FALSE)+'BASE PAN - CAPEX'!BC35</f>
        <v>36010000</v>
      </c>
      <c r="I35" s="1">
        <f>IF('BASE PAN - CAPEX'!$S35=2024,'BASE PAN - CAPEX'!$AD35,IF('BASE PAN - CAPEX'!$AE35=2024,'BASE PAN - CAPEX'!$AP35,IF('BASE PAN - CAPEX'!$AQ35=2024,'BASE PAN - CAPEX'!$BB35,0)))</f>
        <v>0</v>
      </c>
      <c r="J35" s="1">
        <f>IF('BASE PAN - CAPEX'!$S35=2025,'BASE PAN - CAPEX'!$AD35,IF('BASE PAN - CAPEX'!$AE35=2025,'BASE PAN - CAPEX'!$AP35,IF('BASE PAN - CAPEX'!$AQ35=2025,'BASE PAN - CAPEX'!$BB35,0)))</f>
        <v>0</v>
      </c>
      <c r="K35" s="1">
        <f>IF('BASE PAN - CAPEX'!$S35=2026,'BASE PAN - CAPEX'!$AD35,IF('BASE PAN - CAPEX'!$AE35=2026,'BASE PAN - CAPEX'!$AP35,IF('BASE PAN - CAPEX'!$AQ35=2026,'BASE PAN - CAPEX'!$BB35,0)))</f>
        <v>0</v>
      </c>
      <c r="L35" s="1">
        <f>IF('BASE PAN - CAPEX'!$S35=2027,'BASE PAN - CAPEX'!$AD35,IF('BASE PAN - CAPEX'!$AE35=2027,'BASE PAN - CAPEX'!$AP35,IF('BASE PAN - CAPEX'!$AQ35=2027,'BASE PAN - CAPEX'!$BB35,0)))+VLOOKUP(C35,'BASE PAN - CAPEX - 1º ANO'!$C$3:$BE$35,55,FALSE)</f>
        <v>1000000</v>
      </c>
      <c r="M35" s="1">
        <f>IF('BASE PAN - CAPEX'!$S35=2028,'BASE PAN - CAPEX'!$AD35,IF('BASE PAN - CAPEX'!$AE35=2028,'BASE PAN - CAPEX'!$AP35,IF('BASE PAN - CAPEX'!$AQ35=2028,'BASE PAN - CAPEX'!$BB35,0)))</f>
        <v>0</v>
      </c>
      <c r="N35" s="1">
        <f>IF('BASE PAN - CAPEX'!$S35=2029,'BASE PAN - CAPEX'!$AD35,IF('BASE PAN - CAPEX'!$AE35=2029,'BASE PAN - CAPEX'!$AP35,IF('BASE PAN - CAPEX'!$AQ35=2029,'BASE PAN - CAPEX'!$BB35,0)))</f>
        <v>0</v>
      </c>
      <c r="O35" s="1">
        <f>IF('BASE PAN - CAPEX'!$S35=2030,'BASE PAN - CAPEX'!$AD35,IF('BASE PAN - CAPEX'!$AE35=2030,'BASE PAN - CAPEX'!$AP35,IF('BASE PAN - CAPEX'!$AQ35=2030,'BASE PAN - CAPEX'!$BB35,0)))</f>
        <v>0</v>
      </c>
      <c r="P35" s="1">
        <f>IF('BASE PAN - CAPEX'!$S35=2031,'BASE PAN - CAPEX'!$AD35,IF('BASE PAN - CAPEX'!$AE35=2031,'BASE PAN - CAPEX'!$AP35,IF('BASE PAN - CAPEX'!$AQ35=2031,'BASE PAN - CAPEX'!$BB35,0)))</f>
        <v>0</v>
      </c>
      <c r="Q35" s="1">
        <f>IF('BASE PAN - CAPEX'!$S35=2032,'BASE PAN - CAPEX'!$AD35,IF('BASE PAN - CAPEX'!$AE35=2032,'BASE PAN - CAPEX'!$AP35,IF('BASE PAN - CAPEX'!$AQ35=2032,'BASE PAN - CAPEX'!$BB35,0)))+VLOOKUP(C35,'BASE PAN - CAPEX - 1º ANO'!$C$3:$BF$35,56,FALSE)</f>
        <v>270000</v>
      </c>
      <c r="R35" s="1">
        <f>IF('BASE PAN - CAPEX'!$S35=2033,'BASE PAN - CAPEX'!$AD35,IF('BASE PAN - CAPEX'!$AE35=2033,'BASE PAN - CAPEX'!$AP35,IF('BASE PAN - CAPEX'!$AQ35=2033,'BASE PAN - CAPEX'!$BB35,0)))</f>
        <v>0</v>
      </c>
      <c r="S35" s="1">
        <f>IF('BASE PAN - CAPEX'!$S35=2034,'BASE PAN - CAPEX'!$AD35,IF('BASE PAN - CAPEX'!$AE35=2034,'BASE PAN - CAPEX'!$AP35,IF('BASE PAN - CAPEX'!$AQ35=2034,'BASE PAN - CAPEX'!$BB35,0)))</f>
        <v>0</v>
      </c>
      <c r="T35" s="1">
        <f>IF('BASE PAN - CAPEX'!$S35=2035,'BASE PAN - CAPEX'!$AD35,IF('BASE PAN - CAPEX'!$AE35=2035,'BASE PAN - CAPEX'!$AP35,IF('BASE PAN - CAPEX'!$AQ35=2035,'BASE PAN - CAPEX'!$BB35,0)))</f>
        <v>0</v>
      </c>
      <c r="U35" s="1">
        <f>IF('BASE PAN - CAPEX'!$S35=2036,'BASE PAN - CAPEX'!$AD35,IF('BASE PAN - CAPEX'!$AE35=2036,'BASE PAN - CAPEX'!$AP35,IF('BASE PAN - CAPEX'!$AQ35=2036,'BASE PAN - CAPEX'!$BB35,0)))</f>
        <v>0</v>
      </c>
      <c r="V35" s="1">
        <f>IF('BASE PAN - CAPEX'!$S35=2037,'BASE PAN - CAPEX'!$AD35,IF('BASE PAN - CAPEX'!$AE35=2037,'BASE PAN - CAPEX'!$AP35,IF('BASE PAN - CAPEX'!$AQ35=2037,'BASE PAN - CAPEX'!$BB35,0)))+VLOOKUP(C35,'BASE PAN - CAPEX - 1º ANO'!$C$3:$BG$35,57,FALSE)</f>
        <v>0</v>
      </c>
      <c r="W35" s="1">
        <f>IF('BASE PAN - CAPEX'!$S35=2038,'BASE PAN - CAPEX'!$AD35,IF('BASE PAN - CAPEX'!$AE35=2038,'BASE PAN - CAPEX'!$AP35,IF('BASE PAN - CAPEX'!$AQ35=2038,'BASE PAN - CAPEX'!$BB35,0)))</f>
        <v>0</v>
      </c>
      <c r="X35" s="1">
        <f>IF('BASE PAN - CAPEX'!$S35=2039,'BASE PAN - CAPEX'!$AD35,IF('BASE PAN - CAPEX'!$AE35=2039,'BASE PAN - CAPEX'!$AP35,IF('BASE PAN - CAPEX'!$AQ35=2039,'BASE PAN - CAPEX'!$BB35,0)))</f>
        <v>0</v>
      </c>
      <c r="Y35" s="1">
        <f>IF('BASE PAN - CAPEX'!$S35=2040,'BASE PAN - CAPEX'!$AD35,IF('BASE PAN - CAPEX'!$AE35=2040,'BASE PAN - CAPEX'!$AP35,IF('BASE PAN - CAPEX'!$AQ35=2040,'BASE PAN - CAPEX'!$BB35,0)))</f>
        <v>0</v>
      </c>
      <c r="Z35" s="1">
        <f>IF('BASE PAN - CAPEX'!$S35=2041,'BASE PAN - CAPEX'!$AD35,IF('BASE PAN - CAPEX'!$AE35=2041,'BASE PAN - CAPEX'!$AP35,IF('BASE PAN - CAPEX'!$AQ35=2041,'BASE PAN - CAPEX'!$BB35,0)))</f>
        <v>0</v>
      </c>
      <c r="AA35" s="1">
        <f>IF('BASE PAN - CAPEX'!$S35=2042,'BASE PAN - CAPEX'!$AD35,IF('BASE PAN - CAPEX'!$AE35=2042,'BASE PAN - CAPEX'!$AP35,IF('BASE PAN - CAPEX'!$AQ35=2042,'BASE PAN - CAPEX'!$BB35,0)))</f>
        <v>0</v>
      </c>
      <c r="AB35" s="1">
        <f>IF('BASE PAN - CAPEX'!$S35=2043,'BASE PAN - CAPEX'!$AD35,IF('BASE PAN - CAPEX'!$AE35=2043,'BASE PAN - CAPEX'!$AP35,IF('BASE PAN - CAPEX'!$AQ35=2043,'BASE PAN - CAPEX'!$BB35,0)))</f>
        <v>0</v>
      </c>
      <c r="AC35" s="1">
        <f>IF('BASE PAN - CAPEX'!$S35=2044,'BASE PAN - CAPEX'!$AD35,IF('BASE PAN - CAPEX'!$AE35=2044,'BASE PAN - CAPEX'!$AP35,IF('BASE PAN - CAPEX'!$AQ35=2044,'BASE PAN - CAPEX'!$BB35,0)))</f>
        <v>0</v>
      </c>
      <c r="AD35" s="1">
        <f>IF('BASE PAN - CAPEX'!$S35=2045,'BASE PAN - CAPEX'!$AD35,IF('BASE PAN - CAPEX'!$AE35=2045,'BASE PAN - CAPEX'!$AP35,IF('BASE PAN - CAPEX'!$AQ35=2045,'BASE PAN - CAPEX'!$BB35,0)))</f>
        <v>0</v>
      </c>
      <c r="AE35" s="1">
        <f>IF('BASE PAN - CAPEX'!$S35=2046,'BASE PAN - CAPEX'!$AD35,IF('BASE PAN - CAPEX'!$AE35=2046,'BASE PAN - CAPEX'!$AP35,IF('BASE PAN - CAPEX'!$AQ35=2046,'BASE PAN - CAPEX'!$BB35,0)))</f>
        <v>0</v>
      </c>
      <c r="AF35" s="1">
        <f>IF('BASE PAN - CAPEX'!$S35=2047,'BASE PAN - CAPEX'!$AD35,IF('BASE PAN - CAPEX'!$AE35=2047,'BASE PAN - CAPEX'!$AP35,IF('BASE PAN - CAPEX'!$AQ35=2047,'BASE PAN - CAPEX'!$BB35,0)))</f>
        <v>0</v>
      </c>
      <c r="AG35" s="1">
        <f>IF('BASE PAN - CAPEX'!$S35=2048,'BASE PAN - CAPEX'!$AD35,IF('BASE PAN - CAPEX'!$AE35=2048,'BASE PAN - CAPEX'!$AP35,IF('BASE PAN - CAPEX'!$AQ35=2048,'BASE PAN - CAPEX'!$BB35,0)))</f>
        <v>0</v>
      </c>
      <c r="AH35" s="1">
        <f>IF('BASE PAN - CAPEX'!$S35=2049,'BASE PAN - CAPEX'!$AD35,IF('BASE PAN - CAPEX'!$AE35=2049,'BASE PAN - CAPEX'!$AP35,IF('BASE PAN - CAPEX'!$AQ35=2049,'BASE PAN - CAPEX'!$BB35,0)))</f>
        <v>0</v>
      </c>
      <c r="AI35" s="1">
        <f>IF('BASE PAN - CAPEX'!$S35=2050,'BASE PAN - CAPEX'!$AD35,IF('BASE PAN - CAPEX'!$AE35=2050,'BASE PAN - CAPEX'!$AP35,IF('BASE PAN - CAPEX'!$AQ35=2050,'BASE PAN - CAPEX'!$BB35,0)))</f>
        <v>0</v>
      </c>
      <c r="AJ35" s="1">
        <f>IF('BASE PAN - CAPEX'!$S35=2051,'BASE PAN - CAPEX'!$AD35,IF('BASE PAN - CAPEX'!$AE35=2051,'BASE PAN - CAPEX'!$AP35,IF('BASE PAN - CAPEX'!$AQ35=2051,'BASE PAN - CAPEX'!$BB35,0)))</f>
        <v>0</v>
      </c>
      <c r="AK35" s="1">
        <f>IF('BASE PAN - CAPEX'!$S35=2052,'BASE PAN - CAPEX'!$AD35,IF('BASE PAN - CAPEX'!$AE35=2052,'BASE PAN - CAPEX'!$AP35,IF('BASE PAN - CAPEX'!$AQ35=2052,'BASE PAN - CAPEX'!$BB35,0)))</f>
        <v>0</v>
      </c>
      <c r="AL35" s="1">
        <f>IF('BASE PAN - CAPEX'!$S35=2053,'BASE PAN - CAPEX'!$AD35,IF('BASE PAN - CAPEX'!$AE35=2053,'BASE PAN - CAPEX'!$AP35,IF('BASE PAN - CAPEX'!$AQ35=2053,'BASE PAN - CAPEX'!$BB35,0)))</f>
        <v>0</v>
      </c>
      <c r="AM35" s="1">
        <f t="shared" si="0"/>
        <v>37280000</v>
      </c>
      <c r="AN35" s="3" t="s">
        <v>171</v>
      </c>
      <c r="AO35" s="3">
        <v>1</v>
      </c>
      <c r="AP35" s="3" t="s">
        <v>171</v>
      </c>
      <c r="AQ35" s="3" t="s">
        <v>171</v>
      </c>
      <c r="AR35" s="3">
        <v>2032</v>
      </c>
      <c r="AS35" s="3" t="s">
        <v>171</v>
      </c>
      <c r="AT35" s="3" t="s">
        <v>171</v>
      </c>
      <c r="AU35" s="3">
        <v>2</v>
      </c>
      <c r="AV35" t="str">
        <f>VLOOKUP(C35,'FLUXO DE CAIXA DESC.-BLOCOS PAN'!$D$3:$AO$52,38,FALSE)</f>
        <v>MT - 1 - AL</v>
      </c>
    </row>
    <row r="36" spans="1:48" s="49" customFormat="1" x14ac:dyDescent="0.35">
      <c r="A36" s="49" t="s">
        <v>260</v>
      </c>
      <c r="B36" s="49" t="s">
        <v>261</v>
      </c>
      <c r="C36" s="49" t="s">
        <v>286</v>
      </c>
      <c r="D36" s="49" t="s">
        <v>261</v>
      </c>
      <c r="E36" s="49" t="s">
        <v>29</v>
      </c>
      <c r="F36" s="49" t="s">
        <v>33</v>
      </c>
      <c r="G36" s="49" t="s">
        <v>34</v>
      </c>
      <c r="H36" s="72">
        <f>VLOOKUP(C36,'BASE PAN - CAPEX'!$C$3:$R$37,16,FALSE)</f>
        <v>35040000</v>
      </c>
      <c r="I36" s="72">
        <f>IF('BASE PAN - CAPEX'!$S36=2024,'BASE PAN - CAPEX'!$AD36,IF('BASE PAN - CAPEX'!$AE36=2024,'BASE PAN - CAPEX'!$AP36,IF('BASE PAN - CAPEX'!$AQ36=2024,'BASE PAN - CAPEX'!$BB36,0)))</f>
        <v>0</v>
      </c>
      <c r="J36" s="72">
        <f>IF('BASE PAN - CAPEX'!$S36=2025,'BASE PAN - CAPEX'!$AD36,IF('BASE PAN - CAPEX'!$AE36=2025,'BASE PAN - CAPEX'!$AP36,IF('BASE PAN - CAPEX'!$AQ36=2025,'BASE PAN - CAPEX'!$BB36,0)))</f>
        <v>56065000</v>
      </c>
      <c r="K36" s="72">
        <f>IF('BASE PAN - CAPEX'!$S36=2026,'BASE PAN - CAPEX'!$AD36,IF('BASE PAN - CAPEX'!$AE36=2026,'BASE PAN - CAPEX'!$AP36,IF('BASE PAN - CAPEX'!$AQ36=2026,'BASE PAN - CAPEX'!$BB36,0)))</f>
        <v>0</v>
      </c>
      <c r="L36" s="72">
        <f>IF('BASE PAN - CAPEX'!$S36=2027,'BASE PAN - CAPEX'!$AD36,IF('BASE PAN - CAPEX'!$AE36=2027,'BASE PAN - CAPEX'!$AP36,IF('BASE PAN - CAPEX'!$AQ36=2027,'BASE PAN - CAPEX'!$BB36,0)))</f>
        <v>0</v>
      </c>
      <c r="M36" s="72">
        <f>IF('BASE PAN - CAPEX'!$S36=2028,'BASE PAN - CAPEX'!$AD36,IF('BASE PAN - CAPEX'!$AE36=2028,'BASE PAN - CAPEX'!$AP36,IF('BASE PAN - CAPEX'!$AQ36=2028,'BASE PAN - CAPEX'!$BB36,0)))</f>
        <v>0</v>
      </c>
      <c r="N36" s="72">
        <f>IF('BASE PAN - CAPEX'!$S36=2029,'BASE PAN - CAPEX'!$AD36,IF('BASE PAN - CAPEX'!$AE36=2029,'BASE PAN - CAPEX'!$AP36,IF('BASE PAN - CAPEX'!$AQ36=2029,'BASE PAN - CAPEX'!$BB36,0)))</f>
        <v>0</v>
      </c>
      <c r="O36" s="72">
        <f>IF('BASE PAN - CAPEX'!$S36=2030,'BASE PAN - CAPEX'!$AD36,IF('BASE PAN - CAPEX'!$AE36=2030,'BASE PAN - CAPEX'!$AP36,IF('BASE PAN - CAPEX'!$AQ36=2030,'BASE PAN - CAPEX'!$BB36,0)))</f>
        <v>0</v>
      </c>
      <c r="P36" s="72">
        <f>IF('BASE PAN - CAPEX'!$S36=2031,'BASE PAN - CAPEX'!$AD36,IF('BASE PAN - CAPEX'!$AE36=2031,'BASE PAN - CAPEX'!$AP36,IF('BASE PAN - CAPEX'!$AQ36=2031,'BASE PAN - CAPEX'!$BB36,0)))</f>
        <v>0</v>
      </c>
      <c r="Q36" s="72">
        <f>IF('BASE PAN - CAPEX'!$S36=2032,'BASE PAN - CAPEX'!$AD36,IF('BASE PAN - CAPEX'!$AE36=2032,'BASE PAN - CAPEX'!$AP36,IF('BASE PAN - CAPEX'!$AQ36=2032,'BASE PAN - CAPEX'!$BB36,0)))</f>
        <v>0</v>
      </c>
      <c r="R36" s="72">
        <f>IF('BASE PAN - CAPEX'!$S36=2033,'BASE PAN - CAPEX'!$AD36,IF('BASE PAN - CAPEX'!$AE36=2033,'BASE PAN - CAPEX'!$AP36,IF('BASE PAN - CAPEX'!$AQ36=2033,'BASE PAN - CAPEX'!$BB36,0)))</f>
        <v>0</v>
      </c>
      <c r="S36" s="72">
        <f>IF('BASE PAN - CAPEX'!$S36=2034,'BASE PAN - CAPEX'!$AD36,IF('BASE PAN - CAPEX'!$AE36=2034,'BASE PAN - CAPEX'!$AP36,IF('BASE PAN - CAPEX'!$AQ36=2034,'BASE PAN - CAPEX'!$BB36,0)))</f>
        <v>0</v>
      </c>
      <c r="T36" s="72">
        <f>IF('BASE PAN - CAPEX'!$S36=2035,'BASE PAN - CAPEX'!$AD36,IF('BASE PAN - CAPEX'!$AE36=2035,'BASE PAN - CAPEX'!$AP36,IF('BASE PAN - CAPEX'!$AQ36=2035,'BASE PAN - CAPEX'!$BB36,0)))</f>
        <v>0</v>
      </c>
      <c r="U36" s="72">
        <f>IF('BASE PAN - CAPEX'!$S36=2036,'BASE PAN - CAPEX'!$AD36,IF('BASE PAN - CAPEX'!$AE36=2036,'BASE PAN - CAPEX'!$AP36,IF('BASE PAN - CAPEX'!$AQ36=2036,'BASE PAN - CAPEX'!$BB36,0)))</f>
        <v>0</v>
      </c>
      <c r="V36" s="72">
        <f>IF('BASE PAN - CAPEX'!$S36=2037,'BASE PAN - CAPEX'!$AD36,IF('BASE PAN - CAPEX'!$AE36=2037,'BASE PAN - CAPEX'!$AP36,IF('BASE PAN - CAPEX'!$AQ36=2037,'BASE PAN - CAPEX'!$BB36,0)))</f>
        <v>0</v>
      </c>
      <c r="W36" s="72">
        <f>IF('BASE PAN - CAPEX'!$S36=2038,'BASE PAN - CAPEX'!$AD36,IF('BASE PAN - CAPEX'!$AE36=2038,'BASE PAN - CAPEX'!$AP36,IF('BASE PAN - CAPEX'!$AQ36=2038,'BASE PAN - CAPEX'!$BB36,0)))</f>
        <v>0</v>
      </c>
      <c r="X36" s="72">
        <f>IF('BASE PAN - CAPEX'!$S36=2039,'BASE PAN - CAPEX'!$AD36,IF('BASE PAN - CAPEX'!$AE36=2039,'BASE PAN - CAPEX'!$AP36,IF('BASE PAN - CAPEX'!$AQ36=2039,'BASE PAN - CAPEX'!$BB36,0)))</f>
        <v>0</v>
      </c>
      <c r="Y36" s="72">
        <f>IF('BASE PAN - CAPEX'!$S36=2040,'BASE PAN - CAPEX'!$AD36,IF('BASE PAN - CAPEX'!$AE36=2040,'BASE PAN - CAPEX'!$AP36,IF('BASE PAN - CAPEX'!$AQ36=2040,'BASE PAN - CAPEX'!$BB36,0)))</f>
        <v>0</v>
      </c>
      <c r="Z36" s="72">
        <f>IF('BASE PAN - CAPEX'!$S36=2041,'BASE PAN - CAPEX'!$AD36,IF('BASE PAN - CAPEX'!$AE36=2041,'BASE PAN - CAPEX'!$AP36,IF('BASE PAN - CAPEX'!$AQ36=2041,'BASE PAN - CAPEX'!$BB36,0)))</f>
        <v>0</v>
      </c>
      <c r="AA36" s="72">
        <f>IF('BASE PAN - CAPEX'!$S36=2042,'BASE PAN - CAPEX'!$AD36,IF('BASE PAN - CAPEX'!$AE36=2042,'BASE PAN - CAPEX'!$AP36,IF('BASE PAN - CAPEX'!$AQ36=2042,'BASE PAN - CAPEX'!$BB36,0)))</f>
        <v>0</v>
      </c>
      <c r="AB36" s="72">
        <f>IF('BASE PAN - CAPEX'!$S36=2043,'BASE PAN - CAPEX'!$AD36,IF('BASE PAN - CAPEX'!$AE36=2043,'BASE PAN - CAPEX'!$AP36,IF('BASE PAN - CAPEX'!$AQ36=2043,'BASE PAN - CAPEX'!$BB36,0)))</f>
        <v>0</v>
      </c>
      <c r="AC36" s="72">
        <f>IF('BASE PAN - CAPEX'!$S36=2044,'BASE PAN - CAPEX'!$AD36,IF('BASE PAN - CAPEX'!$AE36=2044,'BASE PAN - CAPEX'!$AP36,IF('BASE PAN - CAPEX'!$AQ36=2044,'BASE PAN - CAPEX'!$BB36,0)))</f>
        <v>0</v>
      </c>
      <c r="AD36" s="72">
        <f>IF('BASE PAN - CAPEX'!$S36=2045,'BASE PAN - CAPEX'!$AD36,IF('BASE PAN - CAPEX'!$AE36=2045,'BASE PAN - CAPEX'!$AP36,IF('BASE PAN - CAPEX'!$AQ36=2045,'BASE PAN - CAPEX'!$BB36,0)))</f>
        <v>0</v>
      </c>
      <c r="AE36" s="72">
        <f>IF('BASE PAN - CAPEX'!$S36=2046,'BASE PAN - CAPEX'!$AD36,IF('BASE PAN - CAPEX'!$AE36=2046,'BASE PAN - CAPEX'!$AP36,IF('BASE PAN - CAPEX'!$AQ36=2046,'BASE PAN - CAPEX'!$BB36,0)))</f>
        <v>0</v>
      </c>
      <c r="AF36" s="72">
        <f>IF('BASE PAN - CAPEX'!$S36=2047,'BASE PAN - CAPEX'!$AD36,IF('BASE PAN - CAPEX'!$AE36=2047,'BASE PAN - CAPEX'!$AP36,IF('BASE PAN - CAPEX'!$AQ36=2047,'BASE PAN - CAPEX'!$BB36,0)))</f>
        <v>0</v>
      </c>
      <c r="AG36" s="72">
        <f>IF('BASE PAN - CAPEX'!$S36=2048,'BASE PAN - CAPEX'!$AD36,IF('BASE PAN - CAPEX'!$AE36=2048,'BASE PAN - CAPEX'!$AP36,IF('BASE PAN - CAPEX'!$AQ36=2048,'BASE PAN - CAPEX'!$BB36,0)))</f>
        <v>0</v>
      </c>
      <c r="AH36" s="72">
        <f>IF('BASE PAN - CAPEX'!$S36=2049,'BASE PAN - CAPEX'!$AD36,IF('BASE PAN - CAPEX'!$AE36=2049,'BASE PAN - CAPEX'!$AP36,IF('BASE PAN - CAPEX'!$AQ36=2049,'BASE PAN - CAPEX'!$BB36,0)))</f>
        <v>0</v>
      </c>
      <c r="AI36" s="72">
        <f>IF('BASE PAN - CAPEX'!$S36=2050,'BASE PAN - CAPEX'!$AD36,IF('BASE PAN - CAPEX'!$AE36=2050,'BASE PAN - CAPEX'!$AP36,IF('BASE PAN - CAPEX'!$AQ36=2050,'BASE PAN - CAPEX'!$BB36,0)))</f>
        <v>0</v>
      </c>
      <c r="AJ36" s="72">
        <f>IF('BASE PAN - CAPEX'!$S36=2051,'BASE PAN - CAPEX'!$AD36,IF('BASE PAN - CAPEX'!$AE36=2051,'BASE PAN - CAPEX'!$AP36,IF('BASE PAN - CAPEX'!$AQ36=2051,'BASE PAN - CAPEX'!$BB36,0)))</f>
        <v>0</v>
      </c>
      <c r="AK36" s="72">
        <f>IF('BASE PAN - CAPEX'!$S36=2052,'BASE PAN - CAPEX'!$AD36,IF('BASE PAN - CAPEX'!$AE36=2052,'BASE PAN - CAPEX'!$AP36,IF('BASE PAN - CAPEX'!$AQ36=2052,'BASE PAN - CAPEX'!$BB36,0)))</f>
        <v>0</v>
      </c>
      <c r="AL36" s="72">
        <f>IF('BASE PAN - CAPEX'!$S36=2053,'BASE PAN - CAPEX'!$AD36,IF('BASE PAN - CAPEX'!$AE36=2053,'BASE PAN - CAPEX'!$AP36,IF('BASE PAN - CAPEX'!$AQ36=2053,'BASE PAN - CAPEX'!$BB36,0)))</f>
        <v>0</v>
      </c>
      <c r="AM36" s="72">
        <f t="shared" si="0"/>
        <v>91105000</v>
      </c>
      <c r="AN36" s="73" t="s">
        <v>171</v>
      </c>
      <c r="AO36" s="73">
        <v>2</v>
      </c>
      <c r="AP36" s="73" t="s">
        <v>171</v>
      </c>
      <c r="AQ36" s="73" t="s">
        <v>171</v>
      </c>
      <c r="AR36" s="73">
        <v>2025</v>
      </c>
      <c r="AS36" s="73" t="s">
        <v>171</v>
      </c>
      <c r="AT36" s="73" t="s">
        <v>171</v>
      </c>
      <c r="AU36" s="73">
        <v>3</v>
      </c>
      <c r="AV36" s="49" t="str">
        <f>VLOOKUP(C36,'FLUXO DE CAIXA DESC.-BLOCOS PAN'!$D$3:$AO$52,38,FALSE)</f>
        <v>PA 3 - AL</v>
      </c>
    </row>
    <row r="37" spans="1:48" x14ac:dyDescent="0.35">
      <c r="A37" t="s">
        <v>262</v>
      </c>
      <c r="B37" t="s">
        <v>263</v>
      </c>
      <c r="C37" t="s">
        <v>287</v>
      </c>
      <c r="D37" t="s">
        <v>263</v>
      </c>
      <c r="E37" t="s">
        <v>31</v>
      </c>
      <c r="F37" t="s">
        <v>33</v>
      </c>
      <c r="G37" t="s">
        <v>34</v>
      </c>
      <c r="H37" s="1">
        <f>VLOOKUP(C37,'BASE PAN - CAPEX'!$C$3:$R$37,16,FALSE)+'BASE PAN - CAPEX'!BC37</f>
        <v>53890000</v>
      </c>
      <c r="I37" s="1">
        <f>IF('BASE PAN - CAPEX'!$S37=2024,'BASE PAN - CAPEX'!$AD37,IF('BASE PAN - CAPEX'!$AE37=2024,'BASE PAN - CAPEX'!$AP37,IF('BASE PAN - CAPEX'!$AQ37=2024,'BASE PAN - CAPEX'!$BB37,0)))</f>
        <v>0</v>
      </c>
      <c r="J37" s="1">
        <f>IF('BASE PAN - CAPEX'!$S37=2025,'BASE PAN - CAPEX'!$AD37,IF('BASE PAN - CAPEX'!$AE37=2025,'BASE PAN - CAPEX'!$AP37,IF('BASE PAN - CAPEX'!$AQ37=2025,'BASE PAN - CAPEX'!$BB37,0)))</f>
        <v>0</v>
      </c>
      <c r="K37" s="1">
        <f>IF('BASE PAN - CAPEX'!$S37=2026,'BASE PAN - CAPEX'!$AD37,IF('BASE PAN - CAPEX'!$AE37=2026,'BASE PAN - CAPEX'!$AP37,IF('BASE PAN - CAPEX'!$AQ37=2026,'BASE PAN - CAPEX'!$BB37,0)))</f>
        <v>0</v>
      </c>
      <c r="L37" s="1">
        <f>IF('BASE PAN - CAPEX'!$S37=2027,'BASE PAN - CAPEX'!$AD37,IF('BASE PAN - CAPEX'!$AE37=2027,'BASE PAN - CAPEX'!$AP37,IF('BASE PAN - CAPEX'!$AQ37=2027,'BASE PAN - CAPEX'!$BB37,0)))</f>
        <v>0</v>
      </c>
      <c r="M37" s="1">
        <f>IF('BASE PAN - CAPEX'!$S37=2028,'BASE PAN - CAPEX'!$AD37,IF('BASE PAN - CAPEX'!$AE37=2028,'BASE PAN - CAPEX'!$AP37,IF('BASE PAN - CAPEX'!$AQ37=2028,'BASE PAN - CAPEX'!$BB37,0)))</f>
        <v>0</v>
      </c>
      <c r="N37" s="1">
        <f>IF('BASE PAN - CAPEX'!$S37=2029,'BASE PAN - CAPEX'!$AD37,IF('BASE PAN - CAPEX'!$AE37=2029,'BASE PAN - CAPEX'!$AP37,IF('BASE PAN - CAPEX'!$AQ37=2029,'BASE PAN - CAPEX'!$BB37,0)))</f>
        <v>0</v>
      </c>
      <c r="O37" s="1">
        <f>IF('BASE PAN - CAPEX'!$S37=2030,'BASE PAN - CAPEX'!$AD37,IF('BASE PAN - CAPEX'!$AE37=2030,'BASE PAN - CAPEX'!$AP37,IF('BASE PAN - CAPEX'!$AQ37=2030,'BASE PAN - CAPEX'!$BB37,0)))</f>
        <v>0</v>
      </c>
      <c r="P37" s="1">
        <f>IF('BASE PAN - CAPEX'!$S37=2031,'BASE PAN - CAPEX'!$AD37,IF('BASE PAN - CAPEX'!$AE37=2031,'BASE PAN - CAPEX'!$AP37,IF('BASE PAN - CAPEX'!$AQ37=2031,'BASE PAN - CAPEX'!$BB37,0)))</f>
        <v>0</v>
      </c>
      <c r="Q37" s="1">
        <f>IF('BASE PAN - CAPEX'!$S37=2032,'BASE PAN - CAPEX'!$AD37,IF('BASE PAN - CAPEX'!$AE37=2032,'BASE PAN - CAPEX'!$AP37,IF('BASE PAN - CAPEX'!$AQ37=2032,'BASE PAN - CAPEX'!$BB37,0)))</f>
        <v>0</v>
      </c>
      <c r="R37" s="1">
        <f>IF('BASE PAN - CAPEX'!$S37=2033,'BASE PAN - CAPEX'!$AD37,IF('BASE PAN - CAPEX'!$AE37=2033,'BASE PAN - CAPEX'!$AP37,IF('BASE PAN - CAPEX'!$AQ37=2033,'BASE PAN - CAPEX'!$BB37,0)))</f>
        <v>0</v>
      </c>
      <c r="S37" s="1">
        <f>IF('BASE PAN - CAPEX'!$S37=2034,'BASE PAN - CAPEX'!$AD37,IF('BASE PAN - CAPEX'!$AE37=2034,'BASE PAN - CAPEX'!$AP37,IF('BASE PAN - CAPEX'!$AQ37=2034,'BASE PAN - CAPEX'!$BB37,0)))</f>
        <v>0</v>
      </c>
      <c r="T37" s="1">
        <f>IF('BASE PAN - CAPEX'!$S37=2035,'BASE PAN - CAPEX'!$AD37,IF('BASE PAN - CAPEX'!$AE37=2035,'BASE PAN - CAPEX'!$AP37,IF('BASE PAN - CAPEX'!$AQ37=2035,'BASE PAN - CAPEX'!$BB37,0)))</f>
        <v>0</v>
      </c>
      <c r="U37" s="1">
        <f>IF('BASE PAN - CAPEX'!$S37=2036,'BASE PAN - CAPEX'!$AD37,IF('BASE PAN - CAPEX'!$AE37=2036,'BASE PAN - CAPEX'!$AP37,IF('BASE PAN - CAPEX'!$AQ37=2036,'BASE PAN - CAPEX'!$BB37,0)))</f>
        <v>0</v>
      </c>
      <c r="V37" s="1">
        <f>IF('BASE PAN - CAPEX'!$S37=2037,'BASE PAN - CAPEX'!$AD37,IF('BASE PAN - CAPEX'!$AE37=2037,'BASE PAN - CAPEX'!$AP37,IF('BASE PAN - CAPEX'!$AQ37=2037,'BASE PAN - CAPEX'!$BB37,0)))</f>
        <v>0</v>
      </c>
      <c r="W37" s="1">
        <f>IF('BASE PAN - CAPEX'!$S37=2038,'BASE PAN - CAPEX'!$AD37,IF('BASE PAN - CAPEX'!$AE37=2038,'BASE PAN - CAPEX'!$AP37,IF('BASE PAN - CAPEX'!$AQ37=2038,'BASE PAN - CAPEX'!$BB37,0)))</f>
        <v>0</v>
      </c>
      <c r="X37" s="1">
        <f>IF('BASE PAN - CAPEX'!$S37=2039,'BASE PAN - CAPEX'!$AD37,IF('BASE PAN - CAPEX'!$AE37=2039,'BASE PAN - CAPEX'!$AP37,IF('BASE PAN - CAPEX'!$AQ37=2039,'BASE PAN - CAPEX'!$BB37,0)))</f>
        <v>0</v>
      </c>
      <c r="Y37" s="1">
        <f>IF('BASE PAN - CAPEX'!$S37=2040,'BASE PAN - CAPEX'!$AD37,IF('BASE PAN - CAPEX'!$AE37=2040,'BASE PAN - CAPEX'!$AP37,IF('BASE PAN - CAPEX'!$AQ37=2040,'BASE PAN - CAPEX'!$BB37,0)))</f>
        <v>0</v>
      </c>
      <c r="Z37" s="1">
        <f>IF('BASE PAN - CAPEX'!$S37=2041,'BASE PAN - CAPEX'!$AD37,IF('BASE PAN - CAPEX'!$AE37=2041,'BASE PAN - CAPEX'!$AP37,IF('BASE PAN - CAPEX'!$AQ37=2041,'BASE PAN - CAPEX'!$BB37,0)))</f>
        <v>0</v>
      </c>
      <c r="AA37" s="1">
        <f>IF('BASE PAN - CAPEX'!$S37=2042,'BASE PAN - CAPEX'!$AD37,IF('BASE PAN - CAPEX'!$AE37=2042,'BASE PAN - CAPEX'!$AP37,IF('BASE PAN - CAPEX'!$AQ37=2042,'BASE PAN - CAPEX'!$BB37,0)))</f>
        <v>0</v>
      </c>
      <c r="AB37" s="1">
        <f>IF('BASE PAN - CAPEX'!$S37=2043,'BASE PAN - CAPEX'!$AD37,IF('BASE PAN - CAPEX'!$AE37=2043,'BASE PAN - CAPEX'!$AP37,IF('BASE PAN - CAPEX'!$AQ37=2043,'BASE PAN - CAPEX'!$BB37,0)))</f>
        <v>0</v>
      </c>
      <c r="AC37" s="1">
        <f>IF('BASE PAN - CAPEX'!$S37=2044,'BASE PAN - CAPEX'!$AD37,IF('BASE PAN - CAPEX'!$AE37=2044,'BASE PAN - CAPEX'!$AP37,IF('BASE PAN - CAPEX'!$AQ37=2044,'BASE PAN - CAPEX'!$BB37,0)))</f>
        <v>0</v>
      </c>
      <c r="AD37" s="1">
        <f>IF('BASE PAN - CAPEX'!$S37=2045,'BASE PAN - CAPEX'!$AD37,IF('BASE PAN - CAPEX'!$AE37=2045,'BASE PAN - CAPEX'!$AP37,IF('BASE PAN - CAPEX'!$AQ37=2045,'BASE PAN - CAPEX'!$BB37,0)))</f>
        <v>0</v>
      </c>
      <c r="AE37" s="1">
        <f>IF('BASE PAN - CAPEX'!$S37=2046,'BASE PAN - CAPEX'!$AD37,IF('BASE PAN - CAPEX'!$AE37=2046,'BASE PAN - CAPEX'!$AP37,IF('BASE PAN - CAPEX'!$AQ37=2046,'BASE PAN - CAPEX'!$BB37,0)))</f>
        <v>0</v>
      </c>
      <c r="AF37" s="1">
        <f>IF('BASE PAN - CAPEX'!$S37=2047,'BASE PAN - CAPEX'!$AD37,IF('BASE PAN - CAPEX'!$AE37=2047,'BASE PAN - CAPEX'!$AP37,IF('BASE PAN - CAPEX'!$AQ37=2047,'BASE PAN - CAPEX'!$BB37,0)))</f>
        <v>0</v>
      </c>
      <c r="AG37" s="1">
        <f>IF('BASE PAN - CAPEX'!$S37=2048,'BASE PAN - CAPEX'!$AD37,IF('BASE PAN - CAPEX'!$AE37=2048,'BASE PAN - CAPEX'!$AP37,IF('BASE PAN - CAPEX'!$AQ37=2048,'BASE PAN - CAPEX'!$BB37,0)))</f>
        <v>0</v>
      </c>
      <c r="AH37" s="1">
        <f>IF('BASE PAN - CAPEX'!$S37=2049,'BASE PAN - CAPEX'!$AD37,IF('BASE PAN - CAPEX'!$AE37=2049,'BASE PAN - CAPEX'!$AP37,IF('BASE PAN - CAPEX'!$AQ37=2049,'BASE PAN - CAPEX'!$BB37,0)))</f>
        <v>0</v>
      </c>
      <c r="AI37" s="1">
        <f>IF('BASE PAN - CAPEX'!$S37=2050,'BASE PAN - CAPEX'!$AD37,IF('BASE PAN - CAPEX'!$AE37=2050,'BASE PAN - CAPEX'!$AP37,IF('BASE PAN - CAPEX'!$AQ37=2050,'BASE PAN - CAPEX'!$BB37,0)))</f>
        <v>0</v>
      </c>
      <c r="AJ37" s="1">
        <f>IF('BASE PAN - CAPEX'!$S37=2051,'BASE PAN - CAPEX'!$AD37,IF('BASE PAN - CAPEX'!$AE37=2051,'BASE PAN - CAPEX'!$AP37,IF('BASE PAN - CAPEX'!$AQ37=2051,'BASE PAN - CAPEX'!$BB37,0)))</f>
        <v>0</v>
      </c>
      <c r="AK37" s="1">
        <f>IF('BASE PAN - CAPEX'!$S37=2052,'BASE PAN - CAPEX'!$AD37,IF('BASE PAN - CAPEX'!$AE37=2052,'BASE PAN - CAPEX'!$AP37,IF('BASE PAN - CAPEX'!$AQ37=2052,'BASE PAN - CAPEX'!$BB37,0)))</f>
        <v>0</v>
      </c>
      <c r="AL37" s="1">
        <f>IF('BASE PAN - CAPEX'!$S37=2053,'BASE PAN - CAPEX'!$AD37,IF('BASE PAN - CAPEX'!$AE37=2053,'BASE PAN - CAPEX'!$AP37,IF('BASE PAN - CAPEX'!$AQ37=2053,'BASE PAN - CAPEX'!$BB37,0)))</f>
        <v>0</v>
      </c>
      <c r="AM37" s="1">
        <f t="shared" si="0"/>
        <v>53890000</v>
      </c>
      <c r="AN37" s="3" t="s">
        <v>171</v>
      </c>
      <c r="AO37" s="3">
        <v>3</v>
      </c>
      <c r="AP37" s="3" t="s">
        <v>171</v>
      </c>
      <c r="AQ37" s="3" t="s">
        <v>171</v>
      </c>
      <c r="AR37" s="3" t="s">
        <v>171</v>
      </c>
      <c r="AS37" s="3" t="s">
        <v>171</v>
      </c>
      <c r="AT37" s="3" t="s">
        <v>171</v>
      </c>
      <c r="AU37" s="3" t="s">
        <v>171</v>
      </c>
      <c r="AV37" t="str">
        <f>VLOOKUP(C37,'FLUXO DE CAIXA DESC.-BLOCOS PAN'!$D$3:$AO$52,38,FALSE)</f>
        <v>Bloco Nordeste</v>
      </c>
    </row>
    <row r="38" spans="1:48" x14ac:dyDescent="0.35">
      <c r="A38" t="s">
        <v>53</v>
      </c>
      <c r="B38" t="str">
        <f>VLOOKUP(A38,'FLUXO DE CAIXA DESC.-BLOCOS PAN'!$A$38:$B$52,2,FALSE)</f>
        <v>JACAREACANGA</v>
      </c>
      <c r="C38" t="s">
        <v>289</v>
      </c>
      <c r="D38" t="str">
        <f>VLOOKUP(A38,'CAPEX Manut. Estr_Naveg. Aérea'!$A$2:$B$38,2,FALSE)</f>
        <v>Jacareacanga</v>
      </c>
      <c r="E38" t="s">
        <v>29</v>
      </c>
      <c r="F38" t="s">
        <v>33</v>
      </c>
      <c r="G38" t="s">
        <v>34</v>
      </c>
      <c r="H38" s="7">
        <f>VLOOKUP(A38,'CAPEX Manut. Estr_PPD e Taxiway'!$A$4:$C$18,3,FALSE)+VLOOKUP(A38,'CAPEX Manut. Estr_PPD e Taxiway'!$A$4:$M$18,13,FALSE)+VLOOKUP(A38,'CAPEX Manut. Estratégicos_Pátio'!$A$6:$C$20,3,FALSE)+VLOOKUP(A38,'CAPEX Manut. Estratégicos_Pátio'!$A$6:$M$20,13,FALSE)+VLOOKUP(A38,'CAPEX Manut. Estr_Cerca Operac.'!$A$2:$F$16,6,FALSE)</f>
        <v>11856492.231480429</v>
      </c>
      <c r="I38" s="7">
        <f>VLOOKUP(A38,'CAPEX Manut. Estr_Naveg. Aérea'!$A$2:$AB$16,28,FALSE)</f>
        <v>640395.71144927538</v>
      </c>
      <c r="J38" s="7">
        <v>0</v>
      </c>
      <c r="K38" s="7">
        <v>0</v>
      </c>
      <c r="L38" s="7">
        <f>VLOOKUP(A38,'CAPEX Manut. Estr_PPD e Taxiway'!$A$4:$D$18,4,FALSE)+VLOOKUP(A38,'CAPEX Manut. Estratégicos_Pátio'!$A$6:$D$20,4,FALSE)</f>
        <v>56925.95</v>
      </c>
      <c r="M38" s="7">
        <v>0</v>
      </c>
      <c r="N38" s="7">
        <v>0</v>
      </c>
      <c r="O38" s="7">
        <f>VLOOKUP(A38,'CAPEX Manut. Estr_PPD e Taxiway'!$A$4:$E$18,5,FALSE)+VLOOKUP(A38,'CAPEX Manut. Estratégicos_Pátio'!$A$6:$E$20,5,FALSE)</f>
        <v>56925.95</v>
      </c>
      <c r="P38" s="7">
        <v>0</v>
      </c>
      <c r="Q38" s="7">
        <f>VLOOKUP($A38,'CAPEX Manut. Estr_PPD e Taxiway'!$A$4:$F$18,6,FALSE)+VLOOKUP(A38,'CAPEX Manut. Estratégicos_Pátio'!$A$6:$F$20,6,FALSE)</f>
        <v>7494561.4900000002</v>
      </c>
      <c r="R38" s="7">
        <v>0</v>
      </c>
      <c r="S38" s="7">
        <v>0</v>
      </c>
      <c r="T38" s="7">
        <v>0</v>
      </c>
      <c r="U38" s="7">
        <v>0</v>
      </c>
      <c r="V38" s="7">
        <f>VLOOKUP($A38,'CAPEX Manut. Estr_PPD e Taxiway'!$A$4:$G$18,7,FALSE)+VLOOKUP($A38,'CAPEX Manut. Estratégicos_Pátio'!$A$6:$G$20,7,FALSE)</f>
        <v>56925.95</v>
      </c>
      <c r="W38" s="7">
        <v>0</v>
      </c>
      <c r="X38" s="7">
        <v>0</v>
      </c>
      <c r="Y38" s="7">
        <f>VLOOKUP($A38,'CAPEX Manut. Estr_PPD e Taxiway'!$A$4:$H$18,8,FALSE)+VLOOKUP($A38,'CAPEX Manut. Estratégicos_Pátio'!$A$6:$H$20,8,FALSE)</f>
        <v>56925.95</v>
      </c>
      <c r="Z38" s="7">
        <v>0</v>
      </c>
      <c r="AA38" s="7">
        <f>VLOOKUP($A38,'CAPEX Manut. Estr_PPD e Taxiway'!$A$4:$I$18,9,FALSE)+VLOOKUP($A38,'CAPEX Manut. Estratégicos_Pátio'!$A$6:$I$20,9,FALSE)</f>
        <v>7494561.4900000002</v>
      </c>
      <c r="AB38" s="7">
        <v>0</v>
      </c>
      <c r="AC38" s="7">
        <v>0</v>
      </c>
      <c r="AD38" s="7">
        <v>0</v>
      </c>
      <c r="AE38" s="7">
        <v>0</v>
      </c>
      <c r="AF38" s="7">
        <f>VLOOKUP($A38,'CAPEX Manut. Estr_PPD e Taxiway'!$A$4:$J$18,10,FALSE)+VLOOKUP($A38,'CAPEX Manut. Estratégicos_Pátio'!$A$6:$J$20,10,FALSE)</f>
        <v>56925.95</v>
      </c>
      <c r="AG38" s="7">
        <v>0</v>
      </c>
      <c r="AH38" s="7">
        <v>0</v>
      </c>
      <c r="AI38" s="7">
        <f>VLOOKUP($A38,'CAPEX Manut. Estr_PPD e Taxiway'!$A$4:$K$18,11,FALSE)+VLOOKUP($A38,'CAPEX Manut. Estratégicos_Pátio'!$A$6:$K$20,11,FALSE)</f>
        <v>56925.95</v>
      </c>
      <c r="AJ38" s="7">
        <v>0</v>
      </c>
      <c r="AK38" s="7">
        <v>0</v>
      </c>
      <c r="AL38" s="7">
        <v>0</v>
      </c>
      <c r="AM38" s="1">
        <f t="shared" si="0"/>
        <v>27827566.6229297</v>
      </c>
      <c r="AN38" s="3" t="s">
        <v>171</v>
      </c>
      <c r="AO38" s="3" t="s">
        <v>171</v>
      </c>
      <c r="AP38" s="3" t="s">
        <v>171</v>
      </c>
      <c r="AQ38" s="3" t="s">
        <v>171</v>
      </c>
      <c r="AR38" s="3" t="s">
        <v>171</v>
      </c>
      <c r="AS38" s="3" t="s">
        <v>171</v>
      </c>
      <c r="AT38" s="3" t="s">
        <v>171</v>
      </c>
      <c r="AU38" s="3" t="s">
        <v>171</v>
      </c>
      <c r="AV38" t="str">
        <f>VLOOKUP(C38,'FLUXO DE CAIXA DESC.-BLOCOS PAN'!$D$3:$AO$52,38,FALSE)</f>
        <v>PA - 1 - AL</v>
      </c>
    </row>
    <row r="39" spans="1:48" x14ac:dyDescent="0.35">
      <c r="A39" t="s">
        <v>86</v>
      </c>
      <c r="B39" t="str">
        <f>VLOOKUP(A39,'FLUXO DE CAIXA DESC.-BLOCOS PAN'!$A$38:$B$52,2,FALSE)</f>
        <v>SENADORA EUNICE MICHILES</v>
      </c>
      <c r="C39" t="s">
        <v>290</v>
      </c>
      <c r="D39" t="str">
        <f>VLOOKUP(A39,'CAPEX Manut. Estr_Naveg. Aérea'!$A$2:$B$38,2,FALSE)</f>
        <v>São Paulo de Olivença</v>
      </c>
      <c r="E39" t="s">
        <v>35</v>
      </c>
      <c r="F39" t="s">
        <v>33</v>
      </c>
      <c r="G39" t="s">
        <v>34</v>
      </c>
      <c r="H39" s="7">
        <f>VLOOKUP(A39,'CAPEX Manut. Estr_PPD e Taxiway'!$A$4:$C$18,3,FALSE)+VLOOKUP(A39,'CAPEX Manut. Estr_PPD e Taxiway'!$A$4:$M$18,13,FALSE)+VLOOKUP(A39,'CAPEX Manut. Estratégicos_Pátio'!$A$6:$C$20,3,FALSE)+VLOOKUP(A39,'CAPEX Manut. Estratégicos_Pátio'!$A$6:$M$20,13,FALSE)+VLOOKUP(A39,'CAPEX Manut. Estr_Cerca Operac.'!$A$2:$F$16,6,FALSE)</f>
        <v>4720908.21</v>
      </c>
      <c r="I39" s="7">
        <f>VLOOKUP(A39,'CAPEX Manut. Estr_Naveg. Aérea'!$A$2:$AB$16,28,FALSE)</f>
        <v>3519668.6314492757</v>
      </c>
      <c r="J39" s="7">
        <v>0</v>
      </c>
      <c r="K39" s="7">
        <v>0</v>
      </c>
      <c r="L39" s="7">
        <f>VLOOKUP(A39,'CAPEX Manut. Estr_PPD e Taxiway'!$A$4:$D$18,4,FALSE)+VLOOKUP(A39,'CAPEX Manut. Estratégicos_Pátio'!$A$6:$D$20,4,FALSE)</f>
        <v>14129.79</v>
      </c>
      <c r="M39" s="7">
        <v>0</v>
      </c>
      <c r="N39" s="7">
        <v>0</v>
      </c>
      <c r="O39" s="7">
        <f>VLOOKUP(A39,'CAPEX Manut. Estr_PPD e Taxiway'!$A$4:$E$18,5,FALSE)+VLOOKUP(A39,'CAPEX Manut. Estratégicos_Pátio'!$A$6:$E$20,5,FALSE)</f>
        <v>14129.79</v>
      </c>
      <c r="P39" s="7">
        <v>0</v>
      </c>
      <c r="Q39" s="7">
        <f>VLOOKUP($A39,'CAPEX Manut. Estr_PPD e Taxiway'!$A$4:$F$18,6,FALSE)+VLOOKUP(A39,'CAPEX Manut. Estratégicos_Pátio'!$A$6:$F$20,6,FALSE)</f>
        <v>3478008.21</v>
      </c>
      <c r="R39" s="7">
        <v>0</v>
      </c>
      <c r="S39" s="7">
        <v>0</v>
      </c>
      <c r="T39" s="7">
        <v>0</v>
      </c>
      <c r="U39" s="7">
        <v>0</v>
      </c>
      <c r="V39" s="7">
        <f>VLOOKUP($A39,'CAPEX Manut. Estr_PPD e Taxiway'!$A$4:$G$18,7,FALSE)+VLOOKUP($A39,'CAPEX Manut. Estratégicos_Pátio'!$A$6:$G$20,7,FALSE)</f>
        <v>14129.79</v>
      </c>
      <c r="W39" s="7">
        <v>0</v>
      </c>
      <c r="X39" s="7">
        <v>0</v>
      </c>
      <c r="Y39" s="7">
        <f>VLOOKUP($A39,'CAPEX Manut. Estr_PPD e Taxiway'!$A$4:$H$18,8,FALSE)+VLOOKUP($A39,'CAPEX Manut. Estratégicos_Pátio'!$A$6:$H$20,8,FALSE)</f>
        <v>14129.79</v>
      </c>
      <c r="Z39" s="7">
        <v>0</v>
      </c>
      <c r="AA39" s="7">
        <f>VLOOKUP($A39,'CAPEX Manut. Estr_PPD e Taxiway'!$A$4:$I$18,9,FALSE)+VLOOKUP($A39,'CAPEX Manut. Estratégicos_Pátio'!$A$6:$I$20,9,FALSE)</f>
        <v>3478008.21</v>
      </c>
      <c r="AB39" s="7">
        <v>0</v>
      </c>
      <c r="AC39" s="7">
        <v>0</v>
      </c>
      <c r="AD39" s="7">
        <v>0</v>
      </c>
      <c r="AE39" s="7">
        <v>0</v>
      </c>
      <c r="AF39" s="7">
        <f>VLOOKUP($A39,'CAPEX Manut. Estr_PPD e Taxiway'!$A$4:$J$18,10,FALSE)+VLOOKUP($A39,'CAPEX Manut. Estratégicos_Pátio'!$A$6:$J$20,10,FALSE)</f>
        <v>14129.79</v>
      </c>
      <c r="AG39" s="7">
        <v>0</v>
      </c>
      <c r="AH39" s="7">
        <v>0</v>
      </c>
      <c r="AI39" s="7">
        <f>VLOOKUP($A39,'CAPEX Manut. Estr_PPD e Taxiway'!$A$4:$K$18,11,FALSE)+VLOOKUP($A39,'CAPEX Manut. Estratégicos_Pátio'!$A$6:$K$20,11,FALSE)</f>
        <v>11608.42</v>
      </c>
      <c r="AJ39" s="7">
        <v>0</v>
      </c>
      <c r="AK39" s="7">
        <v>0</v>
      </c>
      <c r="AL39" s="7">
        <v>0</v>
      </c>
      <c r="AM39" s="1">
        <f t="shared" si="0"/>
        <v>15278850.631449273</v>
      </c>
      <c r="AN39" s="3" t="s">
        <v>171</v>
      </c>
      <c r="AO39" s="3" t="s">
        <v>171</v>
      </c>
      <c r="AP39" s="3" t="s">
        <v>171</v>
      </c>
      <c r="AQ39" s="3" t="s">
        <v>171</v>
      </c>
      <c r="AR39" s="3" t="s">
        <v>171</v>
      </c>
      <c r="AS39" s="3" t="s">
        <v>171</v>
      </c>
      <c r="AT39" s="3" t="s">
        <v>171</v>
      </c>
      <c r="AU39" s="3" t="s">
        <v>171</v>
      </c>
      <c r="AV39" t="str">
        <f>VLOOKUP(C39,'FLUXO DE CAIXA DESC.-BLOCOS PAN'!$D$3:$AO$52,38,FALSE)</f>
        <v>AC + AM - 1 - AL</v>
      </c>
    </row>
    <row r="40" spans="1:48" x14ac:dyDescent="0.35">
      <c r="A40" t="s">
        <v>161</v>
      </c>
      <c r="B40" t="str">
        <f>VLOOKUP(A40,'FLUXO DE CAIXA DESC.-BLOCOS PAN'!$A$38:$B$52,2,FALSE)</f>
        <v>PORTO ALEGRE DO NORTE</v>
      </c>
      <c r="C40" t="s">
        <v>301</v>
      </c>
      <c r="D40" t="str">
        <f>VLOOKUP(A40,'CAPEX Manut. Estr_Naveg. Aérea'!$A$2:$B$38,2,FALSE)</f>
        <v>Porto Alegre do Norte</v>
      </c>
      <c r="E40" t="s">
        <v>37</v>
      </c>
      <c r="F40" t="s">
        <v>33</v>
      </c>
      <c r="G40" t="s">
        <v>34</v>
      </c>
      <c r="H40" s="7">
        <f>VLOOKUP(A40,'CAPEX Manut. Estr_PPD e Taxiway'!$A$4:$C$18,3,FALSE)+VLOOKUP(A40,'CAPEX Manut. Estr_PPD e Taxiway'!$A$4:$M$18,13,FALSE)+VLOOKUP(A40,'CAPEX Manut. Estratégicos_Pátio'!$A$6:$C$20,3,FALSE)+VLOOKUP(A40,'CAPEX Manut. Estratégicos_Pátio'!$A$6:$M$20,13,FALSE)+VLOOKUP(A40,'CAPEX Manut. Estr_Cerca Operac.'!$A$2:$F$16,6,FALSE)</f>
        <v>5958308.7485421589</v>
      </c>
      <c r="I40" s="7">
        <f>VLOOKUP(A40,'CAPEX Manut. Estr_Naveg. Aérea'!$A$2:$AB$16,28,FALSE)</f>
        <v>3546900.9514492755</v>
      </c>
      <c r="J40" s="7">
        <v>0</v>
      </c>
      <c r="K40" s="7">
        <v>0</v>
      </c>
      <c r="L40" s="7">
        <f>VLOOKUP(A40,'CAPEX Manut. Estr_PPD e Taxiway'!$A$4:$D$18,4,FALSE)+VLOOKUP(A40,'CAPEX Manut. Estratégicos_Pátio'!$A$6:$D$20,4,FALSE)</f>
        <v>9853.2099999999991</v>
      </c>
      <c r="M40" s="7">
        <v>0</v>
      </c>
      <c r="N40" s="7">
        <v>0</v>
      </c>
      <c r="O40" s="7">
        <f>VLOOKUP(A40,'CAPEX Manut. Estr_PPD e Taxiway'!$A$4:$E$18,5,FALSE)+VLOOKUP(A40,'CAPEX Manut. Estratégicos_Pátio'!$A$6:$E$20,5,FALSE)</f>
        <v>9853.2099999999991</v>
      </c>
      <c r="P40" s="7">
        <v>0</v>
      </c>
      <c r="Q40" s="7">
        <f>VLOOKUP($A40,'CAPEX Manut. Estr_PPD e Taxiway'!$A$4:$F$18,6,FALSE)+VLOOKUP(A40,'CAPEX Manut. Estratégicos_Pátio'!$A$6:$F$20,6,FALSE)</f>
        <v>3310932.62</v>
      </c>
      <c r="R40" s="7">
        <v>0</v>
      </c>
      <c r="S40" s="7">
        <v>0</v>
      </c>
      <c r="T40" s="7">
        <v>0</v>
      </c>
      <c r="U40" s="7">
        <v>0</v>
      </c>
      <c r="V40" s="7">
        <f>VLOOKUP($A40,'CAPEX Manut. Estr_PPD e Taxiway'!$A$4:$G$18,7,FALSE)+VLOOKUP($A40,'CAPEX Manut. Estratégicos_Pátio'!$A$6:$G$20,7,FALSE)</f>
        <v>9853.2099999999991</v>
      </c>
      <c r="W40" s="7">
        <v>0</v>
      </c>
      <c r="X40" s="7">
        <v>0</v>
      </c>
      <c r="Y40" s="7">
        <f>VLOOKUP($A40,'CAPEX Manut. Estr_PPD e Taxiway'!$A$4:$H$18,8,FALSE)+VLOOKUP($A40,'CAPEX Manut. Estratégicos_Pátio'!$A$6:$H$20,8,FALSE)</f>
        <v>9853.2099999999991</v>
      </c>
      <c r="Z40" s="7">
        <v>0</v>
      </c>
      <c r="AA40" s="7">
        <f>VLOOKUP($A40,'CAPEX Manut. Estr_PPD e Taxiway'!$A$4:$I$18,9,FALSE)+VLOOKUP($A40,'CAPEX Manut. Estratégicos_Pátio'!$A$6:$I$20,9,FALSE)</f>
        <v>3310932.62</v>
      </c>
      <c r="AB40" s="7">
        <v>0</v>
      </c>
      <c r="AC40" s="7">
        <v>0</v>
      </c>
      <c r="AD40" s="7">
        <v>0</v>
      </c>
      <c r="AE40" s="7">
        <v>0</v>
      </c>
      <c r="AF40" s="7">
        <f>VLOOKUP($A40,'CAPEX Manut. Estr_PPD e Taxiway'!$A$4:$J$18,10,FALSE)+VLOOKUP($A40,'CAPEX Manut. Estratégicos_Pátio'!$A$6:$J$20,10,FALSE)</f>
        <v>9853.2099999999991</v>
      </c>
      <c r="AG40" s="7">
        <v>0</v>
      </c>
      <c r="AH40" s="7">
        <v>0</v>
      </c>
      <c r="AI40" s="7">
        <f>VLOOKUP($A40,'CAPEX Manut. Estr_PPD e Taxiway'!$A$4:$K$18,11,FALSE)+VLOOKUP($A40,'CAPEX Manut. Estratégicos_Pátio'!$A$6:$K$20,11,FALSE)</f>
        <v>9853.2099999999991</v>
      </c>
      <c r="AJ40" s="7">
        <v>0</v>
      </c>
      <c r="AK40" s="7">
        <v>0</v>
      </c>
      <c r="AL40" s="7">
        <v>0</v>
      </c>
      <c r="AM40" s="1">
        <f t="shared" si="0"/>
        <v>16186194.199991442</v>
      </c>
      <c r="AN40" s="3" t="s">
        <v>171</v>
      </c>
      <c r="AO40" s="3" t="s">
        <v>171</v>
      </c>
      <c r="AP40" s="3" t="s">
        <v>171</v>
      </c>
      <c r="AQ40" s="3" t="s">
        <v>171</v>
      </c>
      <c r="AR40" s="3" t="s">
        <v>171</v>
      </c>
      <c r="AS40" s="3" t="s">
        <v>171</v>
      </c>
      <c r="AT40" s="3" t="s">
        <v>171</v>
      </c>
      <c r="AU40" s="3" t="s">
        <v>171</v>
      </c>
      <c r="AV40" t="str">
        <f>VLOOKUP(C40,'FLUXO DE CAIXA DESC.-BLOCOS PAN'!$D$3:$AO$52,38,FALSE)</f>
        <v>MT - 2 - AL</v>
      </c>
    </row>
    <row r="41" spans="1:48" x14ac:dyDescent="0.35">
      <c r="A41" t="s">
        <v>114</v>
      </c>
      <c r="B41" t="str">
        <f>VLOOKUP(A41,'FLUXO DE CAIXA DESC.-BLOCOS PAN'!$A$38:$B$52,2,FALSE)</f>
        <v>MARECHAL THAUMATURGO</v>
      </c>
      <c r="C41" t="s">
        <v>294</v>
      </c>
      <c r="D41" t="str">
        <f>VLOOKUP(A41,'CAPEX Manut. Estr_Naveg. Aérea'!$A$2:$B$38,2,FALSE)</f>
        <v>Marechal Thaumaturgo</v>
      </c>
      <c r="E41" t="s">
        <v>41</v>
      </c>
      <c r="F41" t="s">
        <v>33</v>
      </c>
      <c r="G41" t="s">
        <v>34</v>
      </c>
      <c r="H41" s="7">
        <f>VLOOKUP(A41,'CAPEX Manut. Estr_PPD e Taxiway'!$A$4:$C$18,3,FALSE)+VLOOKUP(A41,'CAPEX Manut. Estr_PPD e Taxiway'!$A$4:$M$18,13,FALSE)+VLOOKUP(A41,'CAPEX Manut. Estratégicos_Pátio'!$A$6:$C$20,3,FALSE)+VLOOKUP(A41,'CAPEX Manut. Estratégicos_Pátio'!$A$6:$M$20,13,FALSE)+VLOOKUP(A41,'CAPEX Manut. Estr_Cerca Operac.'!$A$2:$F$16,6,FALSE)</f>
        <v>3868546.62</v>
      </c>
      <c r="I41" s="7">
        <f>VLOOKUP(A41,'CAPEX Manut. Estr_Naveg. Aérea'!$A$2:$AB$16,28,FALSE)</f>
        <v>3270611.0100000002</v>
      </c>
      <c r="J41" s="7">
        <v>0</v>
      </c>
      <c r="K41" s="7">
        <v>0</v>
      </c>
      <c r="L41" s="7">
        <f>VLOOKUP(A41,'CAPEX Manut. Estr_PPD e Taxiway'!$A$4:$D$18,4,FALSE)+VLOOKUP(A41,'CAPEX Manut. Estratégicos_Pátio'!$A$6:$D$20,4,FALSE)</f>
        <v>8344.9</v>
      </c>
      <c r="M41" s="7">
        <v>0</v>
      </c>
      <c r="N41" s="7">
        <v>0</v>
      </c>
      <c r="O41" s="7">
        <f>VLOOKUP(A41,'CAPEX Manut. Estr_PPD e Taxiway'!$A$4:$E$18,5,FALSE)+VLOOKUP(A41,'CAPEX Manut. Estratégicos_Pátio'!$A$6:$E$20,5,FALSE)</f>
        <v>8344.9</v>
      </c>
      <c r="P41" s="7">
        <v>0</v>
      </c>
      <c r="Q41" s="7">
        <f>VLOOKUP($A41,'CAPEX Manut. Estr_PPD e Taxiway'!$A$4:$F$18,6,FALSE)+VLOOKUP(A41,'CAPEX Manut. Estratégicos_Pátio'!$A$6:$F$20,6,FALSE)</f>
        <v>2625646.62</v>
      </c>
      <c r="R41" s="7">
        <v>0</v>
      </c>
      <c r="S41" s="7">
        <v>0</v>
      </c>
      <c r="T41" s="7">
        <v>0</v>
      </c>
      <c r="U41" s="7">
        <v>0</v>
      </c>
      <c r="V41" s="7">
        <f>VLOOKUP($A41,'CAPEX Manut. Estr_PPD e Taxiway'!$A$4:$G$18,7,FALSE)+VLOOKUP($A41,'CAPEX Manut. Estratégicos_Pátio'!$A$6:$G$20,7,FALSE)</f>
        <v>8344.9</v>
      </c>
      <c r="W41" s="7">
        <v>0</v>
      </c>
      <c r="X41" s="7">
        <v>0</v>
      </c>
      <c r="Y41" s="7">
        <f>VLOOKUP($A41,'CAPEX Manut. Estr_PPD e Taxiway'!$A$4:$H$18,8,FALSE)+VLOOKUP($A41,'CAPEX Manut. Estratégicos_Pátio'!$A$6:$H$20,8,FALSE)</f>
        <v>8344.9</v>
      </c>
      <c r="Z41" s="7">
        <v>0</v>
      </c>
      <c r="AA41" s="7">
        <f>VLOOKUP($A41,'CAPEX Manut. Estr_PPD e Taxiway'!$A$4:$I$18,9,FALSE)+VLOOKUP($A41,'CAPEX Manut. Estratégicos_Pátio'!$A$6:$I$20,9,FALSE)</f>
        <v>2625646.62</v>
      </c>
      <c r="AB41" s="7">
        <v>0</v>
      </c>
      <c r="AC41" s="7">
        <v>0</v>
      </c>
      <c r="AD41" s="7">
        <v>0</v>
      </c>
      <c r="AE41" s="7">
        <v>0</v>
      </c>
      <c r="AF41" s="7">
        <f>VLOOKUP($A41,'CAPEX Manut. Estr_PPD e Taxiway'!$A$4:$J$18,10,FALSE)+VLOOKUP($A41,'CAPEX Manut. Estratégicos_Pátio'!$A$6:$J$20,10,FALSE)</f>
        <v>8344.9</v>
      </c>
      <c r="AG41" s="7">
        <v>0</v>
      </c>
      <c r="AH41" s="7">
        <v>0</v>
      </c>
      <c r="AI41" s="7">
        <f>VLOOKUP($A41,'CAPEX Manut. Estr_PPD e Taxiway'!$A$4:$K$18,11,FALSE)+VLOOKUP($A41,'CAPEX Manut. Estratégicos_Pátio'!$A$6:$K$20,11,FALSE)</f>
        <v>8344.9</v>
      </c>
      <c r="AJ41" s="7">
        <v>0</v>
      </c>
      <c r="AK41" s="7">
        <v>0</v>
      </c>
      <c r="AL41" s="7">
        <v>0</v>
      </c>
      <c r="AM41" s="1">
        <f t="shared" si="0"/>
        <v>12440520.270000003</v>
      </c>
      <c r="AN41" s="3" t="s">
        <v>171</v>
      </c>
      <c r="AO41" s="3" t="s">
        <v>171</v>
      </c>
      <c r="AP41" s="3" t="s">
        <v>171</v>
      </c>
      <c r="AQ41" s="3" t="s">
        <v>171</v>
      </c>
      <c r="AR41" s="3" t="s">
        <v>171</v>
      </c>
      <c r="AS41" s="3" t="s">
        <v>171</v>
      </c>
      <c r="AT41" s="3" t="s">
        <v>171</v>
      </c>
      <c r="AU41" s="3" t="s">
        <v>171</v>
      </c>
      <c r="AV41" t="str">
        <f>VLOOKUP(C41,'FLUXO DE CAIXA DESC.-BLOCOS PAN'!$D$3:$AO$52,38,FALSE)</f>
        <v>AC + AM - 1 - AL</v>
      </c>
    </row>
    <row r="42" spans="1:48" x14ac:dyDescent="0.35">
      <c r="A42" t="s">
        <v>87</v>
      </c>
      <c r="B42" t="str">
        <f>VLOOKUP(A42,'FLUXO DE CAIXA DESC.-BLOCOS PAN'!$A$38:$B$52,2,FALSE)</f>
        <v>NOVO PROGRESSO</v>
      </c>
      <c r="C42" t="s">
        <v>291</v>
      </c>
      <c r="D42" t="str">
        <f>VLOOKUP(A42,'CAPEX Manut. Estr_Naveg. Aérea'!$A$2:$B$38,2,FALSE)</f>
        <v>Novo Progresso</v>
      </c>
      <c r="E42" t="s">
        <v>29</v>
      </c>
      <c r="F42" t="s">
        <v>33</v>
      </c>
      <c r="G42" t="s">
        <v>34</v>
      </c>
      <c r="H42" s="7">
        <f>VLOOKUP(A42,'CAPEX Manut. Estr_PPD e Taxiway'!$A$4:$C$18,3,FALSE)+VLOOKUP(A42,'CAPEX Manut. Estr_PPD e Taxiway'!$A$4:$M$18,13,FALSE)+VLOOKUP(A42,'CAPEX Manut. Estratégicos_Pátio'!$A$6:$C$20,3,FALSE)+VLOOKUP(A42,'CAPEX Manut. Estratégicos_Pátio'!$A$6:$M$20,13,FALSE)+VLOOKUP(A42,'CAPEX Manut. Estr_Cerca Operac.'!$A$2:$F$16,6,FALSE)</f>
        <v>9691430.4909901991</v>
      </c>
      <c r="I42" s="7">
        <f>VLOOKUP(A42,'CAPEX Manut. Estr_Naveg. Aérea'!$A$2:$AB$16,28,FALSE)</f>
        <v>3526476.7114492757</v>
      </c>
      <c r="J42" s="7">
        <v>0</v>
      </c>
      <c r="K42" s="7">
        <v>0</v>
      </c>
      <c r="L42" s="7">
        <f>VLOOKUP(A42,'CAPEX Manut. Estr_PPD e Taxiway'!$A$4:$D$18,4,FALSE)+VLOOKUP(A42,'CAPEX Manut. Estratégicos_Pátio'!$A$6:$D$20,4,FALSE)</f>
        <v>39570.050000000003</v>
      </c>
      <c r="M42" s="7">
        <v>0</v>
      </c>
      <c r="N42" s="7">
        <v>0</v>
      </c>
      <c r="O42" s="7">
        <f>VLOOKUP(A42,'CAPEX Manut. Estr_PPD e Taxiway'!$A$4:$E$18,5,FALSE)+VLOOKUP(A42,'CAPEX Manut. Estratégicos_Pátio'!$A$6:$E$20,5,FALSE)</f>
        <v>39570.050000000003</v>
      </c>
      <c r="P42" s="7">
        <v>0</v>
      </c>
      <c r="Q42" s="7">
        <f>VLOOKUP($A42,'CAPEX Manut. Estr_PPD e Taxiway'!$A$4:$F$18,6,FALSE)+VLOOKUP(A42,'CAPEX Manut. Estratégicos_Pátio'!$A$6:$F$20,6,FALSE)</f>
        <v>5856009.6600000001</v>
      </c>
      <c r="R42" s="7">
        <v>0</v>
      </c>
      <c r="S42" s="7">
        <v>0</v>
      </c>
      <c r="T42" s="7">
        <v>0</v>
      </c>
      <c r="U42" s="7">
        <v>0</v>
      </c>
      <c r="V42" s="7">
        <f>VLOOKUP($A42,'CAPEX Manut. Estr_PPD e Taxiway'!$A$4:$G$18,7,FALSE)+VLOOKUP($A42,'CAPEX Manut. Estratégicos_Pátio'!$A$6:$G$20,7,FALSE)</f>
        <v>39570.050000000003</v>
      </c>
      <c r="W42" s="7">
        <v>0</v>
      </c>
      <c r="X42" s="7">
        <v>0</v>
      </c>
      <c r="Y42" s="7">
        <f>VLOOKUP($A42,'CAPEX Manut. Estr_PPD e Taxiway'!$A$4:$H$18,8,FALSE)+VLOOKUP($A42,'CAPEX Manut. Estratégicos_Pátio'!$A$6:$H$20,8,FALSE)</f>
        <v>39570.050000000003</v>
      </c>
      <c r="Z42" s="7">
        <v>0</v>
      </c>
      <c r="AA42" s="7">
        <f>VLOOKUP($A42,'CAPEX Manut. Estr_PPD e Taxiway'!$A$4:$I$18,9,FALSE)+VLOOKUP($A42,'CAPEX Manut. Estratégicos_Pátio'!$A$6:$I$20,9,FALSE)</f>
        <v>5856009.6600000001</v>
      </c>
      <c r="AB42" s="7">
        <v>0</v>
      </c>
      <c r="AC42" s="7">
        <v>0</v>
      </c>
      <c r="AD42" s="7">
        <v>0</v>
      </c>
      <c r="AE42" s="7">
        <v>0</v>
      </c>
      <c r="AF42" s="7">
        <f>VLOOKUP($A42,'CAPEX Manut. Estr_PPD e Taxiway'!$A$4:$J$18,10,FALSE)+VLOOKUP($A42,'CAPEX Manut. Estratégicos_Pátio'!$A$6:$J$20,10,FALSE)</f>
        <v>39570.050000000003</v>
      </c>
      <c r="AG42" s="7">
        <v>0</v>
      </c>
      <c r="AH42" s="7">
        <v>0</v>
      </c>
      <c r="AI42" s="7">
        <f>VLOOKUP($A42,'CAPEX Manut. Estr_PPD e Taxiway'!$A$4:$K$18,11,FALSE)+VLOOKUP($A42,'CAPEX Manut. Estratégicos_Pátio'!$A$6:$K$20,11,FALSE)</f>
        <v>39570.050000000003</v>
      </c>
      <c r="AJ42" s="7">
        <v>0</v>
      </c>
      <c r="AK42" s="7">
        <v>0</v>
      </c>
      <c r="AL42" s="7">
        <v>0</v>
      </c>
      <c r="AM42" s="1">
        <f t="shared" si="0"/>
        <v>25167346.822439481</v>
      </c>
      <c r="AN42" s="3" t="s">
        <v>171</v>
      </c>
      <c r="AO42" s="3" t="s">
        <v>171</v>
      </c>
      <c r="AP42" s="3" t="s">
        <v>171</v>
      </c>
      <c r="AQ42" s="3" t="s">
        <v>171</v>
      </c>
      <c r="AR42" s="3" t="s">
        <v>171</v>
      </c>
      <c r="AS42" s="3" t="s">
        <v>171</v>
      </c>
      <c r="AT42" s="3" t="s">
        <v>171</v>
      </c>
      <c r="AU42" s="3" t="s">
        <v>171</v>
      </c>
      <c r="AV42" t="str">
        <f>VLOOKUP(C42,'FLUXO DE CAIXA DESC.-BLOCOS PAN'!$D$3:$AO$52,38,FALSE)</f>
        <v>PA - 1 - AL</v>
      </c>
    </row>
    <row r="43" spans="1:48" s="49" customFormat="1" x14ac:dyDescent="0.35">
      <c r="A43" s="49" t="s">
        <v>369</v>
      </c>
      <c r="B43" s="76" t="s">
        <v>370</v>
      </c>
      <c r="C43" s="49" t="s">
        <v>371</v>
      </c>
      <c r="D43" s="49" t="s">
        <v>370</v>
      </c>
      <c r="E43" s="49" t="s">
        <v>36</v>
      </c>
      <c r="F43" s="49" t="s">
        <v>33</v>
      </c>
      <c r="G43" s="49" t="s">
        <v>34</v>
      </c>
      <c r="H43" s="86">
        <f>VLOOKUP(A43,'CAPEX Manut. Estr_PPD e Taxiway'!$A$4:$C$18,3,FALSE)+VLOOKUP(A43,'CAPEX Manut. Estr_PPD e Taxiway'!$A$4:$M$18,13,FALSE)+VLOOKUP(A43,'CAPEX Manut. Estratégicos_Pátio'!$A$6:$C$20,3,FALSE)+VLOOKUP(A43,'CAPEX Manut. Estratégicos_Pátio'!$A$6:$M$20,13,FALSE)+VLOOKUP(A43,'CAPEX Manut. Estr_Cerca Operac.'!$A$2:$F$16,6,FALSE)</f>
        <v>6513852.4838728318</v>
      </c>
      <c r="I43" s="86">
        <f>VLOOKUP(A43,'CAPEX Manut. Estr_Naveg. Aérea'!$A$2:$AB$16,28,FALSE)</f>
        <v>3270611.0100000002</v>
      </c>
      <c r="J43" s="86">
        <v>0</v>
      </c>
      <c r="K43" s="86">
        <v>0</v>
      </c>
      <c r="L43" s="86">
        <f>VLOOKUP(A43,'CAPEX Manut. Estr_PPD e Taxiway'!$A$4:$D$18,4,FALSE)+VLOOKUP(A43,'CAPEX Manut. Estratégicos_Pátio'!$A$6:$D$20,4,FALSE)</f>
        <v>10550.89</v>
      </c>
      <c r="M43" s="86">
        <v>0</v>
      </c>
      <c r="N43" s="86">
        <v>0</v>
      </c>
      <c r="O43" s="86">
        <f>VLOOKUP(A43,'CAPEX Manut. Estr_PPD e Taxiway'!$A$4:$E$18,5,FALSE)+VLOOKUP(A43,'CAPEX Manut. Estratégicos_Pátio'!$A$6:$E$20,5,FALSE)</f>
        <v>10550.89</v>
      </c>
      <c r="P43" s="86">
        <v>0</v>
      </c>
      <c r="Q43" s="86">
        <f>VLOOKUP($A43,'CAPEX Manut. Estr_PPD e Taxiway'!$A$4:$F$18,6,FALSE)+VLOOKUP(A43,'CAPEX Manut. Estratégicos_Pátio'!$A$6:$F$20,6,FALSE)</f>
        <v>3553605.23</v>
      </c>
      <c r="R43" s="86">
        <v>0</v>
      </c>
      <c r="S43" s="86">
        <v>0</v>
      </c>
      <c r="T43" s="86">
        <v>0</v>
      </c>
      <c r="U43" s="86">
        <v>0</v>
      </c>
      <c r="V43" s="86">
        <f>VLOOKUP($A43,'CAPEX Manut. Estr_PPD e Taxiway'!$A$4:$G$18,7,FALSE)+VLOOKUP($A43,'CAPEX Manut. Estratégicos_Pátio'!$A$6:$G$20,7,FALSE)</f>
        <v>10550.89</v>
      </c>
      <c r="W43" s="86">
        <v>0</v>
      </c>
      <c r="X43" s="86">
        <v>0</v>
      </c>
      <c r="Y43" s="86">
        <f>VLOOKUP($A43,'CAPEX Manut. Estr_PPD e Taxiway'!$A$4:$H$18,8,FALSE)+VLOOKUP($A43,'CAPEX Manut. Estratégicos_Pátio'!$A$6:$H$20,8,FALSE)</f>
        <v>10550.89</v>
      </c>
      <c r="Z43" s="86">
        <v>0</v>
      </c>
      <c r="AA43" s="86">
        <f>VLOOKUP($A43,'CAPEX Manut. Estr_PPD e Taxiway'!$A$4:$I$18,9,FALSE)+VLOOKUP($A43,'CAPEX Manut. Estratégicos_Pátio'!$A$6:$I$20,9,FALSE)</f>
        <v>3553605.23</v>
      </c>
      <c r="AB43" s="86">
        <v>0</v>
      </c>
      <c r="AC43" s="86">
        <v>0</v>
      </c>
      <c r="AD43" s="86">
        <v>0</v>
      </c>
      <c r="AE43" s="86">
        <v>0</v>
      </c>
      <c r="AF43" s="86">
        <f>VLOOKUP($A43,'CAPEX Manut. Estr_PPD e Taxiway'!$A$4:$J$18,10,FALSE)+VLOOKUP($A43,'CAPEX Manut. Estratégicos_Pátio'!$A$6:$J$20,10,FALSE)</f>
        <v>10550.89</v>
      </c>
      <c r="AG43" s="86">
        <v>0</v>
      </c>
      <c r="AH43" s="86">
        <v>0</v>
      </c>
      <c r="AI43" s="86">
        <f>VLOOKUP($A43,'CAPEX Manut. Estr_PPD e Taxiway'!$A$4:$K$18,11,FALSE)+VLOOKUP($A43,'CAPEX Manut. Estratégicos_Pátio'!$A$6:$K$20,11,FALSE)</f>
        <v>10550.89</v>
      </c>
      <c r="AJ43" s="86">
        <v>0</v>
      </c>
      <c r="AK43" s="86">
        <v>0</v>
      </c>
      <c r="AL43" s="86">
        <v>0</v>
      </c>
      <c r="AM43" s="72">
        <f t="shared" ref="AM43" si="1">SUM(H43:AL43)</f>
        <v>16954979.293872837</v>
      </c>
      <c r="AN43" s="73" t="s">
        <v>171</v>
      </c>
      <c r="AO43" s="73" t="s">
        <v>171</v>
      </c>
      <c r="AP43" s="73" t="s">
        <v>171</v>
      </c>
      <c r="AQ43" s="73" t="s">
        <v>171</v>
      </c>
      <c r="AR43" s="73" t="s">
        <v>171</v>
      </c>
      <c r="AS43" s="73" t="s">
        <v>171</v>
      </c>
      <c r="AT43" s="73" t="s">
        <v>171</v>
      </c>
      <c r="AU43" s="73" t="s">
        <v>171</v>
      </c>
      <c r="AV43" s="49" t="str">
        <f>VLOOKUP(C43,'FLUXO DE CAIXA DESC.-BLOCOS PAN'!$D$3:$AO$52,38,FALSE)</f>
        <v>Bloco Nordeste</v>
      </c>
    </row>
    <row r="44" spans="1:48" s="49" customFormat="1" x14ac:dyDescent="0.35">
      <c r="A44" s="49" t="s">
        <v>88</v>
      </c>
      <c r="B44" s="49" t="str">
        <f>VLOOKUP(A44,'FLUXO DE CAIXA DESC.-BLOCOS PAN'!$A$38:$B$52,2,FALSE)</f>
        <v>BACABAL</v>
      </c>
      <c r="C44" s="49" t="s">
        <v>292</v>
      </c>
      <c r="D44" s="49" t="str">
        <f>VLOOKUP(A44,'CAPEX Manut. Estr_Naveg. Aérea'!$A$2:$B$38,2,FALSE)</f>
        <v>Bacabal</v>
      </c>
      <c r="E44" s="49" t="s">
        <v>31</v>
      </c>
      <c r="F44" s="49" t="s">
        <v>33</v>
      </c>
      <c r="G44" s="49" t="s">
        <v>34</v>
      </c>
      <c r="H44" s="86">
        <f>VLOOKUP(A44,'CAPEX Manut. Estr_PPD e Taxiway'!$A$4:$C$18,3,FALSE)+VLOOKUP(A44,'CAPEX Manut. Estr_PPD e Taxiway'!$A$4:$M$18,13,FALSE)+VLOOKUP(A44,'CAPEX Manut. Estratégicos_Pátio'!$A$6:$C$20,3,FALSE)+VLOOKUP(A44,'CAPEX Manut. Estratégicos_Pátio'!$A$6:$M$20,13,FALSE)+VLOOKUP(A44,'CAPEX Manut. Estr_Cerca Operac.'!$A$2:$F$16,6,FALSE)</f>
        <v>10311382.201041181</v>
      </c>
      <c r="I44" s="86">
        <f>VLOOKUP(A44,'CAPEX Manut. Estr_Naveg. Aérea'!$A$2:$AB$16,28,FALSE)</f>
        <v>3546900.9514492755</v>
      </c>
      <c r="J44" s="86">
        <v>0</v>
      </c>
      <c r="K44" s="86">
        <v>0</v>
      </c>
      <c r="L44" s="86">
        <f>VLOOKUP(A44,'CAPEX Manut. Estr_PPD e Taxiway'!$A$4:$D$18,4,FALSE)+VLOOKUP(A44,'CAPEX Manut. Estratégicos_Pátio'!$A$6:$D$20,4,FALSE)</f>
        <v>47008.05</v>
      </c>
      <c r="M44" s="86">
        <v>0</v>
      </c>
      <c r="N44" s="86">
        <v>0</v>
      </c>
      <c r="O44" s="86">
        <f>VLOOKUP(A44,'CAPEX Manut. Estr_PPD e Taxiway'!$A$4:$E$18,5,FALSE)+VLOOKUP(A44,'CAPEX Manut. Estratégicos_Pátio'!$A$6:$E$20,5,FALSE)</f>
        <v>47008.05</v>
      </c>
      <c r="P44" s="86">
        <v>0</v>
      </c>
      <c r="Q44" s="86">
        <f>VLOOKUP($A44,'CAPEX Manut. Estr_PPD e Taxiway'!$A$4:$F$18,6,FALSE)+VLOOKUP(A44,'CAPEX Manut. Estratégicos_Pátio'!$A$6:$F$20,6,FALSE)</f>
        <v>6241707.9199999999</v>
      </c>
      <c r="R44" s="86">
        <v>0</v>
      </c>
      <c r="S44" s="86">
        <v>0</v>
      </c>
      <c r="T44" s="86">
        <v>0</v>
      </c>
      <c r="U44" s="86">
        <v>0</v>
      </c>
      <c r="V44" s="86">
        <f>VLOOKUP($A44,'CAPEX Manut. Estr_PPD e Taxiway'!$A$4:$G$18,7,FALSE)+VLOOKUP($A44,'CAPEX Manut. Estratégicos_Pátio'!$A$6:$G$20,7,FALSE)</f>
        <v>47008.05</v>
      </c>
      <c r="W44" s="86">
        <v>0</v>
      </c>
      <c r="X44" s="86">
        <v>0</v>
      </c>
      <c r="Y44" s="86">
        <f>VLOOKUP($A44,'CAPEX Manut. Estr_PPD e Taxiway'!$A$4:$H$18,8,FALSE)+VLOOKUP($A44,'CAPEX Manut. Estratégicos_Pátio'!$A$6:$H$20,8,FALSE)</f>
        <v>47008.05</v>
      </c>
      <c r="Z44" s="86">
        <v>0</v>
      </c>
      <c r="AA44" s="86">
        <f>VLOOKUP($A44,'CAPEX Manut. Estr_PPD e Taxiway'!$A$4:$I$18,9,FALSE)+VLOOKUP($A44,'CAPEX Manut. Estratégicos_Pátio'!$A$6:$I$20,9,FALSE)</f>
        <v>6241707.9199999999</v>
      </c>
      <c r="AB44" s="86">
        <v>0</v>
      </c>
      <c r="AC44" s="86">
        <v>0</v>
      </c>
      <c r="AD44" s="86">
        <v>0</v>
      </c>
      <c r="AE44" s="86">
        <v>0</v>
      </c>
      <c r="AF44" s="86">
        <f>VLOOKUP($A44,'CAPEX Manut. Estr_PPD e Taxiway'!$A$4:$J$18,10,FALSE)+VLOOKUP($A44,'CAPEX Manut. Estratégicos_Pátio'!$A$6:$J$20,10,FALSE)</f>
        <v>47008.05</v>
      </c>
      <c r="AG44" s="86">
        <v>0</v>
      </c>
      <c r="AH44" s="86">
        <v>0</v>
      </c>
      <c r="AI44" s="86">
        <f>VLOOKUP($A44,'CAPEX Manut. Estr_PPD e Taxiway'!$A$4:$K$18,11,FALSE)+VLOOKUP($A44,'CAPEX Manut. Estratégicos_Pátio'!$A$6:$K$20,11,FALSE)</f>
        <v>47008.05</v>
      </c>
      <c r="AJ44" s="86">
        <v>0</v>
      </c>
      <c r="AK44" s="86">
        <v>0</v>
      </c>
      <c r="AL44" s="86">
        <v>0</v>
      </c>
      <c r="AM44" s="72">
        <f t="shared" si="0"/>
        <v>26623747.29249046</v>
      </c>
      <c r="AN44" s="73" t="s">
        <v>171</v>
      </c>
      <c r="AO44" s="73" t="s">
        <v>171</v>
      </c>
      <c r="AP44" s="73" t="s">
        <v>171</v>
      </c>
      <c r="AQ44" s="73" t="s">
        <v>171</v>
      </c>
      <c r="AR44" s="73" t="s">
        <v>171</v>
      </c>
      <c r="AS44" s="73" t="s">
        <v>171</v>
      </c>
      <c r="AT44" s="73" t="s">
        <v>171</v>
      </c>
      <c r="AU44" s="73" t="s">
        <v>171</v>
      </c>
      <c r="AV44" s="49" t="str">
        <f>VLOOKUP(C44,'FLUXO DE CAIXA DESC.-BLOCOS PAN'!$D$3:$AO$52,38,FALSE)</f>
        <v>MA + TO - AL</v>
      </c>
    </row>
    <row r="45" spans="1:48" s="49" customFormat="1" x14ac:dyDescent="0.35">
      <c r="A45" s="49" t="s">
        <v>89</v>
      </c>
      <c r="B45" s="49" t="str">
        <f>VLOOKUP(A45,'FLUXO DE CAIXA DESC.-BLOCOS PAN'!$A$38:$B$52,2,FALSE)</f>
        <v>BALSAS</v>
      </c>
      <c r="C45" s="49" t="s">
        <v>293</v>
      </c>
      <c r="D45" s="49" t="str">
        <f>VLOOKUP(A45,'CAPEX Manut. Estr_Naveg. Aérea'!$A$2:$B$38,2,FALSE)</f>
        <v>Balsas</v>
      </c>
      <c r="E45" s="49" t="s">
        <v>31</v>
      </c>
      <c r="F45" s="49" t="s">
        <v>33</v>
      </c>
      <c r="G45" s="49" t="s">
        <v>34</v>
      </c>
      <c r="H45" s="86">
        <f>VLOOKUP(A45,'CAPEX Manut. Estr_PPD e Taxiway'!$A$4:$C$18,3,FALSE)+VLOOKUP(A45,'CAPEX Manut. Estr_PPD e Taxiway'!$A$4:$M$18,13,FALSE)+VLOOKUP(A45,'CAPEX Manut. Estratégicos_Pátio'!$A$6:$C$20,3,FALSE)+VLOOKUP(A45,'CAPEX Manut. Estratégicos_Pátio'!$A$6:$M$20,13,FALSE)+VLOOKUP(A45,'CAPEX Manut. Estr_Cerca Operac.'!$A$2:$F$16,6,FALSE)</f>
        <v>7343909.9740145616</v>
      </c>
      <c r="I45" s="86">
        <f>VLOOKUP(A45,'CAPEX Manut. Estr_Naveg. Aérea'!$A$2:$AB$16,28,FALSE)</f>
        <v>3506052.4714492755</v>
      </c>
      <c r="J45" s="86">
        <v>0</v>
      </c>
      <c r="K45" s="86">
        <v>0</v>
      </c>
      <c r="L45" s="86">
        <f>VLOOKUP(A45,'CAPEX Manut. Estr_PPD e Taxiway'!$A$4:$D$18,4,FALSE)+VLOOKUP(A45,'CAPEX Manut. Estratégicos_Pátio'!$A$6:$D$20,4,FALSE)</f>
        <v>56000.899999999994</v>
      </c>
      <c r="M45" s="86">
        <v>0</v>
      </c>
      <c r="N45" s="86">
        <v>0</v>
      </c>
      <c r="O45" s="86">
        <f>VLOOKUP(A45,'CAPEX Manut. Estr_PPD e Taxiway'!$A$4:$E$18,5,FALSE)+VLOOKUP(A45,'CAPEX Manut. Estratégicos_Pátio'!$A$6:$E$20,5,FALSE)</f>
        <v>56000.899999999994</v>
      </c>
      <c r="P45" s="86">
        <v>0</v>
      </c>
      <c r="Q45" s="86">
        <f>VLOOKUP($A45,'CAPEX Manut. Estr_PPD e Taxiway'!$A$4:$F$18,6,FALSE)+VLOOKUP(A45,'CAPEX Manut. Estratégicos_Pátio'!$A$6:$F$20,6,FALSE)</f>
        <v>4127409.25</v>
      </c>
      <c r="R45" s="86">
        <v>0</v>
      </c>
      <c r="S45" s="86">
        <v>0</v>
      </c>
      <c r="T45" s="86">
        <v>0</v>
      </c>
      <c r="U45" s="86">
        <v>0</v>
      </c>
      <c r="V45" s="86">
        <f>VLOOKUP($A45,'CAPEX Manut. Estr_PPD e Taxiway'!$A$4:$G$18,7,FALSE)+VLOOKUP($A45,'CAPEX Manut. Estratégicos_Pátio'!$A$6:$G$20,7,FALSE)</f>
        <v>56000.899999999994</v>
      </c>
      <c r="W45" s="86">
        <v>0</v>
      </c>
      <c r="X45" s="86">
        <v>0</v>
      </c>
      <c r="Y45" s="86">
        <f>VLOOKUP($A45,'CAPEX Manut. Estr_PPD e Taxiway'!$A$4:$H$18,8,FALSE)+VLOOKUP($A45,'CAPEX Manut. Estratégicos_Pátio'!$A$6:$H$20,8,FALSE)</f>
        <v>56000.899999999994</v>
      </c>
      <c r="Z45" s="86">
        <v>0</v>
      </c>
      <c r="AA45" s="86">
        <f>VLOOKUP($A45,'CAPEX Manut. Estr_PPD e Taxiway'!$A$4:$I$18,9,FALSE)+VLOOKUP($A45,'CAPEX Manut. Estratégicos_Pátio'!$A$6:$I$20,9,FALSE)</f>
        <v>4127409.25</v>
      </c>
      <c r="AB45" s="86">
        <v>0</v>
      </c>
      <c r="AC45" s="86">
        <v>0</v>
      </c>
      <c r="AD45" s="86">
        <v>0</v>
      </c>
      <c r="AE45" s="86">
        <v>0</v>
      </c>
      <c r="AF45" s="86">
        <f>VLOOKUP($A45,'CAPEX Manut. Estr_PPD e Taxiway'!$A$4:$J$18,10,FALSE)+VLOOKUP($A45,'CAPEX Manut. Estratégicos_Pátio'!$A$6:$J$20,10,FALSE)</f>
        <v>56000.899999999994</v>
      </c>
      <c r="AG45" s="86">
        <v>0</v>
      </c>
      <c r="AH45" s="86">
        <v>0</v>
      </c>
      <c r="AI45" s="86">
        <f>VLOOKUP($A45,'CAPEX Manut. Estr_PPD e Taxiway'!$A$4:$K$18,11,FALSE)+VLOOKUP($A45,'CAPEX Manut. Estratégicos_Pátio'!$A$6:$K$20,11,FALSE)</f>
        <v>56000.899999999994</v>
      </c>
      <c r="AJ45" s="86">
        <v>0</v>
      </c>
      <c r="AK45" s="86">
        <v>0</v>
      </c>
      <c r="AL45" s="86">
        <v>0</v>
      </c>
      <c r="AM45" s="72">
        <f t="shared" si="0"/>
        <v>19440786.345463835</v>
      </c>
      <c r="AN45" s="73" t="s">
        <v>171</v>
      </c>
      <c r="AO45" s="73" t="s">
        <v>171</v>
      </c>
      <c r="AP45" s="73" t="s">
        <v>171</v>
      </c>
      <c r="AQ45" s="73" t="s">
        <v>171</v>
      </c>
      <c r="AR45" s="73" t="s">
        <v>171</v>
      </c>
      <c r="AS45" s="73" t="s">
        <v>171</v>
      </c>
      <c r="AT45" s="73" t="s">
        <v>171</v>
      </c>
      <c r="AU45" s="73" t="s">
        <v>171</v>
      </c>
      <c r="AV45" s="49" t="str">
        <f>VLOOKUP(C45,'FLUXO DE CAIXA DESC.-BLOCOS PAN'!$D$3:$AO$52,38,FALSE)</f>
        <v>MA + TO - AL</v>
      </c>
    </row>
    <row r="46" spans="1:48" s="49" customFormat="1" x14ac:dyDescent="0.35">
      <c r="A46" s="49" t="s">
        <v>373</v>
      </c>
      <c r="B46" s="49" t="s">
        <v>374</v>
      </c>
      <c r="C46" s="49" t="s">
        <v>375</v>
      </c>
      <c r="D46" s="49" t="s">
        <v>374</v>
      </c>
      <c r="E46" s="49" t="s">
        <v>36</v>
      </c>
      <c r="F46" s="49" t="s">
        <v>33</v>
      </c>
      <c r="G46" s="49" t="s">
        <v>34</v>
      </c>
      <c r="H46" s="86">
        <f>VLOOKUP(A46,'CAPEX Manut. Estr_PPD e Taxiway'!$A$4:$C$18,3,FALSE)+VLOOKUP(A46,'CAPEX Manut. Estr_PPD e Taxiway'!$A$4:$M$18,13,FALSE)+VLOOKUP(A46,'CAPEX Manut. Estratégicos_Pátio'!$A$6:$C$20,3,FALSE)+VLOOKUP(A46,'CAPEX Manut. Estratégicos_Pátio'!$A$6:$M$20,13,FALSE)+VLOOKUP(A46,'CAPEX Manut. Estr_Cerca Operac.'!$A$2:$F$16,6,FALSE)</f>
        <v>6526903.6819653176</v>
      </c>
      <c r="I46" s="86">
        <f>VLOOKUP(A46,'CAPEX Manut. Estr_Naveg. Aérea'!$A$2:$AB$16,28,FALSE)</f>
        <v>3270611.0100000002</v>
      </c>
      <c r="J46" s="86">
        <v>0</v>
      </c>
      <c r="K46" s="86">
        <v>0</v>
      </c>
      <c r="L46" s="86">
        <f>VLOOKUP(A46,'CAPEX Manut. Estr_PPD e Taxiway'!$A$4:$D$18,4,FALSE)+VLOOKUP(A46,'CAPEX Manut. Estratégicos_Pátio'!$A$6:$D$20,4,FALSE)</f>
        <v>13570.26</v>
      </c>
      <c r="M46" s="86">
        <v>0</v>
      </c>
      <c r="N46" s="86">
        <v>0</v>
      </c>
      <c r="O46" s="86">
        <f>VLOOKUP(A46,'CAPEX Manut. Estr_PPD e Taxiway'!$A$4:$E$18,5,FALSE)+VLOOKUP(A46,'CAPEX Manut. Estratégicos_Pátio'!$A$6:$E$20,5,FALSE)</f>
        <v>13570.26</v>
      </c>
      <c r="P46" s="86">
        <v>0</v>
      </c>
      <c r="Q46" s="86">
        <f>VLOOKUP($A46,'CAPEX Manut. Estr_PPD e Taxiway'!$A$4:$F$18,6,FALSE)+VLOOKUP(A46,'CAPEX Manut. Estratégicos_Pátio'!$A$6:$F$20,6,FALSE)</f>
        <v>3951412.91</v>
      </c>
      <c r="R46" s="86">
        <v>0</v>
      </c>
      <c r="S46" s="86">
        <v>0</v>
      </c>
      <c r="T46" s="86">
        <v>0</v>
      </c>
      <c r="U46" s="86">
        <v>0</v>
      </c>
      <c r="V46" s="86">
        <f>VLOOKUP($A46,'CAPEX Manut. Estr_PPD e Taxiway'!$A$4:$G$18,7,FALSE)+VLOOKUP($A46,'CAPEX Manut. Estratégicos_Pátio'!$A$6:$G$20,7,FALSE)</f>
        <v>13570.26</v>
      </c>
      <c r="W46" s="86">
        <v>0</v>
      </c>
      <c r="X46" s="86">
        <v>0</v>
      </c>
      <c r="Y46" s="86">
        <f>VLOOKUP($A46,'CAPEX Manut. Estr_PPD e Taxiway'!$A$4:$H$18,8,FALSE)+VLOOKUP($A46,'CAPEX Manut. Estratégicos_Pátio'!$A$6:$H$20,8,FALSE)</f>
        <v>13570.26</v>
      </c>
      <c r="Z46" s="86">
        <v>0</v>
      </c>
      <c r="AA46" s="86">
        <f>VLOOKUP($A46,'CAPEX Manut. Estr_PPD e Taxiway'!$A$4:$I$18,9,FALSE)+VLOOKUP($A46,'CAPEX Manut. Estratégicos_Pátio'!$A$6:$I$20,9,FALSE)</f>
        <v>3951412.91</v>
      </c>
      <c r="AB46" s="86">
        <v>0</v>
      </c>
      <c r="AC46" s="86">
        <v>0</v>
      </c>
      <c r="AD46" s="86">
        <v>0</v>
      </c>
      <c r="AE46" s="86">
        <v>0</v>
      </c>
      <c r="AF46" s="86">
        <f>VLOOKUP($A46,'CAPEX Manut. Estr_PPD e Taxiway'!$A$4:$J$18,10,FALSE)+VLOOKUP($A46,'CAPEX Manut. Estratégicos_Pátio'!$A$6:$J$20,10,FALSE)</f>
        <v>13570.26</v>
      </c>
      <c r="AG46" s="86">
        <v>0</v>
      </c>
      <c r="AH46" s="86">
        <v>0</v>
      </c>
      <c r="AI46" s="86">
        <f>VLOOKUP($A46,'CAPEX Manut. Estr_PPD e Taxiway'!$A$4:$K$18,11,FALSE)+VLOOKUP($A46,'CAPEX Manut. Estratégicos_Pátio'!$A$6:$K$20,11,FALSE)</f>
        <v>13570.26</v>
      </c>
      <c r="AJ46" s="86">
        <v>0</v>
      </c>
      <c r="AK46" s="86">
        <v>0</v>
      </c>
      <c r="AL46" s="86">
        <v>0</v>
      </c>
      <c r="AM46" s="72">
        <f t="shared" ref="AM46" si="2">SUM(H46:AL46)</f>
        <v>17781762.071965322</v>
      </c>
      <c r="AN46" s="73" t="s">
        <v>171</v>
      </c>
      <c r="AO46" s="73" t="s">
        <v>171</v>
      </c>
      <c r="AP46" s="73" t="s">
        <v>171</v>
      </c>
      <c r="AQ46" s="73" t="s">
        <v>171</v>
      </c>
      <c r="AR46" s="73" t="s">
        <v>171</v>
      </c>
      <c r="AS46" s="73" t="s">
        <v>171</v>
      </c>
      <c r="AT46" s="73" t="s">
        <v>171</v>
      </c>
      <c r="AU46" s="73" t="s">
        <v>171</v>
      </c>
      <c r="AV46" s="49" t="str">
        <f>VLOOKUP(C46,'FLUXO DE CAIXA DESC.-BLOCOS PAN'!$D$3:$AO$52,38,FALSE)</f>
        <v>Bloco Nordeste</v>
      </c>
    </row>
    <row r="47" spans="1:48" x14ac:dyDescent="0.35">
      <c r="A47" t="s">
        <v>125</v>
      </c>
      <c r="B47" t="str">
        <f>VLOOKUP(A47,'FLUXO DE CAIXA DESC.-BLOCOS PAN'!$A$38:$B$52,2,FALSE)</f>
        <v>COSTA MARQUES</v>
      </c>
      <c r="C47" t="s">
        <v>295</v>
      </c>
      <c r="D47" t="str">
        <f>VLOOKUP(A47,'CAPEX Manut. Estr_Naveg. Aérea'!$A$2:$B$38,2,FALSE)</f>
        <v>Costa Marques</v>
      </c>
      <c r="E47" t="s">
        <v>30</v>
      </c>
      <c r="F47" t="s">
        <v>33</v>
      </c>
      <c r="G47" t="s">
        <v>34</v>
      </c>
      <c r="H47" s="7">
        <f>VLOOKUP(A47,'CAPEX Manut. Estr_PPD e Taxiway'!$A$4:$C$18,3,FALSE)+VLOOKUP(A47,'CAPEX Manut. Estr_PPD e Taxiway'!$A$4:$M$18,13,FALSE)+VLOOKUP(A47,'CAPEX Manut. Estratégicos_Pátio'!$A$6:$C$20,3,FALSE)+VLOOKUP(A47,'CAPEX Manut. Estratégicos_Pátio'!$A$6:$M$20,13,FALSE)+VLOOKUP(A47,'CAPEX Manut. Estr_Cerca Operac.'!$A$2:$F$16,6,FALSE)</f>
        <v>6847900.5031374535</v>
      </c>
      <c r="I47" s="7">
        <f>VLOOKUP(A47,'CAPEX Manut. Estr_Naveg. Aérea'!$A$2:$AB$16,28,FALSE)</f>
        <v>3540092.8714492754</v>
      </c>
      <c r="J47" s="7">
        <v>0</v>
      </c>
      <c r="K47" s="7">
        <v>0</v>
      </c>
      <c r="L47" s="7">
        <f>VLOOKUP(A47,'CAPEX Manut. Estr_PPD e Taxiway'!$A$4:$D$18,4,FALSE)+VLOOKUP(A47,'CAPEX Manut. Estratégicos_Pátio'!$A$6:$D$20,4,FALSE)</f>
        <v>10717.11</v>
      </c>
      <c r="M47" s="7">
        <v>0</v>
      </c>
      <c r="N47" s="7">
        <v>0</v>
      </c>
      <c r="O47" s="7">
        <f>VLOOKUP(A47,'CAPEX Manut. Estr_PPD e Taxiway'!$A$4:$E$18,5,FALSE)+VLOOKUP(A47,'CAPEX Manut. Estratégicos_Pátio'!$A$6:$E$20,5,FALSE)</f>
        <v>10717.11</v>
      </c>
      <c r="P47" s="7">
        <v>0</v>
      </c>
      <c r="Q47" s="7">
        <f>VLOOKUP($A47,'CAPEX Manut. Estr_PPD e Taxiway'!$A$4:$F$18,6,FALSE)+VLOOKUP(A47,'CAPEX Manut. Estratégicos_Pátio'!$A$6:$F$20,6,FALSE)</f>
        <v>3821787.43</v>
      </c>
      <c r="R47" s="7">
        <v>0</v>
      </c>
      <c r="S47" s="7">
        <v>0</v>
      </c>
      <c r="T47" s="7">
        <v>0</v>
      </c>
      <c r="U47" s="7">
        <v>0</v>
      </c>
      <c r="V47" s="7">
        <f>VLOOKUP($A47,'CAPEX Manut. Estr_PPD e Taxiway'!$A$4:$G$18,7,FALSE)+VLOOKUP($A47,'CAPEX Manut. Estratégicos_Pátio'!$A$6:$G$20,7,FALSE)</f>
        <v>10717.11</v>
      </c>
      <c r="W47" s="7">
        <v>0</v>
      </c>
      <c r="X47" s="7">
        <v>0</v>
      </c>
      <c r="Y47" s="7">
        <f>VLOOKUP($A47,'CAPEX Manut. Estr_PPD e Taxiway'!$A$4:$H$18,8,FALSE)+VLOOKUP($A47,'CAPEX Manut. Estratégicos_Pátio'!$A$6:$H$20,8,FALSE)</f>
        <v>10717.11</v>
      </c>
      <c r="Z47" s="7">
        <v>0</v>
      </c>
      <c r="AA47" s="7">
        <f>VLOOKUP($A47,'CAPEX Manut. Estr_PPD e Taxiway'!$A$4:$I$18,9,FALSE)+VLOOKUP($A47,'CAPEX Manut. Estratégicos_Pátio'!$A$6:$I$20,9,FALSE)</f>
        <v>3821787.43</v>
      </c>
      <c r="AB47" s="7">
        <v>0</v>
      </c>
      <c r="AC47" s="7">
        <v>0</v>
      </c>
      <c r="AD47" s="7">
        <v>0</v>
      </c>
      <c r="AE47" s="7">
        <v>0</v>
      </c>
      <c r="AF47" s="7">
        <f>VLOOKUP($A47,'CAPEX Manut. Estr_PPD e Taxiway'!$A$4:$J$18,10,FALSE)+VLOOKUP($A47,'CAPEX Manut. Estratégicos_Pátio'!$A$6:$J$20,10,FALSE)</f>
        <v>10717.11</v>
      </c>
      <c r="AG47" s="7">
        <v>0</v>
      </c>
      <c r="AH47" s="7">
        <v>0</v>
      </c>
      <c r="AI47" s="7">
        <f>VLOOKUP($A47,'CAPEX Manut. Estr_PPD e Taxiway'!$A$4:$K$18,11,FALSE)+VLOOKUP($A47,'CAPEX Manut. Estratégicos_Pátio'!$A$6:$K$20,11,FALSE)</f>
        <v>10717.11</v>
      </c>
      <c r="AJ47" s="7">
        <v>0</v>
      </c>
      <c r="AK47" s="7">
        <v>0</v>
      </c>
      <c r="AL47" s="7">
        <v>0</v>
      </c>
      <c r="AM47" s="1">
        <f t="shared" si="0"/>
        <v>18095870.894586727</v>
      </c>
      <c r="AN47" s="3" t="s">
        <v>171</v>
      </c>
      <c r="AO47" s="3" t="s">
        <v>171</v>
      </c>
      <c r="AP47" s="3" t="s">
        <v>171</v>
      </c>
      <c r="AQ47" s="3" t="s">
        <v>171</v>
      </c>
      <c r="AR47" s="3" t="s">
        <v>171</v>
      </c>
      <c r="AS47" s="3" t="s">
        <v>171</v>
      </c>
      <c r="AT47" s="3" t="s">
        <v>171</v>
      </c>
      <c r="AU47" s="3" t="s">
        <v>171</v>
      </c>
      <c r="AV47" t="str">
        <f>VLOOKUP(C47,'FLUXO DE CAIXA DESC.-BLOCOS PAN'!$D$3:$AO$52,38,FALSE)</f>
        <v>RO - 1 - AL</v>
      </c>
    </row>
    <row r="48" spans="1:48" x14ac:dyDescent="0.35">
      <c r="A48" t="s">
        <v>134</v>
      </c>
      <c r="B48" t="str">
        <f>VLOOKUP(A48,'FLUXO DE CAIXA DESC.-BLOCOS PAN'!$A$38:$B$52,2,FALSE)</f>
        <v>IPIRANGA</v>
      </c>
      <c r="C48" t="s">
        <v>296</v>
      </c>
      <c r="D48" t="str">
        <f>VLOOKUP(A48,'CAPEX Manut. Estr_Naveg. Aérea'!$A$2:$B$38,2,FALSE)</f>
        <v>Santo Antônio do Içá</v>
      </c>
      <c r="E48" t="s">
        <v>35</v>
      </c>
      <c r="F48" t="s">
        <v>33</v>
      </c>
      <c r="G48" t="s">
        <v>34</v>
      </c>
      <c r="H48" s="7">
        <f>VLOOKUP(A48,'CAPEX Manut. Estr_PPD e Taxiway'!$A$4:$C$18,3,FALSE)+VLOOKUP(A48,'CAPEX Manut. Estr_PPD e Taxiway'!$A$4:$M$18,13,FALSE)+VLOOKUP(A48,'CAPEX Manut. Estratégicos_Pátio'!$A$6:$C$20,3,FALSE)+VLOOKUP(A48,'CAPEX Manut. Estratégicos_Pátio'!$A$6:$M$20,13,FALSE)+VLOOKUP(A48,'CAPEX Manut. Estr_Cerca Operac.'!$A$2:$F$16,6,FALSE)</f>
        <v>9003331.3373421654</v>
      </c>
      <c r="I48" s="7">
        <f>VLOOKUP(A48,'CAPEX Manut. Estr_Naveg. Aérea'!$A$2:$AB$16,28,FALSE)</f>
        <v>3540092.8714492754</v>
      </c>
      <c r="J48" s="7">
        <v>0</v>
      </c>
      <c r="K48" s="7">
        <v>0</v>
      </c>
      <c r="L48" s="7">
        <f>VLOOKUP(A48,'CAPEX Manut. Estr_PPD e Taxiway'!$A$4:$D$18,4,FALSE)+VLOOKUP(A48,'CAPEX Manut. Estratégicos_Pátio'!$A$6:$D$20,4,FALSE)</f>
        <v>16036.88</v>
      </c>
      <c r="M48" s="7">
        <v>0</v>
      </c>
      <c r="N48" s="7">
        <v>0</v>
      </c>
      <c r="O48" s="7">
        <f>VLOOKUP(A48,'CAPEX Manut. Estr_PPD e Taxiway'!$A$4:$E$18,5,FALSE)+VLOOKUP(A48,'CAPEX Manut. Estratégicos_Pátio'!$A$6:$E$20,5,FALSE)</f>
        <v>16036.88</v>
      </c>
      <c r="P48" s="7">
        <v>0</v>
      </c>
      <c r="Q48" s="7">
        <f>VLOOKUP($A48,'CAPEX Manut. Estr_PPD e Taxiway'!$A$4:$F$18,6,FALSE)+VLOOKUP(A48,'CAPEX Manut. Estratégicos_Pátio'!$A$6:$F$20,6,FALSE)</f>
        <v>5548182.9199999999</v>
      </c>
      <c r="R48" s="7">
        <v>0</v>
      </c>
      <c r="S48" s="7">
        <v>0</v>
      </c>
      <c r="T48" s="7">
        <v>0</v>
      </c>
      <c r="U48" s="7">
        <v>0</v>
      </c>
      <c r="V48" s="7">
        <f>VLOOKUP($A48,'CAPEX Manut. Estr_PPD e Taxiway'!$A$4:$G$18,7,FALSE)+VLOOKUP($A48,'CAPEX Manut. Estratégicos_Pátio'!$A$6:$G$20,7,FALSE)</f>
        <v>16036.88</v>
      </c>
      <c r="W48" s="7">
        <v>0</v>
      </c>
      <c r="X48" s="7">
        <v>0</v>
      </c>
      <c r="Y48" s="7">
        <f>VLOOKUP($A48,'CAPEX Manut. Estr_PPD e Taxiway'!$A$4:$H$18,8,FALSE)+VLOOKUP($A48,'CAPEX Manut. Estratégicos_Pátio'!$A$6:$H$20,8,FALSE)</f>
        <v>16036.88</v>
      </c>
      <c r="Z48" s="7">
        <v>0</v>
      </c>
      <c r="AA48" s="7">
        <f>VLOOKUP($A48,'CAPEX Manut. Estr_PPD e Taxiway'!$A$4:$I$18,9,FALSE)+VLOOKUP($A48,'CAPEX Manut. Estratégicos_Pátio'!$A$6:$I$20,9,FALSE)</f>
        <v>5548182.9199999999</v>
      </c>
      <c r="AB48" s="7">
        <v>0</v>
      </c>
      <c r="AC48" s="7">
        <v>0</v>
      </c>
      <c r="AD48" s="7">
        <v>0</v>
      </c>
      <c r="AE48" s="7">
        <v>0</v>
      </c>
      <c r="AF48" s="7">
        <f>VLOOKUP($A48,'CAPEX Manut. Estr_PPD e Taxiway'!$A$4:$J$18,10,FALSE)+VLOOKUP($A48,'CAPEX Manut. Estratégicos_Pátio'!$A$6:$J$20,10,FALSE)</f>
        <v>16036.88</v>
      </c>
      <c r="AG48" s="7">
        <v>0</v>
      </c>
      <c r="AH48" s="7">
        <v>0</v>
      </c>
      <c r="AI48" s="7">
        <f>VLOOKUP($A48,'CAPEX Manut. Estr_PPD e Taxiway'!$A$4:$K$18,11,FALSE)+VLOOKUP($A48,'CAPEX Manut. Estratégicos_Pátio'!$A$6:$K$20,11,FALSE)</f>
        <v>16036.88</v>
      </c>
      <c r="AJ48" s="7">
        <v>0</v>
      </c>
      <c r="AK48" s="7">
        <v>0</v>
      </c>
      <c r="AL48" s="7">
        <v>0</v>
      </c>
      <c r="AM48" s="1">
        <f t="shared" si="0"/>
        <v>23736011.32879144</v>
      </c>
      <c r="AN48" s="3" t="s">
        <v>171</v>
      </c>
      <c r="AO48" s="3" t="s">
        <v>171</v>
      </c>
      <c r="AP48" s="3" t="s">
        <v>171</v>
      </c>
      <c r="AQ48" s="3" t="s">
        <v>171</v>
      </c>
      <c r="AR48" s="3" t="s">
        <v>171</v>
      </c>
      <c r="AS48" s="3" t="s">
        <v>171</v>
      </c>
      <c r="AT48" s="3" t="s">
        <v>171</v>
      </c>
      <c r="AU48" s="3" t="s">
        <v>171</v>
      </c>
      <c r="AV48" t="str">
        <f>VLOOKUP(C48,'FLUXO DE CAIXA DESC.-BLOCOS PAN'!$D$3:$AO$52,38,FALSE)</f>
        <v>AC + AM - 1 - AL</v>
      </c>
    </row>
    <row r="49" spans="1:48" x14ac:dyDescent="0.35">
      <c r="A49" t="s">
        <v>151</v>
      </c>
      <c r="B49" t="str">
        <f>VLOOKUP(A49,'FLUXO DE CAIXA DESC.-BLOCOS PAN'!$A$38:$B$52,2,FALSE)</f>
        <v>FONTE BOA</v>
      </c>
      <c r="C49" t="s">
        <v>297</v>
      </c>
      <c r="D49" t="str">
        <f>VLOOKUP(A49,'CAPEX Manut. Estr_Naveg. Aérea'!$A$2:$B$38,2,FALSE)</f>
        <v>Fonte Boa</v>
      </c>
      <c r="E49" t="s">
        <v>35</v>
      </c>
      <c r="F49" t="s">
        <v>33</v>
      </c>
      <c r="G49" t="s">
        <v>34</v>
      </c>
      <c r="H49" s="7">
        <f>VLOOKUP(A49,'CAPEX Manut. Estr_PPD e Taxiway'!$A$4:$C$18,3,FALSE)+VLOOKUP(A49,'CAPEX Manut. Estr_PPD e Taxiway'!$A$4:$M$18,13,FALSE)+VLOOKUP(A49,'CAPEX Manut. Estratégicos_Pátio'!$A$6:$C$20,3,FALSE)+VLOOKUP(A49,'CAPEX Manut. Estratégicos_Pátio'!$A$6:$M$20,13,FALSE)+VLOOKUP(A49,'CAPEX Manut. Estr_Cerca Operac.'!$A$2:$F$16,6,FALSE)</f>
        <v>7361034.3783648862</v>
      </c>
      <c r="I49" s="7">
        <f>VLOOKUP(A49,'CAPEX Manut. Estr_Naveg. Aérea'!$A$2:$AB$16,28,FALSE)</f>
        <v>3526476.7114492757</v>
      </c>
      <c r="J49" s="7">
        <v>0</v>
      </c>
      <c r="K49" s="7">
        <v>0</v>
      </c>
      <c r="L49" s="7">
        <f>VLOOKUP(A49,'CAPEX Manut. Estr_PPD e Taxiway'!$A$4:$D$18,4,FALSE)+VLOOKUP(A49,'CAPEX Manut. Estratégicos_Pátio'!$A$6:$D$20,4,FALSE)</f>
        <v>14592.11</v>
      </c>
      <c r="M49" s="7">
        <v>0</v>
      </c>
      <c r="N49" s="7">
        <v>0</v>
      </c>
      <c r="O49" s="7">
        <f>VLOOKUP(A49,'CAPEX Manut. Estr_PPD e Taxiway'!$A$4:$E$18,5,FALSE)+VLOOKUP(A49,'CAPEX Manut. Estratégicos_Pátio'!$A$6:$E$20,5,FALSE)</f>
        <v>14592.11</v>
      </c>
      <c r="P49" s="7">
        <v>0</v>
      </c>
      <c r="Q49" s="7">
        <f>VLOOKUP($A49,'CAPEX Manut. Estr_PPD e Taxiway'!$A$4:$F$18,6,FALSE)+VLOOKUP(A49,'CAPEX Manut. Estratégicos_Pátio'!$A$6:$F$20,6,FALSE)</f>
        <v>4275828.3099999996</v>
      </c>
      <c r="R49" s="7">
        <v>0</v>
      </c>
      <c r="S49" s="7">
        <v>0</v>
      </c>
      <c r="T49" s="7">
        <v>0</v>
      </c>
      <c r="U49" s="7">
        <v>0</v>
      </c>
      <c r="V49" s="7">
        <f>VLOOKUP($A49,'CAPEX Manut. Estr_PPD e Taxiway'!$A$4:$G$18,7,FALSE)+VLOOKUP($A49,'CAPEX Manut. Estratégicos_Pátio'!$A$6:$G$20,7,FALSE)</f>
        <v>14592.11</v>
      </c>
      <c r="W49" s="7">
        <v>0</v>
      </c>
      <c r="X49" s="7">
        <v>0</v>
      </c>
      <c r="Y49" s="7">
        <f>VLOOKUP($A49,'CAPEX Manut. Estr_PPD e Taxiway'!$A$4:$H$18,8,FALSE)+VLOOKUP($A49,'CAPEX Manut. Estratégicos_Pátio'!$A$6:$H$20,8,FALSE)</f>
        <v>14592.11</v>
      </c>
      <c r="Z49" s="7">
        <v>0</v>
      </c>
      <c r="AA49" s="7">
        <f>VLOOKUP($A49,'CAPEX Manut. Estr_PPD e Taxiway'!$A$4:$I$18,9,FALSE)+VLOOKUP($A49,'CAPEX Manut. Estratégicos_Pátio'!$A$6:$I$20,9,FALSE)</f>
        <v>4275828.3099999996</v>
      </c>
      <c r="AB49" s="7">
        <v>0</v>
      </c>
      <c r="AC49" s="7">
        <v>0</v>
      </c>
      <c r="AD49" s="7">
        <v>0</v>
      </c>
      <c r="AE49" s="7">
        <v>0</v>
      </c>
      <c r="AF49" s="7">
        <f>VLOOKUP($A49,'CAPEX Manut. Estr_PPD e Taxiway'!$A$4:$J$18,10,FALSE)+VLOOKUP($A49,'CAPEX Manut. Estratégicos_Pátio'!$A$6:$J$20,10,FALSE)</f>
        <v>14592.11</v>
      </c>
      <c r="AG49" s="7">
        <v>0</v>
      </c>
      <c r="AH49" s="7">
        <v>0</v>
      </c>
      <c r="AI49" s="7">
        <f>VLOOKUP($A49,'CAPEX Manut. Estr_PPD e Taxiway'!$A$4:$K$18,11,FALSE)+VLOOKUP($A49,'CAPEX Manut. Estratégicos_Pátio'!$A$6:$K$20,11,FALSE)</f>
        <v>14592.11</v>
      </c>
      <c r="AJ49" s="7">
        <v>0</v>
      </c>
      <c r="AK49" s="7">
        <v>0</v>
      </c>
      <c r="AL49" s="7">
        <v>0</v>
      </c>
      <c r="AM49" s="1">
        <f t="shared" si="0"/>
        <v>19526720.369814157</v>
      </c>
      <c r="AN49" s="3" t="s">
        <v>171</v>
      </c>
      <c r="AO49" s="3" t="s">
        <v>171</v>
      </c>
      <c r="AP49" s="3" t="s">
        <v>171</v>
      </c>
      <c r="AQ49" s="3" t="s">
        <v>171</v>
      </c>
      <c r="AR49" s="3" t="s">
        <v>171</v>
      </c>
      <c r="AS49" s="3" t="s">
        <v>171</v>
      </c>
      <c r="AT49" s="3" t="s">
        <v>171</v>
      </c>
      <c r="AU49" s="3" t="s">
        <v>171</v>
      </c>
      <c r="AV49" t="str">
        <f>VLOOKUP(C49,'FLUXO DE CAIXA DESC.-BLOCOS PAN'!$D$3:$AO$52,38,FALSE)</f>
        <v>AM - 2 - AL</v>
      </c>
    </row>
    <row r="50" spans="1:48" x14ac:dyDescent="0.35">
      <c r="A50" t="s">
        <v>155</v>
      </c>
      <c r="B50" t="str">
        <f>VLOOKUP(A50,'FLUXO DE CAIXA DESC.-BLOCOS PAN'!$A$38:$B$52,2,FALSE)</f>
        <v>PRIMAVERA DO LESTE</v>
      </c>
      <c r="C50" t="s">
        <v>298</v>
      </c>
      <c r="D50" t="str">
        <f>VLOOKUP(A50,'CAPEX Manut. Estr_Naveg. Aérea'!$A$2:$B$38,2,FALSE)</f>
        <v>Primavera do Leste</v>
      </c>
      <c r="E50" t="s">
        <v>37</v>
      </c>
      <c r="F50" t="s">
        <v>33</v>
      </c>
      <c r="G50" t="s">
        <v>34</v>
      </c>
      <c r="H50" s="7">
        <f>VLOOKUP(A50,'CAPEX Manut. Estr_PPD e Taxiway'!$A$4:$C$18,3,FALSE)+VLOOKUP(A50,'CAPEX Manut. Estr_PPD e Taxiway'!$A$4:$M$18,13,FALSE)+VLOOKUP(A50,'CAPEX Manut. Estratégicos_Pátio'!$A$6:$C$20,3,FALSE)+VLOOKUP(A50,'CAPEX Manut. Estratégicos_Pátio'!$A$6:$M$20,13,FALSE)+VLOOKUP(A50,'CAPEX Manut. Estr_Cerca Operac.'!$A$2:$F$16,6,FALSE)</f>
        <v>6033679.9298124481</v>
      </c>
      <c r="I50" s="7">
        <f>VLOOKUP(A50,'CAPEX Manut. Estr_Naveg. Aérea'!$A$2:$AB$16,28,FALSE)</f>
        <v>3270611.0100000002</v>
      </c>
      <c r="J50" s="7">
        <v>0</v>
      </c>
      <c r="K50" s="7">
        <v>0</v>
      </c>
      <c r="L50" s="7">
        <f>VLOOKUP(A50,'CAPEX Manut. Estr_PPD e Taxiway'!$A$4:$D$18,4,FALSE)+VLOOKUP(A50,'CAPEX Manut. Estratégicos_Pátio'!$A$6:$D$20,4,FALSE)</f>
        <v>33316.160000000003</v>
      </c>
      <c r="M50" s="7">
        <v>0</v>
      </c>
      <c r="N50" s="7">
        <v>0</v>
      </c>
      <c r="O50" s="7">
        <f>VLOOKUP(A50,'CAPEX Manut. Estr_PPD e Taxiway'!$A$4:$E$18,5,FALSE)+VLOOKUP(A50,'CAPEX Manut. Estratégicos_Pátio'!$A$6:$E$20,5,FALSE)</f>
        <v>33316.160000000003</v>
      </c>
      <c r="P50" s="7">
        <v>0</v>
      </c>
      <c r="Q50" s="7">
        <f>VLOOKUP($A50,'CAPEX Manut. Estr_PPD e Taxiway'!$A$4:$F$18,6,FALSE)+VLOOKUP(A50,'CAPEX Manut. Estratégicos_Pátio'!$A$6:$F$20,6,FALSE)</f>
        <v>3899542.86</v>
      </c>
      <c r="R50" s="7">
        <v>0</v>
      </c>
      <c r="S50" s="7">
        <v>0</v>
      </c>
      <c r="T50" s="7">
        <v>0</v>
      </c>
      <c r="U50" s="7">
        <v>0</v>
      </c>
      <c r="V50" s="7">
        <f>VLOOKUP($A50,'CAPEX Manut. Estr_PPD e Taxiway'!$A$4:$G$18,7,FALSE)+VLOOKUP($A50,'CAPEX Manut. Estratégicos_Pátio'!$A$6:$G$20,7,FALSE)</f>
        <v>33316.160000000003</v>
      </c>
      <c r="W50" s="7">
        <v>0</v>
      </c>
      <c r="X50" s="7">
        <v>0</v>
      </c>
      <c r="Y50" s="7">
        <f>VLOOKUP($A50,'CAPEX Manut. Estr_PPD e Taxiway'!$A$4:$H$18,8,FALSE)+VLOOKUP($A50,'CAPEX Manut. Estratégicos_Pátio'!$A$6:$H$20,8,FALSE)</f>
        <v>33316.160000000003</v>
      </c>
      <c r="Z50" s="7">
        <v>0</v>
      </c>
      <c r="AA50" s="7">
        <f>VLOOKUP($A50,'CAPEX Manut. Estr_PPD e Taxiway'!$A$4:$I$18,9,FALSE)+VLOOKUP($A50,'CAPEX Manut. Estratégicos_Pátio'!$A$6:$I$20,9,FALSE)</f>
        <v>3899542.86</v>
      </c>
      <c r="AB50" s="7">
        <v>0</v>
      </c>
      <c r="AC50" s="7">
        <v>0</v>
      </c>
      <c r="AD50" s="7">
        <v>0</v>
      </c>
      <c r="AE50" s="7">
        <v>0</v>
      </c>
      <c r="AF50" s="7">
        <f>VLOOKUP($A50,'CAPEX Manut. Estr_PPD e Taxiway'!$A$4:$J$18,10,FALSE)+VLOOKUP($A50,'CAPEX Manut. Estratégicos_Pátio'!$A$6:$J$20,10,FALSE)</f>
        <v>33316.160000000003</v>
      </c>
      <c r="AG50" s="7">
        <v>0</v>
      </c>
      <c r="AH50" s="7">
        <v>0</v>
      </c>
      <c r="AI50" s="7">
        <f>VLOOKUP($A50,'CAPEX Manut. Estr_PPD e Taxiway'!$A$4:$K$18,11,FALSE)+VLOOKUP($A50,'CAPEX Manut. Estratégicos_Pátio'!$A$6:$K$20,11,FALSE)</f>
        <v>33316.160000000003</v>
      </c>
      <c r="AJ50" s="7">
        <v>0</v>
      </c>
      <c r="AK50" s="7">
        <v>0</v>
      </c>
      <c r="AL50" s="7">
        <v>0</v>
      </c>
      <c r="AM50" s="1">
        <f t="shared" si="0"/>
        <v>17303273.619812448</v>
      </c>
      <c r="AN50" s="3" t="s">
        <v>171</v>
      </c>
      <c r="AO50" s="3" t="s">
        <v>171</v>
      </c>
      <c r="AP50" s="3" t="s">
        <v>171</v>
      </c>
      <c r="AQ50" s="3" t="s">
        <v>171</v>
      </c>
      <c r="AR50" s="3" t="s">
        <v>171</v>
      </c>
      <c r="AS50" s="3" t="s">
        <v>171</v>
      </c>
      <c r="AT50" s="3" t="s">
        <v>171</v>
      </c>
      <c r="AU50" s="3" t="s">
        <v>171</v>
      </c>
      <c r="AV50" t="str">
        <f>VLOOKUP(C50,'FLUXO DE CAIXA DESC.-BLOCOS PAN'!$D$3:$AO$52,38,FALSE)</f>
        <v>MT - 2 - AL</v>
      </c>
    </row>
    <row r="51" spans="1:48" x14ac:dyDescent="0.35">
      <c r="A51" t="s">
        <v>156</v>
      </c>
      <c r="B51" t="str">
        <f>VLOOKUP(A51,'FLUXO DE CAIXA DESC.-BLOCOS PAN'!$A$38:$B$52,2,FALSE)</f>
        <v>SANTA ISABEL DO RIO NEGRO</v>
      </c>
      <c r="C51" t="s">
        <v>299</v>
      </c>
      <c r="D51" t="str">
        <f>VLOOKUP(A51,'CAPEX Manut. Estr_Naveg. Aérea'!$A$2:$B$38,2,FALSE)</f>
        <v>Santa Isabel do Rio Negro</v>
      </c>
      <c r="E51" t="s">
        <v>35</v>
      </c>
      <c r="F51" t="s">
        <v>33</v>
      </c>
      <c r="G51" t="s">
        <v>34</v>
      </c>
      <c r="H51" s="7">
        <f>VLOOKUP(A51,'CAPEX Manut. Estr_PPD e Taxiway'!$A$4:$C$18,3,FALSE)+VLOOKUP(A51,'CAPEX Manut. Estr_PPD e Taxiway'!$A$4:$M$18,13,FALSE)+VLOOKUP(A51,'CAPEX Manut. Estratégicos_Pátio'!$A$6:$C$20,3,FALSE)+VLOOKUP(A51,'CAPEX Manut. Estratégicos_Pátio'!$A$6:$M$20,13,FALSE)+VLOOKUP(A51,'CAPEX Manut. Estr_Cerca Operac.'!$A$2:$F$16,6,FALSE)</f>
        <v>7519256.9116827473</v>
      </c>
      <c r="I51" s="7">
        <f>VLOOKUP(A51,'CAPEX Manut. Estr_Naveg. Aérea'!$A$2:$AB$16,28,FALSE)</f>
        <v>3519668.6314492757</v>
      </c>
      <c r="J51" s="7">
        <v>0</v>
      </c>
      <c r="K51" s="7">
        <v>0</v>
      </c>
      <c r="L51" s="7">
        <f>VLOOKUP(A51,'CAPEX Manut. Estr_PPD e Taxiway'!$A$4:$D$18,4,FALSE)+VLOOKUP(A51,'CAPEX Manut. Estratégicos_Pátio'!$A$6:$D$20,4,FALSE)</f>
        <v>14064.77</v>
      </c>
      <c r="M51" s="7">
        <v>0</v>
      </c>
      <c r="N51" s="7">
        <v>0</v>
      </c>
      <c r="O51" s="7">
        <f>VLOOKUP(A51,'CAPEX Manut. Estr_PPD e Taxiway'!$A$4:$E$18,5,FALSE)+VLOOKUP(A51,'CAPEX Manut. Estratégicos_Pátio'!$A$6:$E$20,5,FALSE)</f>
        <v>14064.77</v>
      </c>
      <c r="P51" s="7">
        <v>0</v>
      </c>
      <c r="Q51" s="7">
        <f>VLOOKUP($A51,'CAPEX Manut. Estr_PPD e Taxiway'!$A$4:$F$18,6,FALSE)+VLOOKUP(A51,'CAPEX Manut. Estratégicos_Pátio'!$A$6:$F$20,6,FALSE)</f>
        <v>4479405.05</v>
      </c>
      <c r="R51" s="7">
        <v>0</v>
      </c>
      <c r="S51" s="7">
        <v>0</v>
      </c>
      <c r="T51" s="7">
        <v>0</v>
      </c>
      <c r="U51" s="7">
        <v>0</v>
      </c>
      <c r="V51" s="7">
        <f>VLOOKUP($A51,'CAPEX Manut. Estr_PPD e Taxiway'!$A$4:$G$18,7,FALSE)+VLOOKUP($A51,'CAPEX Manut. Estratégicos_Pátio'!$A$6:$G$20,7,FALSE)</f>
        <v>14064.77</v>
      </c>
      <c r="W51" s="7">
        <v>0</v>
      </c>
      <c r="X51" s="7">
        <v>0</v>
      </c>
      <c r="Y51" s="7">
        <f>VLOOKUP($A51,'CAPEX Manut. Estr_PPD e Taxiway'!$A$4:$H$18,8,FALSE)+VLOOKUP($A51,'CAPEX Manut. Estratégicos_Pátio'!$A$6:$H$20,8,FALSE)</f>
        <v>14064.77</v>
      </c>
      <c r="Z51" s="7">
        <v>0</v>
      </c>
      <c r="AA51" s="7">
        <f>VLOOKUP($A51,'CAPEX Manut. Estr_PPD e Taxiway'!$A$4:$I$18,9,FALSE)+VLOOKUP($A51,'CAPEX Manut. Estratégicos_Pátio'!$A$6:$I$20,9,FALSE)</f>
        <v>4479405.05</v>
      </c>
      <c r="AB51" s="7">
        <v>0</v>
      </c>
      <c r="AC51" s="7">
        <v>0</v>
      </c>
      <c r="AD51" s="7">
        <v>0</v>
      </c>
      <c r="AE51" s="7">
        <v>0</v>
      </c>
      <c r="AF51" s="7">
        <f>VLOOKUP($A51,'CAPEX Manut. Estr_PPD e Taxiway'!$A$4:$J$18,10,FALSE)+VLOOKUP($A51,'CAPEX Manut. Estratégicos_Pátio'!$A$6:$J$20,10,FALSE)</f>
        <v>14064.77</v>
      </c>
      <c r="AG51" s="7">
        <v>0</v>
      </c>
      <c r="AH51" s="7">
        <v>0</v>
      </c>
      <c r="AI51" s="7">
        <f>VLOOKUP($A51,'CAPEX Manut. Estr_PPD e Taxiway'!$A$4:$K$18,11,FALSE)+VLOOKUP($A51,'CAPEX Manut. Estratégicos_Pátio'!$A$6:$K$20,11,FALSE)</f>
        <v>14064.77</v>
      </c>
      <c r="AJ51" s="7">
        <v>0</v>
      </c>
      <c r="AK51" s="7">
        <v>0</v>
      </c>
      <c r="AL51" s="7">
        <v>0</v>
      </c>
      <c r="AM51" s="1">
        <f t="shared" si="0"/>
        <v>20082124.263132021</v>
      </c>
      <c r="AN51" s="3" t="s">
        <v>171</v>
      </c>
      <c r="AO51" s="3" t="s">
        <v>171</v>
      </c>
      <c r="AP51" s="3" t="s">
        <v>171</v>
      </c>
      <c r="AQ51" s="3" t="s">
        <v>171</v>
      </c>
      <c r="AR51" s="3" t="s">
        <v>171</v>
      </c>
      <c r="AS51" s="3" t="s">
        <v>171</v>
      </c>
      <c r="AT51" s="3" t="s">
        <v>171</v>
      </c>
      <c r="AU51" s="3" t="s">
        <v>171</v>
      </c>
      <c r="AV51" t="str">
        <f>VLOOKUP(C51,'FLUXO DE CAIXA DESC.-BLOCOS PAN'!$D$3:$AO$52,38,FALSE)</f>
        <v>AM - 2 - AL</v>
      </c>
    </row>
    <row r="52" spans="1:48" x14ac:dyDescent="0.35">
      <c r="A52" t="s">
        <v>160</v>
      </c>
      <c r="B52" t="str">
        <f>VLOOKUP(A52,'FLUXO DE CAIXA DESC.-BLOCOS PAN'!$A$38:$B$52,2,FALSE)</f>
        <v>APUÍ</v>
      </c>
      <c r="C52" t="s">
        <v>300</v>
      </c>
      <c r="D52" t="str">
        <f>VLOOKUP(A52,'CAPEX Manut. Estr_Naveg. Aérea'!$A$2:$B$38,2,FALSE)</f>
        <v>Apuí</v>
      </c>
      <c r="E52" t="s">
        <v>35</v>
      </c>
      <c r="F52" t="s">
        <v>33</v>
      </c>
      <c r="G52" t="s">
        <v>34</v>
      </c>
      <c r="H52" s="7">
        <f>VLOOKUP(A52,'CAPEX Manut. Estr_PPD e Taxiway'!$A$4:$C$18,3,FALSE)+VLOOKUP(A52,'CAPEX Manut. Estr_PPD e Taxiway'!$A$4:$M$18,13,FALSE)+VLOOKUP(A52,'CAPEX Manut. Estratégicos_Pátio'!$A$6:$C$20,3,FALSE)+VLOOKUP(A52,'CAPEX Manut. Estratégicos_Pátio'!$A$6:$M$20,13,FALSE)+VLOOKUP(A52,'CAPEX Manut. Estr_Cerca Operac.'!$A$2:$F$16,6,FALSE)</f>
        <v>6498420.8635080522</v>
      </c>
      <c r="I52" s="7">
        <f>VLOOKUP(A52,'CAPEX Manut. Estr_Naveg. Aérea'!$A$2:$AB$16,28,FALSE)</f>
        <v>3519668.6314492757</v>
      </c>
      <c r="J52" s="7">
        <v>0</v>
      </c>
      <c r="K52" s="7">
        <v>0</v>
      </c>
      <c r="L52" s="7">
        <f>VLOOKUP(A52,'CAPEX Manut. Estr_PPD e Taxiway'!$A$4:$D$18,4,FALSE)+VLOOKUP(A52,'CAPEX Manut. Estratégicos_Pátio'!$A$6:$D$20,4,FALSE)</f>
        <v>25644.550000000003</v>
      </c>
      <c r="M52" s="7">
        <v>0</v>
      </c>
      <c r="N52" s="7">
        <v>0</v>
      </c>
      <c r="O52" s="7">
        <f>VLOOKUP(A52,'CAPEX Manut. Estr_PPD e Taxiway'!$A$4:$E$18,5,FALSE)+VLOOKUP(A52,'CAPEX Manut. Estratégicos_Pátio'!$A$6:$E$20,5,FALSE)</f>
        <v>25644.550000000003</v>
      </c>
      <c r="P52" s="7">
        <v>0</v>
      </c>
      <c r="Q52" s="7">
        <f>VLOOKUP($A52,'CAPEX Manut. Estr_PPD e Taxiway'!$A$4:$F$18,6,FALSE)+VLOOKUP(A52,'CAPEX Manut. Estratégicos_Pátio'!$A$6:$F$20,6,FALSE)</f>
        <v>3858878.3000000003</v>
      </c>
      <c r="R52" s="7">
        <v>0</v>
      </c>
      <c r="S52" s="7">
        <v>0</v>
      </c>
      <c r="T52" s="7">
        <v>0</v>
      </c>
      <c r="U52" s="7">
        <v>0</v>
      </c>
      <c r="V52" s="7">
        <f>VLOOKUP($A52,'CAPEX Manut. Estr_PPD e Taxiway'!$A$4:$G$18,7,FALSE)+VLOOKUP($A52,'CAPEX Manut. Estratégicos_Pátio'!$A$6:$G$20,7,FALSE)</f>
        <v>25644.550000000003</v>
      </c>
      <c r="W52" s="7">
        <v>0</v>
      </c>
      <c r="X52" s="7">
        <v>0</v>
      </c>
      <c r="Y52" s="7">
        <f>VLOOKUP($A52,'CAPEX Manut. Estr_PPD e Taxiway'!$A$4:$H$18,8,FALSE)+VLOOKUP($A52,'CAPEX Manut. Estratégicos_Pátio'!$A$6:$H$20,8,FALSE)</f>
        <v>25644.550000000003</v>
      </c>
      <c r="Z52" s="7">
        <v>0</v>
      </c>
      <c r="AA52" s="7">
        <f>VLOOKUP($A52,'CAPEX Manut. Estr_PPD e Taxiway'!$A$4:$I$18,9,FALSE)+VLOOKUP($A52,'CAPEX Manut. Estratégicos_Pátio'!$A$6:$I$20,9,FALSE)</f>
        <v>3858878.3000000003</v>
      </c>
      <c r="AB52" s="7">
        <v>0</v>
      </c>
      <c r="AC52" s="7">
        <v>0</v>
      </c>
      <c r="AD52" s="7">
        <v>0</v>
      </c>
      <c r="AE52" s="7">
        <v>0</v>
      </c>
      <c r="AF52" s="7">
        <f>VLOOKUP($A52,'CAPEX Manut. Estr_PPD e Taxiway'!$A$4:$J$18,10,FALSE)+VLOOKUP($A52,'CAPEX Manut. Estratégicos_Pátio'!$A$6:$J$20,10,FALSE)</f>
        <v>25644.550000000003</v>
      </c>
      <c r="AG52" s="7">
        <v>0</v>
      </c>
      <c r="AH52" s="7">
        <v>0</v>
      </c>
      <c r="AI52" s="7">
        <f>VLOOKUP($A52,'CAPEX Manut. Estr_PPD e Taxiway'!$A$4:$K$18,11,FALSE)+VLOOKUP($A52,'CAPEX Manut. Estratégicos_Pátio'!$A$6:$K$20,11,FALSE)</f>
        <v>25644.550000000003</v>
      </c>
      <c r="AJ52" s="7">
        <v>0</v>
      </c>
      <c r="AK52" s="7">
        <v>0</v>
      </c>
      <c r="AL52" s="7">
        <v>0</v>
      </c>
      <c r="AM52" s="1">
        <f>SUM(H52:AL52)</f>
        <v>17889713.394957334</v>
      </c>
      <c r="AN52" s="3" t="s">
        <v>171</v>
      </c>
      <c r="AO52" s="3" t="s">
        <v>171</v>
      </c>
      <c r="AP52" s="3" t="s">
        <v>171</v>
      </c>
      <c r="AQ52" s="3" t="s">
        <v>171</v>
      </c>
      <c r="AR52" s="3" t="s">
        <v>171</v>
      </c>
      <c r="AS52" s="3" t="s">
        <v>171</v>
      </c>
      <c r="AT52" s="3" t="s">
        <v>171</v>
      </c>
      <c r="AU52" s="3" t="s">
        <v>171</v>
      </c>
      <c r="AV52" t="str">
        <f>VLOOKUP(C52,'FLUXO DE CAIXA DESC.-BLOCOS PAN'!$D$3:$AO$52,38,FALSE)</f>
        <v>AM - 3 - AL</v>
      </c>
    </row>
    <row r="53" spans="1:48" x14ac:dyDescent="0.35">
      <c r="H53" s="8">
        <f>SUBTOTAL(109,H3:H52)</f>
        <v>1118734484.6057544</v>
      </c>
      <c r="I53" s="8">
        <f>SUBTOTAL(109,I3:I52)</f>
        <v>49284839.185942024</v>
      </c>
      <c r="J53" s="8">
        <f>SUBTOTAL(109,J3:J52)</f>
        <v>105115000</v>
      </c>
      <c r="K53" s="8">
        <f>SUBTOTAL(109,K3:K52)</f>
        <v>32155000</v>
      </c>
      <c r="L53" s="8">
        <f>SUBTOTAL(109,L3:L52)</f>
        <v>130990325.58</v>
      </c>
      <c r="M53" s="8">
        <f>SUBTOTAL(109,M3:M52)</f>
        <v>0</v>
      </c>
      <c r="N53" s="8">
        <f>SUBTOTAL(109,N3:N52)</f>
        <v>270000</v>
      </c>
      <c r="O53" s="8">
        <f>SUBTOTAL(109,O3:O52)</f>
        <v>640325.58000000007</v>
      </c>
      <c r="P53" s="8">
        <f>SUBTOTAL(109,P3:P52)</f>
        <v>0</v>
      </c>
      <c r="Q53" s="8">
        <f>SUBTOTAL(109,Q3:Q52)</f>
        <v>67042918.779999994</v>
      </c>
      <c r="R53" s="8">
        <f>SUBTOTAL(109,R3:R52)</f>
        <v>0</v>
      </c>
      <c r="S53" s="8">
        <f>SUBTOTAL(109,S3:S52)</f>
        <v>250000</v>
      </c>
      <c r="T53" s="8">
        <f>SUBTOTAL(109,T3:T52)</f>
        <v>0</v>
      </c>
      <c r="U53" s="8">
        <f>SUBTOTAL(109,U3:U52)</f>
        <v>0</v>
      </c>
      <c r="V53" s="8">
        <f>SUBTOTAL(109,V3:V52)</f>
        <v>660325.58000000007</v>
      </c>
      <c r="W53" s="8">
        <f>SUBTOTAL(109,W3:W52)</f>
        <v>45280000</v>
      </c>
      <c r="X53" s="8">
        <f>SUBTOTAL(109,X3:X52)</f>
        <v>47830000</v>
      </c>
      <c r="Y53" s="8">
        <f>SUBTOTAL(109,Y3:Y52)</f>
        <v>370325.58</v>
      </c>
      <c r="Z53" s="8">
        <f>SUBTOTAL(109,Z3:Z52)</f>
        <v>0</v>
      </c>
      <c r="AA53" s="8">
        <f>SUBTOTAL(109,AA3:AA52)</f>
        <v>120567918.78000002</v>
      </c>
      <c r="AB53" s="8">
        <f>SUBTOTAL(109,AB3:AB52)</f>
        <v>0</v>
      </c>
      <c r="AC53" s="8">
        <f>SUBTOTAL(109,AC3:AC52)</f>
        <v>0</v>
      </c>
      <c r="AD53" s="8">
        <f>SUBTOTAL(109,AD3:AD52)</f>
        <v>64390000</v>
      </c>
      <c r="AE53" s="8">
        <f>SUBTOTAL(109,AE3:AE52)</f>
        <v>0</v>
      </c>
      <c r="AF53" s="8">
        <f>SUBTOTAL(109,AF3:AF52)</f>
        <v>370325.58</v>
      </c>
      <c r="AG53" s="8">
        <f>SUBTOTAL(109,AG3:AG52)</f>
        <v>34765000</v>
      </c>
      <c r="AH53" s="8">
        <f>SUBTOTAL(109,AH3:AH52)</f>
        <v>179930000</v>
      </c>
      <c r="AI53" s="8">
        <f>SUBTOTAL(109,AI3:AI52)</f>
        <v>367804.21</v>
      </c>
      <c r="AJ53" s="8">
        <f>SUBTOTAL(109,AJ3:AJ52)</f>
        <v>270000</v>
      </c>
      <c r="AK53" s="8">
        <f>SUBTOTAL(109,AK3:AK52)</f>
        <v>66090000</v>
      </c>
      <c r="AL53" s="8">
        <f>SUBTOTAL(109,AL3:AL52)</f>
        <v>0</v>
      </c>
      <c r="AM53" s="8">
        <f>SUBTOTAL(109,AM3:AM52)</f>
        <v>2065374593.4616964</v>
      </c>
    </row>
    <row r="54" spans="1:48" x14ac:dyDescent="0.35">
      <c r="H54" s="8">
        <f>H53</f>
        <v>1118734484.6057544</v>
      </c>
      <c r="I54" s="8">
        <f>H54+I53</f>
        <v>1168019323.7916963</v>
      </c>
      <c r="J54" s="8">
        <f t="shared" ref="J54:AL54" si="3">I54+J53</f>
        <v>1273134323.7916963</v>
      </c>
      <c r="K54" s="8">
        <f t="shared" si="3"/>
        <v>1305289323.7916963</v>
      </c>
      <c r="L54" s="8">
        <f t="shared" si="3"/>
        <v>1436279649.3716962</v>
      </c>
      <c r="M54" s="8">
        <f t="shared" si="3"/>
        <v>1436279649.3716962</v>
      </c>
      <c r="N54" s="8">
        <f t="shared" si="3"/>
        <v>1436549649.3716962</v>
      </c>
      <c r="O54" s="8">
        <f t="shared" si="3"/>
        <v>1437189974.9516962</v>
      </c>
      <c r="P54" s="8">
        <f t="shared" si="3"/>
        <v>1437189974.9516962</v>
      </c>
      <c r="Q54" s="8">
        <f t="shared" si="3"/>
        <v>1504232893.7316961</v>
      </c>
      <c r="R54" s="8">
        <f t="shared" si="3"/>
        <v>1504232893.7316961</v>
      </c>
      <c r="S54" s="8">
        <f t="shared" si="3"/>
        <v>1504482893.7316961</v>
      </c>
      <c r="T54" s="8">
        <f t="shared" si="3"/>
        <v>1504482893.7316961</v>
      </c>
      <c r="U54" s="8">
        <f t="shared" si="3"/>
        <v>1504482893.7316961</v>
      </c>
      <c r="V54" s="8">
        <f t="shared" si="3"/>
        <v>1505143219.3116961</v>
      </c>
      <c r="W54" s="8">
        <f t="shared" si="3"/>
        <v>1550423219.3116961</v>
      </c>
      <c r="X54" s="8">
        <f t="shared" si="3"/>
        <v>1598253219.3116961</v>
      </c>
      <c r="Y54" s="8">
        <f t="shared" si="3"/>
        <v>1598623544.891696</v>
      </c>
      <c r="Z54" s="8">
        <f t="shared" si="3"/>
        <v>1598623544.891696</v>
      </c>
      <c r="AA54" s="8">
        <f t="shared" si="3"/>
        <v>1719191463.6716959</v>
      </c>
      <c r="AB54" s="8">
        <f t="shared" si="3"/>
        <v>1719191463.6716959</v>
      </c>
      <c r="AC54" s="8">
        <f t="shared" si="3"/>
        <v>1719191463.6716959</v>
      </c>
      <c r="AD54" s="8">
        <f t="shared" si="3"/>
        <v>1783581463.6716959</v>
      </c>
      <c r="AE54" s="8">
        <f t="shared" si="3"/>
        <v>1783581463.6716959</v>
      </c>
      <c r="AF54" s="8">
        <f t="shared" si="3"/>
        <v>1783951789.2516959</v>
      </c>
      <c r="AG54" s="8">
        <f t="shared" si="3"/>
        <v>1818716789.2516959</v>
      </c>
      <c r="AH54" s="8">
        <f t="shared" si="3"/>
        <v>1998646789.2516959</v>
      </c>
      <c r="AI54" s="8">
        <f t="shared" si="3"/>
        <v>1999014593.4616959</v>
      </c>
      <c r="AJ54" s="8">
        <f t="shared" si="3"/>
        <v>1999284593.4616959</v>
      </c>
      <c r="AK54" s="8">
        <f t="shared" si="3"/>
        <v>2065374593.4616959</v>
      </c>
      <c r="AL54" s="8">
        <f t="shared" si="3"/>
        <v>2065374593.4616959</v>
      </c>
    </row>
    <row r="59" spans="1:48" x14ac:dyDescent="0.35">
      <c r="A59" s="63" t="s">
        <v>354</v>
      </c>
    </row>
  </sheetData>
  <autoFilter ref="A2:AV2" xr:uid="{DC27659D-9DB7-4AAC-88C5-1150CD672878}"/>
  <conditionalFormatting sqref="C47:C52 C38">
    <cfRule type="duplicateValues" dxfId="15" priority="1"/>
  </conditionalFormatting>
  <conditionalFormatting sqref="C3:C37">
    <cfRule type="duplicateValues" dxfId="14" priority="286"/>
  </conditionalFormatting>
  <hyperlinks>
    <hyperlink ref="A59" location="Introdução!A1" display="Introdução!A1" xr:uid="{E01EAEE6-94D1-46CA-8861-3CE1850529B8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F879-3315-47F0-B31D-D4DFA9236423}">
  <sheetPr>
    <tabColor rgb="FF00B0F0"/>
  </sheetPr>
  <dimension ref="A1:CT59"/>
  <sheetViews>
    <sheetView topLeftCell="A13" workbookViewId="0">
      <pane xSplit="6" topLeftCell="G1" activePane="topRight" state="frozen"/>
      <selection pane="topRight" activeCell="A43" sqref="A43:XFD46"/>
    </sheetView>
  </sheetViews>
  <sheetFormatPr defaultRowHeight="14.5" x14ac:dyDescent="0.35"/>
  <cols>
    <col min="1" max="1" width="7" bestFit="1" customWidth="1"/>
    <col min="2" max="2" width="19.1796875" customWidth="1"/>
    <col min="3" max="3" width="7.453125" bestFit="1" customWidth="1"/>
    <col min="4" max="4" width="13.1796875" bestFit="1" customWidth="1"/>
    <col min="5" max="5" width="18.26953125" customWidth="1"/>
    <col min="6" max="6" width="3.81640625" bestFit="1" customWidth="1"/>
    <col min="7" max="7" width="10.1796875" customWidth="1"/>
    <col min="8" max="13" width="18" bestFit="1" customWidth="1"/>
    <col min="14" max="14" width="18.1796875" bestFit="1" customWidth="1"/>
    <col min="15" max="37" width="19.7265625" bestFit="1" customWidth="1"/>
    <col min="38" max="38" width="20.54296875" bestFit="1" customWidth="1"/>
    <col min="39" max="39" width="28.7265625" bestFit="1" customWidth="1"/>
    <col min="40" max="40" width="19.54296875" bestFit="1" customWidth="1"/>
  </cols>
  <sheetData>
    <row r="1" spans="1:40" x14ac:dyDescent="0.35">
      <c r="A1" s="2" t="s">
        <v>0</v>
      </c>
      <c r="B1" s="2" t="s">
        <v>162</v>
      </c>
      <c r="C1" s="2" t="s">
        <v>163</v>
      </c>
      <c r="D1" s="2" t="s">
        <v>2</v>
      </c>
      <c r="E1" s="2" t="s">
        <v>3</v>
      </c>
      <c r="F1" s="2" t="s">
        <v>4</v>
      </c>
      <c r="G1" s="2" t="s">
        <v>164</v>
      </c>
      <c r="H1" s="2" t="s">
        <v>251</v>
      </c>
      <c r="I1" s="2" t="s">
        <v>251</v>
      </c>
      <c r="J1" s="2" t="s">
        <v>251</v>
      </c>
      <c r="K1" s="2" t="s">
        <v>251</v>
      </c>
      <c r="L1" s="2" t="s">
        <v>251</v>
      </c>
      <c r="M1" s="2" t="s">
        <v>251</v>
      </c>
      <c r="N1" s="2" t="s">
        <v>251</v>
      </c>
      <c r="O1" s="2" t="s">
        <v>251</v>
      </c>
      <c r="P1" s="2" t="s">
        <v>251</v>
      </c>
      <c r="Q1" s="2" t="s">
        <v>251</v>
      </c>
      <c r="R1" s="2" t="s">
        <v>251</v>
      </c>
      <c r="S1" s="2" t="s">
        <v>251</v>
      </c>
      <c r="T1" s="2" t="s">
        <v>251</v>
      </c>
      <c r="U1" s="2" t="s">
        <v>251</v>
      </c>
      <c r="V1" s="2" t="s">
        <v>251</v>
      </c>
      <c r="W1" s="2" t="s">
        <v>251</v>
      </c>
      <c r="X1" s="2" t="s">
        <v>251</v>
      </c>
      <c r="Y1" s="2" t="s">
        <v>251</v>
      </c>
      <c r="Z1" s="2" t="s">
        <v>251</v>
      </c>
      <c r="AA1" s="2" t="s">
        <v>251</v>
      </c>
      <c r="AB1" s="2" t="s">
        <v>251</v>
      </c>
      <c r="AC1" s="2" t="s">
        <v>251</v>
      </c>
      <c r="AD1" s="2" t="s">
        <v>251</v>
      </c>
      <c r="AE1" s="2" t="s">
        <v>251</v>
      </c>
      <c r="AF1" s="2" t="s">
        <v>251</v>
      </c>
      <c r="AG1" s="2" t="s">
        <v>251</v>
      </c>
      <c r="AH1" s="2" t="s">
        <v>251</v>
      </c>
      <c r="AI1" s="2" t="s">
        <v>251</v>
      </c>
      <c r="AJ1" s="2" t="s">
        <v>251</v>
      </c>
      <c r="AK1" s="2" t="s">
        <v>251</v>
      </c>
      <c r="AL1" s="2" t="s">
        <v>251</v>
      </c>
      <c r="AM1" s="2" t="s">
        <v>355</v>
      </c>
      <c r="AN1" s="2" t="s">
        <v>251</v>
      </c>
    </row>
    <row r="2" spans="1:40" x14ac:dyDescent="0.35">
      <c r="A2" s="68" t="s">
        <v>0</v>
      </c>
      <c r="B2" s="68" t="s">
        <v>162</v>
      </c>
      <c r="C2" s="68" t="s">
        <v>163</v>
      </c>
      <c r="D2" s="68" t="s">
        <v>2</v>
      </c>
      <c r="E2" s="68" t="s">
        <v>3</v>
      </c>
      <c r="F2" s="68" t="s">
        <v>4</v>
      </c>
      <c r="G2" s="68" t="s">
        <v>164</v>
      </c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29" t="s">
        <v>250</v>
      </c>
      <c r="AM2" s="43" t="s">
        <v>303</v>
      </c>
      <c r="AN2" s="2" t="s">
        <v>358</v>
      </c>
    </row>
    <row r="3" spans="1:40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33</v>
      </c>
      <c r="H3" s="1">
        <f>SUM('BASE PAN - OPEX'!K3:M3)</f>
        <v>3023452.102</v>
      </c>
      <c r="I3" s="1">
        <f>SUM('BASE PAN - OPEX'!N3:P3)</f>
        <v>3029188.6327</v>
      </c>
      <c r="J3" s="1">
        <f>SUM('BASE PAN - OPEX'!Q3:S3)</f>
        <v>3212779.4244000004</v>
      </c>
      <c r="K3" s="1">
        <f>SUM('BASE PAN - OPEX'!T3:V3)</f>
        <v>3215518.9865999999</v>
      </c>
      <c r="L3" s="1">
        <f>SUM('BASE PAN - OPEX'!W3:Y3)</f>
        <v>3217666.3555000001</v>
      </c>
      <c r="M3" s="1">
        <f>SUM('BASE PAN - OPEX'!Z3:AB3)</f>
        <v>3219527.5930999997</v>
      </c>
      <c r="N3" s="1">
        <f>SUM('BASE PAN - OPEX'!AC3:AE3)</f>
        <v>3221217.9473000001</v>
      </c>
      <c r="O3" s="1">
        <f>SUM('BASE PAN - OPEX'!AF3:AH3)</f>
        <v>3222789.0797999999</v>
      </c>
      <c r="P3" s="1">
        <f>SUM('BASE PAN - OPEX'!AI3:AK3)</f>
        <v>3224213.1117000002</v>
      </c>
      <c r="Q3" s="1">
        <f>SUM('BASE PAN - OPEX'!AL3:AN3)</f>
        <v>3225493.5651999996</v>
      </c>
      <c r="R3" s="1">
        <f>SUM('BASE PAN - OPEX'!AO3:AQ3)</f>
        <v>3226658.5625999998</v>
      </c>
      <c r="S3" s="1">
        <f>SUM('BASE PAN - OPEX'!AR3:AT3)</f>
        <v>3227797.7882999997</v>
      </c>
      <c r="T3" s="1">
        <f>SUM('BASE PAN - OPEX'!AU3:AW3)</f>
        <v>3228914.5555000002</v>
      </c>
      <c r="U3" s="1">
        <f>SUM('BASE PAN - OPEX'!AX3:AZ3)</f>
        <v>3230060.4656000002</v>
      </c>
      <c r="V3" s="1">
        <f>SUM('BASE PAN - OPEX'!BA3:BC3)</f>
        <v>3231159.9506999999</v>
      </c>
      <c r="W3" s="1">
        <f>SUM('BASE PAN - OPEX'!BD3:BF3)</f>
        <v>3232271.4190000002</v>
      </c>
      <c r="X3" s="1">
        <f>SUM('BASE PAN - OPEX'!BG3:BI3)</f>
        <v>3233368.2547000004</v>
      </c>
      <c r="Y3" s="1">
        <f>SUM('BASE PAN - OPEX'!BJ3:BL3)</f>
        <v>3234498.2681</v>
      </c>
      <c r="Z3" s="1">
        <f>SUM('BASE PAN - OPEX'!BM3:BO3)</f>
        <v>3235632.2570999996</v>
      </c>
      <c r="AA3" s="1">
        <f>SUM('BASE PAN - OPEX'!BP3:BR3)</f>
        <v>3236775.4564999999</v>
      </c>
      <c r="AB3" s="1">
        <f>SUM('BASE PAN - OPEX'!BS3:BU3)</f>
        <v>3237865.7292999998</v>
      </c>
      <c r="AC3" s="1">
        <f>SUM('BASE PAN - OPEX'!BV3:BX3)</f>
        <v>3238961.2407999998</v>
      </c>
      <c r="AD3" s="1">
        <f>SUM('BASE PAN - OPEX'!BY3:CA3)</f>
        <v>4362488.6011999995</v>
      </c>
      <c r="AE3" s="1">
        <f>SUM('BASE PAN - OPEX'!CB3:CD3)</f>
        <v>4363544.2710999995</v>
      </c>
      <c r="AF3" s="1">
        <f>SUM('BASE PAN - OPEX'!CE3:CG3)</f>
        <v>4364549.6410999997</v>
      </c>
      <c r="AG3" s="1">
        <f>SUM('BASE PAN - OPEX'!CH3:CJ3)</f>
        <v>4365552.2983999997</v>
      </c>
      <c r="AH3" s="1">
        <f>SUM('BASE PAN - OPEX'!CK3:CM3)</f>
        <v>4366487.4951999998</v>
      </c>
      <c r="AI3" s="1">
        <f>SUM('BASE PAN - OPEX'!CN3:CP3)</f>
        <v>4367413.2444000002</v>
      </c>
      <c r="AJ3" s="1">
        <f>SUM('BASE PAN - OPEX'!CQ3:CS3)</f>
        <v>4368372.3911000006</v>
      </c>
      <c r="AK3" s="1">
        <f>SUM('BASE PAN - OPEX'!CT3:CV3)</f>
        <v>4369342.6612</v>
      </c>
      <c r="AL3" s="1">
        <f t="shared" ref="AL3:AL7" si="0">SUM(H3:AK3)</f>
        <v>105533561.35019998</v>
      </c>
      <c r="AM3" t="str">
        <f>VLOOKUP(D3,'FLUXO DE CAIXA DESC.-BLOCOS PAN'!$D$3:$AO$52,38,FALSE)</f>
        <v>PA - 1 - AL</v>
      </c>
      <c r="AN3" s="1">
        <f>SUM(H3:V3)</f>
        <v>47956438.120999999</v>
      </c>
    </row>
    <row r="4" spans="1:40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33</v>
      </c>
      <c r="H4" s="1">
        <f>SUM('BASE PAN - OPEX'!K4:M4)</f>
        <v>3001844.1038999995</v>
      </c>
      <c r="I4" s="1">
        <f>SUM('BASE PAN - OPEX'!N4:P4)</f>
        <v>3006378.7711999998</v>
      </c>
      <c r="J4" s="1">
        <f>SUM('BASE PAN - OPEX'!Q4:S4)</f>
        <v>3208533.4517000001</v>
      </c>
      <c r="K4" s="1">
        <f>SUM('BASE PAN - OPEX'!T4:V4)</f>
        <v>3211186.9104000004</v>
      </c>
      <c r="L4" s="1">
        <f>SUM('BASE PAN - OPEX'!W4:Y4)</f>
        <v>3213438.9286999996</v>
      </c>
      <c r="M4" s="1">
        <f>SUM('BASE PAN - OPEX'!Z4:AB4)</f>
        <v>3215500.1929000001</v>
      </c>
      <c r="N4" s="1">
        <f>SUM('BASE PAN - OPEX'!AC4:AE4)</f>
        <v>3217452.8344000001</v>
      </c>
      <c r="O4" s="1">
        <f>SUM('BASE PAN - OPEX'!AF4:AH4)</f>
        <v>3219349.2635999997</v>
      </c>
      <c r="P4" s="1">
        <f>SUM('BASE PAN - OPEX'!AI4:AK4)</f>
        <v>3221140.8349999995</v>
      </c>
      <c r="Q4" s="1">
        <f>SUM('BASE PAN - OPEX'!AL4:AN4)</f>
        <v>3222778.202</v>
      </c>
      <c r="R4" s="1">
        <f>SUM('BASE PAN - OPEX'!AO4:AQ4)</f>
        <v>3224313.5683999998</v>
      </c>
      <c r="S4" s="1">
        <f>SUM('BASE PAN - OPEX'!AR4:AT4)</f>
        <v>3225842.3107999996</v>
      </c>
      <c r="T4" s="1">
        <f>SUM('BASE PAN - OPEX'!AU4:AW4)</f>
        <v>3227360.3945999998</v>
      </c>
      <c r="U4" s="1">
        <f>SUM('BASE PAN - OPEX'!AX4:AZ4)</f>
        <v>3228919.6055999999</v>
      </c>
      <c r="V4" s="1">
        <f>SUM('BASE PAN - OPEX'!BA4:BC4)</f>
        <v>3230461.5951</v>
      </c>
      <c r="W4" s="1">
        <f>SUM('BASE PAN - OPEX'!BD4:BF4)</f>
        <v>3232026.1043000002</v>
      </c>
      <c r="X4" s="1">
        <f>SUM('BASE PAN - OPEX'!BG4:BI4)</f>
        <v>4352047.6186999995</v>
      </c>
      <c r="Y4" s="1">
        <f>SUM('BASE PAN - OPEX'!BJ4:BL4)</f>
        <v>4353702.4618999995</v>
      </c>
      <c r="Z4" s="1">
        <f>SUM('BASE PAN - OPEX'!BM4:BO4)</f>
        <v>4355378.5148999998</v>
      </c>
      <c r="AA4" s="1">
        <f>SUM('BASE PAN - OPEX'!BP4:BR4)</f>
        <v>4357077.5218000002</v>
      </c>
      <c r="AB4" s="1">
        <f>SUM('BASE PAN - OPEX'!BS4:BU4)</f>
        <v>4358758.6447000001</v>
      </c>
      <c r="AC4" s="1">
        <f>SUM('BASE PAN - OPEX'!BV4:BX4)</f>
        <v>4360454.9408999998</v>
      </c>
      <c r="AD4" s="1">
        <f>SUM('BASE PAN - OPEX'!BY4:CA4)</f>
        <v>4362143.1519999998</v>
      </c>
      <c r="AE4" s="1">
        <f>SUM('BASE PAN - OPEX'!CB4:CD4)</f>
        <v>4363865.0880000005</v>
      </c>
      <c r="AF4" s="1">
        <f>SUM('BASE PAN - OPEX'!CE4:CG4)</f>
        <v>4365606.2984999996</v>
      </c>
      <c r="AG4" s="1">
        <f>SUM('BASE PAN - OPEX'!CH4:CJ4)</f>
        <v>4367361.9711000007</v>
      </c>
      <c r="AH4" s="1">
        <f>SUM('BASE PAN - OPEX'!CK4:CM4)</f>
        <v>4369075.8229</v>
      </c>
      <c r="AI4" s="1">
        <f>SUM('BASE PAN - OPEX'!CN4:CP4)</f>
        <v>4370806.2911</v>
      </c>
      <c r="AJ4" s="1">
        <f>SUM('BASE PAN - OPEX'!CQ4:CS4)</f>
        <v>4372566.0257999999</v>
      </c>
      <c r="AK4" s="1">
        <f>SUM('BASE PAN - OPEX'!CT4:CV4)</f>
        <v>4374366.2319999998</v>
      </c>
      <c r="AL4" s="1">
        <f t="shared" si="0"/>
        <v>112189737.65689999</v>
      </c>
      <c r="AM4" t="str">
        <f>VLOOKUP(D4,'FLUXO DE CAIXA DESC.-BLOCOS PAN'!$D$3:$AO$52,38,FALSE)</f>
        <v>Bloco Nordeste</v>
      </c>
      <c r="AN4" s="1">
        <f t="shared" ref="AN4:AN52" si="1">SUM(H4:V4)</f>
        <v>47874500.9683</v>
      </c>
    </row>
    <row r="5" spans="1:40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33</v>
      </c>
      <c r="H5" s="1">
        <f>SUM('BASE PAN - OPEX'!K5:M5)</f>
        <v>1598659.4539000001</v>
      </c>
      <c r="I5" s="1">
        <f>SUM('BASE PAN - OPEX'!N5:P5)</f>
        <v>1598973.4094999998</v>
      </c>
      <c r="J5" s="1">
        <f>SUM('BASE PAN - OPEX'!Q5:S5)</f>
        <v>1599210.1780000001</v>
      </c>
      <c r="K5" s="1">
        <f>SUM('BASE PAN - OPEX'!T5:V5)</f>
        <v>2874961.7034999998</v>
      </c>
      <c r="L5" s="1">
        <f>SUM('BASE PAN - OPEX'!W5:Y5)</f>
        <v>2875101.1851000004</v>
      </c>
      <c r="M5" s="1">
        <f>SUM('BASE PAN - OPEX'!Z5:AB5)</f>
        <v>2875230.0392999998</v>
      </c>
      <c r="N5" s="1">
        <f>SUM('BASE PAN - OPEX'!AC5:AE5)</f>
        <v>2875349.5948999999</v>
      </c>
      <c r="O5" s="1">
        <f>SUM('BASE PAN - OPEX'!AF5:AH5)</f>
        <v>2875463.8367999997</v>
      </c>
      <c r="P5" s="1">
        <f>SUM('BASE PAN - OPEX'!AI5:AK5)</f>
        <v>2875567.4524000003</v>
      </c>
      <c r="Q5" s="1">
        <f>SUM('BASE PAN - OPEX'!AL5:AN5)</f>
        <v>2875663.0961000002</v>
      </c>
      <c r="R5" s="1">
        <f>SUM('BASE PAN - OPEX'!AO5:AQ5)</f>
        <v>2875752.0993999997</v>
      </c>
      <c r="S5" s="1">
        <f>SUM('BASE PAN - OPEX'!AR5:AT5)</f>
        <v>2875842.9078000002</v>
      </c>
      <c r="T5" s="1">
        <f>SUM('BASE PAN - OPEX'!AU5:AW5)</f>
        <v>2875933.2888000002</v>
      </c>
      <c r="U5" s="1">
        <f>SUM('BASE PAN - OPEX'!AX5:AZ5)</f>
        <v>2876020.9633999998</v>
      </c>
      <c r="V5" s="1">
        <f>SUM('BASE PAN - OPEX'!BA5:BC5)</f>
        <v>2876108.6371999998</v>
      </c>
      <c r="W5" s="1">
        <f>SUM('BASE PAN - OPEX'!BD5:BF5)</f>
        <v>2876196.3118000003</v>
      </c>
      <c r="X5" s="1">
        <f>SUM('BASE PAN - OPEX'!BG5:BI5)</f>
        <v>2876281.3292</v>
      </c>
      <c r="Y5" s="1">
        <f>SUM('BASE PAN - OPEX'!BJ5:BL5)</f>
        <v>2876370.3316000002</v>
      </c>
      <c r="Z5" s="1">
        <f>SUM('BASE PAN - OPEX'!BM5:BO5)</f>
        <v>2876459.3339</v>
      </c>
      <c r="AA5" s="1">
        <f>SUM('BASE PAN - OPEX'!BP5:BR5)</f>
        <v>2876550.9936000002</v>
      </c>
      <c r="AB5" s="1">
        <f>SUM('BASE PAN - OPEX'!BS5:BU5)</f>
        <v>2876636.0109000001</v>
      </c>
      <c r="AC5" s="1">
        <f>SUM('BASE PAN - OPEX'!BV5:BX5)</f>
        <v>2876722.3569999998</v>
      </c>
      <c r="AD5" s="1">
        <f>SUM('BASE PAN - OPEX'!BY5:CA5)</f>
        <v>2876807.3742999998</v>
      </c>
      <c r="AE5" s="1">
        <f>SUM('BASE PAN - OPEX'!CB5:CD5)</f>
        <v>2876888.4057</v>
      </c>
      <c r="AF5" s="1">
        <f>SUM('BASE PAN - OPEX'!CE5:CG5)</f>
        <v>2876965.4530999996</v>
      </c>
      <c r="AG5" s="1">
        <f>SUM('BASE PAN - OPEX'!CH5:CJ5)</f>
        <v>2877042.5005000001</v>
      </c>
      <c r="AH5" s="1">
        <f>SUM('BASE PAN - OPEX'!CK5:CM5)</f>
        <v>2877115.5619000001</v>
      </c>
      <c r="AI5" s="1">
        <f>SUM('BASE PAN - OPEX'!CN5:CP5)</f>
        <v>2877187.2955999998</v>
      </c>
      <c r="AJ5" s="1">
        <f>SUM('BASE PAN - OPEX'!CQ5:CS5)</f>
        <v>2877259.0282999999</v>
      </c>
      <c r="AK5" s="1">
        <f>SUM('BASE PAN - OPEX'!CT5:CV5)</f>
        <v>2877332.0907999999</v>
      </c>
      <c r="AL5" s="1">
        <f t="shared" si="0"/>
        <v>82455652.224299997</v>
      </c>
      <c r="AM5" t="str">
        <f>VLOOKUP(D5,'FLUXO DE CAIXA DESC.-BLOCOS PAN'!$D$3:$AO$52,38,FALSE)</f>
        <v>AM - 2 - AL</v>
      </c>
      <c r="AN5" s="1">
        <f t="shared" si="1"/>
        <v>39303837.846099995</v>
      </c>
    </row>
    <row r="6" spans="1:40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33</v>
      </c>
      <c r="H6" s="1">
        <f>SUM('BASE PAN - OPEX'!K6:M6)</f>
        <v>2882335.9342</v>
      </c>
      <c r="I6" s="1">
        <f>SUM('BASE PAN - OPEX'!N6:P6)</f>
        <v>2884956.3325</v>
      </c>
      <c r="J6" s="1">
        <f>SUM('BASE PAN - OPEX'!Q6:S6)</f>
        <v>2887119.0114000002</v>
      </c>
      <c r="K6" s="1">
        <f>SUM('BASE PAN - OPEX'!T6:V6)</f>
        <v>2888814.5737000001</v>
      </c>
      <c r="L6" s="1">
        <f>SUM('BASE PAN - OPEX'!W6:Y6)</f>
        <v>2890316.9902000003</v>
      </c>
      <c r="M6" s="1">
        <f>SUM('BASE PAN - OPEX'!Z6:AB6)</f>
        <v>2891730.4539999999</v>
      </c>
      <c r="N6" s="1">
        <f>SUM('BASE PAN - OPEX'!AC6:AE6)</f>
        <v>2893095.1406999999</v>
      </c>
      <c r="O6" s="1">
        <f>SUM('BASE PAN - OPEX'!AF6:AH6)</f>
        <v>2894435.5436</v>
      </c>
      <c r="P6" s="1">
        <f>SUM('BASE PAN - OPEX'!AI6:AK6)</f>
        <v>2895684.7136999997</v>
      </c>
      <c r="Q6" s="1">
        <f>SUM('BASE PAN - OPEX'!AL6:AN6)</f>
        <v>2896872.3496000003</v>
      </c>
      <c r="R6" s="1">
        <f>SUM('BASE PAN - OPEX'!AO6:AQ6)</f>
        <v>2898012.0517000002</v>
      </c>
      <c r="S6" s="1">
        <f>SUM('BASE PAN - OPEX'!AR6:AT6)</f>
        <v>2899150.5378999999</v>
      </c>
      <c r="T6" s="1">
        <f>SUM('BASE PAN - OPEX'!AU6:AW6)</f>
        <v>2900267.7185000004</v>
      </c>
      <c r="U6" s="1">
        <f>SUM('BASE PAN - OPEX'!AX6:AZ6)</f>
        <v>2901435.4294999996</v>
      </c>
      <c r="V6" s="1">
        <f>SUM('BASE PAN - OPEX'!BA6:BC6)</f>
        <v>2902583.1644000001</v>
      </c>
      <c r="W6" s="1">
        <f>SUM('BASE PAN - OPEX'!BD6:BF6)</f>
        <v>3078864.9549000002</v>
      </c>
      <c r="X6" s="1">
        <f>SUM('BASE PAN - OPEX'!BG6:BI6)</f>
        <v>3080036.0336000002</v>
      </c>
      <c r="Y6" s="1">
        <f>SUM('BASE PAN - OPEX'!BJ6:BL6)</f>
        <v>3081252.1522999997</v>
      </c>
      <c r="Z6" s="1">
        <f>SUM('BASE PAN - OPEX'!BM6:BO6)</f>
        <v>3082493.3776000002</v>
      </c>
      <c r="AA6" s="1">
        <f>SUM('BASE PAN - OPEX'!BP6:BR6)</f>
        <v>3083737.3141999999</v>
      </c>
      <c r="AB6" s="1">
        <f>SUM('BASE PAN - OPEX'!BS6:BU6)</f>
        <v>3084979.9260999998</v>
      </c>
      <c r="AC6" s="1">
        <f>SUM('BASE PAN - OPEX'!BV6:BX6)</f>
        <v>3086242.3475000001</v>
      </c>
      <c r="AD6" s="1">
        <f>SUM('BASE PAN - OPEX'!BY6:CA6)</f>
        <v>3087495.5564999999</v>
      </c>
      <c r="AE6" s="1">
        <f>SUM('BASE PAN - OPEX'!CB6:CD6)</f>
        <v>3088679.8828999996</v>
      </c>
      <c r="AF6" s="1">
        <f>SUM('BASE PAN - OPEX'!CE6:CG6)</f>
        <v>3089809.8351999996</v>
      </c>
      <c r="AG6" s="1">
        <f>SUM('BASE PAN - OPEX'!CH6:CJ6)</f>
        <v>3090939.8494000002</v>
      </c>
      <c r="AH6" s="1">
        <f>SUM('BASE PAN - OPEX'!CK6:CM6)</f>
        <v>3092043.2748999996</v>
      </c>
      <c r="AI6" s="1">
        <f>SUM('BASE PAN - OPEX'!CN6:CP6)</f>
        <v>3093156.0683000004</v>
      </c>
      <c r="AJ6" s="1">
        <f>SUM('BASE PAN - OPEX'!CQ6:CS6)</f>
        <v>3094291.3814000003</v>
      </c>
      <c r="AK6" s="1">
        <f>SUM('BASE PAN - OPEX'!CT6:CV6)</f>
        <v>3095445.1785000004</v>
      </c>
      <c r="AL6" s="1">
        <f t="shared" si="0"/>
        <v>89716277.078899994</v>
      </c>
      <c r="AM6" t="str">
        <f>VLOOKUP(D6,'FLUXO DE CAIXA DESC.-BLOCOS PAN'!$D$3:$AO$52,38,FALSE)</f>
        <v>RO - 1 - AL</v>
      </c>
      <c r="AN6" s="1">
        <f t="shared" si="1"/>
        <v>43406809.945600003</v>
      </c>
    </row>
    <row r="7" spans="1:40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33</v>
      </c>
      <c r="H7" s="1">
        <f>SUM('BASE PAN - OPEX'!K7:M7)</f>
        <v>4207208.4048999995</v>
      </c>
      <c r="I7" s="1">
        <f>SUM('BASE PAN - OPEX'!N7:P7)</f>
        <v>4219577.8147</v>
      </c>
      <c r="J7" s="1">
        <f>SUM('BASE PAN - OPEX'!Q7:S7)</f>
        <v>4231126.1504999995</v>
      </c>
      <c r="K7" s="1">
        <f>SUM('BASE PAN - OPEX'!T7:V7)</f>
        <v>4243545.2882000003</v>
      </c>
      <c r="L7" s="1">
        <f>SUM('BASE PAN - OPEX'!W7:Y7)</f>
        <v>4251705.9813999999</v>
      </c>
      <c r="M7" s="1">
        <f>SUM('BASE PAN - OPEX'!Z7:AB7)</f>
        <v>4258305.9678999996</v>
      </c>
      <c r="N7" s="1">
        <f>SUM('BASE PAN - OPEX'!AC7:AE7)</f>
        <v>4263812.6770000001</v>
      </c>
      <c r="O7" s="1">
        <f>SUM('BASE PAN - OPEX'!AF7:AH7)</f>
        <v>4269599.2625000002</v>
      </c>
      <c r="P7" s="1">
        <f>SUM('BASE PAN - OPEX'!AI7:AK7)</f>
        <v>4274612.9715999998</v>
      </c>
      <c r="Q7" s="1">
        <f>SUM('BASE PAN - OPEX'!AL7:AN7)</f>
        <v>4279805.4409999996</v>
      </c>
      <c r="R7" s="1">
        <f>SUM('BASE PAN - OPEX'!AO7:AQ7)</f>
        <v>4284180.8415000001</v>
      </c>
      <c r="S7" s="1">
        <f>SUM('BASE PAN - OPEX'!AR7:AT7)</f>
        <v>4289082.1754000001</v>
      </c>
      <c r="T7" s="1">
        <f>SUM('BASE PAN - OPEX'!AU7:AW7)</f>
        <v>4293402.2340000002</v>
      </c>
      <c r="U7" s="1">
        <f>SUM('BASE PAN - OPEX'!AX7:AZ7)</f>
        <v>4298514.1688999999</v>
      </c>
      <c r="V7" s="1">
        <f>SUM('BASE PAN - OPEX'!BA7:BC7)</f>
        <v>4302902.6962000001</v>
      </c>
      <c r="W7" s="1">
        <f>SUM('BASE PAN - OPEX'!BD7:BF7)</f>
        <v>4307984.1572000002</v>
      </c>
      <c r="X7" s="1">
        <f>SUM('BASE PAN - OPEX'!BG7:BI7)</f>
        <v>4312375.1659999993</v>
      </c>
      <c r="Y7" s="1">
        <f>SUM('BASE PAN - OPEX'!BJ7:BL7)</f>
        <v>4317630.4338999996</v>
      </c>
      <c r="Z7" s="1">
        <f>SUM('BASE PAN - OPEX'!BM7:BO7)</f>
        <v>4322003.7765999995</v>
      </c>
      <c r="AA7" s="1">
        <f>SUM('BASE PAN - OPEX'!BP7:BR7)</f>
        <v>4327279.9499000004</v>
      </c>
      <c r="AB7" s="1">
        <f>SUM('BASE PAN - OPEX'!BS7:BU7)</f>
        <v>4331813.3076999998</v>
      </c>
      <c r="AC7" s="1">
        <f>SUM('BASE PAN - OPEX'!BV7:BX7)</f>
        <v>4337137.3870000001</v>
      </c>
      <c r="AD7" s="1">
        <f>SUM('BASE PAN - OPEX'!BY7:CA7)</f>
        <v>4341818.3994000005</v>
      </c>
      <c r="AE7" s="1">
        <f>SUM('BASE PAN - OPEX'!CB7:CD7)</f>
        <v>4346632.3843999999</v>
      </c>
      <c r="AF7" s="1">
        <f>SUM('BASE PAN - OPEX'!CE7:CG7)</f>
        <v>4350761.8103999998</v>
      </c>
      <c r="AG7" s="1">
        <f>SUM('BASE PAN - OPEX'!CH7:CJ7)</f>
        <v>4355772.4525000006</v>
      </c>
      <c r="AH7" s="1">
        <f>SUM('BASE PAN - OPEX'!CK7:CM7)</f>
        <v>4359811.8173000002</v>
      </c>
      <c r="AI7" s="1">
        <f>SUM('BASE PAN - OPEX'!CN7:CP7)</f>
        <v>4364709.1968</v>
      </c>
      <c r="AJ7" s="1">
        <f>SUM('BASE PAN - OPEX'!CQ7:CS7)</f>
        <v>4369708.0619000001</v>
      </c>
      <c r="AK7" s="1">
        <f>SUM('BASE PAN - OPEX'!CT7:CV7)</f>
        <v>4374810.4558999995</v>
      </c>
      <c r="AL7" s="1">
        <f t="shared" si="0"/>
        <v>129087630.83259997</v>
      </c>
      <c r="AM7" t="str">
        <f>VLOOKUP(D7,'FLUXO DE CAIXA DESC.-BLOCOS PAN'!$D$3:$AO$52,38,FALSE)</f>
        <v>AM - 3 - AL</v>
      </c>
      <c r="AN7" s="1">
        <f t="shared" si="1"/>
        <v>63967382.0757</v>
      </c>
    </row>
    <row r="8" spans="1:40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33</v>
      </c>
      <c r="H8" s="1">
        <f>SUM('BASE PAN - OPEX'!K8:M8)</f>
        <v>3018718.5011</v>
      </c>
      <c r="I8" s="1">
        <f>SUM('BASE PAN - OPEX'!N8:P8)</f>
        <v>3022128.5449000001</v>
      </c>
      <c r="J8" s="1">
        <f>SUM('BASE PAN - OPEX'!Q8:S8)</f>
        <v>3025006.3257999998</v>
      </c>
      <c r="K8" s="1">
        <f>SUM('BASE PAN - OPEX'!T8:V8)</f>
        <v>3027348.7532000002</v>
      </c>
      <c r="L8" s="1">
        <f>SUM('BASE PAN - OPEX'!W8:Y8)</f>
        <v>3029458.2971999999</v>
      </c>
      <c r="M8" s="1">
        <f>SUM('BASE PAN - OPEX'!Z8:AB8)</f>
        <v>3031484.1523000002</v>
      </c>
      <c r="N8" s="1">
        <f>SUM('BASE PAN - OPEX'!AC8:AE8)</f>
        <v>3213037.7984000002</v>
      </c>
      <c r="O8" s="1">
        <f>SUM('BASE PAN - OPEX'!AF8:AH8)</f>
        <v>3215020.9071</v>
      </c>
      <c r="P8" s="1">
        <f>SUM('BASE PAN - OPEX'!AI8:AK8)</f>
        <v>3216973.5477</v>
      </c>
      <c r="Q8" s="1">
        <f>SUM('BASE PAN - OPEX'!AL8:AN8)</f>
        <v>3218845.3831000002</v>
      </c>
      <c r="R8" s="1">
        <f>SUM('BASE PAN - OPEX'!AO8:AQ8)</f>
        <v>3220668.2052999996</v>
      </c>
      <c r="S8" s="1">
        <f>SUM('BASE PAN - OPEX'!AR8:AT8)</f>
        <v>3222544.0142999999</v>
      </c>
      <c r="T8" s="1">
        <f>SUM('BASE PAN - OPEX'!AU8:AW8)</f>
        <v>3224466.1879000003</v>
      </c>
      <c r="U8" s="1">
        <f>SUM('BASE PAN - OPEX'!AX8:AZ8)</f>
        <v>3226477.0814</v>
      </c>
      <c r="V8" s="1">
        <f>SUM('BASE PAN - OPEX'!BA8:BC8)</f>
        <v>3228494.6308999998</v>
      </c>
      <c r="W8" s="1">
        <f>SUM('BASE PAN - OPEX'!BD8:BF8)</f>
        <v>3230614.1823</v>
      </c>
      <c r="X8" s="1">
        <f>SUM('BASE PAN - OPEX'!BG8:BI8)</f>
        <v>3232758.9018000001</v>
      </c>
      <c r="Y8" s="1">
        <f>SUM('BASE PAN - OPEX'!BJ8:BL8)</f>
        <v>3235036.0892000003</v>
      </c>
      <c r="Z8" s="1">
        <f>SUM('BASE PAN - OPEX'!BM8:BO8)</f>
        <v>3237374.2118000002</v>
      </c>
      <c r="AA8" s="1">
        <f>SUM('BASE PAN - OPEX'!BP8:BR8)</f>
        <v>4362251.0911999997</v>
      </c>
      <c r="AB8" s="1">
        <f>SUM('BASE PAN - OPEX'!BS8:BU8)</f>
        <v>4364766.9085999997</v>
      </c>
      <c r="AC8" s="1">
        <f>SUM('BASE PAN - OPEX'!BV8:BX8)</f>
        <v>4367351.1680000005</v>
      </c>
      <c r="AD8" s="1">
        <f>SUM('BASE PAN - OPEX'!BY8:CA8)</f>
        <v>4370018.7556999996</v>
      </c>
      <c r="AE8" s="1">
        <f>SUM('BASE PAN - OPEX'!CB8:CD8)</f>
        <v>4372841.8747999994</v>
      </c>
      <c r="AF8" s="1">
        <f>SUM('BASE PAN - OPEX'!CE8:CG8)</f>
        <v>4375789.5282000005</v>
      </c>
      <c r="AG8" s="1">
        <f>SUM('BASE PAN - OPEX'!CH8:CJ8)</f>
        <v>4378817.7701000003</v>
      </c>
      <c r="AH8" s="1">
        <f>SUM('BASE PAN - OPEX'!CK8:CM8)</f>
        <v>4381877.4862000002</v>
      </c>
      <c r="AI8" s="1">
        <f>SUM('BASE PAN - OPEX'!CN8:CP8)</f>
        <v>4385049.1419000002</v>
      </c>
      <c r="AJ8" s="1">
        <f>SUM('BASE PAN - OPEX'!CQ8:CS8)</f>
        <v>4388333.7871000003</v>
      </c>
      <c r="AK8" s="1">
        <f>SUM('BASE PAN - OPEX'!CT8:CV8)</f>
        <v>4391757.0881000003</v>
      </c>
      <c r="AL8" s="1">
        <f t="shared" ref="AL8:AL19" si="2">SUM(H8:AK8)</f>
        <v>108215310.31560001</v>
      </c>
      <c r="AM8" t="str">
        <f>VLOOKUP(D8,'FLUXO DE CAIXA DESC.-BLOCOS PAN'!$D$3:$AO$52,38,FALSE)</f>
        <v>PA 3 - AL</v>
      </c>
      <c r="AN8" s="1">
        <f t="shared" si="1"/>
        <v>47140672.330600001</v>
      </c>
    </row>
    <row r="9" spans="1:40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33</v>
      </c>
      <c r="H9" s="1">
        <f>SUM('BASE PAN - OPEX'!K9:M9)</f>
        <v>2886970.6459999997</v>
      </c>
      <c r="I9" s="1">
        <f>SUM('BASE PAN - OPEX'!N9:P9)</f>
        <v>2888930.0814</v>
      </c>
      <c r="J9" s="1">
        <f>SUM('BASE PAN - OPEX'!Q9:S9)</f>
        <v>2890588.4476999999</v>
      </c>
      <c r="K9" s="1">
        <f>SUM('BASE PAN - OPEX'!T9:V9)</f>
        <v>2891900.9036999997</v>
      </c>
      <c r="L9" s="1">
        <f>SUM('BASE PAN - OPEX'!W9:Y9)</f>
        <v>2893083.9760000003</v>
      </c>
      <c r="M9" s="1">
        <f>SUM('BASE PAN - OPEX'!Z9:AB9)</f>
        <v>2894244.9945</v>
      </c>
      <c r="N9" s="1">
        <f>SUM('BASE PAN - OPEX'!AC9:AE9)</f>
        <v>2895301.1198</v>
      </c>
      <c r="O9" s="1">
        <f>SUM('BASE PAN - OPEX'!AF9:AH9)</f>
        <v>2896422.2863999996</v>
      </c>
      <c r="P9" s="1">
        <f>SUM('BASE PAN - OPEX'!AI9:AK9)</f>
        <v>2897520.0193999996</v>
      </c>
      <c r="Q9" s="1">
        <f>SUM('BASE PAN - OPEX'!AL9:AN9)</f>
        <v>2898500.4269999997</v>
      </c>
      <c r="R9" s="1">
        <f>SUM('BASE PAN - OPEX'!AO9:AQ9)</f>
        <v>2899455.5438999999</v>
      </c>
      <c r="S9" s="1">
        <f>SUM('BASE PAN - OPEX'!AR9:AT9)</f>
        <v>2900483.7722000005</v>
      </c>
      <c r="T9" s="1">
        <f>SUM('BASE PAN - OPEX'!AU9:AW9)</f>
        <v>2901452.1737000002</v>
      </c>
      <c r="U9" s="1">
        <f>SUM('BASE PAN - OPEX'!AX9:AZ9)</f>
        <v>2902515.3645000001</v>
      </c>
      <c r="V9" s="1">
        <f>SUM('BASE PAN - OPEX'!BA9:BC9)</f>
        <v>2903611.2916000001</v>
      </c>
      <c r="W9" s="1">
        <f>SUM('BASE PAN - OPEX'!BD9:BF9)</f>
        <v>2904665.1878</v>
      </c>
      <c r="X9" s="1">
        <f>SUM('BASE PAN - OPEX'!BG9:BI9)</f>
        <v>2905794.8903999999</v>
      </c>
      <c r="Y9" s="1">
        <f>SUM('BASE PAN - OPEX'!BJ9:BL9)</f>
        <v>2906936.7331999997</v>
      </c>
      <c r="Z9" s="1">
        <f>SUM('BASE PAN - OPEX'!BM9:BO9)</f>
        <v>2908095.1454000003</v>
      </c>
      <c r="AA9" s="1">
        <f>SUM('BASE PAN - OPEX'!BP9:BR9)</f>
        <v>2909322.5830000001</v>
      </c>
      <c r="AB9" s="1">
        <f>SUM('BASE PAN - OPEX'!BS9:BU9)</f>
        <v>2910536.7879999997</v>
      </c>
      <c r="AC9" s="1">
        <f>SUM('BASE PAN - OPEX'!BV9:BX9)</f>
        <v>2911827.139</v>
      </c>
      <c r="AD9" s="1">
        <f>SUM('BASE PAN - OPEX'!BY9:CA9)</f>
        <v>3080758.4894000003</v>
      </c>
      <c r="AE9" s="1">
        <f>SUM('BASE PAN - OPEX'!CB9:CD9)</f>
        <v>3082040.7803000002</v>
      </c>
      <c r="AF9" s="1">
        <f>SUM('BASE PAN - OPEX'!CE9:CG9)</f>
        <v>3083448.9765999997</v>
      </c>
      <c r="AG9" s="1">
        <f>SUM('BASE PAN - OPEX'!CH9:CJ9)</f>
        <v>3084794.9140000003</v>
      </c>
      <c r="AH9" s="1">
        <f>SUM('BASE PAN - OPEX'!CK9:CM9)</f>
        <v>3086168.6690000002</v>
      </c>
      <c r="AI9" s="1">
        <f>SUM('BASE PAN - OPEX'!CN9:CP9)</f>
        <v>3087599.3245999995</v>
      </c>
      <c r="AJ9" s="1">
        <f>SUM('BASE PAN - OPEX'!CQ9:CS9)</f>
        <v>3089077.7298999997</v>
      </c>
      <c r="AK9" s="1">
        <f>SUM('BASE PAN - OPEX'!CT9:CV9)</f>
        <v>3090602.4983999999</v>
      </c>
      <c r="AL9" s="1">
        <f t="shared" si="2"/>
        <v>88482650.896800011</v>
      </c>
      <c r="AM9" t="str">
        <f>VLOOKUP(D9,'FLUXO DE CAIXA DESC.-BLOCOS PAN'!$D$3:$AO$52,38,FALSE)</f>
        <v>AM - 2 - AL</v>
      </c>
      <c r="AN9" s="1">
        <f t="shared" si="1"/>
        <v>43440981.047800004</v>
      </c>
    </row>
    <row r="10" spans="1:40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33</v>
      </c>
      <c r="H10" s="1">
        <f>SUM('BASE PAN - OPEX'!K10:M10)</f>
        <v>3013709.8679999998</v>
      </c>
      <c r="I10" s="1">
        <f>SUM('BASE PAN - OPEX'!N10:P10)</f>
        <v>3016864.8606000002</v>
      </c>
      <c r="J10" s="1">
        <f>SUM('BASE PAN - OPEX'!Q10:S10)</f>
        <v>3019433.1784000001</v>
      </c>
      <c r="K10" s="1">
        <f>SUM('BASE PAN - OPEX'!T10:V10)</f>
        <v>3021445.7485999996</v>
      </c>
      <c r="L10" s="1">
        <f>SUM('BASE PAN - OPEX'!W10:Y10)</f>
        <v>3023235.5734000001</v>
      </c>
      <c r="M10" s="1">
        <f>SUM('BASE PAN - OPEX'!Z10:AB10)</f>
        <v>3024909.3530999999</v>
      </c>
      <c r="N10" s="1">
        <f>SUM('BASE PAN - OPEX'!AC10:AE10)</f>
        <v>3026546.9803000004</v>
      </c>
      <c r="O10" s="1">
        <f>SUM('BASE PAN - OPEX'!AF10:AH10)</f>
        <v>3028152.4841</v>
      </c>
      <c r="P10" s="1">
        <f>SUM('BASE PAN - OPEX'!AI10:AK10)</f>
        <v>3029684.1247999999</v>
      </c>
      <c r="Q10" s="1">
        <f>SUM('BASE PAN - OPEX'!AL10:AN10)</f>
        <v>3031160.0236</v>
      </c>
      <c r="R10" s="1">
        <f>SUM('BASE PAN - OPEX'!AO10:AQ10)</f>
        <v>3032584.5423000003</v>
      </c>
      <c r="S10" s="1">
        <f>SUM('BASE PAN - OPEX'!AR10:AT10)</f>
        <v>3213579.5930999997</v>
      </c>
      <c r="T10" s="1">
        <f>SUM('BASE PAN - OPEX'!AU10:AW10)</f>
        <v>3215030.1795999999</v>
      </c>
      <c r="U10" s="1">
        <f>SUM('BASE PAN - OPEX'!AX10:AZ10)</f>
        <v>3216535.0169000002</v>
      </c>
      <c r="V10" s="1">
        <f>SUM('BASE PAN - OPEX'!BA10:BC10)</f>
        <v>3218054.4868000001</v>
      </c>
      <c r="W10" s="1">
        <f>SUM('BASE PAN - OPEX'!BD10:BF10)</f>
        <v>3219618.9961999999</v>
      </c>
      <c r="X10" s="1">
        <f>SUM('BASE PAN - OPEX'!BG10:BI10)</f>
        <v>3221203.3758999999</v>
      </c>
      <c r="Y10" s="1">
        <f>SUM('BASE PAN - OPEX'!BJ10:BL10)</f>
        <v>3222856.639</v>
      </c>
      <c r="Z10" s="1">
        <f>SUM('BASE PAN - OPEX'!BM10:BO10)</f>
        <v>3224554.9415000002</v>
      </c>
      <c r="AA10" s="1">
        <f>SUM('BASE PAN - OPEX'!BP10:BR10)</f>
        <v>3226312.8213</v>
      </c>
      <c r="AB10" s="1">
        <f>SUM('BASE PAN - OPEX'!BS10:BU10)</f>
        <v>3228062.7853999995</v>
      </c>
      <c r="AC10" s="1">
        <f>SUM('BASE PAN - OPEX'!BV10:BX10)</f>
        <v>3229857.7277999995</v>
      </c>
      <c r="AD10" s="1">
        <f>SUM('BASE PAN - OPEX'!BY10:CA10)</f>
        <v>3231676.5762999998</v>
      </c>
      <c r="AE10" s="1">
        <f>SUM('BASE PAN - OPEX'!CB10:CD10)</f>
        <v>3233523.2423</v>
      </c>
      <c r="AF10" s="1">
        <f>SUM('BASE PAN - OPEX'!CE10:CG10)</f>
        <v>3235409.6491</v>
      </c>
      <c r="AG10" s="1">
        <f>SUM('BASE PAN - OPEX'!CH10:CJ10)</f>
        <v>3237339.77</v>
      </c>
      <c r="AH10" s="1">
        <f>SUM('BASE PAN - OPEX'!CK10:CM10)</f>
        <v>4361724.7908000005</v>
      </c>
      <c r="AI10" s="1">
        <f>SUM('BASE PAN - OPEX'!CN10:CP10)</f>
        <v>4363743.9949999992</v>
      </c>
      <c r="AJ10" s="1">
        <f>SUM('BASE PAN - OPEX'!CQ10:CS10)</f>
        <v>4365822.1967000002</v>
      </c>
      <c r="AK10" s="1">
        <f>SUM('BASE PAN - OPEX'!CT10:CV10)</f>
        <v>4367967.8854</v>
      </c>
      <c r="AL10" s="1">
        <f t="shared" si="2"/>
        <v>99100601.406300023</v>
      </c>
      <c r="AM10" t="str">
        <f>VLOOKUP(D10,'FLUXO DE CAIXA DESC.-BLOCOS PAN'!$D$3:$AO$52,38,FALSE)</f>
        <v>PA - 1 - AL</v>
      </c>
      <c r="AN10" s="1">
        <f t="shared" si="1"/>
        <v>46130926.013600007</v>
      </c>
    </row>
    <row r="11" spans="1:40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33</v>
      </c>
      <c r="H11" s="1">
        <f>SUM('BASE PAN - OPEX'!K11:M11)</f>
        <v>2811901.2546000001</v>
      </c>
      <c r="I11" s="1">
        <f>SUM('BASE PAN - OPEX'!N11:P11)</f>
        <v>2812853.1356000002</v>
      </c>
      <c r="J11" s="1">
        <f>SUM('BASE PAN - OPEX'!Q11:S11)</f>
        <v>2813630.2477000002</v>
      </c>
      <c r="K11" s="1">
        <f>SUM('BASE PAN - OPEX'!T11:V11)</f>
        <v>2814233.3901</v>
      </c>
      <c r="L11" s="1">
        <f>SUM('BASE PAN - OPEX'!W11:Y11)</f>
        <v>2814755.4501</v>
      </c>
      <c r="M11" s="1">
        <f>SUM('BASE PAN - OPEX'!Z11:AB11)</f>
        <v>2815267.3060000003</v>
      </c>
      <c r="N11" s="1">
        <f>SUM('BASE PAN - OPEX'!AC11:AE11)</f>
        <v>2815745.5290999999</v>
      </c>
      <c r="O11" s="1">
        <f>SUM('BASE PAN - OPEX'!AF11:AH11)</f>
        <v>2816208.3393999999</v>
      </c>
      <c r="P11" s="1">
        <f>SUM('BASE PAN - OPEX'!AI11:AK11)</f>
        <v>2816665.8230999997</v>
      </c>
      <c r="Q11" s="1">
        <f>SUM('BASE PAN - OPEX'!AL11:AN11)</f>
        <v>2817092.2385999998</v>
      </c>
      <c r="R11" s="1">
        <f>SUM('BASE PAN - OPEX'!AO11:AQ11)</f>
        <v>2817473.4876999999</v>
      </c>
      <c r="S11" s="1">
        <f>SUM('BASE PAN - OPEX'!AR11:AT11)</f>
        <v>2817886.6199000003</v>
      </c>
      <c r="T11" s="1">
        <f>SUM('BASE PAN - OPEX'!AU11:AW11)</f>
        <v>2818289.1233000001</v>
      </c>
      <c r="U11" s="1">
        <f>SUM('BASE PAN - OPEX'!AX11:AZ11)</f>
        <v>2818695.6631</v>
      </c>
      <c r="V11" s="1">
        <f>SUM('BASE PAN - OPEX'!BA11:BC11)</f>
        <v>2819099.4959</v>
      </c>
      <c r="W11" s="1">
        <f>SUM('BASE PAN - OPEX'!BD11:BF11)</f>
        <v>2819525.9104000004</v>
      </c>
      <c r="X11" s="1">
        <f>SUM('BASE PAN - OPEX'!BG11:BI11)</f>
        <v>2819960.2966999998</v>
      </c>
      <c r="Y11" s="1">
        <f>SUM('BASE PAN - OPEX'!BJ11:BL11)</f>
        <v>2820392.0252999999</v>
      </c>
      <c r="Z11" s="1">
        <f>SUM('BASE PAN - OPEX'!BM11:BO11)</f>
        <v>2820830.3956999998</v>
      </c>
      <c r="AA11" s="1">
        <f>SUM('BASE PAN - OPEX'!BP11:BR11)</f>
        <v>2821295.3850000002</v>
      </c>
      <c r="AB11" s="1">
        <f>SUM('BASE PAN - OPEX'!BS11:BU11)</f>
        <v>2821745.7113000001</v>
      </c>
      <c r="AC11" s="1">
        <f>SUM('BASE PAN - OPEX'!BV11:BX11)</f>
        <v>2822182.7542999997</v>
      </c>
      <c r="AD11" s="1">
        <f>SUM('BASE PAN - OPEX'!BY11:CA11)</f>
        <v>2822639.7221999997</v>
      </c>
      <c r="AE11" s="1">
        <f>SUM('BASE PAN - OPEX'!CB11:CD11)</f>
        <v>2823051.5249999999</v>
      </c>
      <c r="AF11" s="1">
        <f>SUM('BASE PAN - OPEX'!CE11:CG11)</f>
        <v>2823483.7818</v>
      </c>
      <c r="AG11" s="1">
        <f>SUM('BASE PAN - OPEX'!CH11:CJ11)</f>
        <v>2823886.2862</v>
      </c>
      <c r="AH11" s="1">
        <f>SUM('BASE PAN - OPEX'!CK11:CM11)</f>
        <v>2824276.8347000005</v>
      </c>
      <c r="AI11" s="1">
        <f>SUM('BASE PAN - OPEX'!CN11:CP11)</f>
        <v>2824671.3681999999</v>
      </c>
      <c r="AJ11" s="1">
        <f>SUM('BASE PAN - OPEX'!CQ11:CS11)</f>
        <v>2825073.8728</v>
      </c>
      <c r="AK11" s="1">
        <f>SUM('BASE PAN - OPEX'!CT11:CV11)</f>
        <v>2825483.0189</v>
      </c>
      <c r="AL11" s="1">
        <f t="shared" si="2"/>
        <v>84578295.992700011</v>
      </c>
      <c r="AM11" t="str">
        <f>VLOOKUP(D11,'FLUXO DE CAIXA DESC.-BLOCOS PAN'!$D$3:$AO$52,38,FALSE)</f>
        <v>AC + AM - 1 - AL</v>
      </c>
      <c r="AN11" s="1">
        <f t="shared" si="1"/>
        <v>42239797.104200006</v>
      </c>
    </row>
    <row r="12" spans="1:40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33</v>
      </c>
      <c r="H12" s="1">
        <f>SUM('BASE PAN - OPEX'!K12:M12)</f>
        <v>3024334.1570000001</v>
      </c>
      <c r="I12" s="1">
        <f>SUM('BASE PAN - OPEX'!N12:P12)</f>
        <v>3028129.9010000005</v>
      </c>
      <c r="J12" s="1">
        <f>SUM('BASE PAN - OPEX'!Q12:S12)</f>
        <v>3031082.9763000002</v>
      </c>
      <c r="K12" s="1">
        <f>SUM('BASE PAN - OPEX'!T12:V12)</f>
        <v>3212597.9432999999</v>
      </c>
      <c r="L12" s="1">
        <f>SUM('BASE PAN - OPEX'!W12:Y12)</f>
        <v>3214317.4402999999</v>
      </c>
      <c r="M12" s="1">
        <f>SUM('BASE PAN - OPEX'!Z12:AB12)</f>
        <v>3215721.6631999998</v>
      </c>
      <c r="N12" s="1">
        <f>SUM('BASE PAN - OPEX'!AC12:AE12)</f>
        <v>3217180.1979999999</v>
      </c>
      <c r="O12" s="1">
        <f>SUM('BASE PAN - OPEX'!AF12:AH12)</f>
        <v>3218451.8917</v>
      </c>
      <c r="P12" s="1">
        <f>SUM('BASE PAN - OPEX'!AI12:AK12)</f>
        <v>3219808.4255999997</v>
      </c>
      <c r="Q12" s="1">
        <f>SUM('BASE PAN - OPEX'!AL12:AN12)</f>
        <v>3220864.2577</v>
      </c>
      <c r="R12" s="1">
        <f>SUM('BASE PAN - OPEX'!AO12:AQ12)</f>
        <v>3222002.1581999999</v>
      </c>
      <c r="S12" s="1">
        <f>SUM('BASE PAN - OPEX'!AR12:AT12)</f>
        <v>3222991.7564000003</v>
      </c>
      <c r="T12" s="1">
        <f>SUM('BASE PAN - OPEX'!AU12:AW12)</f>
        <v>3224121.7096000002</v>
      </c>
      <c r="U12" s="1">
        <f>SUM('BASE PAN - OPEX'!AX12:AZ12)</f>
        <v>3225129.8527999995</v>
      </c>
      <c r="V12" s="1">
        <f>SUM('BASE PAN - OPEX'!BA12:BC12)</f>
        <v>3226308.8465999998</v>
      </c>
      <c r="W12" s="1">
        <f>SUM('BASE PAN - OPEX'!BD12:BF12)</f>
        <v>3227303.6824000003</v>
      </c>
      <c r="X12" s="1">
        <f>SUM('BASE PAN - OPEX'!BG12:BI12)</f>
        <v>3228502.5792</v>
      </c>
      <c r="Y12" s="1">
        <f>SUM('BASE PAN - OPEX'!BJ12:BL12)</f>
        <v>3229505.3623000002</v>
      </c>
      <c r="Z12" s="1">
        <f>SUM('BASE PAN - OPEX'!BM12:BO12)</f>
        <v>3230736.0524000004</v>
      </c>
      <c r="AA12" s="1">
        <f>SUM('BASE PAN - OPEX'!BP12:BR12)</f>
        <v>3231793.2087999997</v>
      </c>
      <c r="AB12" s="1">
        <f>SUM('BASE PAN - OPEX'!BS12:BU12)</f>
        <v>3233001.3179000001</v>
      </c>
      <c r="AC12" s="1">
        <f>SUM('BASE PAN - OPEX'!BV12:BX12)</f>
        <v>3234046.5523000001</v>
      </c>
      <c r="AD12" s="1">
        <f>SUM('BASE PAN - OPEX'!BY12:CA12)</f>
        <v>3235294.4019999998</v>
      </c>
      <c r="AE12" s="1">
        <f>SUM('BASE PAN - OPEX'!CB12:CD12)</f>
        <v>3236421.7659999998</v>
      </c>
      <c r="AF12" s="1">
        <f>SUM('BASE PAN - OPEX'!CE12:CG12)</f>
        <v>3237755.7811000003</v>
      </c>
      <c r="AG12" s="1">
        <f>SUM('BASE PAN - OPEX'!CH12:CJ12)</f>
        <v>3238916.2013999997</v>
      </c>
      <c r="AH12" s="1">
        <f>SUM('BASE PAN - OPEX'!CK12:CM12)</f>
        <v>4362709.9183</v>
      </c>
      <c r="AI12" s="1">
        <f>SUM('BASE PAN - OPEX'!CN12:CP12)</f>
        <v>4363819.5663000001</v>
      </c>
      <c r="AJ12" s="1">
        <f>SUM('BASE PAN - OPEX'!CQ12:CS12)</f>
        <v>4364936.9444000004</v>
      </c>
      <c r="AK12" s="1">
        <f>SUM('BASE PAN - OPEX'!CT12:CV12)</f>
        <v>4366078.5998</v>
      </c>
      <c r="AL12" s="1">
        <f t="shared" si="2"/>
        <v>100743865.11230002</v>
      </c>
      <c r="AM12" t="str">
        <f>VLOOKUP(D12,'FLUXO DE CAIXA DESC.-BLOCOS PAN'!$D$3:$AO$52,38,FALSE)</f>
        <v>PA - 2 - AL</v>
      </c>
      <c r="AN12" s="1">
        <f t="shared" si="1"/>
        <v>47723043.177699998</v>
      </c>
    </row>
    <row r="13" spans="1:40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33</v>
      </c>
      <c r="H13" s="1">
        <f>SUM('BASE PAN - OPEX'!K13:M13)</f>
        <v>2905661.5353000001</v>
      </c>
      <c r="I13" s="1">
        <f>SUM('BASE PAN - OPEX'!N13:P13)</f>
        <v>3080196.7624999997</v>
      </c>
      <c r="J13" s="1">
        <f>SUM('BASE PAN - OPEX'!Q13:S13)</f>
        <v>3084723.3808999998</v>
      </c>
      <c r="K13" s="1">
        <f>SUM('BASE PAN - OPEX'!T13:V13)</f>
        <v>3087513.2197000002</v>
      </c>
      <c r="L13" s="1">
        <f>SUM('BASE PAN - OPEX'!W13:Y13)</f>
        <v>3089428.7696000002</v>
      </c>
      <c r="M13" s="1">
        <f>SUM('BASE PAN - OPEX'!Z13:AB13)</f>
        <v>3091089.9806999997</v>
      </c>
      <c r="N13" s="1">
        <f>SUM('BASE PAN - OPEX'!AC13:AE13)</f>
        <v>3092475.6587999994</v>
      </c>
      <c r="O13" s="1">
        <f>SUM('BASE PAN - OPEX'!AF13:AH13)</f>
        <v>3093714.2631000001</v>
      </c>
      <c r="P13" s="1">
        <f>SUM('BASE PAN - OPEX'!AI13:AK13)</f>
        <v>3094687.9038000004</v>
      </c>
      <c r="Q13" s="1">
        <f>SUM('BASE PAN - OPEX'!AL13:AN13)</f>
        <v>3095563.5784999998</v>
      </c>
      <c r="R13" s="1">
        <f>SUM('BASE PAN - OPEX'!AO13:AQ13)</f>
        <v>3096296.1272999998</v>
      </c>
      <c r="S13" s="1">
        <f>SUM('BASE PAN - OPEX'!AR13:AT13)</f>
        <v>3096872.3630999997</v>
      </c>
      <c r="T13" s="1">
        <f>SUM('BASE PAN - OPEX'!AU13:AW13)</f>
        <v>3097534.7655999996</v>
      </c>
      <c r="U13" s="1">
        <f>SUM('BASE PAN - OPEX'!AX13:AZ13)</f>
        <v>3098219.6254000003</v>
      </c>
      <c r="V13" s="1">
        <f>SUM('BASE PAN - OPEX'!BA13:BC13)</f>
        <v>3098778.6408000002</v>
      </c>
      <c r="W13" s="1">
        <f>SUM('BASE PAN - OPEX'!BD13:BF13)</f>
        <v>3099422.4967999998</v>
      </c>
      <c r="X13" s="1">
        <f>SUM('BASE PAN - OPEX'!BG13:BI13)</f>
        <v>3100095.4345999998</v>
      </c>
      <c r="Y13" s="1">
        <f>SUM('BASE PAN - OPEX'!BJ13:BL13)</f>
        <v>3100665.0469999998</v>
      </c>
      <c r="Z13" s="1">
        <f>SUM('BASE PAN - OPEX'!BM13:BO13)</f>
        <v>3101294.3323000004</v>
      </c>
      <c r="AA13" s="1">
        <f>SUM('BASE PAN - OPEX'!BP13:BR13)</f>
        <v>3101964.6203999999</v>
      </c>
      <c r="AB13" s="1">
        <f>SUM('BASE PAN - OPEX'!BS13:BU13)</f>
        <v>3102448.1290000002</v>
      </c>
      <c r="AC13" s="1">
        <f>SUM('BASE PAN - OPEX'!BV13:BX13)</f>
        <v>3103049.5956000001</v>
      </c>
      <c r="AD13" s="1">
        <f>SUM('BASE PAN - OPEX'!BY13:CA13)</f>
        <v>3103531.7793000001</v>
      </c>
      <c r="AE13" s="1">
        <f>SUM('BASE PAN - OPEX'!CB13:CD13)</f>
        <v>3104056.3524000002</v>
      </c>
      <c r="AF13" s="1">
        <f>SUM('BASE PAN - OPEX'!CE13:CG13)</f>
        <v>3104612.7189999996</v>
      </c>
      <c r="AG13" s="1">
        <f>SUM('BASE PAN - OPEX'!CH13:CJ13)</f>
        <v>3105105.5616000001</v>
      </c>
      <c r="AH13" s="1">
        <f>SUM('BASE PAN - OPEX'!CK13:CM13)</f>
        <v>3105562.5764999995</v>
      </c>
      <c r="AI13" s="1">
        <f>SUM('BASE PAN - OPEX'!CN13:CP13)</f>
        <v>3106010.3180999998</v>
      </c>
      <c r="AJ13" s="1">
        <f>SUM('BASE PAN - OPEX'!CQ13:CS13)</f>
        <v>3106459.3846</v>
      </c>
      <c r="AK13" s="1">
        <f>SUM('BASE PAN - OPEX'!CT13:CV13)</f>
        <v>4205610.2402999997</v>
      </c>
      <c r="AL13" s="1">
        <f t="shared" si="2"/>
        <v>93852645.162599996</v>
      </c>
      <c r="AM13" t="str">
        <f>VLOOKUP(D13,'FLUXO DE CAIXA DESC.-BLOCOS PAN'!$D$3:$AO$52,38,FALSE)</f>
        <v>AM - 2 - AL</v>
      </c>
      <c r="AN13" s="1">
        <f t="shared" si="1"/>
        <v>46202756.575099997</v>
      </c>
    </row>
    <row r="14" spans="1:40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33</v>
      </c>
      <c r="H14" s="1">
        <f>SUM('BASE PAN - OPEX'!K14:M14)</f>
        <v>3382326.9692000002</v>
      </c>
      <c r="I14" s="1">
        <f>SUM('BASE PAN - OPEX'!N14:P14)</f>
        <v>3385170.2649999997</v>
      </c>
      <c r="J14" s="1">
        <f>SUM('BASE PAN - OPEX'!Q14:S14)</f>
        <v>3387598.6237999997</v>
      </c>
      <c r="K14" s="1">
        <f>SUM('BASE PAN - OPEX'!T14:V14)</f>
        <v>3389579.7373000002</v>
      </c>
      <c r="L14" s="1">
        <f>SUM('BASE PAN - OPEX'!W14:Y14)</f>
        <v>3391364.3012000001</v>
      </c>
      <c r="M14" s="1">
        <f>SUM('BASE PAN - OPEX'!Z14:AB14)</f>
        <v>3393089.8252000003</v>
      </c>
      <c r="N14" s="1">
        <f>SUM('BASE PAN - OPEX'!AC14:AE14)</f>
        <v>3394758.3413000004</v>
      </c>
      <c r="O14" s="1">
        <f>SUM('BASE PAN - OPEX'!AF14:AH14)</f>
        <v>3396420.2163000004</v>
      </c>
      <c r="P14" s="1">
        <f>SUM('BASE PAN - OPEX'!AI14:AK14)</f>
        <v>3398018.2763999999</v>
      </c>
      <c r="Q14" s="1">
        <f>SUM('BASE PAN - OPEX'!AL14:AN14)</f>
        <v>3636389.5472999997</v>
      </c>
      <c r="R14" s="1">
        <f>SUM('BASE PAN - OPEX'!AO14:AQ14)</f>
        <v>3637857.2943000002</v>
      </c>
      <c r="S14" s="1">
        <f>SUM('BASE PAN - OPEX'!AR14:AT14)</f>
        <v>3639340.9973999998</v>
      </c>
      <c r="T14" s="1">
        <f>SUM('BASE PAN - OPEX'!AU14:AW14)</f>
        <v>3640843.2472000001</v>
      </c>
      <c r="U14" s="1">
        <f>SUM('BASE PAN - OPEX'!AX14:AZ14)</f>
        <v>3642401.1326000001</v>
      </c>
      <c r="V14" s="1">
        <f>SUM('BASE PAN - OPEX'!BA14:BC14)</f>
        <v>3643951.0712000001</v>
      </c>
      <c r="W14" s="1">
        <f>SUM('BASE PAN - OPEX'!BD14:BF14)</f>
        <v>3645559.2944</v>
      </c>
      <c r="X14" s="1">
        <f>SUM('BASE PAN - OPEX'!BG14:BI14)</f>
        <v>3647179.3793000001</v>
      </c>
      <c r="Y14" s="1">
        <f>SUM('BASE PAN - OPEX'!BJ14:BL14)</f>
        <v>3648863.8596000001</v>
      </c>
      <c r="Z14" s="1">
        <f>SUM('BASE PAN - OPEX'!BM14:BO14)</f>
        <v>3650594.4959</v>
      </c>
      <c r="AA14" s="1">
        <f>SUM('BASE PAN - OPEX'!BP14:BR14)</f>
        <v>3652364.3310000002</v>
      </c>
      <c r="AB14" s="1">
        <f>SUM('BASE PAN - OPEX'!BS14:BU14)</f>
        <v>3654118.2696000002</v>
      </c>
      <c r="AC14" s="1">
        <f>SUM('BASE PAN - OPEX'!BV14:BX14)</f>
        <v>3655925.1954000001</v>
      </c>
      <c r="AD14" s="1">
        <f>SUM('BASE PAN - OPEX'!BY14:CA14)</f>
        <v>3657732.1211000001</v>
      </c>
      <c r="AE14" s="1">
        <f>SUM('BASE PAN - OPEX'!CB14:CD14)</f>
        <v>3659570.84</v>
      </c>
      <c r="AF14" s="1">
        <f>SUM('BASE PAN - OPEX'!CE14:CG14)</f>
        <v>3661404.2593999994</v>
      </c>
      <c r="AG14" s="1">
        <f>SUM('BASE PAN - OPEX'!CH14:CJ14)</f>
        <v>4352475.4068</v>
      </c>
      <c r="AH14" s="1">
        <f>SUM('BASE PAN - OPEX'!CK14:CM14)</f>
        <v>4354355.6144000003</v>
      </c>
      <c r="AI14" s="1">
        <f>SUM('BASE PAN - OPEX'!CN14:CP14)</f>
        <v>4356261.0809999993</v>
      </c>
      <c r="AJ14" s="1">
        <f>SUM('BASE PAN - OPEX'!CQ14:CS14)</f>
        <v>4358221.5482999999</v>
      </c>
      <c r="AK14" s="1">
        <f>SUM('BASE PAN - OPEX'!CT14:CV14)</f>
        <v>4360230.9258000003</v>
      </c>
      <c r="AL14" s="1">
        <f t="shared" si="2"/>
        <v>110673966.46769997</v>
      </c>
      <c r="AM14" t="str">
        <f>VLOOKUP(D14,'FLUXO DE CAIXA DESC.-BLOCOS PAN'!$D$3:$AO$52,38,FALSE)</f>
        <v>Bloco Nordeste</v>
      </c>
      <c r="AN14" s="1">
        <f t="shared" si="1"/>
        <v>52359109.845699996</v>
      </c>
    </row>
    <row r="15" spans="1:40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33</v>
      </c>
      <c r="H15" s="1">
        <f>SUM('BASE PAN - OPEX'!K15:M15)</f>
        <v>3088183.0655000005</v>
      </c>
      <c r="I15" s="1">
        <f>SUM('BASE PAN - OPEX'!N15:P15)</f>
        <v>3094347.0175000001</v>
      </c>
      <c r="J15" s="1">
        <f>SUM('BASE PAN - OPEX'!Q15:S15)</f>
        <v>3099386.2258000001</v>
      </c>
      <c r="K15" s="1">
        <f>SUM('BASE PAN - OPEX'!T15:V15)</f>
        <v>3103312.7028000001</v>
      </c>
      <c r="L15" s="1">
        <f>SUM('BASE PAN - OPEX'!W15:Y15)</f>
        <v>4174236.4844000004</v>
      </c>
      <c r="M15" s="1">
        <f>SUM('BASE PAN - OPEX'!Z15:AB15)</f>
        <v>4177555.2349</v>
      </c>
      <c r="N15" s="1">
        <f>SUM('BASE PAN - OPEX'!AC15:AE15)</f>
        <v>4180732.9282</v>
      </c>
      <c r="O15" s="1">
        <f>SUM('BASE PAN - OPEX'!AF15:AH15)</f>
        <v>4183790.8593000001</v>
      </c>
      <c r="P15" s="1">
        <f>SUM('BASE PAN - OPEX'!AI15:AK15)</f>
        <v>4186675.0866999999</v>
      </c>
      <c r="Q15" s="1">
        <f>SUM('BASE PAN - OPEX'!AL15:AN15)</f>
        <v>4189359.2089</v>
      </c>
      <c r="R15" s="1">
        <f>SUM('BASE PAN - OPEX'!AO15:AQ15)</f>
        <v>4191904.7690000003</v>
      </c>
      <c r="S15" s="1">
        <f>SUM('BASE PAN - OPEX'!AR15:AT15)</f>
        <v>4194440.4600999998</v>
      </c>
      <c r="T15" s="1">
        <f>SUM('BASE PAN - OPEX'!AU15:AW15)</f>
        <v>4196976.5059000002</v>
      </c>
      <c r="U15" s="1">
        <f>SUM('BASE PAN - OPEX'!AX15:AZ15)</f>
        <v>4199585.0574000003</v>
      </c>
      <c r="V15" s="1">
        <f>SUM('BASE PAN - OPEX'!BA15:BC15)</f>
        <v>4202171.6743999999</v>
      </c>
      <c r="W15" s="1">
        <f>SUM('BASE PAN - OPEX'!BD15:BF15)</f>
        <v>4204803.1798</v>
      </c>
      <c r="X15" s="1">
        <f>SUM('BASE PAN - OPEX'!BG15:BI15)</f>
        <v>4207447.1849999996</v>
      </c>
      <c r="Y15" s="1">
        <f>SUM('BASE PAN - OPEX'!BJ15:BL15)</f>
        <v>4210181.0342000006</v>
      </c>
      <c r="Z15" s="1">
        <f>SUM('BASE PAN - OPEX'!BM15:BO15)</f>
        <v>4212946.1380000003</v>
      </c>
      <c r="AA15" s="1">
        <f>SUM('BASE PAN - OPEX'!BP15:BR15)</f>
        <v>4215785.4387999997</v>
      </c>
      <c r="AB15" s="1">
        <f>SUM('BASE PAN - OPEX'!BS15:BU15)</f>
        <v>4218568.4408999998</v>
      </c>
      <c r="AC15" s="1">
        <f>SUM('BASE PAN - OPEX'!BV15:BX15)</f>
        <v>4221384.8131999997</v>
      </c>
      <c r="AD15" s="1">
        <f>SUM('BASE PAN - OPEX'!BY15:CA15)</f>
        <v>4224202.1931999996</v>
      </c>
      <c r="AE15" s="1">
        <f>SUM('BASE PAN - OPEX'!CB15:CD15)</f>
        <v>4226905.6568999998</v>
      </c>
      <c r="AF15" s="1">
        <f>SUM('BASE PAN - OPEX'!CE15:CG15)</f>
        <v>4229521.3234000001</v>
      </c>
      <c r="AG15" s="1">
        <f>SUM('BASE PAN - OPEX'!CH15:CJ15)</f>
        <v>4232129.8739999998</v>
      </c>
      <c r="AH15" s="1">
        <f>SUM('BASE PAN - OPEX'!CK15:CM15)</f>
        <v>4234645.3226000005</v>
      </c>
      <c r="AI15" s="1">
        <f>SUM('BASE PAN - OPEX'!CN15:CP15)</f>
        <v>4237179.6508999998</v>
      </c>
      <c r="AJ15" s="1">
        <f>SUM('BASE PAN - OPEX'!CQ15:CS15)</f>
        <v>4239769.6772999996</v>
      </c>
      <c r="AK15" s="1">
        <f>SUM('BASE PAN - OPEX'!CT15:CV15)</f>
        <v>4242394.4348999998</v>
      </c>
      <c r="AL15" s="1">
        <f t="shared" si="2"/>
        <v>121820521.64390001</v>
      </c>
      <c r="AM15" t="str">
        <f>VLOOKUP(D15,'FLUXO DE CAIXA DESC.-BLOCOS PAN'!$D$3:$AO$52,38,FALSE)</f>
        <v>RO - 1 - AL</v>
      </c>
      <c r="AN15" s="1">
        <f t="shared" si="1"/>
        <v>58462657.280800007</v>
      </c>
    </row>
    <row r="16" spans="1:40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33</v>
      </c>
      <c r="H16" s="1">
        <f>SUM('BASE PAN - OPEX'!K16:M16)</f>
        <v>3006103.3709999998</v>
      </c>
      <c r="I16" s="1">
        <f>SUM('BASE PAN - OPEX'!N16:P16)</f>
        <v>3007736.0199000002</v>
      </c>
      <c r="J16" s="1">
        <f>SUM('BASE PAN - OPEX'!Q16:S16)</f>
        <v>3009035.2419999996</v>
      </c>
      <c r="K16" s="1">
        <f>SUM('BASE PAN - OPEX'!T16:V16)</f>
        <v>3010004.9716000003</v>
      </c>
      <c r="L16" s="1">
        <f>SUM('BASE PAN - OPEX'!W16:Y16)</f>
        <v>3010842.3384999996</v>
      </c>
      <c r="M16" s="1">
        <f>SUM('BASE PAN - OPEX'!Z16:AB16)</f>
        <v>3011583.6343999994</v>
      </c>
      <c r="N16" s="1">
        <f>SUM('BASE PAN - OPEX'!AC16:AE16)</f>
        <v>3012343.477</v>
      </c>
      <c r="O16" s="1">
        <f>SUM('BASE PAN - OPEX'!AF16:AH16)</f>
        <v>3013132.5440999996</v>
      </c>
      <c r="P16" s="1">
        <f>SUM('BASE PAN - OPEX'!AI16:AK16)</f>
        <v>3013894.5154999997</v>
      </c>
      <c r="Q16" s="1">
        <f>SUM('BASE PAN - OPEX'!AL16:AN16)</f>
        <v>3014634.4325999999</v>
      </c>
      <c r="R16" s="1">
        <f>SUM('BASE PAN - OPEX'!AO16:AQ16)</f>
        <v>3015326.5268999999</v>
      </c>
      <c r="S16" s="1">
        <f>SUM('BASE PAN - OPEX'!AR16:AT16)</f>
        <v>3016057.1952999998</v>
      </c>
      <c r="T16" s="1">
        <f>SUM('BASE PAN - OPEX'!AU16:AW16)</f>
        <v>3016775.8576000002</v>
      </c>
      <c r="U16" s="1">
        <f>SUM('BASE PAN - OPEX'!AX16:AZ16)</f>
        <v>3017521.0878999997</v>
      </c>
      <c r="V16" s="1">
        <f>SUM('BASE PAN - OPEX'!BA16:BC16)</f>
        <v>3018272.16</v>
      </c>
      <c r="W16" s="1">
        <f>SUM('BASE PAN - OPEX'!BD16:BF16)</f>
        <v>3019029.3458000002</v>
      </c>
      <c r="X16" s="1">
        <f>SUM('BASE PAN - OPEX'!BG16:BI16)</f>
        <v>3019818.4128999999</v>
      </c>
      <c r="Y16" s="1">
        <f>SUM('BASE PAN - OPEX'!BJ16:BL16)</f>
        <v>3020615.4508000002</v>
      </c>
      <c r="Z16" s="1">
        <f>SUM('BASE PAN - OPEX'!BM16:BO16)</f>
        <v>3021464.3467999999</v>
      </c>
      <c r="AA16" s="1">
        <f>SUM('BASE PAN - OPEX'!BP16:BR16)</f>
        <v>3022307.8781999997</v>
      </c>
      <c r="AB16" s="1">
        <f>SUM('BASE PAN - OPEX'!BS16:BU16)</f>
        <v>3023187.7507000002</v>
      </c>
      <c r="AC16" s="1">
        <f>SUM('BASE PAN - OPEX'!BV16:BX16)</f>
        <v>3024059.1793</v>
      </c>
      <c r="AD16" s="1">
        <f>SUM('BASE PAN - OPEX'!BY16:CA16)</f>
        <v>3024961.1596999997</v>
      </c>
      <c r="AE16" s="1">
        <f>SUM('BASE PAN - OPEX'!CB16:CD16)</f>
        <v>3025871.6395</v>
      </c>
      <c r="AF16" s="1">
        <f>SUM('BASE PAN - OPEX'!CE16:CG16)</f>
        <v>3026791.4051999999</v>
      </c>
      <c r="AG16" s="1">
        <f>SUM('BASE PAN - OPEX'!CH16:CJ16)</f>
        <v>3027736.6453</v>
      </c>
      <c r="AH16" s="1">
        <f>SUM('BASE PAN - OPEX'!CK16:CM16)</f>
        <v>3028671.8865999999</v>
      </c>
      <c r="AI16" s="1">
        <f>SUM('BASE PAN - OPEX'!CN16:CP16)</f>
        <v>3029580.5095000002</v>
      </c>
      <c r="AJ16" s="1">
        <f>SUM('BASE PAN - OPEX'!CQ16:CS16)</f>
        <v>3030517.0792999999</v>
      </c>
      <c r="AK16" s="1">
        <f>SUM('BASE PAN - OPEX'!CT16:CV16)</f>
        <v>3031474.8532000002</v>
      </c>
      <c r="AL16" s="1">
        <f t="shared" si="2"/>
        <v>90569350.917100027</v>
      </c>
      <c r="AM16" t="str">
        <f>VLOOKUP(D16,'FLUXO DE CAIXA DESC.-BLOCOS PAN'!$D$3:$AO$52,38,FALSE)</f>
        <v>PA - 2 - AL</v>
      </c>
      <c r="AN16" s="1">
        <f t="shared" si="1"/>
        <v>45193263.374300003</v>
      </c>
    </row>
    <row r="17" spans="1:40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33</v>
      </c>
      <c r="H17" s="1">
        <f>SUM('BASE PAN - OPEX'!K17:M17)</f>
        <v>3011267.4753999999</v>
      </c>
      <c r="I17" s="1">
        <f>SUM('BASE PAN - OPEX'!N17:P17)</f>
        <v>3014229.2715999996</v>
      </c>
      <c r="J17" s="1">
        <f>SUM('BASE PAN - OPEX'!Q17:S17)</f>
        <v>3016822.3511000006</v>
      </c>
      <c r="K17" s="1">
        <f>SUM('BASE PAN - OPEX'!T17:V17)</f>
        <v>3018828.7579000001</v>
      </c>
      <c r="L17" s="1">
        <f>SUM('BASE PAN - OPEX'!W17:Y17)</f>
        <v>3020768.2665999997</v>
      </c>
      <c r="M17" s="1">
        <f>SUM('BASE PAN - OPEX'!Z17:AB17)</f>
        <v>3022515.5323000001</v>
      </c>
      <c r="N17" s="1">
        <f>SUM('BASE PAN - OPEX'!AC17:AE17)</f>
        <v>3024385.9646000005</v>
      </c>
      <c r="O17" s="1">
        <f>SUM('BASE PAN - OPEX'!AF17:AH17)</f>
        <v>3026137.3191999998</v>
      </c>
      <c r="P17" s="1">
        <f>SUM('BASE PAN - OPEX'!AI17:AK17)</f>
        <v>3028027.6140999999</v>
      </c>
      <c r="Q17" s="1">
        <f>SUM('BASE PAN - OPEX'!AL17:AN17)</f>
        <v>3029700.0654000002</v>
      </c>
      <c r="R17" s="1">
        <f>SUM('BASE PAN - OPEX'!AO17:AQ17)</f>
        <v>3031484.1523000002</v>
      </c>
      <c r="S17" s="1">
        <f>SUM('BASE PAN - OPEX'!AR17:AT17)</f>
        <v>3212686.6968999999</v>
      </c>
      <c r="T17" s="1">
        <f>SUM('BASE PAN - OPEX'!AU17:AW17)</f>
        <v>3214522.7653000001</v>
      </c>
      <c r="U17" s="1">
        <f>SUM('BASE PAN - OPEX'!AX17:AZ17)</f>
        <v>3216218.4184000003</v>
      </c>
      <c r="V17" s="1">
        <f>SUM('BASE PAN - OPEX'!BA17:BC17)</f>
        <v>3218114.0978000001</v>
      </c>
      <c r="W17" s="1">
        <f>SUM('BASE PAN - OPEX'!BD17:BF17)</f>
        <v>3219868.0364999995</v>
      </c>
      <c r="X17" s="1">
        <f>SUM('BASE PAN - OPEX'!BG17:BI17)</f>
        <v>3221818.0277999998</v>
      </c>
      <c r="Y17" s="1">
        <f>SUM('BASE PAN - OPEX'!BJ17:BL17)</f>
        <v>3223590.5126</v>
      </c>
      <c r="Z17" s="1">
        <f>SUM('BASE PAN - OPEX'!BM17:BO17)</f>
        <v>3225623.3837000001</v>
      </c>
      <c r="AA17" s="1">
        <f>SUM('BASE PAN - OPEX'!BP17:BR17)</f>
        <v>3227450.7218000004</v>
      </c>
      <c r="AB17" s="1">
        <f>SUM('BASE PAN - OPEX'!BS17:BU17)</f>
        <v>3229513.3107000003</v>
      </c>
      <c r="AC17" s="1">
        <f>SUM('BASE PAN - OPEX'!BV17:BX17)</f>
        <v>3231371.8997</v>
      </c>
      <c r="AD17" s="1">
        <f>SUM('BASE PAN - OPEX'!BY17:CA17)</f>
        <v>3233507.3456999999</v>
      </c>
      <c r="AE17" s="1">
        <f>SUM('BASE PAN - OPEX'!CB17:CD17)</f>
        <v>3235009.5957999998</v>
      </c>
      <c r="AF17" s="1">
        <f>SUM('BASE PAN - OPEX'!CE17:CG17)</f>
        <v>3236772.8070999999</v>
      </c>
      <c r="AG17" s="1">
        <f>SUM('BASE PAN - OPEX'!CH17:CJ17)</f>
        <v>3238332.0176999997</v>
      </c>
      <c r="AH17" s="1">
        <f>SUM('BASE PAN - OPEX'!CK17:CM17)</f>
        <v>4362601.9588000001</v>
      </c>
      <c r="AI17" s="1">
        <f>SUM('BASE PAN - OPEX'!CN17:CP17)</f>
        <v>4364194.7249999996</v>
      </c>
      <c r="AJ17" s="1">
        <f>SUM('BASE PAN - OPEX'!CQ17:CS17)</f>
        <v>4365818.1481999997</v>
      </c>
      <c r="AK17" s="1">
        <f>SUM('BASE PAN - OPEX'!CT17:CV17)</f>
        <v>4367475.3217000002</v>
      </c>
      <c r="AL17" s="1">
        <f t="shared" si="2"/>
        <v>99088656.561699986</v>
      </c>
      <c r="AM17" t="str">
        <f>VLOOKUP(D17,'FLUXO DE CAIXA DESC.-BLOCOS PAN'!$D$3:$AO$52,38,FALSE)</f>
        <v>PA - 2 - AL</v>
      </c>
      <c r="AN17" s="1">
        <f t="shared" si="1"/>
        <v>46105708.748899996</v>
      </c>
    </row>
    <row r="18" spans="1:40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33</v>
      </c>
      <c r="H18" s="1">
        <f>SUM('BASE PAN - OPEX'!K18:M18)</f>
        <v>3002035.6817000001</v>
      </c>
      <c r="I18" s="1">
        <f>SUM('BASE PAN - OPEX'!N18:P18)</f>
        <v>3003189.1532000005</v>
      </c>
      <c r="J18" s="1">
        <f>SUM('BASE PAN - OPEX'!Q18:S18)</f>
        <v>3004107.6038999995</v>
      </c>
      <c r="K18" s="1">
        <f>SUM('BASE PAN - OPEX'!T18:V18)</f>
        <v>3004788.2577999998</v>
      </c>
      <c r="L18" s="1">
        <f>SUM('BASE PAN - OPEX'!W18:Y18)</f>
        <v>3005359.469</v>
      </c>
      <c r="M18" s="1">
        <f>SUM('BASE PAN - OPEX'!Z18:AB18)</f>
        <v>3005878.8716000002</v>
      </c>
      <c r="N18" s="1">
        <f>SUM('BASE PAN - OPEX'!AC18:AE18)</f>
        <v>3006394.3398000002</v>
      </c>
      <c r="O18" s="1">
        <f>SUM('BASE PAN - OPEX'!AF18:AH18)</f>
        <v>3006921.7131000003</v>
      </c>
      <c r="P18" s="1">
        <f>SUM('BASE PAN - OPEX'!AI18:AK18)</f>
        <v>3007437.1308000004</v>
      </c>
      <c r="Q18" s="1">
        <f>SUM('BASE PAN - OPEX'!AL18:AN18)</f>
        <v>3007919.3389999997</v>
      </c>
      <c r="R18" s="1">
        <f>SUM('BASE PAN - OPEX'!AO18:AQ18)</f>
        <v>3008384.2774000005</v>
      </c>
      <c r="S18" s="1">
        <f>SUM('BASE PAN - OPEX'!AR18:AT18)</f>
        <v>3008858.5652999999</v>
      </c>
      <c r="T18" s="1">
        <f>SUM('BASE PAN - OPEX'!AU18:AW18)</f>
        <v>3009328.8179000001</v>
      </c>
      <c r="U18" s="1">
        <f>SUM('BASE PAN - OPEX'!AX18:AZ18)</f>
        <v>3009818.9958000001</v>
      </c>
      <c r="V18" s="1">
        <f>SUM('BASE PAN - OPEX'!BA18:BC18)</f>
        <v>3010305.1889999998</v>
      </c>
      <c r="W18" s="1">
        <f>SUM('BASE PAN - OPEX'!BD18:BF18)</f>
        <v>3010810.4573999997</v>
      </c>
      <c r="X18" s="1">
        <f>SUM('BASE PAN - OPEX'!BG18:BI18)</f>
        <v>3011319.2829999998</v>
      </c>
      <c r="Y18" s="1">
        <f>SUM('BASE PAN - OPEX'!BJ18:BL18)</f>
        <v>3011845.3280999996</v>
      </c>
      <c r="Z18" s="1">
        <f>SUM('BASE PAN - OPEX'!BM18:BO18)</f>
        <v>3012385.9855</v>
      </c>
      <c r="AA18" s="1">
        <f>SUM('BASE PAN - OPEX'!BP18:BR18)</f>
        <v>3012941.2551000002</v>
      </c>
      <c r="AB18" s="1">
        <f>SUM('BASE PAN - OPEX'!BS18:BU18)</f>
        <v>3013494.6687000003</v>
      </c>
      <c r="AC18" s="1">
        <f>SUM('BASE PAN - OPEX'!BV18:BX18)</f>
        <v>3014065.8789000004</v>
      </c>
      <c r="AD18" s="1">
        <f>SUM('BASE PAN - OPEX'!BY18:CA18)</f>
        <v>3014637.0891</v>
      </c>
      <c r="AE18" s="1">
        <f>SUM('BASE PAN - OPEX'!CB18:CD18)</f>
        <v>3015222.9115999993</v>
      </c>
      <c r="AF18" s="1">
        <f>SUM('BASE PAN - OPEX'!CE18:CG18)</f>
        <v>3015814.0987</v>
      </c>
      <c r="AG18" s="1">
        <f>SUM('BASE PAN - OPEX'!CH18:CJ18)</f>
        <v>3016425.1609000005</v>
      </c>
      <c r="AH18" s="1">
        <f>SUM('BASE PAN - OPEX'!CK18:CM18)</f>
        <v>3017022.9389999998</v>
      </c>
      <c r="AI18" s="1">
        <f>SUM('BASE PAN - OPEX'!CN18:CP18)</f>
        <v>3017606.1048999997</v>
      </c>
      <c r="AJ18" s="1">
        <f>SUM('BASE PAN - OPEX'!CQ18:CS18)</f>
        <v>3018208.3460999997</v>
      </c>
      <c r="AK18" s="1">
        <f>SUM('BASE PAN - OPEX'!CT18:CV18)</f>
        <v>3018827.4294999996</v>
      </c>
      <c r="AL18" s="1">
        <f t="shared" si="2"/>
        <v>90321354.341800004</v>
      </c>
      <c r="AM18" t="str">
        <f>VLOOKUP(D18,'FLUXO DE CAIXA DESC.-BLOCOS PAN'!$D$3:$AO$52,38,FALSE)</f>
        <v>PA - 2 - AL</v>
      </c>
      <c r="AN18" s="1">
        <f t="shared" si="1"/>
        <v>45100727.405300014</v>
      </c>
    </row>
    <row r="19" spans="1:40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33</v>
      </c>
      <c r="H19" s="1">
        <f>SUM('BASE PAN - OPEX'!K19:M19)</f>
        <v>3216718.9610000001</v>
      </c>
      <c r="I19" s="1">
        <f>SUM('BASE PAN - OPEX'!N19:P19)</f>
        <v>3222974.2544</v>
      </c>
      <c r="J19" s="1">
        <f>SUM('BASE PAN - OPEX'!Q19:S19)</f>
        <v>3228077.1083999998</v>
      </c>
      <c r="K19" s="1">
        <f>SUM('BASE PAN - OPEX'!T19:V19)</f>
        <v>3232211.5601999997</v>
      </c>
      <c r="L19" s="1">
        <f>SUM('BASE PAN - OPEX'!W19:Y19)</f>
        <v>4354047.9304999998</v>
      </c>
      <c r="M19" s="1">
        <f>SUM('BASE PAN - OPEX'!Z19:AB19)</f>
        <v>4357271.8481999999</v>
      </c>
      <c r="N19" s="1">
        <f>SUM('BASE PAN - OPEX'!AC19:AE19)</f>
        <v>4360597.9860999994</v>
      </c>
      <c r="O19" s="1">
        <f>SUM('BASE PAN - OPEX'!AF19:AH19)</f>
        <v>4363731.4882999994</v>
      </c>
      <c r="P19" s="1">
        <f>SUM('BASE PAN - OPEX'!AI19:AK19)</f>
        <v>4366517.1908999998</v>
      </c>
      <c r="Q19" s="1">
        <f>SUM('BASE PAN - OPEX'!AL19:AN19)</f>
        <v>4369289.0422999999</v>
      </c>
      <c r="R19" s="1">
        <f>SUM('BASE PAN - OPEX'!AO19:AQ19)</f>
        <v>4371889.9312999994</v>
      </c>
      <c r="S19" s="1">
        <f>SUM('BASE PAN - OPEX'!AR19:AT19)</f>
        <v>4374398.6204000004</v>
      </c>
      <c r="T19" s="1">
        <f>SUM('BASE PAN - OPEX'!AU19:AW19)</f>
        <v>4376911.7381999996</v>
      </c>
      <c r="U19" s="1">
        <f>SUM('BASE PAN - OPEX'!AX19:AZ19)</f>
        <v>4379420.4263000004</v>
      </c>
      <c r="V19" s="1">
        <f>SUM('BASE PAN - OPEX'!BA19:BC19)</f>
        <v>4382029.9851000002</v>
      </c>
      <c r="W19" s="1">
        <f>SUM('BASE PAN - OPEX'!BD19:BF19)</f>
        <v>4384716.8064999999</v>
      </c>
      <c r="X19" s="1">
        <f>SUM('BASE PAN - OPEX'!BG19:BI19)</f>
        <v>4387409.4068999998</v>
      </c>
      <c r="Y19" s="1">
        <f>SUM('BASE PAN - OPEX'!BJ19:BL19)</f>
        <v>4390201.2835999997</v>
      </c>
      <c r="Z19" s="1">
        <f>SUM('BASE PAN - OPEX'!BM19:BO19)</f>
        <v>4392977.1710000001</v>
      </c>
      <c r="AA19" s="1">
        <f>SUM('BASE PAN - OPEX'!BP19:BR19)</f>
        <v>4395856.9554000003</v>
      </c>
      <c r="AB19" s="1">
        <f>SUM('BASE PAN - OPEX'!BS19:BU19)</f>
        <v>4398639.9713000003</v>
      </c>
      <c r="AC19" s="1">
        <f>SUM('BASE PAN - OPEX'!BV19:BX19)</f>
        <v>4401518.0788000003</v>
      </c>
      <c r="AD19" s="1">
        <f>SUM('BASE PAN - OPEX'!BY19:CA19)</f>
        <v>4404473.4478000002</v>
      </c>
      <c r="AE19" s="1">
        <f>SUM('BASE PAN - OPEX'!CB19:CD19)</f>
        <v>4407441.7667999994</v>
      </c>
      <c r="AF19" s="1">
        <f>SUM('BASE PAN - OPEX'!CE19:CG19)</f>
        <v>4410213.6182000004</v>
      </c>
      <c r="AG19" s="1">
        <f>SUM('BASE PAN - OPEX'!CH19:CJ19)</f>
        <v>4413258.0543999998</v>
      </c>
      <c r="AH19" s="1">
        <f>SUM('BASE PAN - OPEX'!CK19:CM19)</f>
        <v>4416033.9417000003</v>
      </c>
      <c r="AI19" s="1">
        <f>SUM('BASE PAN - OPEX'!CN19:CP19)</f>
        <v>4419178.6075999998</v>
      </c>
      <c r="AJ19" s="1">
        <f>SUM('BASE PAN - OPEX'!CQ19:CS19)</f>
        <v>4422325.2637999998</v>
      </c>
      <c r="AK19" s="1">
        <f>SUM('BASE PAN - OPEX'!CT19:CV19)</f>
        <v>4425638.2477000002</v>
      </c>
      <c r="AL19" s="1">
        <f t="shared" si="2"/>
        <v>127025970.69310002</v>
      </c>
      <c r="AM19" t="str">
        <f>VLOOKUP(D19,'FLUXO DE CAIXA DESC.-BLOCOS PAN'!$D$3:$AO$52,38,FALSE)</f>
        <v>Bloco Nordeste</v>
      </c>
      <c r="AN19" s="1">
        <f t="shared" si="1"/>
        <v>60956088.071600005</v>
      </c>
    </row>
    <row r="20" spans="1:40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33</v>
      </c>
      <c r="H20" s="1">
        <f>SUM('BASE PAN - OPEX'!K20:M20)</f>
        <v>3384438.2643999998</v>
      </c>
      <c r="I20" s="1">
        <f>SUM('BASE PAN - OPEX'!N20:P20)</f>
        <v>3385141.0362999998</v>
      </c>
      <c r="J20" s="1">
        <f>SUM('BASE PAN - OPEX'!Q20:S20)</f>
        <v>3385693.6486</v>
      </c>
      <c r="K20" s="1">
        <f>SUM('BASE PAN - OPEX'!T20:V20)</f>
        <v>3386110.1864999998</v>
      </c>
      <c r="L20" s="1">
        <f>SUM('BASE PAN - OPEX'!W20:Y20)</f>
        <v>3386463.5406999998</v>
      </c>
      <c r="M20" s="1">
        <f>SUM('BASE PAN - OPEX'!Z20:AB20)</f>
        <v>3386788.9973999998</v>
      </c>
      <c r="N20" s="1">
        <f>SUM('BASE PAN - OPEX'!AC20:AE20)</f>
        <v>3387101.1702000001</v>
      </c>
      <c r="O20" s="1">
        <f>SUM('BASE PAN - OPEX'!AF20:AH20)</f>
        <v>3387400.0601000004</v>
      </c>
      <c r="P20" s="1">
        <f>SUM('BASE PAN - OPEX'!AI20:AK20)</f>
        <v>3387688.3718999997</v>
      </c>
      <c r="Q20" s="1">
        <f>SUM('BASE PAN - OPEX'!AL20:AN20)</f>
        <v>3387956.7077000001</v>
      </c>
      <c r="R20" s="1">
        <f>SUM('BASE PAN - OPEX'!AO20:AQ20)</f>
        <v>3388197.1483</v>
      </c>
      <c r="S20" s="1">
        <f>SUM('BASE PAN - OPEX'!AR20:AT20)</f>
        <v>3388437.5877999999</v>
      </c>
      <c r="T20" s="1">
        <f>SUM('BASE PAN - OPEX'!AU20:AW20)</f>
        <v>3388679.3556999997</v>
      </c>
      <c r="U20" s="1">
        <f>SUM('BASE PAN - OPEX'!AX20:AZ20)</f>
        <v>3388936.1596999997</v>
      </c>
      <c r="V20" s="1">
        <f>SUM('BASE PAN - OPEX'!BA20:BC20)</f>
        <v>3389176.6003</v>
      </c>
      <c r="W20" s="1">
        <f>SUM('BASE PAN - OPEX'!BD20:BF20)</f>
        <v>3389419.6963999998</v>
      </c>
      <c r="X20" s="1">
        <f>SUM('BASE PAN - OPEX'!BG20:BI20)</f>
        <v>3389666.7783999997</v>
      </c>
      <c r="Y20" s="1">
        <f>SUM('BASE PAN - OPEX'!BJ20:BL20)</f>
        <v>3389923.6866000001</v>
      </c>
      <c r="Z20" s="1">
        <f>SUM('BASE PAN - OPEX'!BM20:BO20)</f>
        <v>3390165.4545</v>
      </c>
      <c r="AA20" s="1">
        <f>SUM('BASE PAN - OPEX'!BP20:BR20)</f>
        <v>3390427.6650999999</v>
      </c>
      <c r="AB20" s="1">
        <f>SUM('BASE PAN - OPEX'!BS20:BU20)</f>
        <v>3390674.7461999999</v>
      </c>
      <c r="AC20" s="1">
        <f>SUM('BASE PAN - OPEX'!BV20:BX20)</f>
        <v>3390923.1565</v>
      </c>
      <c r="AD20" s="1">
        <f>SUM('BASE PAN - OPEX'!BY20:CA20)</f>
        <v>3391171.5668000001</v>
      </c>
      <c r="AE20" s="1">
        <f>SUM('BASE PAN - OPEX'!CB20:CD20)</f>
        <v>3391417.3196</v>
      </c>
      <c r="AF20" s="1">
        <f>SUM('BASE PAN - OPEX'!CE20:CG20)</f>
        <v>3391657.7601999999</v>
      </c>
      <c r="AG20" s="1">
        <f>SUM('BASE PAN - OPEX'!CH20:CJ20)</f>
        <v>3391903.5127999997</v>
      </c>
      <c r="AH20" s="1">
        <f>SUM('BASE PAN - OPEX'!CK20:CM20)</f>
        <v>3392138.6390999998</v>
      </c>
      <c r="AI20" s="1">
        <f>SUM('BASE PAN - OPEX'!CN20:CP20)</f>
        <v>3392376.4726</v>
      </c>
      <c r="AJ20" s="1">
        <f>SUM('BASE PAN - OPEX'!CQ20:CS20)</f>
        <v>3392616.9120999998</v>
      </c>
      <c r="AK20" s="1">
        <f>SUM('BASE PAN - OPEX'!CT20:CV20)</f>
        <v>3392860.0092000002</v>
      </c>
      <c r="AL20" s="1">
        <f t="shared" ref="AL20:AL35" si="3">SUM(H20:AK20)</f>
        <v>101675552.21169998</v>
      </c>
      <c r="AM20" t="str">
        <f>VLOOKUP(D20,'FLUXO DE CAIXA DESC.-BLOCOS PAN'!$D$3:$AO$52,38,FALSE)</f>
        <v>Bloco Nordeste</v>
      </c>
      <c r="AN20" s="1">
        <f t="shared" si="1"/>
        <v>50808208.835599996</v>
      </c>
    </row>
    <row r="21" spans="1:40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33</v>
      </c>
      <c r="H21" s="1">
        <f>SUM('BASE PAN - OPEX'!K21:M21)</f>
        <v>3017264.7072999999</v>
      </c>
      <c r="I21" s="1">
        <f>SUM('BASE PAN - OPEX'!N21:P21)</f>
        <v>3020531.7620000001</v>
      </c>
      <c r="J21" s="1">
        <f>SUM('BASE PAN - OPEX'!Q21:S21)</f>
        <v>3023147.8986999998</v>
      </c>
      <c r="K21" s="1">
        <f>SUM('BASE PAN - OPEX'!T21:V21)</f>
        <v>3025127.6871000002</v>
      </c>
      <c r="L21" s="1">
        <f>SUM('BASE PAN - OPEX'!W21:Y21)</f>
        <v>3026877.7516000001</v>
      </c>
      <c r="M21" s="1">
        <f>SUM('BASE PAN - OPEX'!Z21:AB21)</f>
        <v>3028455.3580999998</v>
      </c>
      <c r="N21" s="1">
        <f>SUM('BASE PAN - OPEX'!AC21:AE21)</f>
        <v>3029990.9846999999</v>
      </c>
      <c r="O21" s="1">
        <f>SUM('BASE PAN - OPEX'!AF21:AH21)</f>
        <v>3031453.5985000003</v>
      </c>
      <c r="P21" s="1">
        <f>SUM('BASE PAN - OPEX'!AI21:AK21)</f>
        <v>3032852.9280000003</v>
      </c>
      <c r="Q21" s="1">
        <f>SUM('BASE PAN - OPEX'!AL21:AN21)</f>
        <v>3213669.6710000001</v>
      </c>
      <c r="R21" s="1">
        <f>SUM('BASE PAN - OPEX'!AO21:AQ21)</f>
        <v>3214916.2566999998</v>
      </c>
      <c r="S21" s="1">
        <f>SUM('BASE PAN - OPEX'!AR21:AT21)</f>
        <v>3216085.9505000003</v>
      </c>
      <c r="T21" s="1">
        <f>SUM('BASE PAN - OPEX'!AU21:AW21)</f>
        <v>3217311.3416999998</v>
      </c>
      <c r="U21" s="1">
        <f>SUM('BASE PAN - OPEX'!AX21:AZ21)</f>
        <v>3218483.6838999996</v>
      </c>
      <c r="V21" s="1">
        <f>SUM('BASE PAN - OPEX'!BA21:BC21)</f>
        <v>3219711.7246000003</v>
      </c>
      <c r="W21" s="1">
        <f>SUM('BASE PAN - OPEX'!BD21:BF21)</f>
        <v>3220926.5179999997</v>
      </c>
      <c r="X21" s="1">
        <f>SUM('BASE PAN - OPEX'!BG21:BI21)</f>
        <v>3222163.7699999996</v>
      </c>
      <c r="Y21" s="1">
        <f>SUM('BASE PAN - OPEX'!BJ21:BL21)</f>
        <v>3223394.4591000001</v>
      </c>
      <c r="Z21" s="1">
        <f>SUM('BASE PAN - OPEX'!BM21:BO21)</f>
        <v>3224680.7853999999</v>
      </c>
      <c r="AA21" s="1">
        <f>SUM('BASE PAN - OPEX'!BP21:BR21)</f>
        <v>3225949.7969000004</v>
      </c>
      <c r="AB21" s="1">
        <f>SUM('BASE PAN - OPEX'!BS21:BU21)</f>
        <v>3227236.1231999998</v>
      </c>
      <c r="AC21" s="1">
        <f>SUM('BASE PAN - OPEX'!BV21:BX21)</f>
        <v>3228493.3066999996</v>
      </c>
      <c r="AD21" s="1">
        <f>SUM('BASE PAN - OPEX'!BY21:CA21)</f>
        <v>3229774.2729000002</v>
      </c>
      <c r="AE21" s="1">
        <f>SUM('BASE PAN - OPEX'!CB21:CD21)</f>
        <v>3230896.3390000002</v>
      </c>
      <c r="AF21" s="1">
        <f>SUM('BASE PAN - OPEX'!CE21:CG21)</f>
        <v>3232115.1061</v>
      </c>
      <c r="AG21" s="1">
        <f>SUM('BASE PAN - OPEX'!CH21:CJ21)</f>
        <v>3233263.6043000002</v>
      </c>
      <c r="AH21" s="1">
        <f>SUM('BASE PAN - OPEX'!CK21:CM21)</f>
        <v>3234462.5021000002</v>
      </c>
      <c r="AI21" s="1">
        <f>SUM('BASE PAN - OPEX'!CN21:CP21)</f>
        <v>3235584.5682999999</v>
      </c>
      <c r="AJ21" s="1">
        <f>SUM('BASE PAN - OPEX'!CQ21:CS21)</f>
        <v>3236722.4687999999</v>
      </c>
      <c r="AK21" s="1">
        <f>SUM('BASE PAN - OPEX'!CT21:CV21)</f>
        <v>3237885.5997000001</v>
      </c>
      <c r="AL21" s="1">
        <f t="shared" si="3"/>
        <v>94979430.524900019</v>
      </c>
      <c r="AM21" t="str">
        <f>VLOOKUP(D21,'FLUXO DE CAIXA DESC.-BLOCOS PAN'!$D$3:$AO$52,38,FALSE)</f>
        <v>PA 3 - AL</v>
      </c>
      <c r="AN21" s="1">
        <f t="shared" si="1"/>
        <v>46535881.304400012</v>
      </c>
    </row>
    <row r="22" spans="1:40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33</v>
      </c>
      <c r="H22" s="1">
        <f>SUM('BASE PAN - OPEX'!K22:M22)</f>
        <v>3093350.7961999997</v>
      </c>
      <c r="I22" s="1">
        <f>SUM('BASE PAN - OPEX'!N22:P22)</f>
        <v>3100638.1110000005</v>
      </c>
      <c r="J22" s="1">
        <f>SUM('BASE PAN - OPEX'!Q22:S22)</f>
        <v>4173880.2191000003</v>
      </c>
      <c r="K22" s="1">
        <f>SUM('BASE PAN - OPEX'!T22:V22)</f>
        <v>4178362.2291000001</v>
      </c>
      <c r="L22" s="1">
        <f>SUM('BASE PAN - OPEX'!W22:Y22)</f>
        <v>4182251.1046000002</v>
      </c>
      <c r="M22" s="1">
        <f>SUM('BASE PAN - OPEX'!Z22:AB22)</f>
        <v>4185864.0433999998</v>
      </c>
      <c r="N22" s="1">
        <f>SUM('BASE PAN - OPEX'!AC22:AE22)</f>
        <v>4189287.6854000003</v>
      </c>
      <c r="O22" s="1">
        <f>SUM('BASE PAN - OPEX'!AF22:AH22)</f>
        <v>4192574.1156000001</v>
      </c>
      <c r="P22" s="1">
        <f>SUM('BASE PAN - OPEX'!AI22:AK22)</f>
        <v>4195660.3854999999</v>
      </c>
      <c r="Q22" s="1">
        <f>SUM('BASE PAN - OPEX'!AL22:AN22)</f>
        <v>4198532.4550999999</v>
      </c>
      <c r="R22" s="1">
        <f>SUM('BASE PAN - OPEX'!AO22:AQ22)</f>
        <v>4201225.6957</v>
      </c>
      <c r="S22" s="1">
        <f>SUM('BASE PAN - OPEX'!AR22:AT22)</f>
        <v>4203905.7687999997</v>
      </c>
      <c r="T22" s="1">
        <f>SUM('BASE PAN - OPEX'!AU22:AW22)</f>
        <v>4206586.2110000001</v>
      </c>
      <c r="U22" s="1">
        <f>SUM('BASE PAN - OPEX'!AX22:AZ22)</f>
        <v>4209343.0140000004</v>
      </c>
      <c r="V22" s="1">
        <f>SUM('BASE PAN - OPEX'!BA22:BC22)</f>
        <v>4212048.7280000001</v>
      </c>
      <c r="W22" s="1">
        <f>SUM('BASE PAN - OPEX'!BD22:BF22)</f>
        <v>4214812.4698999999</v>
      </c>
      <c r="X22" s="1">
        <f>SUM('BASE PAN - OPEX'!BG22:BI22)</f>
        <v>4217586.0126999998</v>
      </c>
      <c r="Y22" s="1">
        <f>SUM('BASE PAN - OPEX'!BJ22:BL22)</f>
        <v>4220433.4234999996</v>
      </c>
      <c r="Z22" s="1">
        <f>SUM('BASE PAN - OPEX'!BM22:BO22)</f>
        <v>4223335.8341999995</v>
      </c>
      <c r="AA22" s="1">
        <f>SUM('BASE PAN - OPEX'!BP22:BR22)</f>
        <v>4226269.6116000004</v>
      </c>
      <c r="AB22" s="1">
        <f>SUM('BASE PAN - OPEX'!BS22:BU22)</f>
        <v>4229144.8156000003</v>
      </c>
      <c r="AC22" s="1">
        <f>SUM('BASE PAN - OPEX'!BV22:BX22)</f>
        <v>4232052.9528999999</v>
      </c>
      <c r="AD22" s="1">
        <f>SUM('BASE PAN - OPEX'!BY22:CA22)</f>
        <v>4234939.5109999999</v>
      </c>
      <c r="AE22" s="1">
        <f>SUM('BASE PAN - OPEX'!CB22:CD22)</f>
        <v>4237629.0316000003</v>
      </c>
      <c r="AF22" s="1">
        <f>SUM('BASE PAN - OPEX'!CE22:CG22)</f>
        <v>4240209.6105000004</v>
      </c>
      <c r="AG22" s="1">
        <f>SUM('BASE PAN - OPEX'!CH22:CJ22)</f>
        <v>4242761.4824999999</v>
      </c>
      <c r="AH22" s="1">
        <f>SUM('BASE PAN - OPEX'!CK22:CM22)</f>
        <v>4245214.5136000002</v>
      </c>
      <c r="AI22" s="1">
        <f>SUM('BASE PAN - OPEX'!CN22:CP22)</f>
        <v>4247667.8737000003</v>
      </c>
      <c r="AJ22" s="1">
        <f>SUM('BASE PAN - OPEX'!CQ22:CS22)</f>
        <v>4250178.2796</v>
      </c>
      <c r="AK22" s="1">
        <f>SUM('BASE PAN - OPEX'!CT22:CV22)</f>
        <v>4252718.0188999996</v>
      </c>
      <c r="AL22" s="1">
        <f t="shared" si="3"/>
        <v>124238464.0043</v>
      </c>
      <c r="AM22" t="str">
        <f>VLOOKUP(D22,'FLUXO DE CAIXA DESC.-BLOCOS PAN'!$D$3:$AO$52,38,FALSE)</f>
        <v>RO - 1 - AL</v>
      </c>
      <c r="AN22" s="1">
        <f t="shared" si="1"/>
        <v>60723510.5625</v>
      </c>
    </row>
    <row r="23" spans="1:40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33</v>
      </c>
      <c r="H23" s="1">
        <f>SUM('BASE PAN - OPEX'!K23:M23)</f>
        <v>3761922.5891999998</v>
      </c>
      <c r="I23" s="1">
        <f>SUM('BASE PAN - OPEX'!N23:P23)</f>
        <v>3762368.1296000001</v>
      </c>
      <c r="J23" s="1">
        <f>SUM('BASE PAN - OPEX'!Q23:S23)</f>
        <v>3762724.1398</v>
      </c>
      <c r="K23" s="1">
        <f>SUM('BASE PAN - OPEX'!T23:V23)</f>
        <v>3763001.7746000001</v>
      </c>
      <c r="L23" s="1">
        <f>SUM('BASE PAN - OPEX'!W23:Y23)</f>
        <v>3763243.5427000001</v>
      </c>
      <c r="M23" s="1">
        <f>SUM('BASE PAN - OPEX'!Z23:AB23)</f>
        <v>3763470.6993</v>
      </c>
      <c r="N23" s="1">
        <f>SUM('BASE PAN - OPEX'!AC23:AE23)</f>
        <v>3763687.2273999997</v>
      </c>
      <c r="O23" s="1">
        <f>SUM('BASE PAN - OPEX'!AF23:AH23)</f>
        <v>3763895.7854000004</v>
      </c>
      <c r="P23" s="1">
        <f>SUM('BASE PAN - OPEX'!AI23:AK23)</f>
        <v>3764092.3881999999</v>
      </c>
      <c r="Q23" s="1">
        <f>SUM('BASE PAN - OPEX'!AL23:AN23)</f>
        <v>3764274.3784000003</v>
      </c>
      <c r="R23" s="1">
        <f>SUM('BASE PAN - OPEX'!AO23:AQ23)</f>
        <v>3764443.0847</v>
      </c>
      <c r="S23" s="1">
        <f>SUM('BASE PAN - OPEX'!AR23:AT23)</f>
        <v>3764617.1549999998</v>
      </c>
      <c r="T23" s="1">
        <f>SUM('BASE PAN - OPEX'!AU23:AW23)</f>
        <v>3764784.5335999997</v>
      </c>
      <c r="U23" s="1">
        <f>SUM('BASE PAN - OPEX'!AX23:AZ23)</f>
        <v>3764958.5536999996</v>
      </c>
      <c r="V23" s="1">
        <f>SUM('BASE PAN - OPEX'!BA23:BC23)</f>
        <v>3765125.9312999998</v>
      </c>
      <c r="W23" s="1">
        <f>SUM('BASE PAN - OPEX'!BD23:BF23)</f>
        <v>3765299.9513999997</v>
      </c>
      <c r="X23" s="1">
        <f>SUM('BASE PAN - OPEX'!BG23:BI23)</f>
        <v>3765472.0645000003</v>
      </c>
      <c r="Y23" s="1">
        <f>SUM('BASE PAN - OPEX'!BJ23:BL23)</f>
        <v>3765648.7408999996</v>
      </c>
      <c r="Z23" s="1">
        <f>SUM('BASE PAN - OPEX'!BM23:BO23)</f>
        <v>3765828.0737999999</v>
      </c>
      <c r="AA23" s="1">
        <f>SUM('BASE PAN - OPEX'!BP23:BR23)</f>
        <v>3766010.0649999999</v>
      </c>
      <c r="AB23" s="1">
        <f>SUM('BASE PAN - OPEX'!BS23:BU23)</f>
        <v>3766186.7415000005</v>
      </c>
      <c r="AC23" s="1">
        <f>SUM('BASE PAN - OPEX'!BV23:BX23)</f>
        <v>3766367.4029999999</v>
      </c>
      <c r="AD23" s="1">
        <f>SUM('BASE PAN - OPEX'!BY23:CA23)</f>
        <v>3766544.0795</v>
      </c>
      <c r="AE23" s="1">
        <f>SUM('BASE PAN - OPEX'!CB23:CD23)</f>
        <v>3766720.7569000004</v>
      </c>
      <c r="AF23" s="1">
        <f>SUM('BASE PAN - OPEX'!CE23:CG23)</f>
        <v>3766890.7909000004</v>
      </c>
      <c r="AG23" s="1">
        <f>SUM('BASE PAN - OPEX'!CH23:CJ23)</f>
        <v>3767066.1898999996</v>
      </c>
      <c r="AH23" s="1">
        <f>SUM('BASE PAN - OPEX'!CK23:CM23)</f>
        <v>3767229.5825000005</v>
      </c>
      <c r="AI23" s="1">
        <f>SUM('BASE PAN - OPEX'!CN23:CP23)</f>
        <v>3767394.3037999999</v>
      </c>
      <c r="AJ23" s="1">
        <f>SUM('BASE PAN - OPEX'!CQ23:CS23)</f>
        <v>3767561.6814000001</v>
      </c>
      <c r="AK23" s="1">
        <f>SUM('BASE PAN - OPEX'!CT23:CV23)</f>
        <v>3767731.7163999998</v>
      </c>
      <c r="AL23" s="1">
        <f t="shared" si="3"/>
        <v>112954562.0543</v>
      </c>
      <c r="AM23" t="str">
        <f>VLOOKUP(D23,'FLUXO DE CAIXA DESC.-BLOCOS PAN'!$D$3:$AO$52,38,FALSE)</f>
        <v>MT - 1 - AL</v>
      </c>
      <c r="AN23" s="1">
        <f t="shared" si="1"/>
        <v>56456609.912900001</v>
      </c>
    </row>
    <row r="24" spans="1:40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33</v>
      </c>
      <c r="H24" s="1">
        <f>SUM('BASE PAN - OPEX'!K24:M24)</f>
        <v>2878533.0111000002</v>
      </c>
      <c r="I24" s="1">
        <f>SUM('BASE PAN - OPEX'!N24:P24)</f>
        <v>2879672.1966000004</v>
      </c>
      <c r="J24" s="1">
        <f>SUM('BASE PAN - OPEX'!Q24:S24)</f>
        <v>2880740.2778000003</v>
      </c>
      <c r="K24" s="1">
        <f>SUM('BASE PAN - OPEX'!T24:V24)</f>
        <v>2881874.7280999999</v>
      </c>
      <c r="L24" s="1">
        <f>SUM('BASE PAN - OPEX'!W24:Y24)</f>
        <v>2882654.9209000003</v>
      </c>
      <c r="M24" s="1">
        <f>SUM('BASE PAN - OPEX'!Z24:AB24)</f>
        <v>2883306.3624999998</v>
      </c>
      <c r="N24" s="1">
        <f>SUM('BASE PAN - OPEX'!AC24:AE24)</f>
        <v>2883858.1631999998</v>
      </c>
      <c r="O24" s="1">
        <f>SUM('BASE PAN - OPEX'!AF24:AH24)</f>
        <v>2884426.7163999998</v>
      </c>
      <c r="P24" s="1">
        <f>SUM('BASE PAN - OPEX'!AI24:AK24)</f>
        <v>2884936.8206000002</v>
      </c>
      <c r="Q24" s="1">
        <f>SUM('BASE PAN - OPEX'!AL24:AN24)</f>
        <v>2885450.9107999997</v>
      </c>
      <c r="R24" s="1">
        <f>SUM('BASE PAN - OPEX'!AO24:AQ24)</f>
        <v>2885906.6008000001</v>
      </c>
      <c r="S24" s="1">
        <f>SUM('BASE PAN - OPEX'!AR24:AT24)</f>
        <v>2886407.4063999997</v>
      </c>
      <c r="T24" s="1">
        <f>SUM('BASE PAN - OPEX'!AU24:AW24)</f>
        <v>2886853.7467</v>
      </c>
      <c r="U24" s="1">
        <f>SUM('BASE PAN - OPEX'!AX24:AZ24)</f>
        <v>2887373.1505</v>
      </c>
      <c r="V24" s="1">
        <f>SUM('BASE PAN - OPEX'!BA24:BC24)</f>
        <v>2887828.7905999999</v>
      </c>
      <c r="W24" s="1">
        <f>SUM('BASE PAN - OPEX'!BD24:BF24)</f>
        <v>2888350.8997000004</v>
      </c>
      <c r="X24" s="1">
        <f>SUM('BASE PAN - OPEX'!BG24:BI24)</f>
        <v>2888817.1671000002</v>
      </c>
      <c r="Y24" s="1">
        <f>SUM('BASE PAN - OPEX'!BJ24:BL24)</f>
        <v>2889361.8094999995</v>
      </c>
      <c r="Z24" s="1">
        <f>SUM('BASE PAN - OPEX'!BM24:BO24)</f>
        <v>2889820.1068000002</v>
      </c>
      <c r="AA24" s="1">
        <f>SUM('BASE PAN - OPEX'!BP24:BR24)</f>
        <v>2890378.5611</v>
      </c>
      <c r="AB24" s="1">
        <f>SUM('BASE PAN - OPEX'!BS24:BU24)</f>
        <v>2890847.4847999997</v>
      </c>
      <c r="AC24" s="1">
        <f>SUM('BASE PAN - OPEX'!BV24:BX24)</f>
        <v>2891410.7253999999</v>
      </c>
      <c r="AD24" s="1">
        <f>SUM('BASE PAN - OPEX'!BY24:CA24)</f>
        <v>2891906.2174</v>
      </c>
      <c r="AE24" s="1">
        <f>SUM('BASE PAN - OPEX'!CB24:CD24)</f>
        <v>2892391.0819000001</v>
      </c>
      <c r="AF24" s="1">
        <f>SUM('BASE PAN - OPEX'!CE24:CG24)</f>
        <v>2892808.9980000001</v>
      </c>
      <c r="AG24" s="1">
        <f>SUM('BASE PAN - OPEX'!CH24:CJ24)</f>
        <v>2893313.7884999998</v>
      </c>
      <c r="AH24" s="1">
        <f>SUM('BASE PAN - OPEX'!CK24:CM24)</f>
        <v>2893734.8903999999</v>
      </c>
      <c r="AI24" s="1">
        <f>SUM('BASE PAN - OPEX'!CN24:CP24)</f>
        <v>2894225.0685999999</v>
      </c>
      <c r="AJ24" s="1">
        <f>SUM('BASE PAN - OPEX'!CQ24:CS24)</f>
        <v>2894725.8741000001</v>
      </c>
      <c r="AK24" s="1">
        <f>SUM('BASE PAN - OPEX'!CT24:CV24)</f>
        <v>2895242.6705999998</v>
      </c>
      <c r="AL24" s="1">
        <f t="shared" si="3"/>
        <v>86637159.146899998</v>
      </c>
      <c r="AM24" t="str">
        <f>VLOOKUP(D24,'FLUXO DE CAIXA DESC.-BLOCOS PAN'!$D$3:$AO$52,38,FALSE)</f>
        <v>AM - 3 - AL</v>
      </c>
      <c r="AN24" s="1">
        <f t="shared" si="1"/>
        <v>43259823.803000003</v>
      </c>
    </row>
    <row r="25" spans="1:40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33</v>
      </c>
      <c r="H25" s="1">
        <f>SUM('BASE PAN - OPEX'!K25:M25)</f>
        <v>2900983.2501000003</v>
      </c>
      <c r="I25" s="1">
        <f>SUM('BASE PAN - OPEX'!N25:P25)</f>
        <v>2904360.9852</v>
      </c>
      <c r="J25" s="1">
        <f>SUM('BASE PAN - OPEX'!Q25:S25)</f>
        <v>2906946.0318</v>
      </c>
      <c r="K25" s="1">
        <f>SUM('BASE PAN - OPEX'!T25:V25)</f>
        <v>2908781.9256000002</v>
      </c>
      <c r="L25" s="1">
        <f>SUM('BASE PAN - OPEX'!W25:Y25)</f>
        <v>2910285.7209000001</v>
      </c>
      <c r="M25" s="1">
        <f>SUM('BASE PAN - OPEX'!Z25:AB25)</f>
        <v>2911646.4769999995</v>
      </c>
      <c r="N25" s="1">
        <f>SUM('BASE PAN - OPEX'!AC25:AE25)</f>
        <v>3080592.9043000001</v>
      </c>
      <c r="O25" s="1">
        <f>SUM('BASE PAN - OPEX'!AF25:AH25)</f>
        <v>3081722.8569</v>
      </c>
      <c r="P25" s="1">
        <f>SUM('BASE PAN - OPEX'!AI25:AK25)</f>
        <v>3082750.8698000005</v>
      </c>
      <c r="Q25" s="1">
        <f>SUM('BASE PAN - OPEX'!AL25:AN25)</f>
        <v>3083621.1851999997</v>
      </c>
      <c r="R25" s="1">
        <f>SUM('BASE PAN - OPEX'!AO25:AQ25)</f>
        <v>3084425.3277999996</v>
      </c>
      <c r="S25" s="1">
        <f>SUM('BASE PAN - OPEX'!AR25:AT25)</f>
        <v>3085184.3703999999</v>
      </c>
      <c r="T25" s="1">
        <f>SUM('BASE PAN - OPEX'!AU25:AW25)</f>
        <v>3085918.2431000001</v>
      </c>
      <c r="U25" s="1">
        <f>SUM('BASE PAN - OPEX'!AX25:AZ25)</f>
        <v>3086685.2948999996</v>
      </c>
      <c r="V25" s="1">
        <f>SUM('BASE PAN - OPEX'!BA25:BC25)</f>
        <v>3087423.1423000004</v>
      </c>
      <c r="W25" s="1">
        <f>SUM('BASE PAN - OPEX'!BD25:BF25)</f>
        <v>3088126.6083000004</v>
      </c>
      <c r="X25" s="1">
        <f>SUM('BASE PAN - OPEX'!BG25:BI25)</f>
        <v>3088827.3649000004</v>
      </c>
      <c r="Y25" s="1">
        <f>SUM('BASE PAN - OPEX'!BJ25:BL25)</f>
        <v>3089551.9653000003</v>
      </c>
      <c r="Z25" s="1">
        <f>SUM('BASE PAN - OPEX'!BM25:BO25)</f>
        <v>3090293.8481999999</v>
      </c>
      <c r="AA25" s="1">
        <f>SUM('BASE PAN - OPEX'!BP25:BR25)</f>
        <v>3090993.2796999998</v>
      </c>
      <c r="AB25" s="1">
        <f>SUM('BASE PAN - OPEX'!BS25:BU25)</f>
        <v>3091670.1911999998</v>
      </c>
      <c r="AC25" s="1">
        <f>SUM('BASE PAN - OPEX'!BV25:BX25)</f>
        <v>3092343.1899000001</v>
      </c>
      <c r="AD25" s="1">
        <f>SUM('BASE PAN - OPEX'!BY25:CA25)</f>
        <v>3092982.4363999995</v>
      </c>
      <c r="AE25" s="1">
        <f>SUM('BASE PAN - OPEX'!CB25:CD25)</f>
        <v>3093592.3314000005</v>
      </c>
      <c r="AF25" s="1">
        <f>SUM('BASE PAN - OPEX'!CE25:CG25)</f>
        <v>3094173.9276999999</v>
      </c>
      <c r="AG25" s="1">
        <f>SUM('BASE PAN - OPEX'!CH25:CJ25)</f>
        <v>3094754.1372000002</v>
      </c>
      <c r="AH25" s="1">
        <f>SUM('BASE PAN - OPEX'!CK25:CM25)</f>
        <v>3095253.5425</v>
      </c>
      <c r="AI25" s="1">
        <f>SUM('BASE PAN - OPEX'!CN25:CP25)</f>
        <v>3095743.7354000006</v>
      </c>
      <c r="AJ25" s="1">
        <f>SUM('BASE PAN - OPEX'!CQ25:CS25)</f>
        <v>3096232.5426000003</v>
      </c>
      <c r="AK25" s="1">
        <f>SUM('BASE PAN - OPEX'!CT25:CV25)</f>
        <v>3096726.6483000005</v>
      </c>
      <c r="AL25" s="1">
        <f t="shared" si="3"/>
        <v>91592594.334300041</v>
      </c>
      <c r="AM25" t="str">
        <f>VLOOKUP(D25,'FLUXO DE CAIXA DESC.-BLOCOS PAN'!$D$3:$AO$52,38,FALSE)</f>
        <v>AC + AM - 1 - AL</v>
      </c>
      <c r="AN25" s="1">
        <f t="shared" si="1"/>
        <v>45201328.585299999</v>
      </c>
    </row>
    <row r="26" spans="1:40" x14ac:dyDescent="0.35">
      <c r="A26" t="s">
        <v>126</v>
      </c>
      <c r="B26" t="s">
        <v>127</v>
      </c>
      <c r="C26">
        <v>130140</v>
      </c>
      <c r="D26" t="s">
        <v>128</v>
      </c>
      <c r="E26" t="s">
        <v>127</v>
      </c>
      <c r="F26" t="s">
        <v>35</v>
      </c>
      <c r="G26" t="s">
        <v>33</v>
      </c>
      <c r="H26" s="1">
        <f>SUM('BASE PAN - OPEX'!K26:M26)</f>
        <v>2890604.3887</v>
      </c>
      <c r="I26" s="1">
        <f>SUM('BASE PAN - OPEX'!N26:P26)</f>
        <v>2893327.0730999997</v>
      </c>
      <c r="J26" s="1">
        <f>SUM('BASE PAN - OPEX'!Q26:S26)</f>
        <v>2895336.9865999999</v>
      </c>
      <c r="K26" s="1">
        <f>SUM('BASE PAN - OPEX'!T26:V26)</f>
        <v>2896746.4149000002</v>
      </c>
      <c r="L26" s="1">
        <f>SUM('BASE PAN - OPEX'!W26:Y26)</f>
        <v>2897893.3495</v>
      </c>
      <c r="M26" s="1">
        <f>SUM('BASE PAN - OPEX'!Z26:AB26)</f>
        <v>2898900.2741</v>
      </c>
      <c r="N26" s="1">
        <f>SUM('BASE PAN - OPEX'!AC26:AE26)</f>
        <v>2899818.1955000004</v>
      </c>
      <c r="O26" s="1">
        <f>SUM('BASE PAN - OPEX'!AF26:AH26)</f>
        <v>2900679.0465000002</v>
      </c>
      <c r="P26" s="1">
        <f>SUM('BASE PAN - OPEX'!AI26:AK26)</f>
        <v>2901453.5024000001</v>
      </c>
      <c r="Q26" s="1">
        <f>SUM('BASE PAN - OPEX'!AL26:AN26)</f>
        <v>2902142.0355000002</v>
      </c>
      <c r="R26" s="1">
        <f>SUM('BASE PAN - OPEX'!AO26:AQ26)</f>
        <v>2902755.8044000003</v>
      </c>
      <c r="S26" s="1">
        <f>SUM('BASE PAN - OPEX'!AR26:AT26)</f>
        <v>2903352.2546000001</v>
      </c>
      <c r="T26" s="1">
        <f>SUM('BASE PAN - OPEX'!AU26:AW26)</f>
        <v>2903930.1064999998</v>
      </c>
      <c r="U26" s="1">
        <f>SUM('BASE PAN - OPEX'!AX26:AZ26)</f>
        <v>2904513.7503</v>
      </c>
      <c r="V26" s="1">
        <f>SUM('BASE PAN - OPEX'!BA26:BC26)</f>
        <v>2905098.2955999998</v>
      </c>
      <c r="W26" s="1">
        <f>SUM('BASE PAN - OPEX'!BD26:BF26)</f>
        <v>2905653.5652999999</v>
      </c>
      <c r="X26" s="1">
        <f>SUM('BASE PAN - OPEX'!BG26:BI26)</f>
        <v>2906229.2768000001</v>
      </c>
      <c r="Y26" s="1">
        <f>SUM('BASE PAN - OPEX'!BJ26:BL26)</f>
        <v>2906801.2365999999</v>
      </c>
      <c r="Z26" s="1">
        <f>SUM('BASE PAN - OPEX'!BM26:BO26)</f>
        <v>2907395.0804999997</v>
      </c>
      <c r="AA26" s="1">
        <f>SUM('BASE PAN - OPEX'!BP26:BR26)</f>
        <v>2907953.0065000001</v>
      </c>
      <c r="AB26" s="1">
        <f>SUM('BASE PAN - OPEX'!BS26:BU26)</f>
        <v>2908496.3212000001</v>
      </c>
      <c r="AC26" s="1">
        <f>SUM('BASE PAN - OPEX'!BV26:BX26)</f>
        <v>2909052.9186000004</v>
      </c>
      <c r="AD26" s="1">
        <f>SUM('BASE PAN - OPEX'!BY26:CA26)</f>
        <v>2909582.9997</v>
      </c>
      <c r="AE26" s="1">
        <f>SUM('BASE PAN - OPEX'!CB26:CD26)</f>
        <v>2910143.5830999999</v>
      </c>
      <c r="AF26" s="1">
        <f>SUM('BASE PAN - OPEX'!CE26:CG26)</f>
        <v>2910677.5981999999</v>
      </c>
      <c r="AG26" s="1">
        <f>SUM('BASE PAN - OPEX'!CH26:CJ26)</f>
        <v>2911212.9419</v>
      </c>
      <c r="AH26" s="1">
        <f>SUM('BASE PAN - OPEX'!CK26:CM26)</f>
        <v>2911722.1946999999</v>
      </c>
      <c r="AI26" s="1">
        <f>SUM('BASE PAN - OPEX'!CN26:CP26)</f>
        <v>2912203.1253999998</v>
      </c>
      <c r="AJ26" s="1">
        <f>SUM('BASE PAN - OPEX'!CQ26:CS26)</f>
        <v>3080396.7896999996</v>
      </c>
      <c r="AK26" s="1">
        <f>SUM('BASE PAN - OPEX'!CT26:CV26)</f>
        <v>3080886.9827000001</v>
      </c>
      <c r="AL26" s="1">
        <f t="shared" si="3"/>
        <v>87474959.099100009</v>
      </c>
      <c r="AM26" t="str">
        <f>VLOOKUP(D26,'FLUXO DE CAIXA DESC.-BLOCOS PAN'!$D$3:$AO$52,38,FALSE)</f>
        <v>AC + AM - 1 - AL</v>
      </c>
      <c r="AN26" s="1">
        <f t="shared" si="1"/>
        <v>43496551.478200004</v>
      </c>
    </row>
    <row r="27" spans="1:40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33</v>
      </c>
      <c r="H27" s="1">
        <f>SUM('BASE PAN - OPEX'!K27:M27)</f>
        <v>3785450.6853</v>
      </c>
      <c r="I27" s="1">
        <f>SUM('BASE PAN - OPEX'!N27:P27)</f>
        <v>3788677.8846000005</v>
      </c>
      <c r="J27" s="1">
        <f>SUM('BASE PAN - OPEX'!Q27:S27)</f>
        <v>3791214.3212000001</v>
      </c>
      <c r="K27" s="1">
        <f>SUM('BASE PAN - OPEX'!T27:V27)</f>
        <v>3793095.2674000002</v>
      </c>
      <c r="L27" s="1">
        <f>SUM('BASE PAN - OPEX'!W27:Y27)</f>
        <v>3794677.4376000003</v>
      </c>
      <c r="M27" s="1">
        <f>SUM('BASE PAN - OPEX'!Z27:AB27)</f>
        <v>3796117.4702999997</v>
      </c>
      <c r="N27" s="1">
        <f>SUM('BASE PAN - OPEX'!AC27:AE27)</f>
        <v>3797505.6437999997</v>
      </c>
      <c r="O27" s="1">
        <f>SUM('BASE PAN - OPEX'!AF27:AH27)</f>
        <v>3980675.2745000003</v>
      </c>
      <c r="P27" s="1">
        <f>SUM('BASE PAN - OPEX'!AI27:AK27)</f>
        <v>3982014.5888999999</v>
      </c>
      <c r="Q27" s="1">
        <f>SUM('BASE PAN - OPEX'!AL27:AN27)</f>
        <v>3983257.2006000001</v>
      </c>
      <c r="R27" s="1">
        <f>SUM('BASE PAN - OPEX'!AO27:AQ27)</f>
        <v>3984413.6464</v>
      </c>
      <c r="S27" s="1">
        <f>SUM('BASE PAN - OPEX'!AR27:AT27)</f>
        <v>3985567.5046000001</v>
      </c>
      <c r="T27" s="1">
        <f>SUM('BASE PAN - OPEX'!AU27:AW27)</f>
        <v>3986708.1161000002</v>
      </c>
      <c r="U27" s="1">
        <f>SUM('BASE PAN - OPEX'!AX27:AZ27)</f>
        <v>3987872.5112999999</v>
      </c>
      <c r="V27" s="1">
        <f>SUM('BASE PAN - OPEX'!BA27:BC27)</f>
        <v>3989017.0964000002</v>
      </c>
      <c r="W27" s="1">
        <f>SUM('BASE PAN - OPEX'!BD27:BF27)</f>
        <v>3990177.5779000004</v>
      </c>
      <c r="X27" s="1">
        <f>SUM('BASE PAN - OPEX'!BG27:BI27)</f>
        <v>3991328.7253</v>
      </c>
      <c r="Y27" s="1">
        <f>SUM('BASE PAN - OPEX'!BJ27:BL27)</f>
        <v>3992518.3501000004</v>
      </c>
      <c r="Z27" s="1">
        <f>SUM('BASE PAN - OPEX'!BM27:BO27)</f>
        <v>3993725.1015999997</v>
      </c>
      <c r="AA27" s="1">
        <f>SUM('BASE PAN - OPEX'!BP27:BR27)</f>
        <v>3994945.1943999995</v>
      </c>
      <c r="AB27" s="1">
        <f>SUM('BASE PAN - OPEX'!BS27:BU27)</f>
        <v>3996128.1947000003</v>
      </c>
      <c r="AC27" s="1">
        <f>SUM('BASE PAN - OPEX'!BV27:BX27)</f>
        <v>3997323.057</v>
      </c>
      <c r="AD27" s="1">
        <f>SUM('BASE PAN - OPEX'!BY27:CA27)</f>
        <v>3998508.7081999998</v>
      </c>
      <c r="AE27" s="1">
        <f>SUM('BASE PAN - OPEX'!CB27:CD27)</f>
        <v>3999695.6830999996</v>
      </c>
      <c r="AF27" s="1">
        <f>SUM('BASE PAN - OPEX'!CE27:CG27)</f>
        <v>4000864.0518999998</v>
      </c>
      <c r="AG27" s="1">
        <f>SUM('BASE PAN - OPEX'!CH27:CJ27)</f>
        <v>4002047.0532999998</v>
      </c>
      <c r="AH27" s="1">
        <f>SUM('BASE PAN - OPEX'!CK27:CM27)</f>
        <v>4003183.6292000003</v>
      </c>
      <c r="AI27" s="1">
        <f>SUM('BASE PAN - OPEX'!CN27:CP27)</f>
        <v>4004333.5126999998</v>
      </c>
      <c r="AJ27" s="1">
        <f>SUM('BASE PAN - OPEX'!CQ27:CS27)</f>
        <v>4005503.2672999999</v>
      </c>
      <c r="AK27" s="1">
        <f>SUM('BASE PAN - OPEX'!CT27:CV27)</f>
        <v>4006691.5062000002</v>
      </c>
      <c r="AL27" s="1">
        <f t="shared" si="3"/>
        <v>118403238.26189999</v>
      </c>
      <c r="AM27" t="str">
        <f>VLOOKUP(D27,'FLUXO DE CAIXA DESC.-BLOCOS PAN'!$D$3:$AO$52,38,FALSE)</f>
        <v>MT - 2 - AL</v>
      </c>
      <c r="AN27" s="1">
        <f t="shared" si="1"/>
        <v>58426264.649000004</v>
      </c>
    </row>
    <row r="28" spans="1:40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33</v>
      </c>
      <c r="H28" s="1">
        <f>SUM('BASE PAN - OPEX'!K28:M28)</f>
        <v>3390344.8333000001</v>
      </c>
      <c r="I28" s="1">
        <f>SUM('BASE PAN - OPEX'!N28:P28)</f>
        <v>3612027.3773999996</v>
      </c>
      <c r="J28" s="1">
        <f>SUM('BASE PAN - OPEX'!Q28:S28)</f>
        <v>3616432.0637000003</v>
      </c>
      <c r="K28" s="1">
        <f>SUM('BASE PAN - OPEX'!T28:V28)</f>
        <v>3619428.6149999998</v>
      </c>
      <c r="L28" s="1">
        <f>SUM('BASE PAN - OPEX'!W28:Y28)</f>
        <v>3621772.0360000003</v>
      </c>
      <c r="M28" s="1">
        <f>SUM('BASE PAN - OPEX'!Z28:AB28)</f>
        <v>3623806.8070999999</v>
      </c>
      <c r="N28" s="1">
        <f>SUM('BASE PAN - OPEX'!AC28:AE28)</f>
        <v>3625679.9338000002</v>
      </c>
      <c r="O28" s="1">
        <f>SUM('BASE PAN - OPEX'!AF28:AH28)</f>
        <v>3627439.1711999997</v>
      </c>
      <c r="P28" s="1">
        <f>SUM('BASE PAN - OPEX'!AI28:AK28)</f>
        <v>3629056.6676999996</v>
      </c>
      <c r="Q28" s="1">
        <f>SUM('BASE PAN - OPEX'!AL28:AN28)</f>
        <v>3630500.57</v>
      </c>
      <c r="R28" s="1">
        <f>SUM('BASE PAN - OPEX'!AO28:AQ28)</f>
        <v>3631827.9611</v>
      </c>
      <c r="S28" s="1">
        <f>SUM('BASE PAN - OPEX'!AR28:AT28)</f>
        <v>3633142.1062000003</v>
      </c>
      <c r="T28" s="1">
        <f>SUM('BASE PAN - OPEX'!AU28:AW28)</f>
        <v>3634435.0556000001</v>
      </c>
      <c r="U28" s="1">
        <f>SUM('BASE PAN - OPEX'!AX28:AZ28)</f>
        <v>3635763.7101999996</v>
      </c>
      <c r="V28" s="1">
        <f>SUM('BASE PAN - OPEX'!BA28:BC28)</f>
        <v>3637048.7121000001</v>
      </c>
      <c r="W28" s="1">
        <f>SUM('BASE PAN - OPEX'!BD28:BF28)</f>
        <v>4295866.5990000004</v>
      </c>
      <c r="X28" s="1">
        <f>SUM('BASE PAN - OPEX'!BG28:BI28)</f>
        <v>4297172.9052999998</v>
      </c>
      <c r="Y28" s="1">
        <f>SUM('BASE PAN - OPEX'!BJ28:BL28)</f>
        <v>4298532.2092000004</v>
      </c>
      <c r="Z28" s="1">
        <f>SUM('BASE PAN - OPEX'!BM28:BO28)</f>
        <v>4299891.1322999997</v>
      </c>
      <c r="AA28" s="1">
        <f>SUM('BASE PAN - OPEX'!BP28:BR28)</f>
        <v>4301275.7087000003</v>
      </c>
      <c r="AB28" s="1">
        <f>SUM('BASE PAN - OPEX'!BS28:BU28)</f>
        <v>4302605.9645999996</v>
      </c>
      <c r="AC28" s="1">
        <f>SUM('BASE PAN - OPEX'!BV28:BX28)</f>
        <v>4303950.0430999994</v>
      </c>
      <c r="AD28" s="1">
        <f>SUM('BASE PAN - OPEX'!BY28:CA28)</f>
        <v>4305257.6987000005</v>
      </c>
      <c r="AE28" s="1">
        <f>SUM('BASE PAN - OPEX'!CB28:CD28)</f>
        <v>4306500.5788000003</v>
      </c>
      <c r="AF28" s="1">
        <f>SUM('BASE PAN - OPEX'!CE28:CG28)</f>
        <v>4307696.2143000001</v>
      </c>
      <c r="AG28" s="1">
        <f>SUM('BASE PAN - OPEX'!CH28:CJ28)</f>
        <v>4308915.1710999999</v>
      </c>
      <c r="AH28" s="1">
        <f>SUM('BASE PAN - OPEX'!CK28:CM28)</f>
        <v>4310043.3448999999</v>
      </c>
      <c r="AI28" s="1">
        <f>SUM('BASE PAN - OPEX'!CN28:CP28)</f>
        <v>4311151.2627999997</v>
      </c>
      <c r="AJ28" s="1">
        <f>SUM('BASE PAN - OPEX'!CQ28:CS28)</f>
        <v>4312272.6888000006</v>
      </c>
      <c r="AK28" s="1">
        <f>SUM('BASE PAN - OPEX'!CT28:CV28)</f>
        <v>4313411.6584000001</v>
      </c>
      <c r="AL28" s="1">
        <f t="shared" si="3"/>
        <v>118743248.8004</v>
      </c>
      <c r="AM28" t="str">
        <f>VLOOKUP(D28,'FLUXO DE CAIXA DESC.-BLOCOS PAN'!$D$3:$AO$52,38,FALSE)</f>
        <v>MA + TO - AL</v>
      </c>
      <c r="AN28" s="1">
        <f t="shared" si="1"/>
        <v>54168705.620399997</v>
      </c>
    </row>
    <row r="29" spans="1:40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33</v>
      </c>
      <c r="H29" s="1">
        <f>SUM('BASE PAN - OPEX'!K29:M29)</f>
        <v>2140503.6984000001</v>
      </c>
      <c r="I29" s="1">
        <f>SUM('BASE PAN - OPEX'!N29:P29)</f>
        <v>2140625.1395999999</v>
      </c>
      <c r="J29" s="1">
        <f>SUM('BASE PAN - OPEX'!Q29:S29)</f>
        <v>2140723.0337999999</v>
      </c>
      <c r="K29" s="1">
        <f>SUM('BASE PAN - OPEX'!T29:V29)</f>
        <v>2140797.5389</v>
      </c>
      <c r="L29" s="1">
        <f>SUM('BASE PAN - OPEX'!W29:Y29)</f>
        <v>2140860.5664999997</v>
      </c>
      <c r="M29" s="1">
        <f>SUM('BASE PAN - OPEX'!Z29:AB29)</f>
        <v>2140922.2535000001</v>
      </c>
      <c r="N29" s="1">
        <f>SUM('BASE PAN - OPEX'!AC29:AE29)</f>
        <v>2140978.5755000003</v>
      </c>
      <c r="O29" s="1">
        <f>SUM('BASE PAN - OPEX'!AF29:AH29)</f>
        <v>2141034.3075999999</v>
      </c>
      <c r="P29" s="1">
        <f>SUM('BASE PAN - OPEX'!AI29:AK29)</f>
        <v>2141086.6064999998</v>
      </c>
      <c r="Q29" s="1">
        <f>SUM('BASE PAN - OPEX'!AL29:AN29)</f>
        <v>2141136.2239999999</v>
      </c>
      <c r="R29" s="1">
        <f>SUM('BASE PAN - OPEX'!AO29:AQ29)</f>
        <v>2141180.4775999999</v>
      </c>
      <c r="S29" s="1">
        <f>SUM('BASE PAN - OPEX'!AR29:AT29)</f>
        <v>2141226.0719999997</v>
      </c>
      <c r="T29" s="1">
        <f>SUM('BASE PAN - OPEX'!AU29:AW29)</f>
        <v>2141271.0753000001</v>
      </c>
      <c r="U29" s="1">
        <f>SUM('BASE PAN - OPEX'!AX29:AZ29)</f>
        <v>2141318.0112999999</v>
      </c>
      <c r="V29" s="1">
        <f>SUM('BASE PAN - OPEX'!BA29:BC29)</f>
        <v>2141362.2648999998</v>
      </c>
      <c r="W29" s="1">
        <f>SUM('BASE PAN - OPEX'!BD29:BF29)</f>
        <v>2141407.8593000001</v>
      </c>
      <c r="X29" s="1">
        <f>SUM('BASE PAN - OPEX'!BG29:BI29)</f>
        <v>2141453.4536000001</v>
      </c>
      <c r="Y29" s="1">
        <f>SUM('BASE PAN - OPEX'!BJ29:BL29)</f>
        <v>2141501.1384000001</v>
      </c>
      <c r="Z29" s="1">
        <f>SUM('BASE PAN - OPEX'!BM29:BO29)</f>
        <v>2141546.7337000002</v>
      </c>
      <c r="AA29" s="1">
        <f>SUM('BASE PAN - OPEX'!BP29:BR29)</f>
        <v>2141595.0095000002</v>
      </c>
      <c r="AB29" s="1">
        <f>SUM('BASE PAN - OPEX'!BS29:BU29)</f>
        <v>2141640.6038000002</v>
      </c>
      <c r="AC29" s="1">
        <f>SUM('BASE PAN - OPEX'!BV29:BX29)</f>
        <v>2141690.2212999999</v>
      </c>
      <c r="AD29" s="1">
        <f>SUM('BASE PAN - OPEX'!BY29:CA29)</f>
        <v>2141736.5663999999</v>
      </c>
      <c r="AE29" s="1">
        <f>SUM('BASE PAN - OPEX'!CB29:CD29)</f>
        <v>2141783.5014</v>
      </c>
      <c r="AF29" s="1">
        <f>SUM('BASE PAN - OPEX'!CE29:CG29)</f>
        <v>2141829.0958000002</v>
      </c>
      <c r="AG29" s="1">
        <f>SUM('BASE PAN - OPEX'!CH29:CJ29)</f>
        <v>2141872.0086999997</v>
      </c>
      <c r="AH29" s="1">
        <f>SUM('BASE PAN - OPEX'!CK29:CM29)</f>
        <v>2141914.9205999998</v>
      </c>
      <c r="AI29" s="1">
        <f>SUM('BASE PAN - OPEX'!CN29:CP29)</f>
        <v>2141956.4927000003</v>
      </c>
      <c r="AJ29" s="1">
        <f>SUM('BASE PAN - OPEX'!CQ29:CS29)</f>
        <v>2142000.1543999999</v>
      </c>
      <c r="AK29" s="1">
        <f>SUM('BASE PAN - OPEX'!CT29:CV29)</f>
        <v>2142044.4080000003</v>
      </c>
      <c r="AL29" s="1">
        <f t="shared" si="3"/>
        <v>64240998.012999989</v>
      </c>
      <c r="AM29" t="str">
        <f>VLOOKUP(D29,'FLUXO DE CAIXA DESC.-BLOCOS PAN'!$D$3:$AO$52,38,FALSE)</f>
        <v>MT - 1 - AL</v>
      </c>
      <c r="AN29" s="1">
        <f t="shared" si="1"/>
        <v>32115025.845400002</v>
      </c>
    </row>
    <row r="30" spans="1:40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33</v>
      </c>
      <c r="H30" s="1">
        <f>SUM('BASE PAN - OPEX'!K30:M30)</f>
        <v>3771194.9846999999</v>
      </c>
      <c r="I30" s="1">
        <f>SUM('BASE PAN - OPEX'!N30:P30)</f>
        <v>3772847.5603999998</v>
      </c>
      <c r="J30" s="1">
        <f>SUM('BASE PAN - OPEX'!Q30:S30)</f>
        <v>3774140.0904000001</v>
      </c>
      <c r="K30" s="1">
        <f>SUM('BASE PAN - OPEX'!T30:V30)</f>
        <v>3775108.5420000004</v>
      </c>
      <c r="L30" s="1">
        <f>SUM('BASE PAN - OPEX'!W30:Y30)</f>
        <v>3775922.8484999998</v>
      </c>
      <c r="M30" s="1">
        <f>SUM('BASE PAN - OPEX'!Z30:AB30)</f>
        <v>3776680.5624000002</v>
      </c>
      <c r="N30" s="1">
        <f>SUM('BASE PAN - OPEX'!AC30:AE30)</f>
        <v>3777376.6417</v>
      </c>
      <c r="O30" s="1">
        <f>SUM('BASE PAN - OPEX'!AF30:AH30)</f>
        <v>3778044.8256000001</v>
      </c>
      <c r="P30" s="1">
        <f>SUM('BASE PAN - OPEX'!AI30:AK30)</f>
        <v>3778655.8879999998</v>
      </c>
      <c r="Q30" s="1">
        <f>SUM('BASE PAN - OPEX'!AL30:AN30)</f>
        <v>3779217.2707000002</v>
      </c>
      <c r="R30" s="1">
        <f>SUM('BASE PAN - OPEX'!AO30:AQ30)</f>
        <v>3779731.3607999999</v>
      </c>
      <c r="S30" s="1">
        <f>SUM('BASE PAN - OPEX'!AR30:AT30)</f>
        <v>3780241.4648000002</v>
      </c>
      <c r="T30" s="1">
        <f>SUM('BASE PAN - OPEX'!AU30:AW30)</f>
        <v>3780738.2851000004</v>
      </c>
      <c r="U30" s="1">
        <f>SUM('BASE PAN - OPEX'!AX30:AZ30)</f>
        <v>3781248.3891000003</v>
      </c>
      <c r="V30" s="1">
        <f>SUM('BASE PAN - OPEX'!BA30:BC30)</f>
        <v>3781754.5583000001</v>
      </c>
      <c r="W30" s="1">
        <f>SUM('BASE PAN - OPEX'!BD30:BF30)</f>
        <v>3782256.6923000002</v>
      </c>
      <c r="X30" s="1">
        <f>SUM('BASE PAN - OPEX'!BG30:BI30)</f>
        <v>3782764.1398999998</v>
      </c>
      <c r="Y30" s="1">
        <f>SUM('BASE PAN - OPEX'!BJ30:BL30)</f>
        <v>3783278.2289999998</v>
      </c>
      <c r="Z30" s="1">
        <f>SUM('BASE PAN - OPEX'!BM30:BO30)</f>
        <v>3783803.4736000001</v>
      </c>
      <c r="AA30" s="1">
        <f>SUM('BASE PAN - OPEX'!BP30:BR30)</f>
        <v>3784334.8326000003</v>
      </c>
      <c r="AB30" s="1">
        <f>SUM('BASE PAN - OPEX'!BS30:BU30)</f>
        <v>3784842.2792999996</v>
      </c>
      <c r="AC30" s="1">
        <f>SUM('BASE PAN - OPEX'!BV30:BX30)</f>
        <v>3785363.0109000001</v>
      </c>
      <c r="AD30" s="1">
        <f>SUM('BASE PAN - OPEX'!BY30:CA30)</f>
        <v>3785869.1299000001</v>
      </c>
      <c r="AE30" s="1">
        <f>SUM('BASE PAN - OPEX'!CB30:CD30)</f>
        <v>3786408.5093999999</v>
      </c>
      <c r="AF30" s="1">
        <f>SUM('BASE PAN - OPEX'!CE30:CG30)</f>
        <v>3786926.5835000002</v>
      </c>
      <c r="AG30" s="1">
        <f>SUM('BASE PAN - OPEX'!CH30:CJ30)</f>
        <v>3787455.2851</v>
      </c>
      <c r="AH30" s="1">
        <f>SUM('BASE PAN - OPEX'!CK30:CM30)</f>
        <v>3787953.4339999994</v>
      </c>
      <c r="AI30" s="1">
        <f>SUM('BASE PAN - OPEX'!CN30:CP30)</f>
        <v>3788461.3053000001</v>
      </c>
      <c r="AJ30" s="1">
        <f>SUM('BASE PAN - OPEX'!CQ30:CS30)</f>
        <v>3788974.1170000001</v>
      </c>
      <c r="AK30" s="1">
        <f>SUM('BASE PAN - OPEX'!CT30:CV30)</f>
        <v>3789489.5346999997</v>
      </c>
      <c r="AL30" s="1">
        <f t="shared" si="3"/>
        <v>113451083.82899998</v>
      </c>
      <c r="AM30" t="str">
        <f>VLOOKUP(D30,'FLUXO DE CAIXA DESC.-BLOCOS PAN'!$D$3:$AO$52,38,FALSE)</f>
        <v>MT - 1 - AL</v>
      </c>
      <c r="AN30" s="1">
        <f t="shared" si="1"/>
        <v>56662903.272499993</v>
      </c>
    </row>
    <row r="31" spans="1:40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33</v>
      </c>
      <c r="H31" s="1">
        <f>SUM('BASE PAN - OPEX'!K31:M31)</f>
        <v>3876644.9483000003</v>
      </c>
      <c r="I31" s="1">
        <f>SUM('BASE PAN - OPEX'!N31:P31)</f>
        <v>3880906.9684000001</v>
      </c>
      <c r="J31" s="1">
        <f>SUM('BASE PAN - OPEX'!Q31:S31)</f>
        <v>3883507.1680000001</v>
      </c>
      <c r="K31" s="1">
        <f>SUM('BASE PAN - OPEX'!T31:V31)</f>
        <v>3885575.4684000001</v>
      </c>
      <c r="L31" s="1">
        <f>SUM('BASE PAN - OPEX'!W31:Y31)</f>
        <v>3887378.1030999999</v>
      </c>
      <c r="M31" s="1">
        <f>SUM('BASE PAN - OPEX'!Z31:AB31)</f>
        <v>3889057.2462000004</v>
      </c>
      <c r="N31" s="1">
        <f>SUM('BASE PAN - OPEX'!AC31:AE31)</f>
        <v>4226960.0931000002</v>
      </c>
      <c r="O31" s="1">
        <f>SUM('BASE PAN - OPEX'!AF31:AH31)</f>
        <v>4227500.6243000003</v>
      </c>
      <c r="P31" s="1">
        <f>SUM('BASE PAN - OPEX'!AI31:AK31)</f>
        <v>4229504.9278999995</v>
      </c>
      <c r="Q31" s="1">
        <f>SUM('BASE PAN - OPEX'!AL31:AN31)</f>
        <v>4231498.6340999994</v>
      </c>
      <c r="R31" s="1">
        <f>SUM('BASE PAN - OPEX'!AO31:AQ31)</f>
        <v>4231979.4934</v>
      </c>
      <c r="S31" s="1">
        <f>SUM('BASE PAN - OPEX'!AR31:AT31)</f>
        <v>4233957.3025000002</v>
      </c>
      <c r="T31" s="1">
        <f>SUM('BASE PAN - OPEX'!AU31:AW31)</f>
        <v>4234427.5642999997</v>
      </c>
      <c r="U31" s="1">
        <f>SUM('BASE PAN - OPEX'!AX31:AZ31)</f>
        <v>4236445.1146999998</v>
      </c>
      <c r="V31" s="1">
        <f>SUM('BASE PAN - OPEX'!BA31:BC31)</f>
        <v>4236903.5152000003</v>
      </c>
      <c r="W31" s="1">
        <f>SUM('BASE PAN - OPEX'!BD31:BF31)</f>
        <v>4237360.5302999998</v>
      </c>
      <c r="X31" s="1">
        <f>SUM('BASE PAN - OPEX'!BG31:BI31)</f>
        <v>4239374.1060999995</v>
      </c>
      <c r="Y31" s="1">
        <f>SUM('BASE PAN - OPEX'!BJ31:BL31)</f>
        <v>4239851.7413999997</v>
      </c>
      <c r="Z31" s="1">
        <f>SUM('BASE PAN - OPEX'!BM31:BO31)</f>
        <v>4241933.4177999999</v>
      </c>
      <c r="AA31" s="1">
        <f>SUM('BASE PAN - OPEX'!BP31:BR31)</f>
        <v>4242416.9876000006</v>
      </c>
      <c r="AB31" s="1">
        <f>SUM('BASE PAN - OPEX'!BS31:BU31)</f>
        <v>4244475.6032999996</v>
      </c>
      <c r="AC31" s="1">
        <f>SUM('BASE PAN - OPEX'!BV31:BX31)</f>
        <v>4244922.0201000003</v>
      </c>
      <c r="AD31" s="1">
        <f>SUM('BASE PAN - OPEX'!BY31:CA31)</f>
        <v>4246981.9597999994</v>
      </c>
      <c r="AE31" s="1">
        <f>SUM('BASE PAN - OPEX'!CB31:CD31)</f>
        <v>4247396.5854000002</v>
      </c>
      <c r="AF31" s="1">
        <f>SUM('BASE PAN - OPEX'!CE31:CG31)</f>
        <v>4249455.2001</v>
      </c>
      <c r="AG31" s="1">
        <f>SUM('BASE PAN - OPEX'!CH31:CJ31)</f>
        <v>4249840.7441999996</v>
      </c>
      <c r="AH31" s="1">
        <f>SUM('BASE PAN - OPEX'!CK31:CM31)</f>
        <v>4251845.0477999998</v>
      </c>
      <c r="AI31" s="1">
        <f>SUM('BASE PAN - OPEX'!CN31:CP31)</f>
        <v>4252148.3990000002</v>
      </c>
      <c r="AJ31" s="1">
        <f>SUM('BASE PAN - OPEX'!CQ31:CS31)</f>
        <v>4252453.0754000004</v>
      </c>
      <c r="AK31" s="1">
        <f>SUM('BASE PAN - OPEX'!CT31:CV31)</f>
        <v>4252759.0771000003</v>
      </c>
      <c r="AL31" s="1">
        <f t="shared" si="3"/>
        <v>125085461.6673</v>
      </c>
      <c r="AM31" t="str">
        <f>VLOOKUP(D31,'FLUXO DE CAIXA DESC.-BLOCOS PAN'!$D$3:$AO$52,38,FALSE)</f>
        <v>Bloco Nordeste</v>
      </c>
      <c r="AN31" s="1">
        <f t="shared" si="1"/>
        <v>61392247.171899989</v>
      </c>
    </row>
    <row r="32" spans="1:40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33</v>
      </c>
      <c r="H32" s="1">
        <f>SUM('BASE PAN - OPEX'!K32:M32)</f>
        <v>2880119.8657</v>
      </c>
      <c r="I32" s="1">
        <f>SUM('BASE PAN - OPEX'!N32:P32)</f>
        <v>2881227.7986999997</v>
      </c>
      <c r="J32" s="1">
        <f>SUM('BASE PAN - OPEX'!Q32:S32)</f>
        <v>2882075.3161000004</v>
      </c>
      <c r="K32" s="1">
        <f>SUM('BASE PAN - OPEX'!T32:V32)</f>
        <v>2882735.9521999997</v>
      </c>
      <c r="L32" s="1">
        <f>SUM('BASE PAN - OPEX'!W32:Y32)</f>
        <v>2883286.4367000004</v>
      </c>
      <c r="M32" s="1">
        <f>SUM('BASE PAN - OPEX'!Z32:AB32)</f>
        <v>2883816.9827000001</v>
      </c>
      <c r="N32" s="1">
        <f>SUM('BASE PAN - OPEX'!AC32:AE32)</f>
        <v>2884316.4595999997</v>
      </c>
      <c r="O32" s="1">
        <f>SUM('BASE PAN - OPEX'!AF32:AH32)</f>
        <v>2884778.7418999998</v>
      </c>
      <c r="P32" s="1">
        <f>SUM('BASE PAN - OPEX'!AI32:AK32)</f>
        <v>2885239.6956000002</v>
      </c>
      <c r="Q32" s="1">
        <f>SUM('BASE PAN - OPEX'!AL32:AN32)</f>
        <v>2885674.1310000001</v>
      </c>
      <c r="R32" s="1">
        <f>SUM('BASE PAN - OPEX'!AO32:AQ32)</f>
        <v>2886083.2768999999</v>
      </c>
      <c r="S32" s="1">
        <f>SUM('BASE PAN - OPEX'!AR32:AT32)</f>
        <v>2886496.4087</v>
      </c>
      <c r="T32" s="1">
        <f>SUM('BASE PAN - OPEX'!AU32:AW32)</f>
        <v>2886910.8681999999</v>
      </c>
      <c r="U32" s="1">
        <f>SUM('BASE PAN - OPEX'!AX32:AZ32)</f>
        <v>2887338.6123999995</v>
      </c>
      <c r="V32" s="1">
        <f>SUM('BASE PAN - OPEX'!BA32:BC32)</f>
        <v>2887783.6250999998</v>
      </c>
      <c r="W32" s="1">
        <f>SUM('BASE PAN - OPEX'!BD32:BF32)</f>
        <v>2888222.0455</v>
      </c>
      <c r="X32" s="1">
        <f>SUM('BASE PAN - OPEX'!BG32:BI32)</f>
        <v>2888681.6705999998</v>
      </c>
      <c r="Y32" s="1">
        <f>SUM('BASE PAN - OPEX'!BJ32:BL32)</f>
        <v>2889134.6542999996</v>
      </c>
      <c r="Z32" s="1">
        <f>SUM('BASE PAN - OPEX'!BM32:BO32)</f>
        <v>2889618.1902999999</v>
      </c>
      <c r="AA32" s="1">
        <f>SUM('BASE PAN - OPEX'!BP32:BR32)</f>
        <v>2890114.1603999999</v>
      </c>
      <c r="AB32" s="1">
        <f>SUM('BASE PAN - OPEX'!BS32:BU32)</f>
        <v>2890599.0751</v>
      </c>
      <c r="AC32" s="1">
        <f>SUM('BASE PAN - OPEX'!BV32:BX32)</f>
        <v>2891115.8215000001</v>
      </c>
      <c r="AD32" s="1">
        <f>SUM('BASE PAN - OPEX'!BY32:CA32)</f>
        <v>2891608.6561000003</v>
      </c>
      <c r="AE32" s="1">
        <f>SUM('BASE PAN - OPEX'!CB32:CD32)</f>
        <v>2892181.1954000001</v>
      </c>
      <c r="AF32" s="1">
        <f>SUM('BASE PAN - OPEX'!CE32:CG32)</f>
        <v>2892749.2202999997</v>
      </c>
      <c r="AG32" s="1">
        <f>SUM('BASE PAN - OPEX'!CH32:CJ32)</f>
        <v>2893340.3567999997</v>
      </c>
      <c r="AH32" s="1">
        <f>SUM('BASE PAN - OPEX'!CK32:CM32)</f>
        <v>2893892.9691000003</v>
      </c>
      <c r="AI32" s="1">
        <f>SUM('BASE PAN - OPEX'!CN32:CP32)</f>
        <v>2894473.4783999999</v>
      </c>
      <c r="AJ32" s="1">
        <f>SUM('BASE PAN - OPEX'!CQ32:CS32)</f>
        <v>2895067.2723000003</v>
      </c>
      <c r="AK32" s="1">
        <f>SUM('BASE PAN - OPEX'!CT32:CV32)</f>
        <v>2895681.0411</v>
      </c>
      <c r="AL32" s="1">
        <f t="shared" si="3"/>
        <v>86644363.978700027</v>
      </c>
      <c r="AM32" t="str">
        <f>VLOOKUP(D32,'FLUXO DE CAIXA DESC.-BLOCOS PAN'!$D$3:$AO$52,38,FALSE)</f>
        <v>AC + AM - 1 - AL</v>
      </c>
      <c r="AN32" s="1">
        <f t="shared" si="1"/>
        <v>43267884.171500005</v>
      </c>
    </row>
    <row r="33" spans="1:98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33</v>
      </c>
      <c r="H33" s="1">
        <f>SUM('BASE PAN - OPEX'!K33:M33)</f>
        <v>1597174.4759</v>
      </c>
      <c r="I33" s="1">
        <f>SUM('BASE PAN - OPEX'!N33:P33)</f>
        <v>1597255.6866000001</v>
      </c>
      <c r="J33" s="1">
        <f>SUM('BASE PAN - OPEX'!Q33:S33)</f>
        <v>1597317.3727000002</v>
      </c>
      <c r="K33" s="1">
        <f>SUM('BASE PAN - OPEX'!T33:V33)</f>
        <v>1597362.9674</v>
      </c>
      <c r="L33" s="1">
        <f>SUM('BASE PAN - OPEX'!W33:Y33)</f>
        <v>1597397.8342000002</v>
      </c>
      <c r="M33" s="1">
        <f>SUM('BASE PAN - OPEX'!Z33:AB33)</f>
        <v>1597428.6768</v>
      </c>
      <c r="N33" s="1">
        <f>SUM('BASE PAN - OPEX'!AC33:AE33)</f>
        <v>1597458.1793</v>
      </c>
      <c r="O33" s="1">
        <f>SUM('BASE PAN - OPEX'!AF33:AH33)</f>
        <v>1597484.9993999999</v>
      </c>
      <c r="P33" s="1">
        <f>SUM('BASE PAN - OPEX'!AI33:AK33)</f>
        <v>1597512.5696</v>
      </c>
      <c r="Q33" s="1">
        <f>SUM('BASE PAN - OPEX'!AL33:AN33)</f>
        <v>1597539.3899000001</v>
      </c>
      <c r="R33" s="1">
        <f>SUM('BASE PAN - OPEX'!AO33:AQ33)</f>
        <v>1597562.1878000002</v>
      </c>
      <c r="S33" s="1">
        <f>SUM('BASE PAN - OPEX'!AR33:AT33)</f>
        <v>1597586.3256999999</v>
      </c>
      <c r="T33" s="1">
        <f>SUM('BASE PAN - OPEX'!AU33:AW33)</f>
        <v>1597609.1225999999</v>
      </c>
      <c r="U33" s="1">
        <f>SUM('BASE PAN - OPEX'!AX33:AZ33)</f>
        <v>1597631.9205</v>
      </c>
      <c r="V33" s="1">
        <f>SUM('BASE PAN - OPEX'!BA33:BC33)</f>
        <v>1597654.7172999999</v>
      </c>
      <c r="W33" s="1">
        <f>SUM('BASE PAN - OPEX'!BD33:BF33)</f>
        <v>1597677.5142999999</v>
      </c>
      <c r="X33" s="1">
        <f>SUM('BASE PAN - OPEX'!BG33:BI33)</f>
        <v>1597700.3120999997</v>
      </c>
      <c r="Y33" s="1">
        <f>SUM('BASE PAN - OPEX'!BJ33:BL33)</f>
        <v>1597723.1090000002</v>
      </c>
      <c r="Z33" s="1">
        <f>SUM('BASE PAN - OPEX'!BM33:BO33)</f>
        <v>1597747.997</v>
      </c>
      <c r="AA33" s="1">
        <f>SUM('BASE PAN - OPEX'!BP33:BR33)</f>
        <v>1597774.8173</v>
      </c>
      <c r="AB33" s="1">
        <f>SUM('BASE PAN - OPEX'!BS33:BU33)</f>
        <v>1597797.6140999999</v>
      </c>
      <c r="AC33" s="1">
        <f>SUM('BASE PAN - OPEX'!BV33:BX33)</f>
        <v>1597820.4119000002</v>
      </c>
      <c r="AD33" s="1">
        <f>SUM('BASE PAN - OPEX'!BY33:CA33)</f>
        <v>1597843.2088000001</v>
      </c>
      <c r="AE33" s="1">
        <f>SUM('BASE PAN - OPEX'!CB33:CD33)</f>
        <v>1597866.0067</v>
      </c>
      <c r="AF33" s="1">
        <f>SUM('BASE PAN - OPEX'!CE33:CG33)</f>
        <v>1597888.8036</v>
      </c>
      <c r="AG33" s="1">
        <f>SUM('BASE PAN - OPEX'!CH33:CJ33)</f>
        <v>1597915.6237999999</v>
      </c>
      <c r="AH33" s="1">
        <f>SUM('BASE PAN - OPEX'!CK33:CM33)</f>
        <v>1597938.4207000001</v>
      </c>
      <c r="AI33" s="1">
        <f>SUM('BASE PAN - OPEX'!CN33:CP33)</f>
        <v>1597958.5363000003</v>
      </c>
      <c r="AJ33" s="1">
        <f>SUM('BASE PAN - OPEX'!CQ33:CS33)</f>
        <v>1597986.1065</v>
      </c>
      <c r="AK33" s="1">
        <f>SUM('BASE PAN - OPEX'!CT33:CV33)</f>
        <v>1598008.9034</v>
      </c>
      <c r="AL33" s="1">
        <f t="shared" si="3"/>
        <v>47929623.8112</v>
      </c>
      <c r="AM33" t="str">
        <f>VLOOKUP(D33,'FLUXO DE CAIXA DESC.-BLOCOS PAN'!$D$3:$AO$52,38,FALSE)</f>
        <v>AM - 3 - AL</v>
      </c>
      <c r="AN33" s="1">
        <f t="shared" si="1"/>
        <v>23961976.425699998</v>
      </c>
    </row>
    <row r="34" spans="1:98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33</v>
      </c>
      <c r="H34" s="1">
        <f>SUM('BASE PAN - OPEX'!K34:M34)</f>
        <v>4216962.1362000005</v>
      </c>
      <c r="I34" s="1">
        <f>SUM('BASE PAN - OPEX'!N34:P34)</f>
        <v>4230348.8574999999</v>
      </c>
      <c r="J34" s="1">
        <f>SUM('BASE PAN - OPEX'!Q34:S34)</f>
        <v>4240947.7377000004</v>
      </c>
      <c r="K34" s="1">
        <f>SUM('BASE PAN - OPEX'!T34:V34)</f>
        <v>4249322.4273999995</v>
      </c>
      <c r="L34" s="1">
        <f>SUM('BASE PAN - OPEX'!W34:Y34)</f>
        <v>4256252.0575999999</v>
      </c>
      <c r="M34" s="1">
        <f>SUM('BASE PAN - OPEX'!Z34:AB34)</f>
        <v>4262575.1950000003</v>
      </c>
      <c r="N34" s="1">
        <f>SUM('BASE PAN - OPEX'!AC34:AE34)</f>
        <v>4268508.875</v>
      </c>
      <c r="O34" s="1">
        <f>SUM('BASE PAN - OPEX'!AF34:AH34)</f>
        <v>4274291.7936000004</v>
      </c>
      <c r="P34" s="1">
        <f>SUM('BASE PAN - OPEX'!AI34:AK34)</f>
        <v>4279764.9561000001</v>
      </c>
      <c r="Q34" s="1">
        <f>SUM('BASE PAN - OPEX'!AL34:AN34)</f>
        <v>4284950.0509000001</v>
      </c>
      <c r="R34" s="1">
        <f>SUM('BASE PAN - OPEX'!AO34:AQ34)</f>
        <v>4289817.6348000001</v>
      </c>
      <c r="S34" s="1">
        <f>SUM('BASE PAN - OPEX'!AR34:AT34)</f>
        <v>4294814.2227999996</v>
      </c>
      <c r="T34" s="1">
        <f>SUM('BASE PAN - OPEX'!AU34:AW34)</f>
        <v>4299730.0592999998</v>
      </c>
      <c r="U34" s="1">
        <f>SUM('BASE PAN - OPEX'!AX34:AZ34)</f>
        <v>4304877.3547999999</v>
      </c>
      <c r="V34" s="1">
        <f>SUM('BASE PAN - OPEX'!BA34:BC34)</f>
        <v>4309908.5163000003</v>
      </c>
      <c r="W34" s="1">
        <f>SUM('BASE PAN - OPEX'!BD34:BF34)</f>
        <v>4315129.8428999996</v>
      </c>
      <c r="X34" s="1">
        <f>SUM('BASE PAN - OPEX'!BG34:BI34)</f>
        <v>4320338.5060000001</v>
      </c>
      <c r="Y34" s="1">
        <f>SUM('BASE PAN - OPEX'!BJ34:BL34)</f>
        <v>4325777.3042000001</v>
      </c>
      <c r="Z34" s="1">
        <f>SUM('BASE PAN - OPEX'!BM34:BO34)</f>
        <v>4331231.6777999997</v>
      </c>
      <c r="AA34" s="1">
        <f>SUM('BASE PAN - OPEX'!BP34:BR34)</f>
        <v>4336932.2648999998</v>
      </c>
      <c r="AB34" s="1">
        <f>SUM('BASE PAN - OPEX'!BS34:BU34)</f>
        <v>4342462.1059999997</v>
      </c>
      <c r="AC34" s="1">
        <f>SUM('BASE PAN - OPEX'!BV34:BX34)</f>
        <v>4348207.2390999999</v>
      </c>
      <c r="AD34" s="1">
        <f>SUM('BASE PAN - OPEX'!BY34:CA34)</f>
        <v>4353862.9246000005</v>
      </c>
      <c r="AE34" s="1">
        <f>SUM('BASE PAN - OPEX'!CB34:CD34)</f>
        <v>4359598.5977999996</v>
      </c>
      <c r="AF34" s="1">
        <f>SUM('BASE PAN - OPEX'!CE34:CG34)</f>
        <v>4365301.6225999994</v>
      </c>
      <c r="AG34" s="1">
        <f>SUM('BASE PAN - OPEX'!CH34:CJ34)</f>
        <v>4371243.7675999999</v>
      </c>
      <c r="AH34" s="1">
        <f>SUM('BASE PAN - OPEX'!CK34:CM34)</f>
        <v>4376988.5322000002</v>
      </c>
      <c r="AI34" s="1">
        <f>SUM('BASE PAN - OPEX'!CN34:CP34)</f>
        <v>4382963.8568000002</v>
      </c>
      <c r="AJ34" s="1">
        <f>SUM('BASE PAN - OPEX'!CQ34:CS34)</f>
        <v>4389050.3969000001</v>
      </c>
      <c r="AK34" s="1">
        <f>SUM('BASE PAN - OPEX'!CT34:CV34)</f>
        <v>4395282.3273</v>
      </c>
      <c r="AL34" s="1">
        <f t="shared" si="3"/>
        <v>129377442.84169999</v>
      </c>
      <c r="AM34" t="str">
        <f>VLOOKUP(D34,'FLUXO DE CAIXA DESC.-BLOCOS PAN'!$D$3:$AO$52,38,FALSE)</f>
        <v>AM - 3 - AL</v>
      </c>
      <c r="AN34" s="1">
        <f t="shared" si="1"/>
        <v>64063071.875</v>
      </c>
    </row>
    <row r="35" spans="1:98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33</v>
      </c>
      <c r="H35" s="1">
        <f>SUM('BASE PAN - OPEX'!K35:M35)</f>
        <v>3782898.3074000003</v>
      </c>
      <c r="I35" s="1">
        <f>SUM('BASE PAN - OPEX'!N35:P35)</f>
        <v>3786063.0762999998</v>
      </c>
      <c r="J35" s="1">
        <f>SUM('BASE PAN - OPEX'!Q35:S35)</f>
        <v>3788580.8610999999</v>
      </c>
      <c r="K35" s="1">
        <f>SUM('BASE PAN - OPEX'!T35:V35)</f>
        <v>3790491.1452000001</v>
      </c>
      <c r="L35" s="1">
        <f>SUM('BASE PAN - OPEX'!W35:Y35)</f>
        <v>3792134.0868000002</v>
      </c>
      <c r="M35" s="1">
        <f>SUM('BASE PAN - OPEX'!Z35:AB35)</f>
        <v>3793642.6168999998</v>
      </c>
      <c r="N35" s="1">
        <f>SUM('BASE PAN - OPEX'!AC35:AE35)</f>
        <v>3795066.6581000001</v>
      </c>
      <c r="O35" s="1">
        <f>SUM('BASE PAN - OPEX'!AF35:AH35)</f>
        <v>3796452.2256</v>
      </c>
      <c r="P35" s="1">
        <f>SUM('BASE PAN - OPEX'!AI35:AK35)</f>
        <v>3797722.1730000004</v>
      </c>
      <c r="Q35" s="1">
        <f>SUM('BASE PAN - OPEX'!AL35:AN35)</f>
        <v>3980667.3273</v>
      </c>
      <c r="R35" s="1">
        <f>SUM('BASE PAN - OPEX'!AO35:AQ35)</f>
        <v>3981761.5742000001</v>
      </c>
      <c r="S35" s="1">
        <f>SUM('BASE PAN - OPEX'!AR35:AT35)</f>
        <v>3982849.1987999994</v>
      </c>
      <c r="T35" s="1">
        <f>SUM('BASE PAN - OPEX'!AU35:AW35)</f>
        <v>3983930.1379999998</v>
      </c>
      <c r="U35" s="1">
        <f>SUM('BASE PAN - OPEX'!AX35:AZ35)</f>
        <v>3985032.3340000003</v>
      </c>
      <c r="V35" s="1">
        <f>SUM('BASE PAN - OPEX'!BA35:BC35)</f>
        <v>3986107.9748</v>
      </c>
      <c r="W35" s="1">
        <f>SUM('BASE PAN - OPEX'!BD35:BF35)</f>
        <v>3987207.5210999995</v>
      </c>
      <c r="X35" s="1">
        <f>SUM('BASE PAN - OPEX'!BG35:BI35)</f>
        <v>3988301.7691000002</v>
      </c>
      <c r="Y35" s="1">
        <f>SUM('BASE PAN - OPEX'!BJ35:BL35)</f>
        <v>3989433.0463999999</v>
      </c>
      <c r="Z35" s="1">
        <f>SUM('BASE PAN - OPEX'!BM35:BO35)</f>
        <v>3990561.736</v>
      </c>
      <c r="AA35" s="1">
        <f>SUM('BASE PAN - OPEX'!BP35:BR35)</f>
        <v>3991716.8570000003</v>
      </c>
      <c r="AB35" s="1">
        <f>SUM('BASE PAN - OPEX'!BS35:BU35)</f>
        <v>3992838.9232999999</v>
      </c>
      <c r="AC35" s="1">
        <f>SUM('BASE PAN - OPEX'!BV35:BX35)</f>
        <v>3993983.4756999998</v>
      </c>
      <c r="AD35" s="1">
        <f>SUM('BASE PAN - OPEX'!BY35:CA35)</f>
        <v>3995109.4547000001</v>
      </c>
      <c r="AE35" s="1">
        <f>SUM('BASE PAN - OPEX'!CB35:CD35)</f>
        <v>3996224.8965000003</v>
      </c>
      <c r="AF35" s="1">
        <f>SUM('BASE PAN - OPEX'!CE35:CG35)</f>
        <v>3997311.1351000001</v>
      </c>
      <c r="AG35" s="1">
        <f>SUM('BASE PAN - OPEX'!CH35:CJ35)</f>
        <v>3998404.0581999999</v>
      </c>
      <c r="AH35" s="1">
        <f>SUM('BASE PAN - OPEX'!CK35:CM35)</f>
        <v>3999462.4775</v>
      </c>
      <c r="AI35" s="1">
        <f>SUM('BASE PAN - OPEX'!CN35:CP35)</f>
        <v>4000520.9588000001</v>
      </c>
      <c r="AJ35" s="1">
        <f>SUM('BASE PAN - OPEX'!CQ35:CS35)</f>
        <v>4001597.9863999998</v>
      </c>
      <c r="AK35" s="1">
        <f>SUM('BASE PAN - OPEX'!CT35:CV35)</f>
        <v>4002689.5226000003</v>
      </c>
      <c r="AL35" s="1">
        <f t="shared" si="3"/>
        <v>117948763.5159</v>
      </c>
      <c r="AM35" t="str">
        <f>VLOOKUP(D35,'FLUXO DE CAIXA DESC.-BLOCOS PAN'!$D$3:$AO$52,38,FALSE)</f>
        <v>MT - 1 - AL</v>
      </c>
      <c r="AN35" s="1">
        <f t="shared" si="1"/>
        <v>58023399.69749999</v>
      </c>
    </row>
    <row r="36" spans="1:98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33</v>
      </c>
      <c r="H36" s="1">
        <f>SUM('BASE PAN - OPEX'!K36:M36)</f>
        <v>3225321.9316000002</v>
      </c>
      <c r="I36" s="1">
        <f>SUM('BASE PAN - OPEX'!N36:P36)</f>
        <v>3233729.9537999998</v>
      </c>
      <c r="J36" s="1">
        <f>SUM('BASE PAN - OPEX'!Q36:S36)</f>
        <v>4363479.4957999997</v>
      </c>
      <c r="K36" s="1">
        <f>SUM('BASE PAN - OPEX'!T36:V36)</f>
        <v>4368933.7785999998</v>
      </c>
      <c r="L36" s="1">
        <f>SUM('BASE PAN - OPEX'!W36:Y36)</f>
        <v>4374303.7398999995</v>
      </c>
      <c r="M36" s="1">
        <f>SUM('BASE PAN - OPEX'!Z36:AB36)</f>
        <v>4378863.6534000002</v>
      </c>
      <c r="N36" s="1">
        <f>SUM('BASE PAN - OPEX'!AC36:AE36)</f>
        <v>4383878.7659999998</v>
      </c>
      <c r="O36" s="1">
        <f>SUM('BASE PAN - OPEX'!AF36:AH36)</f>
        <v>4388301.3988999994</v>
      </c>
      <c r="P36" s="1">
        <f>SUM('BASE PAN - OPEX'!AI36:AK36)</f>
        <v>4393265.8179000001</v>
      </c>
      <c r="Q36" s="1">
        <f>SUM('BASE PAN - OPEX'!AL36:AN36)</f>
        <v>4397344.3306999998</v>
      </c>
      <c r="R36" s="1">
        <f>SUM('BASE PAN - OPEX'!AO36:AQ36)</f>
        <v>4401682.7233999996</v>
      </c>
      <c r="S36" s="1">
        <f>SUM('BASE PAN - OPEX'!AR36:AT36)</f>
        <v>4405685.2829999998</v>
      </c>
      <c r="T36" s="1">
        <f>SUM('BASE PAN - OPEX'!AU36:AW36)</f>
        <v>4410086.3108999999</v>
      </c>
      <c r="U36" s="1">
        <f>SUM('BASE PAN - OPEX'!AX36:AZ36)</f>
        <v>4414122.2807999998</v>
      </c>
      <c r="V36" s="1">
        <f>SUM('BASE PAN - OPEX'!BA36:BC36)</f>
        <v>4418639.8135000002</v>
      </c>
      <c r="W36" s="1">
        <f>SUM('BASE PAN - OPEX'!BD36:BF36)</f>
        <v>4422672.0760000004</v>
      </c>
      <c r="X36" s="1">
        <f>SUM('BASE PAN - OPEX'!BG36:BI36)</f>
        <v>4427198.2508000005</v>
      </c>
      <c r="Y36" s="1">
        <f>SUM('BASE PAN - OPEX'!BJ36:BL36)</f>
        <v>4431221.4348000009</v>
      </c>
      <c r="Z36" s="1">
        <f>SUM('BASE PAN - OPEX'!BM36:BO36)</f>
        <v>4435848.4676000001</v>
      </c>
      <c r="AA36" s="1">
        <f>SUM('BASE PAN - OPEX'!BP36:BR36)</f>
        <v>4439816.3229</v>
      </c>
      <c r="AB36" s="1">
        <f>SUM('BASE PAN - OPEX'!BS36:BU36)</f>
        <v>4444401.8759000003</v>
      </c>
      <c r="AC36" s="1">
        <f>SUM('BASE PAN - OPEX'!BV36:BX36)</f>
        <v>4448350.4562999997</v>
      </c>
      <c r="AD36" s="1">
        <f>SUM('BASE PAN - OPEX'!BY36:CA36)</f>
        <v>4453087.9563999996</v>
      </c>
      <c r="AE36" s="1">
        <f>SUM('BASE PAN - OPEX'!CB36:CD36)</f>
        <v>4456266.9999000002</v>
      </c>
      <c r="AF36" s="1">
        <f>SUM('BASE PAN - OPEX'!CE36:CG36)</f>
        <v>4460253.7472000001</v>
      </c>
      <c r="AG36" s="1">
        <f>SUM('BASE PAN - OPEX'!CH36:CJ36)</f>
        <v>4472081.0636999998</v>
      </c>
      <c r="AH36" s="1">
        <f>SUM('BASE PAN - OPEX'!CK36:CM36)</f>
        <v>4476411.2218000004</v>
      </c>
      <c r="AI36" s="1">
        <f>SUM('BASE PAN - OPEX'!CN36:CP36)</f>
        <v>4479637.8383000009</v>
      </c>
      <c r="AJ36" s="1">
        <f>SUM('BASE PAN - OPEX'!CQ36:CS36)</f>
        <v>4482929.5988999996</v>
      </c>
      <c r="AK36" s="1">
        <f>SUM('BASE PAN - OPEX'!CT36:CV36)</f>
        <v>4486285.5422</v>
      </c>
      <c r="AL36" s="1">
        <f t="shared" ref="AL36:AL37" si="4">SUM(H36:AK36)</f>
        <v>130374102.13090001</v>
      </c>
      <c r="AM36" t="str">
        <f>VLOOKUP(D36,'FLUXO DE CAIXA DESC.-BLOCOS PAN'!$D$3:$AO$52,38,FALSE)</f>
        <v>PA 3 - AL</v>
      </c>
      <c r="AN36" s="1">
        <f t="shared" si="1"/>
        <v>63557639.278200001</v>
      </c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33</v>
      </c>
      <c r="H37" s="1">
        <f>SUM('BASE PAN - OPEX'!K37:M37)</f>
        <v>4932524.6734999996</v>
      </c>
      <c r="I37" s="1">
        <f>SUM('BASE PAN - OPEX'!N37:P37)</f>
        <v>4945211.3382999999</v>
      </c>
      <c r="J37" s="1">
        <f>SUM('BASE PAN - OPEX'!Q37:S37)</f>
        <v>4955354.0901999995</v>
      </c>
      <c r="K37" s="1">
        <f>SUM('BASE PAN - OPEX'!T37:V37)</f>
        <v>4963032.1148000006</v>
      </c>
      <c r="L37" s="1">
        <f>SUM('BASE PAN - OPEX'!W37:Y37)</f>
        <v>4969663.8497000001</v>
      </c>
      <c r="M37" s="1">
        <f>SUM('BASE PAN - OPEX'!Z37:AB37)</f>
        <v>4975817.1551999999</v>
      </c>
      <c r="N37" s="1">
        <f>SUM('BASE PAN - OPEX'!AC37:AE37)</f>
        <v>4981633.8110999996</v>
      </c>
      <c r="O37" s="1">
        <f>SUM('BASE PAN - OPEX'!AF37:AH37)</f>
        <v>4987549.9485999998</v>
      </c>
      <c r="P37" s="1">
        <f>SUM('BASE PAN - OPEX'!AI37:AK37)</f>
        <v>4993097.1280999994</v>
      </c>
      <c r="Q37" s="1">
        <f>SUM('BASE PAN - OPEX'!AL37:AN37)</f>
        <v>4998151.9492999995</v>
      </c>
      <c r="R37" s="1">
        <f>SUM('BASE PAN - OPEX'!AO37:AQ37)</f>
        <v>5003064.7234000005</v>
      </c>
      <c r="S37" s="1">
        <f>SUM('BASE PAN - OPEX'!AR37:AT37)</f>
        <v>5007727.1976999994</v>
      </c>
      <c r="T37" s="1">
        <f>SUM('BASE PAN - OPEX'!AU37:AW37)</f>
        <v>5012535.5668000001</v>
      </c>
      <c r="U37" s="1">
        <f>SUM('BASE PAN - OPEX'!AX37:AZ37)</f>
        <v>5017443.3063000003</v>
      </c>
      <c r="V37" s="1">
        <f>SUM('BASE PAN - OPEX'!BA37:BC37)</f>
        <v>5022378.7459000004</v>
      </c>
      <c r="W37" s="1">
        <f>SUM('BASE PAN - OPEX'!BD37:BF37)</f>
        <v>5027255.5387999993</v>
      </c>
      <c r="X37" s="1">
        <f>SUM('BASE PAN - OPEX'!BG37:BI37)</f>
        <v>5032112.7062999997</v>
      </c>
      <c r="Y37" s="1">
        <f>SUM('BASE PAN - OPEX'!BJ37:BL37)</f>
        <v>5037121.6446000002</v>
      </c>
      <c r="Z37" s="1">
        <f>SUM('BASE PAN - OPEX'!BM37:BO37)</f>
        <v>5041990.5785999997</v>
      </c>
      <c r="AA37" s="1">
        <f>SUM('BASE PAN - OPEX'!BP37:BR37)</f>
        <v>5047194.5655999994</v>
      </c>
      <c r="AB37" s="1">
        <f>SUM('BASE PAN - OPEX'!BS37:BU37)</f>
        <v>5052125.5883999998</v>
      </c>
      <c r="AC37" s="1">
        <f>SUM('BASE PAN - OPEX'!BV37:BX37)</f>
        <v>5057119.0416000001</v>
      </c>
      <c r="AD37" s="1">
        <f>SUM('BASE PAN - OPEX'!BY37:CA37)</f>
        <v>5062321.4058999997</v>
      </c>
      <c r="AE37" s="1">
        <f>SUM('BASE PAN - OPEX'!CB37:CD37)</f>
        <v>5066938.3652999997</v>
      </c>
      <c r="AF37" s="1">
        <f>SUM('BASE PAN - OPEX'!CE37:CG37)</f>
        <v>5071776.2604</v>
      </c>
      <c r="AG37" s="1">
        <f>SUM('BASE PAN - OPEX'!CH37:CJ37)</f>
        <v>5076456.6453</v>
      </c>
      <c r="AH37" s="1">
        <f>SUM('BASE PAN - OPEX'!CK37:CM37)</f>
        <v>5081103.716</v>
      </c>
      <c r="AI37" s="1">
        <f>SUM('BASE PAN - OPEX'!CN37:CP37)</f>
        <v>5085823.2238999996</v>
      </c>
      <c r="AJ37" s="1">
        <f>SUM('BASE PAN - OPEX'!CQ37:CS37)</f>
        <v>5090619.2966</v>
      </c>
      <c r="AK37" s="1">
        <f>SUM('BASE PAN - OPEX'!CT37:CV37)</f>
        <v>5095510.2708000001</v>
      </c>
      <c r="AL37" s="1">
        <f t="shared" si="4"/>
        <v>150690654.44700003</v>
      </c>
      <c r="AM37" t="str">
        <f>VLOOKUP(D37,'FLUXO DE CAIXA DESC.-BLOCOS PAN'!$D$3:$AO$52,38,FALSE)</f>
        <v>Bloco Nordeste</v>
      </c>
      <c r="AN37" s="1">
        <f t="shared" si="1"/>
        <v>74765185.598900005</v>
      </c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35">
      <c r="A38" t="s">
        <v>53</v>
      </c>
      <c r="B38" s="5" t="s">
        <v>266</v>
      </c>
      <c r="C38">
        <v>150375</v>
      </c>
      <c r="D38" t="s">
        <v>289</v>
      </c>
      <c r="E38" t="str">
        <f>VLOOKUP(A38,'CAPEX Manut. Estr_Naveg. Aérea'!$A$2:$B$38,2,FALSE)</f>
        <v>Jacareacanga</v>
      </c>
      <c r="F38" t="s">
        <v>29</v>
      </c>
      <c r="G38" t="s">
        <v>33</v>
      </c>
      <c r="H38" s="1">
        <f>VLOOKUP($A38,'Receitas - Aerop. Estratégicos'!$A$3:$L$17,12,FALSE)</f>
        <v>562121.24639999995</v>
      </c>
      <c r="I38" s="1">
        <f>VLOOKUP($A38,'Receitas - Aerop. Estratégicos'!$A$3:$O$17,15,FALSE)</f>
        <v>562121.24639999995</v>
      </c>
      <c r="J38" s="1">
        <f>VLOOKUP($A38,'Receitas - Aerop. Estratégicos'!$A$3:$R$17,18,FALSE)</f>
        <v>562121.24639999995</v>
      </c>
      <c r="K38" s="1">
        <f>VLOOKUP($A38,'Receitas - Aerop. Estratégicos'!$A$3:$U$17,21,FALSE)</f>
        <v>562121.24639999995</v>
      </c>
      <c r="L38" s="1">
        <f>VLOOKUP($A38,'Receitas - Aerop. Estratégicos'!$A$3:$X$17,24,FALSE)</f>
        <v>562121.24639999995</v>
      </c>
      <c r="M38" s="1">
        <f>VLOOKUP($A38,'Receitas - Aerop. Estratégicos'!$A$3:$AA$17,27,FALSE)</f>
        <v>562121.24639999995</v>
      </c>
      <c r="N38" s="1">
        <f>VLOOKUP($A38,'Receitas - Aerop. Estratégicos'!$A$3:$AD$17,30,FALSE)</f>
        <v>562121.24639999995</v>
      </c>
      <c r="O38" s="1">
        <f>VLOOKUP($A38,'Receitas - Aerop. Estratégicos'!$A$3:$AG$17,33,FALSE)</f>
        <v>562121.24639999995</v>
      </c>
      <c r="P38" s="1">
        <f>VLOOKUP($A38,'Receitas - Aerop. Estratégicos'!$A$3:$AJ$17,36,FALSE)</f>
        <v>562121.24639999995</v>
      </c>
      <c r="Q38" s="1">
        <f>VLOOKUP($A38,'Receitas - Aerop. Estratégicos'!$A$3:$AM$17,39,FALSE)</f>
        <v>562121.24639999995</v>
      </c>
      <c r="R38" s="1">
        <f>VLOOKUP($A38,'Receitas - Aerop. Estratégicos'!$A$3:$AP$17,42,FALSE)</f>
        <v>562121.24639999995</v>
      </c>
      <c r="S38" s="1">
        <f>VLOOKUP($A38,'Receitas - Aerop. Estratégicos'!$A$3:$AS$17,45,FALSE)</f>
        <v>562121.24639999995</v>
      </c>
      <c r="T38" s="1">
        <f>VLOOKUP($A38,'Receitas - Aerop. Estratégicos'!$A$3:$AV$17,48,FALSE)</f>
        <v>562121.24639999995</v>
      </c>
      <c r="U38" s="1">
        <f>VLOOKUP($A38,'Receitas - Aerop. Estratégicos'!$A$3:$BB$17,51,FALSE)</f>
        <v>562121.24639999995</v>
      </c>
      <c r="V38" s="1">
        <f>VLOOKUP($A38,'Receitas - Aerop. Estratégicos'!$A$3:$BE$17,54,FALSE)</f>
        <v>562121.24639999995</v>
      </c>
      <c r="W38" s="1">
        <f>VLOOKUP($A38,'Receitas - Aerop. Estratégicos'!$A$3:$BH$17,57,FALSE)</f>
        <v>562121.24639999995</v>
      </c>
      <c r="X38" s="1">
        <f>VLOOKUP($A38,'Receitas - Aerop. Estratégicos'!$A$3:$BK$17,60,FALSE)</f>
        <v>562121.24639999995</v>
      </c>
      <c r="Y38" s="1">
        <f>VLOOKUP($A38,'Receitas - Aerop. Estratégicos'!$A$3:$BN$17,63,FALSE)</f>
        <v>562121.24639999995</v>
      </c>
      <c r="Z38" s="1">
        <f>VLOOKUP($A38,'Receitas - Aerop. Estratégicos'!$A$3:$BQ$17,66,FALSE)</f>
        <v>562121.24639999995</v>
      </c>
      <c r="AA38" s="1">
        <f>VLOOKUP($A38,'Receitas - Aerop. Estratégicos'!$A$3:$BT$17,69,FALSE)</f>
        <v>562121.24639999995</v>
      </c>
      <c r="AB38" s="1">
        <f>VLOOKUP($A38,'Receitas - Aerop. Estratégicos'!$A$3:$BW$17,72,FALSE)</f>
        <v>562121.24639999995</v>
      </c>
      <c r="AC38" s="1">
        <f>VLOOKUP($A38,'Receitas - Aerop. Estratégicos'!$A$3:$BZ$17,75,FALSE)</f>
        <v>562121.24639999995</v>
      </c>
      <c r="AD38" s="1">
        <f>VLOOKUP($A38,'Receitas - Aerop. Estratégicos'!$A$3:$CC$17,78,FALSE)</f>
        <v>562121.24639999995</v>
      </c>
      <c r="AE38" s="1">
        <f>VLOOKUP($A38,'Receitas - Aerop. Estratégicos'!$A$3:$CF$17,81,FALSE)</f>
        <v>562121.24639999995</v>
      </c>
      <c r="AF38" s="1">
        <f>VLOOKUP($A38,'Receitas - Aerop. Estratégicos'!$A$3:$CI$17,84,FALSE)</f>
        <v>562121.24639999995</v>
      </c>
      <c r="AG38" s="1">
        <f>VLOOKUP($A38,'Receitas - Aerop. Estratégicos'!$A$3:$CL$17,87,FALSE)</f>
        <v>562121.24639999995</v>
      </c>
      <c r="AH38" s="1">
        <f>VLOOKUP($A38,'Receitas - Aerop. Estratégicos'!$A$3:$CO$17,90,FALSE)</f>
        <v>562121.24639999995</v>
      </c>
      <c r="AI38" s="1">
        <f>VLOOKUP($A38,'Receitas - Aerop. Estratégicos'!$A$3:$CR$17,93,FALSE)</f>
        <v>562121.24639999995</v>
      </c>
      <c r="AJ38" s="1">
        <f>VLOOKUP($A38,'Receitas - Aerop. Estratégicos'!$A$3:$CU$17,96,FALSE)</f>
        <v>562121.24639999995</v>
      </c>
      <c r="AK38" s="1">
        <f>VLOOKUP($A38,'Receitas - Aerop. Estratégicos'!$A$3:$CX$17,99,FALSE)</f>
        <v>562121.24639999995</v>
      </c>
      <c r="AL38" s="1">
        <f t="shared" ref="AL38:AL52" si="5">SUM(H38:AK38)</f>
        <v>16863637.392000005</v>
      </c>
      <c r="AM38" t="str">
        <f>VLOOKUP(D38,'FLUXO DE CAIXA DESC.-BLOCOS PAN'!$D$3:$AO$52,38,FALSE)</f>
        <v>PA - 1 - AL</v>
      </c>
      <c r="AN38" s="1">
        <f t="shared" si="1"/>
        <v>8431818.6959999967</v>
      </c>
    </row>
    <row r="39" spans="1:98" x14ac:dyDescent="0.35">
      <c r="A39" t="s">
        <v>86</v>
      </c>
      <c r="B39" s="5" t="s">
        <v>268</v>
      </c>
      <c r="C39">
        <v>130390</v>
      </c>
      <c r="D39" t="s">
        <v>290</v>
      </c>
      <c r="E39" t="str">
        <f>VLOOKUP(A39,'CAPEX Manut. Estr_Naveg. Aérea'!$A$2:$B$38,2,FALSE)</f>
        <v>São Paulo de Olivença</v>
      </c>
      <c r="F39" t="s">
        <v>35</v>
      </c>
      <c r="G39" t="s">
        <v>33</v>
      </c>
      <c r="H39" s="1">
        <f>VLOOKUP($A39,'Receitas - Aerop. Estratégicos'!$A$3:$L$17,12,FALSE)</f>
        <v>624224.42599999998</v>
      </c>
      <c r="I39" s="1">
        <f>VLOOKUP($A39,'Receitas - Aerop. Estratégicos'!$A$3:$O$17,15,FALSE)</f>
        <v>624224.42599999998</v>
      </c>
      <c r="J39" s="1">
        <f>VLOOKUP($A39,'Receitas - Aerop. Estratégicos'!$A$3:$R$17,18,FALSE)</f>
        <v>624224.42599999998</v>
      </c>
      <c r="K39" s="1">
        <f>VLOOKUP($A39,'Receitas - Aerop. Estratégicos'!$A$3:$U$17,21,FALSE)</f>
        <v>624224.42599999998</v>
      </c>
      <c r="L39" s="1">
        <f>VLOOKUP($A39,'Receitas - Aerop. Estratégicos'!$A$3:$X$17,24,FALSE)</f>
        <v>624224.42599999998</v>
      </c>
      <c r="M39" s="1">
        <f>VLOOKUP($A39,'Receitas - Aerop. Estratégicos'!$A$3:$AA$17,27,FALSE)</f>
        <v>624224.42599999998</v>
      </c>
      <c r="N39" s="1">
        <f>VLOOKUP($A39,'Receitas - Aerop. Estratégicos'!$A$3:$AD$17,30,FALSE)</f>
        <v>624224.42599999998</v>
      </c>
      <c r="O39" s="1">
        <f>VLOOKUP($A39,'Receitas - Aerop. Estratégicos'!$A$3:$AG$17,33,FALSE)</f>
        <v>624224.42599999998</v>
      </c>
      <c r="P39" s="1">
        <f>VLOOKUP($A39,'Receitas - Aerop. Estratégicos'!$A$3:$AJ$17,36,FALSE)</f>
        <v>624224.42599999998</v>
      </c>
      <c r="Q39" s="1">
        <f>VLOOKUP($A39,'Receitas - Aerop. Estratégicos'!$A$3:$AM$17,39,FALSE)</f>
        <v>624224.42599999998</v>
      </c>
      <c r="R39" s="1">
        <f>VLOOKUP($A39,'Receitas - Aerop. Estratégicos'!$A$3:$AP$17,42,FALSE)</f>
        <v>624224.42599999998</v>
      </c>
      <c r="S39" s="1">
        <f>VLOOKUP($A39,'Receitas - Aerop. Estratégicos'!$A$3:$AS$17,45,FALSE)</f>
        <v>624224.42599999998</v>
      </c>
      <c r="T39" s="1">
        <f>VLOOKUP($A39,'Receitas - Aerop. Estratégicos'!$A$3:$AV$17,48,FALSE)</f>
        <v>624224.42599999998</v>
      </c>
      <c r="U39" s="1">
        <f>VLOOKUP($A39,'Receitas - Aerop. Estratégicos'!$A$3:$BB$17,51,FALSE)</f>
        <v>624224.42599999998</v>
      </c>
      <c r="V39" s="1">
        <f>VLOOKUP($A39,'Receitas - Aerop. Estratégicos'!$A$3:$BE$17,54,FALSE)</f>
        <v>624224.42599999998</v>
      </c>
      <c r="W39" s="1">
        <f>VLOOKUP($A39,'Receitas - Aerop. Estratégicos'!$A$3:$BH$17,57,FALSE)</f>
        <v>624224.42599999998</v>
      </c>
      <c r="X39" s="1">
        <f>VLOOKUP($A39,'Receitas - Aerop. Estratégicos'!$A$3:$BK$17,60,FALSE)</f>
        <v>624224.42599999998</v>
      </c>
      <c r="Y39" s="1">
        <f>VLOOKUP($A39,'Receitas - Aerop. Estratégicos'!$A$3:$BN$17,63,FALSE)</f>
        <v>624224.42599999998</v>
      </c>
      <c r="Z39" s="1">
        <f>VLOOKUP($A39,'Receitas - Aerop. Estratégicos'!$A$3:$BQ$17,66,FALSE)</f>
        <v>624224.42599999998</v>
      </c>
      <c r="AA39" s="1">
        <f>VLOOKUP($A39,'Receitas - Aerop. Estratégicos'!$A$3:$BT$17,69,FALSE)</f>
        <v>624224.42599999998</v>
      </c>
      <c r="AB39" s="1">
        <f>VLOOKUP($A39,'Receitas - Aerop. Estratégicos'!$A$3:$BW$17,72,FALSE)</f>
        <v>624224.42599999998</v>
      </c>
      <c r="AC39" s="1">
        <f>VLOOKUP($A39,'Receitas - Aerop. Estratégicos'!$A$3:$BZ$17,75,FALSE)</f>
        <v>624224.42599999998</v>
      </c>
      <c r="AD39" s="1">
        <f>VLOOKUP($A39,'Receitas - Aerop. Estratégicos'!$A$3:$CC$17,78,FALSE)</f>
        <v>624224.42599999998</v>
      </c>
      <c r="AE39" s="1">
        <f>VLOOKUP($A39,'Receitas - Aerop. Estratégicos'!$A$3:$CF$17,81,FALSE)</f>
        <v>624224.42599999998</v>
      </c>
      <c r="AF39" s="1">
        <f>VLOOKUP($A39,'Receitas - Aerop. Estratégicos'!$A$3:$CI$17,84,FALSE)</f>
        <v>624224.42599999998</v>
      </c>
      <c r="AG39" s="1">
        <f>VLOOKUP($A39,'Receitas - Aerop. Estratégicos'!$A$3:$CL$17,87,FALSE)</f>
        <v>624224.42599999998</v>
      </c>
      <c r="AH39" s="1">
        <f>VLOOKUP($A39,'Receitas - Aerop. Estratégicos'!$A$3:$CO$17,90,FALSE)</f>
        <v>624224.42599999998</v>
      </c>
      <c r="AI39" s="1">
        <f>VLOOKUP($A39,'Receitas - Aerop. Estratégicos'!$A$3:$CR$17,93,FALSE)</f>
        <v>624224.42599999998</v>
      </c>
      <c r="AJ39" s="1">
        <f>VLOOKUP($A39,'Receitas - Aerop. Estratégicos'!$A$3:$CU$17,96,FALSE)</f>
        <v>624224.42599999998</v>
      </c>
      <c r="AK39" s="1">
        <f>VLOOKUP($A39,'Receitas - Aerop. Estratégicos'!$A$3:$CX$17,99,FALSE)</f>
        <v>624224.42599999998</v>
      </c>
      <c r="AL39" s="1">
        <f t="shared" si="5"/>
        <v>18726732.779999986</v>
      </c>
      <c r="AM39" t="str">
        <f>VLOOKUP(D39,'FLUXO DE CAIXA DESC.-BLOCOS PAN'!$D$3:$AO$52,38,FALSE)</f>
        <v>AC + AM - 1 - AL</v>
      </c>
      <c r="AN39" s="1">
        <f t="shared" si="1"/>
        <v>9363366.3900000006</v>
      </c>
    </row>
    <row r="40" spans="1:98" x14ac:dyDescent="0.35">
      <c r="A40" t="s">
        <v>161</v>
      </c>
      <c r="B40" s="5" t="s">
        <v>269</v>
      </c>
      <c r="C40">
        <v>510677</v>
      </c>
      <c r="D40" t="s">
        <v>301</v>
      </c>
      <c r="E40" t="str">
        <f>VLOOKUP(A40,'CAPEX Manut. Estr_Naveg. Aérea'!$A$2:$B$38,2,FALSE)</f>
        <v>Porto Alegre do Norte</v>
      </c>
      <c r="F40" t="s">
        <v>37</v>
      </c>
      <c r="G40" t="s">
        <v>33</v>
      </c>
      <c r="H40" s="1">
        <f>VLOOKUP($A40,'Receitas - Aerop. Estratégicos'!$A$3:$L$17,12,FALSE)</f>
        <v>544793.52280000004</v>
      </c>
      <c r="I40" s="1">
        <f>VLOOKUP($A40,'Receitas - Aerop. Estratégicos'!$A$3:$O$17,15,FALSE)</f>
        <v>544793.52280000004</v>
      </c>
      <c r="J40" s="1">
        <f>VLOOKUP($A40,'Receitas - Aerop. Estratégicos'!$A$3:$R$17,18,FALSE)</f>
        <v>544793.52280000004</v>
      </c>
      <c r="K40" s="1">
        <f>VLOOKUP($A40,'Receitas - Aerop. Estratégicos'!$A$3:$U$17,21,FALSE)</f>
        <v>544793.52280000004</v>
      </c>
      <c r="L40" s="1">
        <f>VLOOKUP($A40,'Receitas - Aerop. Estratégicos'!$A$3:$X$17,24,FALSE)</f>
        <v>544793.52280000004</v>
      </c>
      <c r="M40" s="1">
        <f>VLOOKUP($A40,'Receitas - Aerop. Estratégicos'!$A$3:$AA$17,27,FALSE)</f>
        <v>544793.52280000004</v>
      </c>
      <c r="N40" s="1">
        <f>VLOOKUP($A40,'Receitas - Aerop. Estratégicos'!$A$3:$AD$17,30,FALSE)</f>
        <v>544793.52280000004</v>
      </c>
      <c r="O40" s="1">
        <f>VLOOKUP($A40,'Receitas - Aerop. Estratégicos'!$A$3:$AG$17,33,FALSE)</f>
        <v>544793.52280000004</v>
      </c>
      <c r="P40" s="1">
        <f>VLOOKUP($A40,'Receitas - Aerop. Estratégicos'!$A$3:$AJ$17,36,FALSE)</f>
        <v>544793.52280000004</v>
      </c>
      <c r="Q40" s="1">
        <f>VLOOKUP($A40,'Receitas - Aerop. Estratégicos'!$A$3:$AM$17,39,FALSE)</f>
        <v>544793.52280000004</v>
      </c>
      <c r="R40" s="1">
        <f>VLOOKUP($A40,'Receitas - Aerop. Estratégicos'!$A$3:$AP$17,42,FALSE)</f>
        <v>544793.52280000004</v>
      </c>
      <c r="S40" s="1">
        <f>VLOOKUP($A40,'Receitas - Aerop. Estratégicos'!$A$3:$AS$17,45,FALSE)</f>
        <v>544793.52280000004</v>
      </c>
      <c r="T40" s="1">
        <f>VLOOKUP($A40,'Receitas - Aerop. Estratégicos'!$A$3:$AV$17,48,FALSE)</f>
        <v>544793.52280000004</v>
      </c>
      <c r="U40" s="1">
        <f>VLOOKUP($A40,'Receitas - Aerop. Estratégicos'!$A$3:$BB$17,51,FALSE)</f>
        <v>544793.52280000004</v>
      </c>
      <c r="V40" s="1">
        <f>VLOOKUP($A40,'Receitas - Aerop. Estratégicos'!$A$3:$BE$17,54,FALSE)</f>
        <v>544793.52280000004</v>
      </c>
      <c r="W40" s="1">
        <f>VLOOKUP($A40,'Receitas - Aerop. Estratégicos'!$A$3:$BH$17,57,FALSE)</f>
        <v>544793.52280000004</v>
      </c>
      <c r="X40" s="1">
        <f>VLOOKUP($A40,'Receitas - Aerop. Estratégicos'!$A$3:$BK$17,60,FALSE)</f>
        <v>544793.52280000004</v>
      </c>
      <c r="Y40" s="1">
        <f>VLOOKUP($A40,'Receitas - Aerop. Estratégicos'!$A$3:$BN$17,63,FALSE)</f>
        <v>544793.52280000004</v>
      </c>
      <c r="Z40" s="1">
        <f>VLOOKUP($A40,'Receitas - Aerop. Estratégicos'!$A$3:$BQ$17,66,FALSE)</f>
        <v>544793.52280000004</v>
      </c>
      <c r="AA40" s="1">
        <f>VLOOKUP($A40,'Receitas - Aerop. Estratégicos'!$A$3:$BT$17,69,FALSE)</f>
        <v>544793.52280000004</v>
      </c>
      <c r="AB40" s="1">
        <f>VLOOKUP($A40,'Receitas - Aerop. Estratégicos'!$A$3:$BW$17,72,FALSE)</f>
        <v>544793.52280000004</v>
      </c>
      <c r="AC40" s="1">
        <f>VLOOKUP($A40,'Receitas - Aerop. Estratégicos'!$A$3:$BZ$17,75,FALSE)</f>
        <v>544793.52280000004</v>
      </c>
      <c r="AD40" s="1">
        <f>VLOOKUP($A40,'Receitas - Aerop. Estratégicos'!$A$3:$CC$17,78,FALSE)</f>
        <v>544793.52280000004</v>
      </c>
      <c r="AE40" s="1">
        <f>VLOOKUP($A40,'Receitas - Aerop. Estratégicos'!$A$3:$CF$17,81,FALSE)</f>
        <v>544793.52280000004</v>
      </c>
      <c r="AF40" s="1">
        <f>VLOOKUP($A40,'Receitas - Aerop. Estratégicos'!$A$3:$CI$17,84,FALSE)</f>
        <v>544793.52280000004</v>
      </c>
      <c r="AG40" s="1">
        <f>VLOOKUP($A40,'Receitas - Aerop. Estratégicos'!$A$3:$CL$17,87,FALSE)</f>
        <v>544793.52280000004</v>
      </c>
      <c r="AH40" s="1">
        <f>VLOOKUP($A40,'Receitas - Aerop. Estratégicos'!$A$3:$CO$17,90,FALSE)</f>
        <v>544793.52280000004</v>
      </c>
      <c r="AI40" s="1">
        <f>VLOOKUP($A40,'Receitas - Aerop. Estratégicos'!$A$3:$CR$17,93,FALSE)</f>
        <v>544793.52280000004</v>
      </c>
      <c r="AJ40" s="1">
        <f>VLOOKUP($A40,'Receitas - Aerop. Estratégicos'!$A$3:$CU$17,96,FALSE)</f>
        <v>544793.52280000004</v>
      </c>
      <c r="AK40" s="1">
        <f>VLOOKUP($A40,'Receitas - Aerop. Estratégicos'!$A$3:$CX$17,99,FALSE)</f>
        <v>544793.52280000004</v>
      </c>
      <c r="AL40" s="1">
        <f t="shared" si="5"/>
        <v>16343805.684000008</v>
      </c>
      <c r="AM40" t="str">
        <f>VLOOKUP(D40,'FLUXO DE CAIXA DESC.-BLOCOS PAN'!$D$3:$AO$52,38,FALSE)</f>
        <v>MT - 2 - AL</v>
      </c>
      <c r="AN40" s="1">
        <f t="shared" si="1"/>
        <v>8171902.842000003</v>
      </c>
    </row>
    <row r="41" spans="1:98" x14ac:dyDescent="0.35">
      <c r="A41" t="s">
        <v>114</v>
      </c>
      <c r="B41" s="5" t="s">
        <v>278</v>
      </c>
      <c r="C41">
        <v>120035</v>
      </c>
      <c r="D41" t="s">
        <v>294</v>
      </c>
      <c r="E41" t="str">
        <f>VLOOKUP(A41,'CAPEX Manut. Estr_Naveg. Aérea'!$A$2:$B$38,2,FALSE)</f>
        <v>Marechal Thaumaturgo</v>
      </c>
      <c r="F41" t="s">
        <v>41</v>
      </c>
      <c r="G41" t="s">
        <v>33</v>
      </c>
      <c r="H41" s="1">
        <f>VLOOKUP($A41,'Receitas - Aerop. Estratégicos'!$A$3:$L$17,12,FALSE)</f>
        <v>566377.58149999997</v>
      </c>
      <c r="I41" s="1">
        <f>VLOOKUP($A41,'Receitas - Aerop. Estratégicos'!$A$3:$O$17,15,FALSE)</f>
        <v>566377.58149999997</v>
      </c>
      <c r="J41" s="1">
        <f>VLOOKUP($A41,'Receitas - Aerop. Estratégicos'!$A$3:$R$17,18,FALSE)</f>
        <v>566377.58149999997</v>
      </c>
      <c r="K41" s="1">
        <f>VLOOKUP($A41,'Receitas - Aerop. Estratégicos'!$A$3:$U$17,21,FALSE)</f>
        <v>566377.58149999997</v>
      </c>
      <c r="L41" s="1">
        <f>VLOOKUP($A41,'Receitas - Aerop. Estratégicos'!$A$3:$X$17,24,FALSE)</f>
        <v>566377.58149999997</v>
      </c>
      <c r="M41" s="1">
        <f>VLOOKUP($A41,'Receitas - Aerop. Estratégicos'!$A$3:$AA$17,27,FALSE)</f>
        <v>566377.58149999997</v>
      </c>
      <c r="N41" s="1">
        <f>VLOOKUP($A41,'Receitas - Aerop. Estratégicos'!$A$3:$AD$17,30,FALSE)</f>
        <v>566377.58149999997</v>
      </c>
      <c r="O41" s="1">
        <f>VLOOKUP($A41,'Receitas - Aerop. Estratégicos'!$A$3:$AG$17,33,FALSE)</f>
        <v>566377.58149999997</v>
      </c>
      <c r="P41" s="1">
        <f>VLOOKUP($A41,'Receitas - Aerop. Estratégicos'!$A$3:$AJ$17,36,FALSE)</f>
        <v>566377.58149999997</v>
      </c>
      <c r="Q41" s="1">
        <f>VLOOKUP($A41,'Receitas - Aerop. Estratégicos'!$A$3:$AM$17,39,FALSE)</f>
        <v>566377.58149999997</v>
      </c>
      <c r="R41" s="1">
        <f>VLOOKUP($A41,'Receitas - Aerop. Estratégicos'!$A$3:$AP$17,42,FALSE)</f>
        <v>566377.58149999997</v>
      </c>
      <c r="S41" s="1">
        <f>VLOOKUP($A41,'Receitas - Aerop. Estratégicos'!$A$3:$AS$17,45,FALSE)</f>
        <v>566377.58149999997</v>
      </c>
      <c r="T41" s="1">
        <f>VLOOKUP($A41,'Receitas - Aerop. Estratégicos'!$A$3:$AV$17,48,FALSE)</f>
        <v>566377.58149999997</v>
      </c>
      <c r="U41" s="1">
        <f>VLOOKUP($A41,'Receitas - Aerop. Estratégicos'!$A$3:$BB$17,51,FALSE)</f>
        <v>566377.58149999997</v>
      </c>
      <c r="V41" s="1">
        <f>VLOOKUP($A41,'Receitas - Aerop. Estratégicos'!$A$3:$BE$17,54,FALSE)</f>
        <v>566377.58149999997</v>
      </c>
      <c r="W41" s="1">
        <f>VLOOKUP($A41,'Receitas - Aerop. Estratégicos'!$A$3:$BH$17,57,FALSE)</f>
        <v>566377.58149999997</v>
      </c>
      <c r="X41" s="1">
        <f>VLOOKUP($A41,'Receitas - Aerop. Estratégicos'!$A$3:$BK$17,60,FALSE)</f>
        <v>566377.58149999997</v>
      </c>
      <c r="Y41" s="1">
        <f>VLOOKUP($A41,'Receitas - Aerop. Estratégicos'!$A$3:$BN$17,63,FALSE)</f>
        <v>566377.58149999997</v>
      </c>
      <c r="Z41" s="1">
        <f>VLOOKUP($A41,'Receitas - Aerop. Estratégicos'!$A$3:$BQ$17,66,FALSE)</f>
        <v>566377.58149999997</v>
      </c>
      <c r="AA41" s="1">
        <f>VLOOKUP($A41,'Receitas - Aerop. Estratégicos'!$A$3:$BT$17,69,FALSE)</f>
        <v>566377.58149999997</v>
      </c>
      <c r="AB41" s="1">
        <f>VLOOKUP($A41,'Receitas - Aerop. Estratégicos'!$A$3:$BW$17,72,FALSE)</f>
        <v>566377.58149999997</v>
      </c>
      <c r="AC41" s="1">
        <f>VLOOKUP($A41,'Receitas - Aerop. Estratégicos'!$A$3:$BZ$17,75,FALSE)</f>
        <v>566377.58149999997</v>
      </c>
      <c r="AD41" s="1">
        <f>VLOOKUP($A41,'Receitas - Aerop. Estratégicos'!$A$3:$CC$17,78,FALSE)</f>
        <v>566377.58149999997</v>
      </c>
      <c r="AE41" s="1">
        <f>VLOOKUP($A41,'Receitas - Aerop. Estratégicos'!$A$3:$CF$17,81,FALSE)</f>
        <v>566377.58149999997</v>
      </c>
      <c r="AF41" s="1">
        <f>VLOOKUP($A41,'Receitas - Aerop. Estratégicos'!$A$3:$CI$17,84,FALSE)</f>
        <v>566377.58149999997</v>
      </c>
      <c r="AG41" s="1">
        <f>VLOOKUP($A41,'Receitas - Aerop. Estratégicos'!$A$3:$CL$17,87,FALSE)</f>
        <v>566377.58149999997</v>
      </c>
      <c r="AH41" s="1">
        <f>VLOOKUP($A41,'Receitas - Aerop. Estratégicos'!$A$3:$CO$17,90,FALSE)</f>
        <v>566377.58149999997</v>
      </c>
      <c r="AI41" s="1">
        <f>VLOOKUP($A41,'Receitas - Aerop. Estratégicos'!$A$3:$CR$17,93,FALSE)</f>
        <v>566377.58149999997</v>
      </c>
      <c r="AJ41" s="1">
        <f>VLOOKUP($A41,'Receitas - Aerop. Estratégicos'!$A$3:$CU$17,96,FALSE)</f>
        <v>566377.58149999997</v>
      </c>
      <c r="AK41" s="1">
        <f>VLOOKUP($A41,'Receitas - Aerop. Estratégicos'!$A$3:$CX$17,99,FALSE)</f>
        <v>566377.58149999997</v>
      </c>
      <c r="AL41" s="1">
        <f t="shared" si="5"/>
        <v>16991327.444999993</v>
      </c>
      <c r="AM41" t="str">
        <f>VLOOKUP(D41,'FLUXO DE CAIXA DESC.-BLOCOS PAN'!$D$3:$AO$52,38,FALSE)</f>
        <v>AC + AM - 1 - AL</v>
      </c>
      <c r="AN41" s="1">
        <f t="shared" si="1"/>
        <v>8495663.722500002</v>
      </c>
    </row>
    <row r="42" spans="1:98" x14ac:dyDescent="0.35">
      <c r="A42" t="s">
        <v>87</v>
      </c>
      <c r="B42" s="5" t="s">
        <v>279</v>
      </c>
      <c r="C42">
        <v>150503</v>
      </c>
      <c r="D42" t="s">
        <v>291</v>
      </c>
      <c r="E42" t="str">
        <f>VLOOKUP(A42,'CAPEX Manut. Estr_Naveg. Aérea'!$A$2:$B$38,2,FALSE)</f>
        <v>Novo Progresso</v>
      </c>
      <c r="F42" t="s">
        <v>29</v>
      </c>
      <c r="G42" t="s">
        <v>33</v>
      </c>
      <c r="H42" s="1">
        <f>VLOOKUP($A42,'Receitas - Aerop. Estratégicos'!$A$3:$L$17,12,FALSE)</f>
        <v>543681.179</v>
      </c>
      <c r="I42" s="1">
        <f>VLOOKUP($A42,'Receitas - Aerop. Estratégicos'!$A$3:$O$17,15,FALSE)</f>
        <v>543681.179</v>
      </c>
      <c r="J42" s="1">
        <f>VLOOKUP($A42,'Receitas - Aerop. Estratégicos'!$A$3:$R$17,18,FALSE)</f>
        <v>543681.179</v>
      </c>
      <c r="K42" s="1">
        <f>VLOOKUP($A42,'Receitas - Aerop. Estratégicos'!$A$3:$U$17,21,FALSE)</f>
        <v>543681.179</v>
      </c>
      <c r="L42" s="1">
        <f>VLOOKUP($A42,'Receitas - Aerop. Estratégicos'!$A$3:$X$17,24,FALSE)</f>
        <v>543681.179</v>
      </c>
      <c r="M42" s="1">
        <f>VLOOKUP($A42,'Receitas - Aerop. Estratégicos'!$A$3:$AA$17,27,FALSE)</f>
        <v>543681.179</v>
      </c>
      <c r="N42" s="1">
        <f>VLOOKUP($A42,'Receitas - Aerop. Estratégicos'!$A$3:$AD$17,30,FALSE)</f>
        <v>543681.179</v>
      </c>
      <c r="O42" s="1">
        <f>VLOOKUP($A42,'Receitas - Aerop. Estratégicos'!$A$3:$AG$17,33,FALSE)</f>
        <v>543681.179</v>
      </c>
      <c r="P42" s="1">
        <f>VLOOKUP($A42,'Receitas - Aerop. Estratégicos'!$A$3:$AJ$17,36,FALSE)</f>
        <v>543681.179</v>
      </c>
      <c r="Q42" s="1">
        <f>VLOOKUP($A42,'Receitas - Aerop. Estratégicos'!$A$3:$AM$17,39,FALSE)</f>
        <v>543681.179</v>
      </c>
      <c r="R42" s="1">
        <f>VLOOKUP($A42,'Receitas - Aerop. Estratégicos'!$A$3:$AP$17,42,FALSE)</f>
        <v>543681.179</v>
      </c>
      <c r="S42" s="1">
        <f>VLOOKUP($A42,'Receitas - Aerop. Estratégicos'!$A$3:$AS$17,45,FALSE)</f>
        <v>543681.179</v>
      </c>
      <c r="T42" s="1">
        <f>VLOOKUP($A42,'Receitas - Aerop. Estratégicos'!$A$3:$AV$17,48,FALSE)</f>
        <v>543681.179</v>
      </c>
      <c r="U42" s="1">
        <f>VLOOKUP($A42,'Receitas - Aerop. Estratégicos'!$A$3:$BB$17,51,FALSE)</f>
        <v>543681.179</v>
      </c>
      <c r="V42" s="1">
        <f>VLOOKUP($A42,'Receitas - Aerop. Estratégicos'!$A$3:$BE$17,54,FALSE)</f>
        <v>543681.179</v>
      </c>
      <c r="W42" s="1">
        <f>VLOOKUP($A42,'Receitas - Aerop. Estratégicos'!$A$3:$BH$17,57,FALSE)</f>
        <v>543681.179</v>
      </c>
      <c r="X42" s="1">
        <f>VLOOKUP($A42,'Receitas - Aerop. Estratégicos'!$A$3:$BK$17,60,FALSE)</f>
        <v>543681.179</v>
      </c>
      <c r="Y42" s="1">
        <f>VLOOKUP($A42,'Receitas - Aerop. Estratégicos'!$A$3:$BN$17,63,FALSE)</f>
        <v>543681.179</v>
      </c>
      <c r="Z42" s="1">
        <f>VLOOKUP($A42,'Receitas - Aerop. Estratégicos'!$A$3:$BQ$17,66,FALSE)</f>
        <v>543681.179</v>
      </c>
      <c r="AA42" s="1">
        <f>VLOOKUP($A42,'Receitas - Aerop. Estratégicos'!$A$3:$BT$17,69,FALSE)</f>
        <v>543681.179</v>
      </c>
      <c r="AB42" s="1">
        <f>VLOOKUP($A42,'Receitas - Aerop. Estratégicos'!$A$3:$BW$17,72,FALSE)</f>
        <v>543681.179</v>
      </c>
      <c r="AC42" s="1">
        <f>VLOOKUP($A42,'Receitas - Aerop. Estratégicos'!$A$3:$BZ$17,75,FALSE)</f>
        <v>543681.179</v>
      </c>
      <c r="AD42" s="1">
        <f>VLOOKUP($A42,'Receitas - Aerop. Estratégicos'!$A$3:$CC$17,78,FALSE)</f>
        <v>543681.179</v>
      </c>
      <c r="AE42" s="1">
        <f>VLOOKUP($A42,'Receitas - Aerop. Estratégicos'!$A$3:$CF$17,81,FALSE)</f>
        <v>543681.179</v>
      </c>
      <c r="AF42" s="1">
        <f>VLOOKUP($A42,'Receitas - Aerop. Estratégicos'!$A$3:$CI$17,84,FALSE)</f>
        <v>543681.179</v>
      </c>
      <c r="AG42" s="1">
        <f>VLOOKUP($A42,'Receitas - Aerop. Estratégicos'!$A$3:$CL$17,87,FALSE)</f>
        <v>543681.179</v>
      </c>
      <c r="AH42" s="1">
        <f>VLOOKUP($A42,'Receitas - Aerop. Estratégicos'!$A$3:$CO$17,90,FALSE)</f>
        <v>543681.179</v>
      </c>
      <c r="AI42" s="1">
        <f>VLOOKUP($A42,'Receitas - Aerop. Estratégicos'!$A$3:$CR$17,93,FALSE)</f>
        <v>543681.179</v>
      </c>
      <c r="AJ42" s="1">
        <f>VLOOKUP($A42,'Receitas - Aerop. Estratégicos'!$A$3:$CU$17,96,FALSE)</f>
        <v>543681.179</v>
      </c>
      <c r="AK42" s="1">
        <f>VLOOKUP($A42,'Receitas - Aerop. Estratégicos'!$A$3:$CX$17,99,FALSE)</f>
        <v>543681.179</v>
      </c>
      <c r="AL42" s="1">
        <f t="shared" si="5"/>
        <v>16310435.36999999</v>
      </c>
      <c r="AM42" t="str">
        <f>VLOOKUP(D42,'FLUXO DE CAIXA DESC.-BLOCOS PAN'!$D$3:$AO$52,38,FALSE)</f>
        <v>PA - 1 - AL</v>
      </c>
      <c r="AN42" s="1">
        <f t="shared" si="1"/>
        <v>8155217.6849999968</v>
      </c>
    </row>
    <row r="43" spans="1:98" s="49" customFormat="1" x14ac:dyDescent="0.35">
      <c r="A43" s="49" t="s">
        <v>369</v>
      </c>
      <c r="B43" s="76" t="s">
        <v>370</v>
      </c>
      <c r="C43" s="49">
        <v>260110</v>
      </c>
      <c r="D43" s="49" t="s">
        <v>371</v>
      </c>
      <c r="E43" s="49" t="s">
        <v>370</v>
      </c>
      <c r="F43" s="49" t="s">
        <v>36</v>
      </c>
      <c r="G43" s="49" t="s">
        <v>33</v>
      </c>
      <c r="H43" s="72">
        <f>VLOOKUP($A43,'Receitas - Aerop. Estratégicos'!$A$3:$L$17,12,FALSE)</f>
        <v>682303.32310000004</v>
      </c>
      <c r="I43" s="72">
        <f>VLOOKUP($A43,'Receitas - Aerop. Estratégicos'!$A$3:$O$17,15,FALSE)</f>
        <v>682303.32310000004</v>
      </c>
      <c r="J43" s="72">
        <f>VLOOKUP($A43,'Receitas - Aerop. Estratégicos'!$A$3:$R$17,18,FALSE)</f>
        <v>682303.32310000004</v>
      </c>
      <c r="K43" s="72">
        <f>VLOOKUP($A43,'Receitas - Aerop. Estratégicos'!$A$3:$U$17,21,FALSE)</f>
        <v>682303.32310000004</v>
      </c>
      <c r="L43" s="72">
        <f>VLOOKUP($A43,'Receitas - Aerop. Estratégicos'!$A$3:$X$17,24,FALSE)</f>
        <v>682303.32310000004</v>
      </c>
      <c r="M43" s="72">
        <f>VLOOKUP($A43,'Receitas - Aerop. Estratégicos'!$A$3:$AA$17,27,FALSE)</f>
        <v>682303.32310000004</v>
      </c>
      <c r="N43" s="72">
        <f>VLOOKUP($A43,'Receitas - Aerop. Estratégicos'!$A$3:$AD$17,30,FALSE)</f>
        <v>682303.32310000004</v>
      </c>
      <c r="O43" s="72">
        <f>VLOOKUP($A43,'Receitas - Aerop. Estratégicos'!$A$3:$AG$17,33,FALSE)</f>
        <v>682303.32310000004</v>
      </c>
      <c r="P43" s="72">
        <f>VLOOKUP($A43,'Receitas - Aerop. Estratégicos'!$A$3:$AJ$17,36,FALSE)</f>
        <v>682303.32310000004</v>
      </c>
      <c r="Q43" s="72">
        <f>VLOOKUP($A43,'Receitas - Aerop. Estratégicos'!$A$3:$AM$17,39,FALSE)</f>
        <v>682303.32310000004</v>
      </c>
      <c r="R43" s="72">
        <f>VLOOKUP($A43,'Receitas - Aerop. Estratégicos'!$A$3:$AP$17,42,FALSE)</f>
        <v>682303.32310000004</v>
      </c>
      <c r="S43" s="72">
        <f>VLOOKUP($A43,'Receitas - Aerop. Estratégicos'!$A$3:$AS$17,45,FALSE)</f>
        <v>682303.32310000004</v>
      </c>
      <c r="T43" s="72">
        <f>VLOOKUP($A43,'Receitas - Aerop. Estratégicos'!$A$3:$AV$17,48,FALSE)</f>
        <v>682303.32310000004</v>
      </c>
      <c r="U43" s="72">
        <f>VLOOKUP($A43,'Receitas - Aerop. Estratégicos'!$A$3:$BB$17,51,FALSE)</f>
        <v>682303.32310000004</v>
      </c>
      <c r="V43" s="72">
        <f>VLOOKUP($A43,'Receitas - Aerop. Estratégicos'!$A$3:$BE$17,54,FALSE)</f>
        <v>682303.32310000004</v>
      </c>
      <c r="W43" s="72">
        <f>VLOOKUP($A43,'Receitas - Aerop. Estratégicos'!$A$3:$BH$17,57,FALSE)</f>
        <v>682303.32310000004</v>
      </c>
      <c r="X43" s="72">
        <f>VLOOKUP($A43,'Receitas - Aerop. Estratégicos'!$A$3:$BK$17,60,FALSE)</f>
        <v>682303.32310000004</v>
      </c>
      <c r="Y43" s="72">
        <f>VLOOKUP($A43,'Receitas - Aerop. Estratégicos'!$A$3:$BN$17,63,FALSE)</f>
        <v>682303.32310000004</v>
      </c>
      <c r="Z43" s="72">
        <f>VLOOKUP($A43,'Receitas - Aerop. Estratégicos'!$A$3:$BQ$17,66,FALSE)</f>
        <v>682303.32310000004</v>
      </c>
      <c r="AA43" s="72">
        <f>VLOOKUP($A43,'Receitas - Aerop. Estratégicos'!$A$3:$BT$17,69,FALSE)</f>
        <v>682303.32310000004</v>
      </c>
      <c r="AB43" s="72">
        <f>VLOOKUP($A43,'Receitas - Aerop. Estratégicos'!$A$3:$BW$17,72,FALSE)</f>
        <v>682303.32310000004</v>
      </c>
      <c r="AC43" s="72">
        <f>VLOOKUP($A43,'Receitas - Aerop. Estratégicos'!$A$3:$BZ$17,75,FALSE)</f>
        <v>682303.32310000004</v>
      </c>
      <c r="AD43" s="72">
        <f>VLOOKUP($A43,'Receitas - Aerop. Estratégicos'!$A$3:$CC$17,78,FALSE)</f>
        <v>682303.32310000004</v>
      </c>
      <c r="AE43" s="72">
        <f>VLOOKUP($A43,'Receitas - Aerop. Estratégicos'!$A$3:$CF$17,81,FALSE)</f>
        <v>682303.32310000004</v>
      </c>
      <c r="AF43" s="72">
        <f>VLOOKUP($A43,'Receitas - Aerop. Estratégicos'!$A$3:$CI$17,84,FALSE)</f>
        <v>682303.32310000004</v>
      </c>
      <c r="AG43" s="72">
        <f>VLOOKUP($A43,'Receitas - Aerop. Estratégicos'!$A$3:$CL$17,87,FALSE)</f>
        <v>682303.32310000004</v>
      </c>
      <c r="AH43" s="72">
        <f>VLOOKUP($A43,'Receitas - Aerop. Estratégicos'!$A$3:$CO$17,90,FALSE)</f>
        <v>682303.32310000004</v>
      </c>
      <c r="AI43" s="72">
        <f>VLOOKUP($A43,'Receitas - Aerop. Estratégicos'!$A$3:$CR$17,93,FALSE)</f>
        <v>682303.32310000004</v>
      </c>
      <c r="AJ43" s="72">
        <f>VLOOKUP($A43,'Receitas - Aerop. Estratégicos'!$A$3:$CU$17,96,FALSE)</f>
        <v>682303.32310000004</v>
      </c>
      <c r="AK43" s="72">
        <f>VLOOKUP($A43,'Receitas - Aerop. Estratégicos'!$A$3:$CX$17,99,FALSE)</f>
        <v>682303.32310000004</v>
      </c>
      <c r="AL43" s="72">
        <f t="shared" ref="AL43" si="6">SUM(H43:AK43)</f>
        <v>20469099.693000007</v>
      </c>
      <c r="AM43" s="49" t="str">
        <f>VLOOKUP(D43,'FLUXO DE CAIXA DESC.-BLOCOS PAN'!$D$3:$AO$52,38,FALSE)</f>
        <v>Bloco Nordeste</v>
      </c>
      <c r="AN43" s="72">
        <f t="shared" ref="AN43" si="7">SUM(H43:V43)</f>
        <v>10234549.8465</v>
      </c>
    </row>
    <row r="44" spans="1:98" s="49" customFormat="1" x14ac:dyDescent="0.35">
      <c r="A44" s="49" t="s">
        <v>88</v>
      </c>
      <c r="B44" s="76" t="s">
        <v>270</v>
      </c>
      <c r="C44" s="49">
        <v>210120</v>
      </c>
      <c r="D44" s="49" t="s">
        <v>292</v>
      </c>
      <c r="E44" s="49" t="str">
        <f>VLOOKUP(A44,'CAPEX Manut. Estr_Naveg. Aérea'!$A$2:$B$38,2,FALSE)</f>
        <v>Bacabal</v>
      </c>
      <c r="F44" s="49" t="s">
        <v>31</v>
      </c>
      <c r="G44" s="49" t="s">
        <v>33</v>
      </c>
      <c r="H44" s="72">
        <f>VLOOKUP($A44,'Receitas - Aerop. Estratégicos'!$A$3:$L$17,12,FALSE)</f>
        <v>552409.18870000006</v>
      </c>
      <c r="I44" s="72">
        <f>VLOOKUP($A44,'Receitas - Aerop. Estratégicos'!$A$3:$O$17,15,FALSE)</f>
        <v>552409.18870000006</v>
      </c>
      <c r="J44" s="72">
        <f>VLOOKUP($A44,'Receitas - Aerop. Estratégicos'!$A$3:$R$17,18,FALSE)</f>
        <v>552409.18870000006</v>
      </c>
      <c r="K44" s="72">
        <f>VLOOKUP($A44,'Receitas - Aerop. Estratégicos'!$A$3:$U$17,21,FALSE)</f>
        <v>552409.18870000006</v>
      </c>
      <c r="L44" s="72">
        <f>VLOOKUP($A44,'Receitas - Aerop. Estratégicos'!$A$3:$X$17,24,FALSE)</f>
        <v>552409.18870000006</v>
      </c>
      <c r="M44" s="72">
        <f>VLOOKUP($A44,'Receitas - Aerop. Estratégicos'!$A$3:$AA$17,27,FALSE)</f>
        <v>552409.18870000006</v>
      </c>
      <c r="N44" s="72">
        <f>VLOOKUP($A44,'Receitas - Aerop. Estratégicos'!$A$3:$AD$17,30,FALSE)</f>
        <v>552409.18870000006</v>
      </c>
      <c r="O44" s="72">
        <f>VLOOKUP($A44,'Receitas - Aerop. Estratégicos'!$A$3:$AG$17,33,FALSE)</f>
        <v>552409.18870000006</v>
      </c>
      <c r="P44" s="72">
        <f>VLOOKUP($A44,'Receitas - Aerop. Estratégicos'!$A$3:$AJ$17,36,FALSE)</f>
        <v>552409.18870000006</v>
      </c>
      <c r="Q44" s="72">
        <f>VLOOKUP($A44,'Receitas - Aerop. Estratégicos'!$A$3:$AM$17,39,FALSE)</f>
        <v>552409.18870000006</v>
      </c>
      <c r="R44" s="72">
        <f>VLOOKUP($A44,'Receitas - Aerop. Estratégicos'!$A$3:$AP$17,42,FALSE)</f>
        <v>552409.18870000006</v>
      </c>
      <c r="S44" s="72">
        <f>VLOOKUP($A44,'Receitas - Aerop. Estratégicos'!$A$3:$AS$17,45,FALSE)</f>
        <v>552409.18870000006</v>
      </c>
      <c r="T44" s="72">
        <f>VLOOKUP($A44,'Receitas - Aerop. Estratégicos'!$A$3:$AV$17,48,FALSE)</f>
        <v>552409.18870000006</v>
      </c>
      <c r="U44" s="72">
        <f>VLOOKUP($A44,'Receitas - Aerop. Estratégicos'!$A$3:$BB$17,51,FALSE)</f>
        <v>552409.18870000006</v>
      </c>
      <c r="V44" s="72">
        <f>VLOOKUP($A44,'Receitas - Aerop. Estratégicos'!$A$3:$BE$17,54,FALSE)</f>
        <v>552409.18870000006</v>
      </c>
      <c r="W44" s="72">
        <f>VLOOKUP($A44,'Receitas - Aerop. Estratégicos'!$A$3:$BH$17,57,FALSE)</f>
        <v>552409.18870000006</v>
      </c>
      <c r="X44" s="72">
        <f>VLOOKUP($A44,'Receitas - Aerop. Estratégicos'!$A$3:$BK$17,60,FALSE)</f>
        <v>552409.18870000006</v>
      </c>
      <c r="Y44" s="72">
        <f>VLOOKUP($A44,'Receitas - Aerop. Estratégicos'!$A$3:$BN$17,63,FALSE)</f>
        <v>552409.18870000006</v>
      </c>
      <c r="Z44" s="72">
        <f>VLOOKUP($A44,'Receitas - Aerop. Estratégicos'!$A$3:$BQ$17,66,FALSE)</f>
        <v>552409.18870000006</v>
      </c>
      <c r="AA44" s="72">
        <f>VLOOKUP($A44,'Receitas - Aerop. Estratégicos'!$A$3:$BT$17,69,FALSE)</f>
        <v>552409.18870000006</v>
      </c>
      <c r="AB44" s="72">
        <f>VLOOKUP($A44,'Receitas - Aerop. Estratégicos'!$A$3:$BW$17,72,FALSE)</f>
        <v>552409.18870000006</v>
      </c>
      <c r="AC44" s="72">
        <f>VLOOKUP($A44,'Receitas - Aerop. Estratégicos'!$A$3:$BZ$17,75,FALSE)</f>
        <v>552409.18870000006</v>
      </c>
      <c r="AD44" s="72">
        <f>VLOOKUP($A44,'Receitas - Aerop. Estratégicos'!$A$3:$CC$17,78,FALSE)</f>
        <v>552409.18870000006</v>
      </c>
      <c r="AE44" s="72">
        <f>VLOOKUP($A44,'Receitas - Aerop. Estratégicos'!$A$3:$CF$17,81,FALSE)</f>
        <v>552409.18870000006</v>
      </c>
      <c r="AF44" s="72">
        <f>VLOOKUP($A44,'Receitas - Aerop. Estratégicos'!$A$3:$CI$17,84,FALSE)</f>
        <v>552409.18870000006</v>
      </c>
      <c r="AG44" s="72">
        <f>VLOOKUP($A44,'Receitas - Aerop. Estratégicos'!$A$3:$CL$17,87,FALSE)</f>
        <v>552409.18870000006</v>
      </c>
      <c r="AH44" s="72">
        <f>VLOOKUP($A44,'Receitas - Aerop. Estratégicos'!$A$3:$CO$17,90,FALSE)</f>
        <v>552409.18870000006</v>
      </c>
      <c r="AI44" s="72">
        <f>VLOOKUP($A44,'Receitas - Aerop. Estratégicos'!$A$3:$CR$17,93,FALSE)</f>
        <v>552409.18870000006</v>
      </c>
      <c r="AJ44" s="72">
        <f>VLOOKUP($A44,'Receitas - Aerop. Estratégicos'!$A$3:$CU$17,96,FALSE)</f>
        <v>552409.18870000006</v>
      </c>
      <c r="AK44" s="72">
        <f>VLOOKUP($A44,'Receitas - Aerop. Estratégicos'!$A$3:$CX$17,99,FALSE)</f>
        <v>552409.18870000006</v>
      </c>
      <c r="AL44" s="72">
        <f t="shared" si="5"/>
        <v>16572275.660999997</v>
      </c>
      <c r="AM44" s="49" t="str">
        <f>VLOOKUP(D44,'FLUXO DE CAIXA DESC.-BLOCOS PAN'!$D$3:$AO$52,38,FALSE)</f>
        <v>MA + TO - AL</v>
      </c>
      <c r="AN44" s="72">
        <f t="shared" si="1"/>
        <v>8286137.8304999983</v>
      </c>
    </row>
    <row r="45" spans="1:98" s="49" customFormat="1" x14ac:dyDescent="0.35">
      <c r="A45" s="49" t="s">
        <v>89</v>
      </c>
      <c r="B45" s="76" t="s">
        <v>271</v>
      </c>
      <c r="C45" s="49">
        <v>210140</v>
      </c>
      <c r="D45" s="49" t="s">
        <v>293</v>
      </c>
      <c r="E45" s="49" t="str">
        <f>VLOOKUP(A45,'CAPEX Manut. Estr_Naveg. Aérea'!$A$2:$B$38,2,FALSE)</f>
        <v>Balsas</v>
      </c>
      <c r="F45" s="49" t="s">
        <v>31</v>
      </c>
      <c r="G45" s="49" t="s">
        <v>33</v>
      </c>
      <c r="H45" s="72">
        <f>VLOOKUP($A45,'Receitas - Aerop. Estratégicos'!$A$3:$L$17,12,FALSE)</f>
        <v>558446.62280000001</v>
      </c>
      <c r="I45" s="72">
        <f>VLOOKUP($A45,'Receitas - Aerop. Estratégicos'!$A$3:$O$17,15,FALSE)</f>
        <v>558446.62280000001</v>
      </c>
      <c r="J45" s="72">
        <f>VLOOKUP($A45,'Receitas - Aerop. Estratégicos'!$A$3:$R$17,18,FALSE)</f>
        <v>558446.62280000001</v>
      </c>
      <c r="K45" s="72">
        <f>VLOOKUP($A45,'Receitas - Aerop. Estratégicos'!$A$3:$U$17,21,FALSE)</f>
        <v>558446.62280000001</v>
      </c>
      <c r="L45" s="72">
        <f>VLOOKUP($A45,'Receitas - Aerop. Estratégicos'!$A$3:$X$17,24,FALSE)</f>
        <v>558446.62280000001</v>
      </c>
      <c r="M45" s="72">
        <f>VLOOKUP($A45,'Receitas - Aerop. Estratégicos'!$A$3:$AA$17,27,FALSE)</f>
        <v>558446.62280000001</v>
      </c>
      <c r="N45" s="72">
        <f>VLOOKUP($A45,'Receitas - Aerop. Estratégicos'!$A$3:$AD$17,30,FALSE)</f>
        <v>558446.62280000001</v>
      </c>
      <c r="O45" s="72">
        <f>VLOOKUP($A45,'Receitas - Aerop. Estratégicos'!$A$3:$AG$17,33,FALSE)</f>
        <v>558446.62280000001</v>
      </c>
      <c r="P45" s="72">
        <f>VLOOKUP($A45,'Receitas - Aerop. Estratégicos'!$A$3:$AJ$17,36,FALSE)</f>
        <v>558446.62280000001</v>
      </c>
      <c r="Q45" s="72">
        <f>VLOOKUP($A45,'Receitas - Aerop. Estratégicos'!$A$3:$AM$17,39,FALSE)</f>
        <v>558446.62280000001</v>
      </c>
      <c r="R45" s="72">
        <f>VLOOKUP($A45,'Receitas - Aerop. Estratégicos'!$A$3:$AP$17,42,FALSE)</f>
        <v>558446.62280000001</v>
      </c>
      <c r="S45" s="72">
        <f>VLOOKUP($A45,'Receitas - Aerop. Estratégicos'!$A$3:$AS$17,45,FALSE)</f>
        <v>558446.62280000001</v>
      </c>
      <c r="T45" s="72">
        <f>VLOOKUP($A45,'Receitas - Aerop. Estratégicos'!$A$3:$AV$17,48,FALSE)</f>
        <v>558446.62280000001</v>
      </c>
      <c r="U45" s="72">
        <f>VLOOKUP($A45,'Receitas - Aerop. Estratégicos'!$A$3:$BB$17,51,FALSE)</f>
        <v>558446.62280000001</v>
      </c>
      <c r="V45" s="72">
        <f>VLOOKUP($A45,'Receitas - Aerop. Estratégicos'!$A$3:$BE$17,54,FALSE)</f>
        <v>558446.62280000001</v>
      </c>
      <c r="W45" s="72">
        <f>VLOOKUP($A45,'Receitas - Aerop. Estratégicos'!$A$3:$BH$17,57,FALSE)</f>
        <v>558446.62280000001</v>
      </c>
      <c r="X45" s="72">
        <f>VLOOKUP($A45,'Receitas - Aerop. Estratégicos'!$A$3:$BK$17,60,FALSE)</f>
        <v>558446.62280000001</v>
      </c>
      <c r="Y45" s="72">
        <f>VLOOKUP($A45,'Receitas - Aerop. Estratégicos'!$A$3:$BN$17,63,FALSE)</f>
        <v>558446.62280000001</v>
      </c>
      <c r="Z45" s="72">
        <f>VLOOKUP($A45,'Receitas - Aerop. Estratégicos'!$A$3:$BQ$17,66,FALSE)</f>
        <v>558446.62280000001</v>
      </c>
      <c r="AA45" s="72">
        <f>VLOOKUP($A45,'Receitas - Aerop. Estratégicos'!$A$3:$BT$17,69,FALSE)</f>
        <v>558446.62280000001</v>
      </c>
      <c r="AB45" s="72">
        <f>VLOOKUP($A45,'Receitas - Aerop. Estratégicos'!$A$3:$BW$17,72,FALSE)</f>
        <v>558446.62280000001</v>
      </c>
      <c r="AC45" s="72">
        <f>VLOOKUP($A45,'Receitas - Aerop. Estratégicos'!$A$3:$BZ$17,75,FALSE)</f>
        <v>558446.62280000001</v>
      </c>
      <c r="AD45" s="72">
        <f>VLOOKUP($A45,'Receitas - Aerop. Estratégicos'!$A$3:$CC$17,78,FALSE)</f>
        <v>558446.62280000001</v>
      </c>
      <c r="AE45" s="72">
        <f>VLOOKUP($A45,'Receitas - Aerop. Estratégicos'!$A$3:$CF$17,81,FALSE)</f>
        <v>558446.62280000001</v>
      </c>
      <c r="AF45" s="72">
        <f>VLOOKUP($A45,'Receitas - Aerop. Estratégicos'!$A$3:$CI$17,84,FALSE)</f>
        <v>558446.62280000001</v>
      </c>
      <c r="AG45" s="72">
        <f>VLOOKUP($A45,'Receitas - Aerop. Estratégicos'!$A$3:$CL$17,87,FALSE)</f>
        <v>558446.62280000001</v>
      </c>
      <c r="AH45" s="72">
        <f>VLOOKUP($A45,'Receitas - Aerop. Estratégicos'!$A$3:$CO$17,90,FALSE)</f>
        <v>558446.62280000001</v>
      </c>
      <c r="AI45" s="72">
        <f>VLOOKUP($A45,'Receitas - Aerop. Estratégicos'!$A$3:$CR$17,93,FALSE)</f>
        <v>558446.62280000001</v>
      </c>
      <c r="AJ45" s="72">
        <f>VLOOKUP($A45,'Receitas - Aerop. Estratégicos'!$A$3:$CU$17,96,FALSE)</f>
        <v>558446.62280000001</v>
      </c>
      <c r="AK45" s="72">
        <f>VLOOKUP($A45,'Receitas - Aerop. Estratégicos'!$A$3:$CX$17,99,FALSE)</f>
        <v>558446.62280000001</v>
      </c>
      <c r="AL45" s="72">
        <f t="shared" si="5"/>
        <v>16753398.684</v>
      </c>
      <c r="AM45" s="49" t="str">
        <f>VLOOKUP(D45,'FLUXO DE CAIXA DESC.-BLOCOS PAN'!$D$3:$AO$52,38,FALSE)</f>
        <v>MA + TO - AL</v>
      </c>
      <c r="AN45" s="72">
        <f t="shared" si="1"/>
        <v>8376699.3420000002</v>
      </c>
    </row>
    <row r="46" spans="1:98" s="49" customFormat="1" x14ac:dyDescent="0.35">
      <c r="A46" s="49" t="s">
        <v>373</v>
      </c>
      <c r="B46" s="76" t="s">
        <v>374</v>
      </c>
      <c r="C46" s="49">
        <v>260600</v>
      </c>
      <c r="D46" s="49" t="s">
        <v>375</v>
      </c>
      <c r="E46" s="49" t="s">
        <v>374</v>
      </c>
      <c r="F46" s="49" t="s">
        <v>36</v>
      </c>
      <c r="G46" s="49" t="s">
        <v>33</v>
      </c>
      <c r="H46" s="72">
        <f>VLOOKUP($A46,'Receitas - Aerop. Estratégicos'!$A$3:$L$17,12,FALSE)</f>
        <v>682532.75870000001</v>
      </c>
      <c r="I46" s="72">
        <f>VLOOKUP($A46,'Receitas - Aerop. Estratégicos'!$A$3:$O$17,15,FALSE)</f>
        <v>682532.75870000001</v>
      </c>
      <c r="J46" s="72">
        <f>VLOOKUP($A46,'Receitas - Aerop. Estratégicos'!$A$3:$R$17,18,FALSE)</f>
        <v>682532.75870000001</v>
      </c>
      <c r="K46" s="72">
        <f>VLOOKUP($A46,'Receitas - Aerop. Estratégicos'!$A$3:$U$17,21,FALSE)</f>
        <v>682532.75870000001</v>
      </c>
      <c r="L46" s="72">
        <f>VLOOKUP($A46,'Receitas - Aerop. Estratégicos'!$A$3:$X$17,24,FALSE)</f>
        <v>682532.75870000001</v>
      </c>
      <c r="M46" s="72">
        <f>VLOOKUP($A46,'Receitas - Aerop. Estratégicos'!$A$3:$AA$17,27,FALSE)</f>
        <v>682532.75870000001</v>
      </c>
      <c r="N46" s="72">
        <f>VLOOKUP($A46,'Receitas - Aerop. Estratégicos'!$A$3:$AD$17,30,FALSE)</f>
        <v>682532.75870000001</v>
      </c>
      <c r="O46" s="72">
        <f>VLOOKUP($A46,'Receitas - Aerop. Estratégicos'!$A$3:$AG$17,33,FALSE)</f>
        <v>682532.75870000001</v>
      </c>
      <c r="P46" s="72">
        <f>VLOOKUP($A46,'Receitas - Aerop. Estratégicos'!$A$3:$AJ$17,36,FALSE)</f>
        <v>682532.75870000001</v>
      </c>
      <c r="Q46" s="72">
        <f>VLOOKUP($A46,'Receitas - Aerop. Estratégicos'!$A$3:$AM$17,39,FALSE)</f>
        <v>682532.75870000001</v>
      </c>
      <c r="R46" s="72">
        <f>VLOOKUP($A46,'Receitas - Aerop. Estratégicos'!$A$3:$AP$17,42,FALSE)</f>
        <v>682532.75870000001</v>
      </c>
      <c r="S46" s="72">
        <f>VLOOKUP($A46,'Receitas - Aerop. Estratégicos'!$A$3:$AS$17,45,FALSE)</f>
        <v>682532.75870000001</v>
      </c>
      <c r="T46" s="72">
        <f>VLOOKUP($A46,'Receitas - Aerop. Estratégicos'!$A$3:$AV$17,48,FALSE)</f>
        <v>682532.75870000001</v>
      </c>
      <c r="U46" s="72">
        <f>VLOOKUP($A46,'Receitas - Aerop. Estratégicos'!$A$3:$BB$17,51,FALSE)</f>
        <v>682532.75870000001</v>
      </c>
      <c r="V46" s="72">
        <f>VLOOKUP($A46,'Receitas - Aerop. Estratégicos'!$A$3:$BE$17,54,FALSE)</f>
        <v>682532.75870000001</v>
      </c>
      <c r="W46" s="72">
        <f>VLOOKUP($A46,'Receitas - Aerop. Estratégicos'!$A$3:$BH$17,57,FALSE)</f>
        <v>682532.75870000001</v>
      </c>
      <c r="X46" s="72">
        <f>VLOOKUP($A46,'Receitas - Aerop. Estratégicos'!$A$3:$BK$17,60,FALSE)</f>
        <v>682532.75870000001</v>
      </c>
      <c r="Y46" s="72">
        <f>VLOOKUP($A46,'Receitas - Aerop. Estratégicos'!$A$3:$BN$17,63,FALSE)</f>
        <v>682532.75870000001</v>
      </c>
      <c r="Z46" s="72">
        <f>VLOOKUP($A46,'Receitas - Aerop. Estratégicos'!$A$3:$BQ$17,66,FALSE)</f>
        <v>682532.75870000001</v>
      </c>
      <c r="AA46" s="72">
        <f>VLOOKUP($A46,'Receitas - Aerop. Estratégicos'!$A$3:$BT$17,69,FALSE)</f>
        <v>682532.75870000001</v>
      </c>
      <c r="AB46" s="72">
        <f>VLOOKUP($A46,'Receitas - Aerop. Estratégicos'!$A$3:$BW$17,72,FALSE)</f>
        <v>682532.75870000001</v>
      </c>
      <c r="AC46" s="72">
        <f>VLOOKUP($A46,'Receitas - Aerop. Estratégicos'!$A$3:$BZ$17,75,FALSE)</f>
        <v>682532.75870000001</v>
      </c>
      <c r="AD46" s="72">
        <f>VLOOKUP($A46,'Receitas - Aerop. Estratégicos'!$A$3:$CC$17,78,FALSE)</f>
        <v>682532.75870000001</v>
      </c>
      <c r="AE46" s="72">
        <f>VLOOKUP($A46,'Receitas - Aerop. Estratégicos'!$A$3:$CF$17,81,FALSE)</f>
        <v>682532.75870000001</v>
      </c>
      <c r="AF46" s="72">
        <f>VLOOKUP($A46,'Receitas - Aerop. Estratégicos'!$A$3:$CI$17,84,FALSE)</f>
        <v>682532.75870000001</v>
      </c>
      <c r="AG46" s="72">
        <f>VLOOKUP($A46,'Receitas - Aerop. Estratégicos'!$A$3:$CL$17,87,FALSE)</f>
        <v>682532.75870000001</v>
      </c>
      <c r="AH46" s="72">
        <f>VLOOKUP($A46,'Receitas - Aerop. Estratégicos'!$A$3:$CO$17,90,FALSE)</f>
        <v>682532.75870000001</v>
      </c>
      <c r="AI46" s="72">
        <f>VLOOKUP($A46,'Receitas - Aerop. Estratégicos'!$A$3:$CR$17,93,FALSE)</f>
        <v>682532.75870000001</v>
      </c>
      <c r="AJ46" s="72">
        <f>VLOOKUP($A46,'Receitas - Aerop. Estratégicos'!$A$3:$CU$17,96,FALSE)</f>
        <v>682532.75870000001</v>
      </c>
      <c r="AK46" s="72">
        <f>VLOOKUP($A46,'Receitas - Aerop. Estratégicos'!$A$3:$CX$17,99,FALSE)</f>
        <v>682532.75870000001</v>
      </c>
      <c r="AL46" s="72">
        <f t="shared" ref="AL46" si="8">SUM(H46:AK46)</f>
        <v>20475982.760999992</v>
      </c>
      <c r="AM46" s="49" t="str">
        <f>VLOOKUP(D46,'FLUXO DE CAIXA DESC.-BLOCOS PAN'!$D$3:$AO$52,38,FALSE)</f>
        <v>Bloco Nordeste</v>
      </c>
      <c r="AN46" s="72">
        <f t="shared" ref="AN46" si="9">SUM(H46:V46)</f>
        <v>10237991.3805</v>
      </c>
    </row>
    <row r="47" spans="1:98" x14ac:dyDescent="0.35">
      <c r="A47" t="s">
        <v>125</v>
      </c>
      <c r="B47" s="5" t="s">
        <v>272</v>
      </c>
      <c r="C47">
        <v>110008</v>
      </c>
      <c r="D47" t="s">
        <v>295</v>
      </c>
      <c r="E47" t="str">
        <f>VLOOKUP(A47,'CAPEX Manut. Estr_Naveg. Aérea'!$A$2:$B$38,2,FALSE)</f>
        <v>Costa Marques</v>
      </c>
      <c r="F47" t="s">
        <v>30</v>
      </c>
      <c r="G47" t="s">
        <v>33</v>
      </c>
      <c r="H47" s="1">
        <f>VLOOKUP($A47,'Receitas - Aerop. Estratégicos'!$A$3:$L$17,12,FALSE)</f>
        <v>517001.92979999998</v>
      </c>
      <c r="I47" s="1">
        <f>VLOOKUP($A47,'Receitas - Aerop. Estratégicos'!$A$3:$O$17,15,FALSE)</f>
        <v>517001.92979999998</v>
      </c>
      <c r="J47" s="1">
        <f>VLOOKUP($A47,'Receitas - Aerop. Estratégicos'!$A$3:$R$17,18,FALSE)</f>
        <v>517001.92979999998</v>
      </c>
      <c r="K47" s="1">
        <f>VLOOKUP($A47,'Receitas - Aerop. Estratégicos'!$A$3:$U$17,21,FALSE)</f>
        <v>517001.92979999998</v>
      </c>
      <c r="L47" s="1">
        <f>VLOOKUP($A47,'Receitas - Aerop. Estratégicos'!$A$3:$X$17,24,FALSE)</f>
        <v>517001.92979999998</v>
      </c>
      <c r="M47" s="1">
        <f>VLOOKUP($A47,'Receitas - Aerop. Estratégicos'!$A$3:$AA$17,27,FALSE)</f>
        <v>517001.92979999998</v>
      </c>
      <c r="N47" s="1">
        <f>VLOOKUP($A47,'Receitas - Aerop. Estratégicos'!$A$3:$AD$17,30,FALSE)</f>
        <v>517001.92979999998</v>
      </c>
      <c r="O47" s="1">
        <f>VLOOKUP($A47,'Receitas - Aerop. Estratégicos'!$A$3:$AG$17,33,FALSE)</f>
        <v>517001.92979999998</v>
      </c>
      <c r="P47" s="1">
        <f>VLOOKUP($A47,'Receitas - Aerop. Estratégicos'!$A$3:$AJ$17,36,FALSE)</f>
        <v>517001.92979999998</v>
      </c>
      <c r="Q47" s="1">
        <f>VLOOKUP($A47,'Receitas - Aerop. Estratégicos'!$A$3:$AM$17,39,FALSE)</f>
        <v>517001.92979999998</v>
      </c>
      <c r="R47" s="1">
        <f>VLOOKUP($A47,'Receitas - Aerop. Estratégicos'!$A$3:$AP$17,42,FALSE)</f>
        <v>517001.92979999998</v>
      </c>
      <c r="S47" s="1">
        <f>VLOOKUP($A47,'Receitas - Aerop. Estratégicos'!$A$3:$AS$17,45,FALSE)</f>
        <v>517001.92979999998</v>
      </c>
      <c r="T47" s="1">
        <f>VLOOKUP($A47,'Receitas - Aerop. Estratégicos'!$A$3:$AV$17,48,FALSE)</f>
        <v>517001.92979999998</v>
      </c>
      <c r="U47" s="1">
        <f>VLOOKUP($A47,'Receitas - Aerop. Estratégicos'!$A$3:$BB$17,51,FALSE)</f>
        <v>517001.92979999998</v>
      </c>
      <c r="V47" s="1">
        <f>VLOOKUP($A47,'Receitas - Aerop. Estratégicos'!$A$3:$BE$17,54,FALSE)</f>
        <v>517001.92979999998</v>
      </c>
      <c r="W47" s="1">
        <f>VLOOKUP($A47,'Receitas - Aerop. Estratégicos'!$A$3:$BH$17,57,FALSE)</f>
        <v>517001.92979999998</v>
      </c>
      <c r="X47" s="1">
        <f>VLOOKUP($A47,'Receitas - Aerop. Estratégicos'!$A$3:$BK$17,60,FALSE)</f>
        <v>517001.92979999998</v>
      </c>
      <c r="Y47" s="1">
        <f>VLOOKUP($A47,'Receitas - Aerop. Estratégicos'!$A$3:$BN$17,63,FALSE)</f>
        <v>517001.92979999998</v>
      </c>
      <c r="Z47" s="1">
        <f>VLOOKUP($A47,'Receitas - Aerop. Estratégicos'!$A$3:$BQ$17,66,FALSE)</f>
        <v>517001.92979999998</v>
      </c>
      <c r="AA47" s="1">
        <f>VLOOKUP($A47,'Receitas - Aerop. Estratégicos'!$A$3:$BT$17,69,FALSE)</f>
        <v>517001.92979999998</v>
      </c>
      <c r="AB47" s="1">
        <f>VLOOKUP($A47,'Receitas - Aerop. Estratégicos'!$A$3:$BW$17,72,FALSE)</f>
        <v>517001.92979999998</v>
      </c>
      <c r="AC47" s="1">
        <f>VLOOKUP($A47,'Receitas - Aerop. Estratégicos'!$A$3:$BZ$17,75,FALSE)</f>
        <v>517001.92979999998</v>
      </c>
      <c r="AD47" s="1">
        <f>VLOOKUP($A47,'Receitas - Aerop. Estratégicos'!$A$3:$CC$17,78,FALSE)</f>
        <v>517001.92979999998</v>
      </c>
      <c r="AE47" s="1">
        <f>VLOOKUP($A47,'Receitas - Aerop. Estratégicos'!$A$3:$CF$17,81,FALSE)</f>
        <v>517001.92979999998</v>
      </c>
      <c r="AF47" s="1">
        <f>VLOOKUP($A47,'Receitas - Aerop. Estratégicos'!$A$3:$CI$17,84,FALSE)</f>
        <v>517001.92979999998</v>
      </c>
      <c r="AG47" s="1">
        <f>VLOOKUP($A47,'Receitas - Aerop. Estratégicos'!$A$3:$CL$17,87,FALSE)</f>
        <v>517001.92979999998</v>
      </c>
      <c r="AH47" s="1">
        <f>VLOOKUP($A47,'Receitas - Aerop. Estratégicos'!$A$3:$CO$17,90,FALSE)</f>
        <v>517001.92979999998</v>
      </c>
      <c r="AI47" s="1">
        <f>VLOOKUP($A47,'Receitas - Aerop. Estratégicos'!$A$3:$CR$17,93,FALSE)</f>
        <v>517001.92979999998</v>
      </c>
      <c r="AJ47" s="1">
        <f>VLOOKUP($A47,'Receitas - Aerop. Estratégicos'!$A$3:$CU$17,96,FALSE)</f>
        <v>517001.92979999998</v>
      </c>
      <c r="AK47" s="1">
        <f>VLOOKUP($A47,'Receitas - Aerop. Estratégicos'!$A$3:$CX$17,99,FALSE)</f>
        <v>517001.92979999998</v>
      </c>
      <c r="AL47" s="1">
        <f t="shared" si="5"/>
        <v>15510057.893999999</v>
      </c>
      <c r="AM47" t="str">
        <f>VLOOKUP(D47,'FLUXO DE CAIXA DESC.-BLOCOS PAN'!$D$3:$AO$52,38,FALSE)</f>
        <v>RO - 1 - AL</v>
      </c>
      <c r="AN47" s="1">
        <f t="shared" si="1"/>
        <v>7755028.9469999997</v>
      </c>
    </row>
    <row r="48" spans="1:98" x14ac:dyDescent="0.35">
      <c r="A48" t="s">
        <v>134</v>
      </c>
      <c r="B48" s="5" t="s">
        <v>273</v>
      </c>
      <c r="C48">
        <v>130370</v>
      </c>
      <c r="D48" t="s">
        <v>296</v>
      </c>
      <c r="E48" t="str">
        <f>VLOOKUP(A48,'CAPEX Manut. Estr_Naveg. Aérea'!$A$2:$B$38,2,FALSE)</f>
        <v>Santo Antônio do Içá</v>
      </c>
      <c r="F48" t="s">
        <v>35</v>
      </c>
      <c r="G48" t="s">
        <v>33</v>
      </c>
      <c r="H48" s="1">
        <f>VLOOKUP($A48,'Receitas - Aerop. Estratégicos'!$A$3:$L$17,12,FALSE)</f>
        <v>622336.49879999994</v>
      </c>
      <c r="I48" s="1">
        <f>VLOOKUP($A48,'Receitas - Aerop. Estratégicos'!$A$3:$O$17,15,FALSE)</f>
        <v>622336.49879999994</v>
      </c>
      <c r="J48" s="1">
        <f>VLOOKUP($A48,'Receitas - Aerop. Estratégicos'!$A$3:$R$17,18,FALSE)</f>
        <v>622336.49879999994</v>
      </c>
      <c r="K48" s="1">
        <f>VLOOKUP($A48,'Receitas - Aerop. Estratégicos'!$A$3:$U$17,21,FALSE)</f>
        <v>622336.49879999994</v>
      </c>
      <c r="L48" s="1">
        <f>VLOOKUP($A48,'Receitas - Aerop. Estratégicos'!$A$3:$X$17,24,FALSE)</f>
        <v>622336.49879999994</v>
      </c>
      <c r="M48" s="1">
        <f>VLOOKUP($A48,'Receitas - Aerop. Estratégicos'!$A$3:$AA$17,27,FALSE)</f>
        <v>622336.49879999994</v>
      </c>
      <c r="N48" s="1">
        <f>VLOOKUP($A48,'Receitas - Aerop. Estratégicos'!$A$3:$AD$17,30,FALSE)</f>
        <v>622336.49879999994</v>
      </c>
      <c r="O48" s="1">
        <f>VLOOKUP($A48,'Receitas - Aerop. Estratégicos'!$A$3:$AG$17,33,FALSE)</f>
        <v>622336.49879999994</v>
      </c>
      <c r="P48" s="1">
        <f>VLOOKUP($A48,'Receitas - Aerop. Estratégicos'!$A$3:$AJ$17,36,FALSE)</f>
        <v>622336.49879999994</v>
      </c>
      <c r="Q48" s="1">
        <f>VLOOKUP($A48,'Receitas - Aerop. Estratégicos'!$A$3:$AM$17,39,FALSE)</f>
        <v>622336.49879999994</v>
      </c>
      <c r="R48" s="1">
        <f>VLOOKUP($A48,'Receitas - Aerop. Estratégicos'!$A$3:$AP$17,42,FALSE)</f>
        <v>622336.49879999994</v>
      </c>
      <c r="S48" s="1">
        <f>VLOOKUP($A48,'Receitas - Aerop. Estratégicos'!$A$3:$AS$17,45,FALSE)</f>
        <v>622336.49879999994</v>
      </c>
      <c r="T48" s="1">
        <f>VLOOKUP($A48,'Receitas - Aerop. Estratégicos'!$A$3:$AV$17,48,FALSE)</f>
        <v>622336.49879999994</v>
      </c>
      <c r="U48" s="1">
        <f>VLOOKUP($A48,'Receitas - Aerop. Estratégicos'!$A$3:$BB$17,51,FALSE)</f>
        <v>622336.49879999994</v>
      </c>
      <c r="V48" s="1">
        <f>VLOOKUP($A48,'Receitas - Aerop. Estratégicos'!$A$3:$BE$17,54,FALSE)</f>
        <v>622336.49879999994</v>
      </c>
      <c r="W48" s="1">
        <f>VLOOKUP($A48,'Receitas - Aerop. Estratégicos'!$A$3:$BH$17,57,FALSE)</f>
        <v>622336.49879999994</v>
      </c>
      <c r="X48" s="1">
        <f>VLOOKUP($A48,'Receitas - Aerop. Estratégicos'!$A$3:$BK$17,60,FALSE)</f>
        <v>622336.49879999994</v>
      </c>
      <c r="Y48" s="1">
        <f>VLOOKUP($A48,'Receitas - Aerop. Estratégicos'!$A$3:$BN$17,63,FALSE)</f>
        <v>622336.49879999994</v>
      </c>
      <c r="Z48" s="1">
        <f>VLOOKUP($A48,'Receitas - Aerop. Estratégicos'!$A$3:$BQ$17,66,FALSE)</f>
        <v>622336.49879999994</v>
      </c>
      <c r="AA48" s="1">
        <f>VLOOKUP($A48,'Receitas - Aerop. Estratégicos'!$A$3:$BT$17,69,FALSE)</f>
        <v>622336.49879999994</v>
      </c>
      <c r="AB48" s="1">
        <f>VLOOKUP($A48,'Receitas - Aerop. Estratégicos'!$A$3:$BW$17,72,FALSE)</f>
        <v>622336.49879999994</v>
      </c>
      <c r="AC48" s="1">
        <f>VLOOKUP($A48,'Receitas - Aerop. Estratégicos'!$A$3:$BZ$17,75,FALSE)</f>
        <v>622336.49879999994</v>
      </c>
      <c r="AD48" s="1">
        <f>VLOOKUP($A48,'Receitas - Aerop. Estratégicos'!$A$3:$CC$17,78,FALSE)</f>
        <v>622336.49879999994</v>
      </c>
      <c r="AE48" s="1">
        <f>VLOOKUP($A48,'Receitas - Aerop. Estratégicos'!$A$3:$CF$17,81,FALSE)</f>
        <v>622336.49879999994</v>
      </c>
      <c r="AF48" s="1">
        <f>VLOOKUP($A48,'Receitas - Aerop. Estratégicos'!$A$3:$CI$17,84,FALSE)</f>
        <v>622336.49879999994</v>
      </c>
      <c r="AG48" s="1">
        <f>VLOOKUP($A48,'Receitas - Aerop. Estratégicos'!$A$3:$CL$17,87,FALSE)</f>
        <v>622336.49879999994</v>
      </c>
      <c r="AH48" s="1">
        <f>VLOOKUP($A48,'Receitas - Aerop. Estratégicos'!$A$3:$CO$17,90,FALSE)</f>
        <v>622336.49879999994</v>
      </c>
      <c r="AI48" s="1">
        <f>VLOOKUP($A48,'Receitas - Aerop. Estratégicos'!$A$3:$CR$17,93,FALSE)</f>
        <v>622336.49879999994</v>
      </c>
      <c r="AJ48" s="1">
        <f>VLOOKUP($A48,'Receitas - Aerop. Estratégicos'!$A$3:$CU$17,96,FALSE)</f>
        <v>622336.49879999994</v>
      </c>
      <c r="AK48" s="1">
        <f>VLOOKUP($A48,'Receitas - Aerop. Estratégicos'!$A$3:$CX$17,99,FALSE)</f>
        <v>622336.49879999994</v>
      </c>
      <c r="AL48" s="1">
        <f t="shared" si="5"/>
        <v>18670094.963999998</v>
      </c>
      <c r="AM48" t="str">
        <f>VLOOKUP(D48,'FLUXO DE CAIXA DESC.-BLOCOS PAN'!$D$3:$AO$52,38,FALSE)</f>
        <v>AC + AM - 1 - AL</v>
      </c>
      <c r="AN48" s="1">
        <f t="shared" si="1"/>
        <v>9335047.4820000008</v>
      </c>
    </row>
    <row r="49" spans="1:40" x14ac:dyDescent="0.35">
      <c r="A49" t="s">
        <v>151</v>
      </c>
      <c r="B49" s="5" t="s">
        <v>274</v>
      </c>
      <c r="C49">
        <v>130160</v>
      </c>
      <c r="D49" t="s">
        <v>297</v>
      </c>
      <c r="E49" t="str">
        <f>VLOOKUP(A49,'CAPEX Manut. Estr_Naveg. Aérea'!$A$2:$B$38,2,FALSE)</f>
        <v>Fonte Boa</v>
      </c>
      <c r="F49" t="s">
        <v>35</v>
      </c>
      <c r="G49" t="s">
        <v>33</v>
      </c>
      <c r="H49" s="1">
        <f>VLOOKUP($A49,'Receitas - Aerop. Estratégicos'!$A$3:$L$17,12,FALSE)</f>
        <v>622933.03130000003</v>
      </c>
      <c r="I49" s="1">
        <f>VLOOKUP($A49,'Receitas - Aerop. Estratégicos'!$A$3:$O$17,15,FALSE)</f>
        <v>622933.03130000003</v>
      </c>
      <c r="J49" s="1">
        <f>VLOOKUP($A49,'Receitas - Aerop. Estratégicos'!$A$3:$R$17,18,FALSE)</f>
        <v>622933.03130000003</v>
      </c>
      <c r="K49" s="1">
        <f>VLOOKUP($A49,'Receitas - Aerop. Estratégicos'!$A$3:$U$17,21,FALSE)</f>
        <v>622933.03130000003</v>
      </c>
      <c r="L49" s="1">
        <f>VLOOKUP($A49,'Receitas - Aerop. Estratégicos'!$A$3:$X$17,24,FALSE)</f>
        <v>622933.03130000003</v>
      </c>
      <c r="M49" s="1">
        <f>VLOOKUP($A49,'Receitas - Aerop. Estratégicos'!$A$3:$AA$17,27,FALSE)</f>
        <v>622933.03130000003</v>
      </c>
      <c r="N49" s="1">
        <f>VLOOKUP($A49,'Receitas - Aerop. Estratégicos'!$A$3:$AD$17,30,FALSE)</f>
        <v>622933.03130000003</v>
      </c>
      <c r="O49" s="1">
        <f>VLOOKUP($A49,'Receitas - Aerop. Estratégicos'!$A$3:$AG$17,33,FALSE)</f>
        <v>622933.03130000003</v>
      </c>
      <c r="P49" s="1">
        <f>VLOOKUP($A49,'Receitas - Aerop. Estratégicos'!$A$3:$AJ$17,36,FALSE)</f>
        <v>622933.03130000003</v>
      </c>
      <c r="Q49" s="1">
        <f>VLOOKUP($A49,'Receitas - Aerop. Estratégicos'!$A$3:$AM$17,39,FALSE)</f>
        <v>622933.03130000003</v>
      </c>
      <c r="R49" s="1">
        <f>VLOOKUP($A49,'Receitas - Aerop. Estratégicos'!$A$3:$AP$17,42,FALSE)</f>
        <v>622933.03130000003</v>
      </c>
      <c r="S49" s="1">
        <f>VLOOKUP($A49,'Receitas - Aerop. Estratégicos'!$A$3:$AS$17,45,FALSE)</f>
        <v>622933.03130000003</v>
      </c>
      <c r="T49" s="1">
        <f>VLOOKUP($A49,'Receitas - Aerop. Estratégicos'!$A$3:$AV$17,48,FALSE)</f>
        <v>622933.03130000003</v>
      </c>
      <c r="U49" s="1">
        <f>VLOOKUP($A49,'Receitas - Aerop. Estratégicos'!$A$3:$BB$17,51,FALSE)</f>
        <v>622933.03130000003</v>
      </c>
      <c r="V49" s="1">
        <f>VLOOKUP($A49,'Receitas - Aerop. Estratégicos'!$A$3:$BE$17,54,FALSE)</f>
        <v>622933.03130000003</v>
      </c>
      <c r="W49" s="1">
        <f>VLOOKUP($A49,'Receitas - Aerop. Estratégicos'!$A$3:$BH$17,57,FALSE)</f>
        <v>622933.03130000003</v>
      </c>
      <c r="X49" s="1">
        <f>VLOOKUP($A49,'Receitas - Aerop. Estratégicos'!$A$3:$BK$17,60,FALSE)</f>
        <v>622933.03130000003</v>
      </c>
      <c r="Y49" s="1">
        <f>VLOOKUP($A49,'Receitas - Aerop. Estratégicos'!$A$3:$BN$17,63,FALSE)</f>
        <v>622933.03130000003</v>
      </c>
      <c r="Z49" s="1">
        <f>VLOOKUP($A49,'Receitas - Aerop. Estratégicos'!$A$3:$BQ$17,66,FALSE)</f>
        <v>622933.03130000003</v>
      </c>
      <c r="AA49" s="1">
        <f>VLOOKUP($A49,'Receitas - Aerop. Estratégicos'!$A$3:$BT$17,69,FALSE)</f>
        <v>622933.03130000003</v>
      </c>
      <c r="AB49" s="1">
        <f>VLOOKUP($A49,'Receitas - Aerop. Estratégicos'!$A$3:$BW$17,72,FALSE)</f>
        <v>622933.03130000003</v>
      </c>
      <c r="AC49" s="1">
        <f>VLOOKUP($A49,'Receitas - Aerop. Estratégicos'!$A$3:$BZ$17,75,FALSE)</f>
        <v>622933.03130000003</v>
      </c>
      <c r="AD49" s="1">
        <f>VLOOKUP($A49,'Receitas - Aerop. Estratégicos'!$A$3:$CC$17,78,FALSE)</f>
        <v>622933.03130000003</v>
      </c>
      <c r="AE49" s="1">
        <f>VLOOKUP($A49,'Receitas - Aerop. Estratégicos'!$A$3:$CF$17,81,FALSE)</f>
        <v>622933.03130000003</v>
      </c>
      <c r="AF49" s="1">
        <f>VLOOKUP($A49,'Receitas - Aerop. Estratégicos'!$A$3:$CI$17,84,FALSE)</f>
        <v>622933.03130000003</v>
      </c>
      <c r="AG49" s="1">
        <f>VLOOKUP($A49,'Receitas - Aerop. Estratégicos'!$A$3:$CL$17,87,FALSE)</f>
        <v>622933.03130000003</v>
      </c>
      <c r="AH49" s="1">
        <f>VLOOKUP($A49,'Receitas - Aerop. Estratégicos'!$A$3:$CO$17,90,FALSE)</f>
        <v>622933.03130000003</v>
      </c>
      <c r="AI49" s="1">
        <f>VLOOKUP($A49,'Receitas - Aerop. Estratégicos'!$A$3:$CR$17,93,FALSE)</f>
        <v>622933.03130000003</v>
      </c>
      <c r="AJ49" s="1">
        <f>VLOOKUP($A49,'Receitas - Aerop. Estratégicos'!$A$3:$CU$17,96,FALSE)</f>
        <v>622933.03130000003</v>
      </c>
      <c r="AK49" s="1">
        <f>VLOOKUP($A49,'Receitas - Aerop. Estratégicos'!$A$3:$CX$17,99,FALSE)</f>
        <v>622933.03130000003</v>
      </c>
      <c r="AL49" s="1">
        <f t="shared" si="5"/>
        <v>18687990.939000014</v>
      </c>
      <c r="AM49" t="str">
        <f>VLOOKUP(D49,'FLUXO DE CAIXA DESC.-BLOCOS PAN'!$D$3:$AO$52,38,FALSE)</f>
        <v>AM - 2 - AL</v>
      </c>
      <c r="AN49" s="1">
        <f t="shared" si="1"/>
        <v>9343995.4695000015</v>
      </c>
    </row>
    <row r="50" spans="1:40" x14ac:dyDescent="0.35">
      <c r="A50" t="s">
        <v>155</v>
      </c>
      <c r="B50" s="5" t="s">
        <v>265</v>
      </c>
      <c r="C50">
        <v>510704</v>
      </c>
      <c r="D50" t="s">
        <v>298</v>
      </c>
      <c r="E50" t="str">
        <f>VLOOKUP(A50,'CAPEX Manut. Estr_Naveg. Aérea'!$A$2:$B$38,2,FALSE)</f>
        <v>Primavera do Leste</v>
      </c>
      <c r="F50" t="s">
        <v>37</v>
      </c>
      <c r="G50" t="s">
        <v>33</v>
      </c>
      <c r="H50" s="1">
        <f>VLOOKUP($A50,'Receitas - Aerop. Estratégicos'!$A$3:$L$17,12,FALSE)</f>
        <v>270361.2721</v>
      </c>
      <c r="I50" s="1">
        <f>VLOOKUP($A50,'Receitas - Aerop. Estratégicos'!$A$3:$O$17,15,FALSE)</f>
        <v>270361.2721</v>
      </c>
      <c r="J50" s="1">
        <f>VLOOKUP($A50,'Receitas - Aerop. Estratégicos'!$A$3:$R$17,18,FALSE)</f>
        <v>270361.2721</v>
      </c>
      <c r="K50" s="1">
        <f>VLOOKUP($A50,'Receitas - Aerop. Estratégicos'!$A$3:$U$17,21,FALSE)</f>
        <v>270361.2721</v>
      </c>
      <c r="L50" s="1">
        <f>VLOOKUP($A50,'Receitas - Aerop. Estratégicos'!$A$3:$X$17,24,FALSE)</f>
        <v>270361.2721</v>
      </c>
      <c r="M50" s="1">
        <f>VLOOKUP($A50,'Receitas - Aerop. Estratégicos'!$A$3:$AA$17,27,FALSE)</f>
        <v>270361.2721</v>
      </c>
      <c r="N50" s="1">
        <f>VLOOKUP($A50,'Receitas - Aerop. Estratégicos'!$A$3:$AD$17,30,FALSE)</f>
        <v>270361.2721</v>
      </c>
      <c r="O50" s="1">
        <f>VLOOKUP($A50,'Receitas - Aerop. Estratégicos'!$A$3:$AG$17,33,FALSE)</f>
        <v>270361.2721</v>
      </c>
      <c r="P50" s="1">
        <f>VLOOKUP($A50,'Receitas - Aerop. Estratégicos'!$A$3:$AJ$17,36,FALSE)</f>
        <v>270361.2721</v>
      </c>
      <c r="Q50" s="1">
        <f>VLOOKUP($A50,'Receitas - Aerop. Estratégicos'!$A$3:$AM$17,39,FALSE)</f>
        <v>270361.2721</v>
      </c>
      <c r="R50" s="1">
        <f>VLOOKUP($A50,'Receitas - Aerop. Estratégicos'!$A$3:$AP$17,42,FALSE)</f>
        <v>270361.2721</v>
      </c>
      <c r="S50" s="1">
        <f>VLOOKUP($A50,'Receitas - Aerop. Estratégicos'!$A$3:$AS$17,45,FALSE)</f>
        <v>270361.2721</v>
      </c>
      <c r="T50" s="1">
        <f>VLOOKUP($A50,'Receitas - Aerop. Estratégicos'!$A$3:$AV$17,48,FALSE)</f>
        <v>270361.2721</v>
      </c>
      <c r="U50" s="1">
        <f>VLOOKUP($A50,'Receitas - Aerop. Estratégicos'!$A$3:$BB$17,51,FALSE)</f>
        <v>270361.2721</v>
      </c>
      <c r="V50" s="1">
        <f>VLOOKUP($A50,'Receitas - Aerop. Estratégicos'!$A$3:$BE$17,54,FALSE)</f>
        <v>270361.2721</v>
      </c>
      <c r="W50" s="1">
        <f>VLOOKUP($A50,'Receitas - Aerop. Estratégicos'!$A$3:$BH$17,57,FALSE)</f>
        <v>270361.2721</v>
      </c>
      <c r="X50" s="1">
        <f>VLOOKUP($A50,'Receitas - Aerop. Estratégicos'!$A$3:$BK$17,60,FALSE)</f>
        <v>270361.2721</v>
      </c>
      <c r="Y50" s="1">
        <f>VLOOKUP($A50,'Receitas - Aerop. Estratégicos'!$A$3:$BN$17,63,FALSE)</f>
        <v>270361.2721</v>
      </c>
      <c r="Z50" s="1">
        <f>VLOOKUP($A50,'Receitas - Aerop. Estratégicos'!$A$3:$BQ$17,66,FALSE)</f>
        <v>270361.2721</v>
      </c>
      <c r="AA50" s="1">
        <f>VLOOKUP($A50,'Receitas - Aerop. Estratégicos'!$A$3:$BT$17,69,FALSE)</f>
        <v>270361.2721</v>
      </c>
      <c r="AB50" s="1">
        <f>VLOOKUP($A50,'Receitas - Aerop. Estratégicos'!$A$3:$BW$17,72,FALSE)</f>
        <v>270361.2721</v>
      </c>
      <c r="AC50" s="1">
        <f>VLOOKUP($A50,'Receitas - Aerop. Estratégicos'!$A$3:$BZ$17,75,FALSE)</f>
        <v>270361.2721</v>
      </c>
      <c r="AD50" s="1">
        <f>VLOOKUP($A50,'Receitas - Aerop. Estratégicos'!$A$3:$CC$17,78,FALSE)</f>
        <v>270361.2721</v>
      </c>
      <c r="AE50" s="1">
        <f>VLOOKUP($A50,'Receitas - Aerop. Estratégicos'!$A$3:$CF$17,81,FALSE)</f>
        <v>270361.2721</v>
      </c>
      <c r="AF50" s="1">
        <f>VLOOKUP($A50,'Receitas - Aerop. Estratégicos'!$A$3:$CI$17,84,FALSE)</f>
        <v>270361.2721</v>
      </c>
      <c r="AG50" s="1">
        <f>VLOOKUP($A50,'Receitas - Aerop. Estratégicos'!$A$3:$CL$17,87,FALSE)</f>
        <v>270361.2721</v>
      </c>
      <c r="AH50" s="1">
        <f>VLOOKUP($A50,'Receitas - Aerop. Estratégicos'!$A$3:$CO$17,90,FALSE)</f>
        <v>270361.2721</v>
      </c>
      <c r="AI50" s="1">
        <f>VLOOKUP($A50,'Receitas - Aerop. Estratégicos'!$A$3:$CR$17,93,FALSE)</f>
        <v>270361.2721</v>
      </c>
      <c r="AJ50" s="1">
        <f>VLOOKUP($A50,'Receitas - Aerop. Estratégicos'!$A$3:$CU$17,96,FALSE)</f>
        <v>270361.2721</v>
      </c>
      <c r="AK50" s="1">
        <f>VLOOKUP($A50,'Receitas - Aerop. Estratégicos'!$A$3:$CX$17,99,FALSE)</f>
        <v>270361.2721</v>
      </c>
      <c r="AL50" s="1">
        <f t="shared" si="5"/>
        <v>8110838.1629999969</v>
      </c>
      <c r="AM50" t="str">
        <f>VLOOKUP(D50,'FLUXO DE CAIXA DESC.-BLOCOS PAN'!$D$3:$AO$52,38,FALSE)</f>
        <v>MT - 2 - AL</v>
      </c>
      <c r="AN50" s="1">
        <f t="shared" si="1"/>
        <v>4055419.0815000013</v>
      </c>
    </row>
    <row r="51" spans="1:40" x14ac:dyDescent="0.35">
      <c r="A51" t="s">
        <v>156</v>
      </c>
      <c r="B51" s="5" t="s">
        <v>275</v>
      </c>
      <c r="C51">
        <v>130360</v>
      </c>
      <c r="D51" t="s">
        <v>299</v>
      </c>
      <c r="E51" t="str">
        <f>VLOOKUP(A51,'CAPEX Manut. Estr_Naveg. Aérea'!$A$2:$B$38,2,FALSE)</f>
        <v>Santa Isabel do Rio Negro</v>
      </c>
      <c r="F51" t="s">
        <v>35</v>
      </c>
      <c r="G51" t="s">
        <v>33</v>
      </c>
      <c r="H51" s="1">
        <f>VLOOKUP($A51,'Receitas - Aerop. Estratégicos'!$A$3:$L$17,12,FALSE)</f>
        <v>624021.21160000004</v>
      </c>
      <c r="I51" s="1">
        <f>VLOOKUP($A51,'Receitas - Aerop. Estratégicos'!$A$3:$O$17,15,FALSE)</f>
        <v>624021.21160000004</v>
      </c>
      <c r="J51" s="1">
        <f>VLOOKUP($A51,'Receitas - Aerop. Estratégicos'!$A$3:$R$17,18,FALSE)</f>
        <v>624021.21160000004</v>
      </c>
      <c r="K51" s="1">
        <f>VLOOKUP($A51,'Receitas - Aerop. Estratégicos'!$A$3:$U$17,21,FALSE)</f>
        <v>624021.21160000004</v>
      </c>
      <c r="L51" s="1">
        <f>VLOOKUP($A51,'Receitas - Aerop. Estratégicos'!$A$3:$X$17,24,FALSE)</f>
        <v>624021.21160000004</v>
      </c>
      <c r="M51" s="1">
        <f>VLOOKUP($A51,'Receitas - Aerop. Estratégicos'!$A$3:$AA$17,27,FALSE)</f>
        <v>624021.21160000004</v>
      </c>
      <c r="N51" s="1">
        <f>VLOOKUP($A51,'Receitas - Aerop. Estratégicos'!$A$3:$AD$17,30,FALSE)</f>
        <v>624021.21160000004</v>
      </c>
      <c r="O51" s="1">
        <f>VLOOKUP($A51,'Receitas - Aerop. Estratégicos'!$A$3:$AG$17,33,FALSE)</f>
        <v>624021.21160000004</v>
      </c>
      <c r="P51" s="1">
        <f>VLOOKUP($A51,'Receitas - Aerop. Estratégicos'!$A$3:$AJ$17,36,FALSE)</f>
        <v>624021.21160000004</v>
      </c>
      <c r="Q51" s="1">
        <f>VLOOKUP($A51,'Receitas - Aerop. Estratégicos'!$A$3:$AM$17,39,FALSE)</f>
        <v>624021.21160000004</v>
      </c>
      <c r="R51" s="1">
        <f>VLOOKUP($A51,'Receitas - Aerop. Estratégicos'!$A$3:$AP$17,42,FALSE)</f>
        <v>624021.21160000004</v>
      </c>
      <c r="S51" s="1">
        <f>VLOOKUP($A51,'Receitas - Aerop. Estratégicos'!$A$3:$AS$17,45,FALSE)</f>
        <v>624021.21160000004</v>
      </c>
      <c r="T51" s="1">
        <f>VLOOKUP($A51,'Receitas - Aerop. Estratégicos'!$A$3:$AV$17,48,FALSE)</f>
        <v>624021.21160000004</v>
      </c>
      <c r="U51" s="1">
        <f>VLOOKUP($A51,'Receitas - Aerop. Estratégicos'!$A$3:$BB$17,51,FALSE)</f>
        <v>624021.21160000004</v>
      </c>
      <c r="V51" s="1">
        <f>VLOOKUP($A51,'Receitas - Aerop. Estratégicos'!$A$3:$BE$17,54,FALSE)</f>
        <v>624021.21160000004</v>
      </c>
      <c r="W51" s="1">
        <f>VLOOKUP($A51,'Receitas - Aerop. Estratégicos'!$A$3:$BH$17,57,FALSE)</f>
        <v>624021.21160000004</v>
      </c>
      <c r="X51" s="1">
        <f>VLOOKUP($A51,'Receitas - Aerop. Estratégicos'!$A$3:$BK$17,60,FALSE)</f>
        <v>624021.21160000004</v>
      </c>
      <c r="Y51" s="1">
        <f>VLOOKUP($A51,'Receitas - Aerop. Estratégicos'!$A$3:$BN$17,63,FALSE)</f>
        <v>624021.21160000004</v>
      </c>
      <c r="Z51" s="1">
        <f>VLOOKUP($A51,'Receitas - Aerop. Estratégicos'!$A$3:$BQ$17,66,FALSE)</f>
        <v>624021.21160000004</v>
      </c>
      <c r="AA51" s="1">
        <f>VLOOKUP($A51,'Receitas - Aerop. Estratégicos'!$A$3:$BT$17,69,FALSE)</f>
        <v>624021.21160000004</v>
      </c>
      <c r="AB51" s="1">
        <f>VLOOKUP($A51,'Receitas - Aerop. Estratégicos'!$A$3:$BW$17,72,FALSE)</f>
        <v>624021.21160000004</v>
      </c>
      <c r="AC51" s="1">
        <f>VLOOKUP($A51,'Receitas - Aerop. Estratégicos'!$A$3:$BZ$17,75,FALSE)</f>
        <v>624021.21160000004</v>
      </c>
      <c r="AD51" s="1">
        <f>VLOOKUP($A51,'Receitas - Aerop. Estratégicos'!$A$3:$CC$17,78,FALSE)</f>
        <v>624021.21160000004</v>
      </c>
      <c r="AE51" s="1">
        <f>VLOOKUP($A51,'Receitas - Aerop. Estratégicos'!$A$3:$CF$17,81,FALSE)</f>
        <v>624021.21160000004</v>
      </c>
      <c r="AF51" s="1">
        <f>VLOOKUP($A51,'Receitas - Aerop. Estratégicos'!$A$3:$CI$17,84,FALSE)</f>
        <v>624021.21160000004</v>
      </c>
      <c r="AG51" s="1">
        <f>VLOOKUP($A51,'Receitas - Aerop. Estratégicos'!$A$3:$CL$17,87,FALSE)</f>
        <v>624021.21160000004</v>
      </c>
      <c r="AH51" s="1">
        <f>VLOOKUP($A51,'Receitas - Aerop. Estratégicos'!$A$3:$CO$17,90,FALSE)</f>
        <v>624021.21160000004</v>
      </c>
      <c r="AI51" s="1">
        <f>VLOOKUP($A51,'Receitas - Aerop. Estratégicos'!$A$3:$CR$17,93,FALSE)</f>
        <v>624021.21160000004</v>
      </c>
      <c r="AJ51" s="1">
        <f>VLOOKUP($A51,'Receitas - Aerop. Estratégicos'!$A$3:$CU$17,96,FALSE)</f>
        <v>624021.21160000004</v>
      </c>
      <c r="AK51" s="1">
        <f>VLOOKUP($A51,'Receitas - Aerop. Estratégicos'!$A$3:$CX$17,99,FALSE)</f>
        <v>624021.21160000004</v>
      </c>
      <c r="AL51" s="1">
        <f t="shared" si="5"/>
        <v>18720636.347999997</v>
      </c>
      <c r="AM51" t="str">
        <f>VLOOKUP(D51,'FLUXO DE CAIXA DESC.-BLOCOS PAN'!$D$3:$AO$52,38,FALSE)</f>
        <v>AM - 2 - AL</v>
      </c>
      <c r="AN51" s="1">
        <f t="shared" si="1"/>
        <v>9360318.1740000006</v>
      </c>
    </row>
    <row r="52" spans="1:40" x14ac:dyDescent="0.35">
      <c r="A52" t="s">
        <v>160</v>
      </c>
      <c r="B52" s="5" t="s">
        <v>276</v>
      </c>
      <c r="C52">
        <v>130014</v>
      </c>
      <c r="D52" t="s">
        <v>300</v>
      </c>
      <c r="E52" t="str">
        <f>VLOOKUP(A52,'CAPEX Manut. Estr_Naveg. Aérea'!$A$2:$B$38,2,FALSE)</f>
        <v>Apuí</v>
      </c>
      <c r="F52" t="s">
        <v>35</v>
      </c>
      <c r="G52" t="s">
        <v>33</v>
      </c>
      <c r="H52" s="1">
        <f>VLOOKUP($A52,'Receitas - Aerop. Estratégicos'!$A$3:$L$17,12,FALSE)</f>
        <v>623621.3382</v>
      </c>
      <c r="I52" s="1">
        <f>VLOOKUP($A52,'Receitas - Aerop. Estratégicos'!$A$3:$O$17,15,FALSE)</f>
        <v>623621.3382</v>
      </c>
      <c r="J52" s="1">
        <f>VLOOKUP($A52,'Receitas - Aerop. Estratégicos'!$A$3:$R$17,18,FALSE)</f>
        <v>623621.3382</v>
      </c>
      <c r="K52" s="1">
        <f>VLOOKUP($A52,'Receitas - Aerop. Estratégicos'!$A$3:$U$17,21,FALSE)</f>
        <v>623621.3382</v>
      </c>
      <c r="L52" s="1">
        <f>VLOOKUP($A52,'Receitas - Aerop. Estratégicos'!$A$3:$X$17,24,FALSE)</f>
        <v>623621.3382</v>
      </c>
      <c r="M52" s="1">
        <f>VLOOKUP($A52,'Receitas - Aerop. Estratégicos'!$A$3:$AA$17,27,FALSE)</f>
        <v>623621.3382</v>
      </c>
      <c r="N52" s="1">
        <f>VLOOKUP($A52,'Receitas - Aerop. Estratégicos'!$A$3:$AD$17,30,FALSE)</f>
        <v>623621.3382</v>
      </c>
      <c r="O52" s="1">
        <f>VLOOKUP($A52,'Receitas - Aerop. Estratégicos'!$A$3:$AG$17,33,FALSE)</f>
        <v>623621.3382</v>
      </c>
      <c r="P52" s="1">
        <f>VLOOKUP($A52,'Receitas - Aerop. Estratégicos'!$A$3:$AJ$17,36,FALSE)</f>
        <v>623621.3382</v>
      </c>
      <c r="Q52" s="1">
        <f>VLOOKUP($A52,'Receitas - Aerop. Estratégicos'!$A$3:$AM$17,39,FALSE)</f>
        <v>623621.3382</v>
      </c>
      <c r="R52" s="1">
        <f>VLOOKUP($A52,'Receitas - Aerop. Estratégicos'!$A$3:$AP$17,42,FALSE)</f>
        <v>623621.3382</v>
      </c>
      <c r="S52" s="1">
        <f>VLOOKUP($A52,'Receitas - Aerop. Estratégicos'!$A$3:$AS$17,45,FALSE)</f>
        <v>623621.3382</v>
      </c>
      <c r="T52" s="1">
        <f>VLOOKUP($A52,'Receitas - Aerop. Estratégicos'!$A$3:$AV$17,48,FALSE)</f>
        <v>623621.3382</v>
      </c>
      <c r="U52" s="1">
        <f>VLOOKUP($A52,'Receitas - Aerop. Estratégicos'!$A$3:$BB$17,51,FALSE)</f>
        <v>623621.3382</v>
      </c>
      <c r="V52" s="1">
        <f>VLOOKUP($A52,'Receitas - Aerop. Estratégicos'!$A$3:$BE$17,54,FALSE)</f>
        <v>623621.3382</v>
      </c>
      <c r="W52" s="1">
        <f>VLOOKUP($A52,'Receitas - Aerop. Estratégicos'!$A$3:$BH$17,57,FALSE)</f>
        <v>623621.3382</v>
      </c>
      <c r="X52" s="1">
        <f>VLOOKUP($A52,'Receitas - Aerop. Estratégicos'!$A$3:$BK$17,60,FALSE)</f>
        <v>623621.3382</v>
      </c>
      <c r="Y52" s="1">
        <f>VLOOKUP($A52,'Receitas - Aerop. Estratégicos'!$A$3:$BN$17,63,FALSE)</f>
        <v>623621.3382</v>
      </c>
      <c r="Z52" s="1">
        <f>VLOOKUP($A52,'Receitas - Aerop. Estratégicos'!$A$3:$BQ$17,66,FALSE)</f>
        <v>623621.3382</v>
      </c>
      <c r="AA52" s="1">
        <f>VLOOKUP($A52,'Receitas - Aerop. Estratégicos'!$A$3:$BT$17,69,FALSE)</f>
        <v>623621.3382</v>
      </c>
      <c r="AB52" s="1">
        <f>VLOOKUP($A52,'Receitas - Aerop. Estratégicos'!$A$3:$BW$17,72,FALSE)</f>
        <v>623621.3382</v>
      </c>
      <c r="AC52" s="1">
        <f>VLOOKUP($A52,'Receitas - Aerop. Estratégicos'!$A$3:$BZ$17,75,FALSE)</f>
        <v>623621.3382</v>
      </c>
      <c r="AD52" s="1">
        <f>VLOOKUP($A52,'Receitas - Aerop. Estratégicos'!$A$3:$CC$17,78,FALSE)</f>
        <v>623621.3382</v>
      </c>
      <c r="AE52" s="1">
        <f>VLOOKUP($A52,'Receitas - Aerop. Estratégicos'!$A$3:$CF$17,81,FALSE)</f>
        <v>623621.3382</v>
      </c>
      <c r="AF52" s="1">
        <f>VLOOKUP($A52,'Receitas - Aerop. Estratégicos'!$A$3:$CI$17,84,FALSE)</f>
        <v>623621.3382</v>
      </c>
      <c r="AG52" s="1">
        <f>VLOOKUP($A52,'Receitas - Aerop. Estratégicos'!$A$3:$CL$17,87,FALSE)</f>
        <v>623621.3382</v>
      </c>
      <c r="AH52" s="1">
        <f>VLOOKUP($A52,'Receitas - Aerop. Estratégicos'!$A$3:$CO$17,90,FALSE)</f>
        <v>623621.3382</v>
      </c>
      <c r="AI52" s="1">
        <f>VLOOKUP($A52,'Receitas - Aerop. Estratégicos'!$A$3:$CR$17,93,FALSE)</f>
        <v>623621.3382</v>
      </c>
      <c r="AJ52" s="1">
        <f>VLOOKUP($A52,'Receitas - Aerop. Estratégicos'!$A$3:$CU$17,96,FALSE)</f>
        <v>623621.3382</v>
      </c>
      <c r="AK52" s="1">
        <f>VLOOKUP($A52,'Receitas - Aerop. Estratégicos'!$A$3:$CX$17,99,FALSE)</f>
        <v>623621.3382</v>
      </c>
      <c r="AL52" s="1">
        <f t="shared" si="5"/>
        <v>18708640.145999987</v>
      </c>
      <c r="AM52" t="str">
        <f>VLOOKUP(D52,'FLUXO DE CAIXA DESC.-BLOCOS PAN'!$D$3:$AO$52,38,FALSE)</f>
        <v>AM - 3 - AL</v>
      </c>
      <c r="AN52" s="1">
        <f t="shared" si="1"/>
        <v>9354320.0729999989</v>
      </c>
    </row>
    <row r="53" spans="1:40" x14ac:dyDescent="0.35">
      <c r="H53" s="69">
        <f>SUBTOTAL(109,H3:H52)</f>
        <v>119204834.1628</v>
      </c>
      <c r="I53" s="69">
        <f>SUBTOTAL(109,I3:I52)</f>
        <v>119727950.29439999</v>
      </c>
      <c r="J53" s="69">
        <f>SUBTOTAL(109,J3:J52)</f>
        <v>122407665.8117</v>
      </c>
      <c r="K53" s="69">
        <f>SUBTOTAL(109,K3:K52)</f>
        <v>123950847.30259998</v>
      </c>
      <c r="L53" s="69">
        <f>SUBTOTAL(109,L3:L52)</f>
        <v>126209611.79599999</v>
      </c>
      <c r="M53" s="69">
        <f>SUBTOTAL(109,M3:M52)</f>
        <v>126275232.6057</v>
      </c>
      <c r="N53" s="69">
        <f>SUBTOTAL(109,N3:N52)</f>
        <v>127021293.61420001</v>
      </c>
      <c r="O53" s="69">
        <f>SUBTOTAL(109,O3:O52)</f>
        <v>127262611.9198</v>
      </c>
      <c r="P53" s="69">
        <f>SUBTOTAL(109,P3:P52)</f>
        <v>127320650.15969999</v>
      </c>
      <c r="Q53" s="69">
        <f>SUBTOTAL(109,Q3:Q52)</f>
        <v>127972679.75089999</v>
      </c>
      <c r="R53" s="69">
        <f>SUBTOTAL(109,R3:R52)</f>
        <v>128022384.2485</v>
      </c>
      <c r="S53" s="69">
        <f>SUBTOTAL(109,S3:S52)</f>
        <v>128432305.08569999</v>
      </c>
      <c r="T53" s="69">
        <f>SUBTOTAL(109,T3:T52)</f>
        <v>128481742.09450002</v>
      </c>
      <c r="U53" s="69">
        <f>SUBTOTAL(109,U3:U52)</f>
        <v>128534040.63870002</v>
      </c>
      <c r="V53" s="69">
        <f>SUBTOTAL(109,V3:V52)</f>
        <v>128584545.49700002</v>
      </c>
      <c r="W53" s="69">
        <f>SUBTOTAL(109,W3:W52)</f>
        <v>129468269.16070004</v>
      </c>
      <c r="X53" s="69">
        <f>SUBTOTAL(109,X3:X52)</f>
        <v>130639769.686</v>
      </c>
      <c r="Y53" s="69">
        <f>SUBTOTAL(109,Y3:Y52)</f>
        <v>130692516.32639997</v>
      </c>
      <c r="Z53" s="69">
        <f>SUBTOTAL(109,Z3:Z52)</f>
        <v>130747426.68060003</v>
      </c>
      <c r="AA53" s="69">
        <f>SUBTOTAL(109,AA3:AA52)</f>
        <v>131924331.3636</v>
      </c>
      <c r="AB53" s="69">
        <f>SUBTOTAL(109,AB3:AB52)</f>
        <v>131979477.05380003</v>
      </c>
      <c r="AC53" s="69">
        <f>SUBTOTAL(109,AC3:AC52)</f>
        <v>132033811.83780001</v>
      </c>
      <c r="AD53" s="69">
        <f>SUBTOTAL(109,AD3:AD52)</f>
        <v>133380440.04889999</v>
      </c>
      <c r="AE53" s="69">
        <f>SUBTOTAL(109,AE3:AE52)</f>
        <v>133432384.47750001</v>
      </c>
      <c r="AF53" s="69">
        <f>SUBTOTAL(109,AF3:AF52)</f>
        <v>133486461.8433</v>
      </c>
      <c r="AG53" s="69">
        <f>SUBTOTAL(109,AG3:AG52)</f>
        <v>134236899.29999998</v>
      </c>
      <c r="AH53" s="69">
        <f>SUBTOTAL(109,AH3:AH52)</f>
        <v>137657844.62030005</v>
      </c>
      <c r="AI53" s="69">
        <f>SUBTOTAL(109,AI3:AI52)</f>
        <v>137709955.63280007</v>
      </c>
      <c r="AJ53" s="69">
        <f>SUBTOTAL(109,AJ3:AJ52)</f>
        <v>137930814.50660002</v>
      </c>
      <c r="AK53" s="69">
        <f>SUBTOTAL(109,AK3:AK52)</f>
        <v>139083907.73050004</v>
      </c>
      <c r="AL53" s="69">
        <f>SUBTOTAL(109,AL3:AL52)</f>
        <v>3893812705.2510009</v>
      </c>
      <c r="AN53" s="69">
        <f>SUBTOTAL(109,AN3:AN52)</f>
        <v>1889408394.9822001</v>
      </c>
    </row>
    <row r="54" spans="1:40" x14ac:dyDescent="0.35">
      <c r="H54" s="69">
        <f>H53</f>
        <v>119204834.1628</v>
      </c>
      <c r="I54" s="69">
        <f>H54+I53</f>
        <v>238932784.45719999</v>
      </c>
      <c r="J54" s="69">
        <f t="shared" ref="J54:AK54" si="10">I54+J53</f>
        <v>361340450.26889998</v>
      </c>
      <c r="K54" s="69">
        <f t="shared" si="10"/>
        <v>485291297.57149994</v>
      </c>
      <c r="L54" s="69">
        <f t="shared" si="10"/>
        <v>611500909.36749995</v>
      </c>
      <c r="M54" s="69">
        <f t="shared" si="10"/>
        <v>737776141.97319996</v>
      </c>
      <c r="N54" s="69">
        <f t="shared" si="10"/>
        <v>864797435.58739996</v>
      </c>
      <c r="O54" s="69">
        <f t="shared" si="10"/>
        <v>992060047.5072</v>
      </c>
      <c r="P54" s="69">
        <f t="shared" si="10"/>
        <v>1119380697.6668999</v>
      </c>
      <c r="Q54" s="69">
        <f t="shared" si="10"/>
        <v>1247353377.4177999</v>
      </c>
      <c r="R54" s="69">
        <f t="shared" si="10"/>
        <v>1375375761.6663001</v>
      </c>
      <c r="S54" s="69">
        <f t="shared" si="10"/>
        <v>1503808066.7520001</v>
      </c>
      <c r="T54" s="69">
        <f t="shared" si="10"/>
        <v>1632289808.8465002</v>
      </c>
      <c r="U54" s="69">
        <f t="shared" si="10"/>
        <v>1760823849.4852002</v>
      </c>
      <c r="V54" s="69">
        <f t="shared" si="10"/>
        <v>1889408394.9822001</v>
      </c>
      <c r="W54" s="69">
        <f t="shared" si="10"/>
        <v>2018876664.1429002</v>
      </c>
      <c r="X54" s="69">
        <f t="shared" si="10"/>
        <v>2149516433.8289003</v>
      </c>
      <c r="Y54" s="69">
        <f t="shared" si="10"/>
        <v>2280208950.1553001</v>
      </c>
      <c r="Z54" s="69">
        <f t="shared" si="10"/>
        <v>2410956376.8359003</v>
      </c>
      <c r="AA54" s="69">
        <f t="shared" si="10"/>
        <v>2542880708.1995001</v>
      </c>
      <c r="AB54" s="69">
        <f t="shared" si="10"/>
        <v>2674860185.2533002</v>
      </c>
      <c r="AC54" s="69">
        <f t="shared" si="10"/>
        <v>2806893997.0911002</v>
      </c>
      <c r="AD54" s="69">
        <f t="shared" si="10"/>
        <v>2940274437.1400003</v>
      </c>
      <c r="AE54" s="69">
        <f t="shared" si="10"/>
        <v>3073706821.6175003</v>
      </c>
      <c r="AF54" s="69">
        <f t="shared" si="10"/>
        <v>3207193283.4608002</v>
      </c>
      <c r="AG54" s="69">
        <f t="shared" si="10"/>
        <v>3341430182.7608004</v>
      </c>
      <c r="AH54" s="69">
        <f t="shared" si="10"/>
        <v>3479088027.3811007</v>
      </c>
      <c r="AI54" s="69">
        <f t="shared" si="10"/>
        <v>3616797983.0139008</v>
      </c>
      <c r="AJ54" s="69">
        <f t="shared" si="10"/>
        <v>3754728797.5205007</v>
      </c>
      <c r="AK54" s="69">
        <f t="shared" si="10"/>
        <v>3893812705.2510009</v>
      </c>
    </row>
    <row r="59" spans="1:40" x14ac:dyDescent="0.35">
      <c r="A59" s="63" t="s">
        <v>354</v>
      </c>
    </row>
  </sheetData>
  <autoFilter ref="A2:AM54" xr:uid="{BA42F879-3315-47F0-B31D-D4DFA9236423}"/>
  <conditionalFormatting sqref="D47:D52 D38">
    <cfRule type="duplicateValues" dxfId="13" priority="1"/>
  </conditionalFormatting>
  <conditionalFormatting sqref="A3:A37">
    <cfRule type="duplicateValues" dxfId="12" priority="283"/>
  </conditionalFormatting>
  <conditionalFormatting sqref="D3:D37">
    <cfRule type="duplicateValues" dxfId="11" priority="285"/>
  </conditionalFormatting>
  <hyperlinks>
    <hyperlink ref="A59" location="Introdução!A1" display="Introdução!A1" xr:uid="{A9DBE44E-3DF1-4651-9A11-6DB5A373EA36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BB29-228C-4F2C-98D3-4C909DC92161}">
  <sheetPr>
    <tabColor rgb="FF00B0F0"/>
  </sheetPr>
  <dimension ref="A1:AN59"/>
  <sheetViews>
    <sheetView topLeftCell="A16" workbookViewId="0">
      <selection activeCell="A47" sqref="A47:XFD47"/>
    </sheetView>
  </sheetViews>
  <sheetFormatPr defaultRowHeight="14.5" x14ac:dyDescent="0.35"/>
  <cols>
    <col min="1" max="1" width="7" bestFit="1" customWidth="1"/>
    <col min="2" max="2" width="20.81640625" customWidth="1"/>
    <col min="3" max="3" width="7.453125" bestFit="1" customWidth="1"/>
    <col min="4" max="4" width="13.1796875" bestFit="1" customWidth="1"/>
    <col min="5" max="5" width="18.7265625" customWidth="1"/>
    <col min="6" max="6" width="3.81640625" bestFit="1" customWidth="1"/>
    <col min="7" max="7" width="10.453125" customWidth="1"/>
    <col min="8" max="37" width="19.54296875" bestFit="1" customWidth="1"/>
    <col min="38" max="38" width="20.54296875" bestFit="1" customWidth="1"/>
    <col min="39" max="39" width="19.54296875" bestFit="1" customWidth="1"/>
    <col min="40" max="40" width="28.7265625" bestFit="1" customWidth="1"/>
  </cols>
  <sheetData>
    <row r="1" spans="1:40" x14ac:dyDescent="0.35">
      <c r="A1" s="2" t="s">
        <v>0</v>
      </c>
      <c r="B1" s="2" t="s">
        <v>162</v>
      </c>
      <c r="C1" s="2" t="s">
        <v>163</v>
      </c>
      <c r="D1" s="2" t="s">
        <v>2</v>
      </c>
      <c r="E1" s="2" t="s">
        <v>3</v>
      </c>
      <c r="F1" s="2" t="s">
        <v>4</v>
      </c>
      <c r="G1" s="2" t="s">
        <v>164</v>
      </c>
      <c r="H1" s="2" t="s">
        <v>252</v>
      </c>
      <c r="I1" s="2" t="s">
        <v>252</v>
      </c>
      <c r="J1" s="2" t="s">
        <v>252</v>
      </c>
      <c r="K1" s="2" t="s">
        <v>252</v>
      </c>
      <c r="L1" s="2" t="s">
        <v>252</v>
      </c>
      <c r="M1" s="2" t="s">
        <v>252</v>
      </c>
      <c r="N1" s="2" t="s">
        <v>252</v>
      </c>
      <c r="O1" s="2" t="s">
        <v>252</v>
      </c>
      <c r="P1" s="2" t="s">
        <v>252</v>
      </c>
      <c r="Q1" s="2" t="s">
        <v>252</v>
      </c>
      <c r="R1" s="2" t="s">
        <v>252</v>
      </c>
      <c r="S1" s="2" t="s">
        <v>252</v>
      </c>
      <c r="T1" s="2" t="s">
        <v>252</v>
      </c>
      <c r="U1" s="2" t="s">
        <v>252</v>
      </c>
      <c r="V1" s="2" t="s">
        <v>252</v>
      </c>
      <c r="W1" s="2" t="s">
        <v>252</v>
      </c>
      <c r="X1" s="2" t="s">
        <v>252</v>
      </c>
      <c r="Y1" s="2" t="s">
        <v>252</v>
      </c>
      <c r="Z1" s="2" t="s">
        <v>252</v>
      </c>
      <c r="AA1" s="2" t="s">
        <v>252</v>
      </c>
      <c r="AB1" s="2" t="s">
        <v>252</v>
      </c>
      <c r="AC1" s="2" t="s">
        <v>252</v>
      </c>
      <c r="AD1" s="2" t="s">
        <v>252</v>
      </c>
      <c r="AE1" s="2" t="s">
        <v>252</v>
      </c>
      <c r="AF1" s="2" t="s">
        <v>252</v>
      </c>
      <c r="AG1" s="2" t="s">
        <v>252</v>
      </c>
      <c r="AH1" s="2" t="s">
        <v>252</v>
      </c>
      <c r="AI1" s="2" t="s">
        <v>252</v>
      </c>
      <c r="AJ1" s="2" t="s">
        <v>252</v>
      </c>
      <c r="AK1" s="2" t="s">
        <v>252</v>
      </c>
      <c r="AL1" s="2" t="s">
        <v>252</v>
      </c>
      <c r="AM1" s="2" t="s">
        <v>252</v>
      </c>
      <c r="AN1" s="2" t="s">
        <v>355</v>
      </c>
    </row>
    <row r="2" spans="1:40" s="3" customFormat="1" x14ac:dyDescent="0.35">
      <c r="A2" s="68" t="s">
        <v>0</v>
      </c>
      <c r="B2" s="68" t="s">
        <v>162</v>
      </c>
      <c r="C2" s="68" t="s">
        <v>163</v>
      </c>
      <c r="D2" s="68" t="s">
        <v>2</v>
      </c>
      <c r="E2" s="68" t="s">
        <v>3</v>
      </c>
      <c r="F2" s="68" t="s">
        <v>4</v>
      </c>
      <c r="G2" s="68" t="s">
        <v>164</v>
      </c>
      <c r="H2" s="43">
        <v>1</v>
      </c>
      <c r="I2" s="43">
        <v>2</v>
      </c>
      <c r="J2" s="43">
        <v>3</v>
      </c>
      <c r="K2" s="43">
        <v>4</v>
      </c>
      <c r="L2" s="43">
        <v>5</v>
      </c>
      <c r="M2" s="43">
        <v>6</v>
      </c>
      <c r="N2" s="43">
        <v>7</v>
      </c>
      <c r="O2" s="43">
        <v>8</v>
      </c>
      <c r="P2" s="43">
        <v>9</v>
      </c>
      <c r="Q2" s="43">
        <v>10</v>
      </c>
      <c r="R2" s="43">
        <v>11</v>
      </c>
      <c r="S2" s="43">
        <v>12</v>
      </c>
      <c r="T2" s="43">
        <v>13</v>
      </c>
      <c r="U2" s="43">
        <v>14</v>
      </c>
      <c r="V2" s="43">
        <v>15</v>
      </c>
      <c r="W2" s="43">
        <v>16</v>
      </c>
      <c r="X2" s="43">
        <v>17</v>
      </c>
      <c r="Y2" s="43">
        <v>18</v>
      </c>
      <c r="Z2" s="43">
        <v>19</v>
      </c>
      <c r="AA2" s="43">
        <v>20</v>
      </c>
      <c r="AB2" s="43">
        <v>21</v>
      </c>
      <c r="AC2" s="43">
        <v>22</v>
      </c>
      <c r="AD2" s="43">
        <v>23</v>
      </c>
      <c r="AE2" s="43">
        <v>24</v>
      </c>
      <c r="AF2" s="43">
        <v>25</v>
      </c>
      <c r="AG2" s="43">
        <v>26</v>
      </c>
      <c r="AH2" s="43">
        <v>27</v>
      </c>
      <c r="AI2" s="43">
        <v>28</v>
      </c>
      <c r="AJ2" s="43">
        <v>29</v>
      </c>
      <c r="AK2" s="43">
        <v>30</v>
      </c>
      <c r="AL2" s="43" t="s">
        <v>250</v>
      </c>
      <c r="AM2" s="2" t="s">
        <v>359</v>
      </c>
      <c r="AN2" s="43" t="s">
        <v>303</v>
      </c>
    </row>
    <row r="3" spans="1:40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33</v>
      </c>
      <c r="H3" s="1">
        <f>VLOOKUP($D3,'BASE PAN - RECEITAS'!$D$3:$K$37,8,FALSE)</f>
        <v>521591.71649999998</v>
      </c>
      <c r="I3" s="1">
        <f>VLOOKUP($D3,'BASE PAN - RECEITAS'!$D$3:$N$37,11,FALSE)</f>
        <v>589080.31770000001</v>
      </c>
      <c r="J3" s="1">
        <f>VLOOKUP($D3,'BASE PAN - RECEITAS'!$D$3:$Q$37,14,FALSE)</f>
        <v>660408.7977</v>
      </c>
      <c r="K3" s="1">
        <f>VLOOKUP($D3,'BASE PAN - RECEITAS'!$D$3:$T$37,17,FALSE)</f>
        <v>692638.94519999996</v>
      </c>
      <c r="L3" s="1">
        <f>VLOOKUP($D3,'BASE PAN - RECEITAS'!$D$3:$W$37,20,FALSE)</f>
        <v>717902.10809999995</v>
      </c>
      <c r="M3" s="1">
        <f>VLOOKUP($D3,'BASE PAN - RECEITAS'!$D$3:$Z$37,23,FALSE)</f>
        <v>739799.02350000001</v>
      </c>
      <c r="N3" s="1">
        <f>VLOOKUP($D3,'BASE PAN - RECEITAS'!$D$3:$AC$37,26,FALSE)</f>
        <v>759685.54119999998</v>
      </c>
      <c r="O3" s="1">
        <f>VLOOKUP($D3,'BASE PAN - RECEITAS'!$D$3:$AF$37,29,FALSE)</f>
        <v>778169.45570000005</v>
      </c>
      <c r="P3" s="1">
        <f>VLOOKUP($D3,'BASE PAN - RECEITAS'!$D$3:$AI$37,32,FALSE)</f>
        <v>794922.77049999998</v>
      </c>
      <c r="Q3" s="1">
        <f>VLOOKUP($D3,'BASE PAN - RECEITAS'!$D$3:$AL$37,35,FALSE)</f>
        <v>809986.92150000005</v>
      </c>
      <c r="R3" s="1">
        <f>VLOOKUP($D3,'BASE PAN - RECEITAS'!$D$3:$AO$37,38,FALSE)</f>
        <v>823692.77579999994</v>
      </c>
      <c r="S3" s="1">
        <f>VLOOKUP($D3,'BASE PAN - RECEITAS'!$D$3:$AR$37,41,FALSE)</f>
        <v>837095.42760000005</v>
      </c>
      <c r="T3" s="1">
        <f>VLOOKUP($D3,'BASE PAN - RECEITAS'!$D$3:$AU$37,44,FALSE)</f>
        <v>850233.86600000004</v>
      </c>
      <c r="U3" s="1">
        <f>VLOOKUP($D3,'BASE PAN - RECEITAS'!$D$3:$AX$37,47,FALSE)</f>
        <v>863715.16280000005</v>
      </c>
      <c r="V3" s="1">
        <f>VLOOKUP($D3,'BASE PAN - RECEITAS'!$D$3:$BA$37,50,FALSE)</f>
        <v>876650.28029999998</v>
      </c>
      <c r="W3" s="1">
        <f>VLOOKUP($D3,'BASE PAN - RECEITAS'!$D$3:$BD$37,53,FALSE)</f>
        <v>889726.38060000003</v>
      </c>
      <c r="X3" s="1">
        <f>VLOOKUP($D3,'BASE PAN - RECEITAS'!$D$3:$BG$37,56,FALSE)</f>
        <v>902630.32920000004</v>
      </c>
      <c r="Y3" s="1">
        <f>VLOOKUP($D3,'BASE PAN - RECEITAS'!$D$3:$BJ$37,59,FALSE)</f>
        <v>915924.61230000004</v>
      </c>
      <c r="Z3" s="1">
        <f>VLOOKUP($D3,'BASE PAN - RECEITAS'!$D$3:$BM$37,62,FALSE)</f>
        <v>929265.64879999997</v>
      </c>
      <c r="AA3" s="1">
        <f>VLOOKUP($D3,'BASE PAN - RECEITAS'!$D$3:$BP$37,65,FALSE)</f>
        <v>942715.05409999995</v>
      </c>
      <c r="AB3" s="1">
        <f>VLOOKUP($D3,'BASE PAN - RECEITAS'!$D$3:$BS$37,68,FALSE)</f>
        <v>955541.80279999995</v>
      </c>
      <c r="AC3" s="1">
        <f>VLOOKUP($D3,'BASE PAN - RECEITAS'!$D$3:$BV$37,71,FALSE)</f>
        <v>968430.16680000001</v>
      </c>
      <c r="AD3" s="1">
        <f>VLOOKUP($D3,'BASE PAN - RECEITAS'!$D$3:$BY$37,74,FALSE)</f>
        <v>1036986.192</v>
      </c>
      <c r="AE3" s="1">
        <f>VLOOKUP($D3,'BASE PAN - RECEITAS'!$D$3:$CB$37,77,FALSE)</f>
        <v>1050182.0560000001</v>
      </c>
      <c r="AF3" s="1">
        <f>VLOOKUP($D3,'BASE PAN - RECEITAS'!$D$3:$CE$37,80,FALSE)</f>
        <v>1062749.179</v>
      </c>
      <c r="AG3" s="1">
        <f>VLOOKUP($D3,'BASE PAN - RECEITAS'!$D$3:$CH$37,83,FALSE)</f>
        <v>1075282.402</v>
      </c>
      <c r="AH3" s="1">
        <f>VLOOKUP($D3,'BASE PAN - RECEITAS'!$D$3:$CK$37,86,FALSE)</f>
        <v>1086972.3570000001</v>
      </c>
      <c r="AI3" s="1">
        <f>VLOOKUP($D3,'BASE PAN - RECEITAS'!$D$3:$CN$37,89,FALSE)</f>
        <v>1098544.2309999999</v>
      </c>
      <c r="AJ3" s="1">
        <f>VLOOKUP($D3,'BASE PAN - RECEITAS'!$D$3:$CQ$37,92,FALSE)</f>
        <v>1110533.5560000001</v>
      </c>
      <c r="AK3" s="1">
        <f>VLOOKUP($D3,'BASE PAN - RECEITAS'!$D$3:$CT$37,95,FALSE)</f>
        <v>1122661.932</v>
      </c>
      <c r="AL3" s="1">
        <f t="shared" ref="AL3:AL7" si="0">SUM(H3:AK3)</f>
        <v>26463719.009700004</v>
      </c>
      <c r="AM3" s="1">
        <f>SUM(H3:V3)</f>
        <v>11315573.110099999</v>
      </c>
      <c r="AN3" t="str">
        <f>VLOOKUP(D3,'FLUXO DE CAIXA DESC.-BLOCOS PAN'!$D$3:$AO$52,38,FALSE)</f>
        <v>PA - 1 - AL</v>
      </c>
    </row>
    <row r="4" spans="1:40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33</v>
      </c>
      <c r="H4" s="1">
        <f>VLOOKUP($D4,'BASE PAN - RECEITAS'!$D$3:$K$37,8,FALSE)</f>
        <v>562862.42559999996</v>
      </c>
      <c r="I4" s="1">
        <f>VLOOKUP($D4,'BASE PAN - RECEITAS'!$D$3:$N$37,11,FALSE)</f>
        <v>616211.45160000003</v>
      </c>
      <c r="J4" s="1">
        <f>VLOOKUP($D4,'BASE PAN - RECEITAS'!$D$3:$Q$37,14,FALSE)</f>
        <v>681900.51670000004</v>
      </c>
      <c r="K4" s="1">
        <f>VLOOKUP($D4,'BASE PAN - RECEITAS'!$D$3:$T$37,17,FALSE)</f>
        <v>713117.67310000001</v>
      </c>
      <c r="L4" s="1">
        <f>VLOOKUP($D4,'BASE PAN - RECEITAS'!$D$3:$W$37,20,FALSE)</f>
        <v>739612.0098</v>
      </c>
      <c r="M4" s="1">
        <f>VLOOKUP($D4,'BASE PAN - RECEITAS'!$D$3:$Z$37,23,FALSE)</f>
        <v>763862.18149999995</v>
      </c>
      <c r="N4" s="1">
        <f>VLOOKUP($D4,'BASE PAN - RECEITAS'!$D$3:$AC$37,26,FALSE)</f>
        <v>786834.42599999998</v>
      </c>
      <c r="O4" s="1">
        <f>VLOOKUP($D4,'BASE PAN - RECEITAS'!$D$3:$AF$37,29,FALSE)</f>
        <v>809145.35959999997</v>
      </c>
      <c r="P4" s="1">
        <f>VLOOKUP($D4,'BASE PAN - RECEITAS'!$D$3:$AI$37,32,FALSE)</f>
        <v>830222.67249999999</v>
      </c>
      <c r="Q4" s="1">
        <f>VLOOKUP($D4,'BASE PAN - RECEITAS'!$D$3:$AL$37,35,FALSE)</f>
        <v>849485.81099999999</v>
      </c>
      <c r="R4" s="1">
        <f>VLOOKUP($D4,'BASE PAN - RECEITAS'!$D$3:$AO$37,38,FALSE)</f>
        <v>867548.94460000005</v>
      </c>
      <c r="S4" s="1">
        <f>VLOOKUP($D4,'BASE PAN - RECEITAS'!$D$3:$AR$37,41,FALSE)</f>
        <v>885534.15579999995</v>
      </c>
      <c r="T4" s="1">
        <f>VLOOKUP($D4,'BASE PAN - RECEITAS'!$D$3:$AU$37,44,FALSE)</f>
        <v>903393.96860000002</v>
      </c>
      <c r="U4" s="1">
        <f>VLOOKUP($D4,'BASE PAN - RECEITAS'!$D$3:$AX$37,47,FALSE)</f>
        <v>921737.62289999996</v>
      </c>
      <c r="V4" s="1">
        <f>VLOOKUP($D4,'BASE PAN - RECEITAS'!$D$3:$BA$37,50,FALSE)</f>
        <v>939878.67890000006</v>
      </c>
      <c r="W4" s="1">
        <f>VLOOKUP($D4,'BASE PAN - RECEITAS'!$D$3:$BD$37,53,FALSE)</f>
        <v>958284.67110000004</v>
      </c>
      <c r="X4" s="1">
        <f>VLOOKUP($D4,'BASE PAN - RECEITAS'!$D$3:$BG$37,56,FALSE)</f>
        <v>1032397.927</v>
      </c>
      <c r="Y4" s="1">
        <f>VLOOKUP($D4,'BASE PAN - RECEITAS'!$D$3:$BJ$37,59,FALSE)</f>
        <v>1053083.459</v>
      </c>
      <c r="Z4" s="1">
        <f>VLOOKUP($D4,'BASE PAN - RECEITAS'!$D$3:$BM$37,62,FALSE)</f>
        <v>1074034.1240000001</v>
      </c>
      <c r="AA4" s="1">
        <f>VLOOKUP($D4,'BASE PAN - RECEITAS'!$D$3:$BP$37,65,FALSE)</f>
        <v>1095271.7180000001</v>
      </c>
      <c r="AB4" s="1">
        <f>VLOOKUP($D4,'BASE PAN - RECEITAS'!$D$3:$BS$37,68,FALSE)</f>
        <v>1116285.7560000001</v>
      </c>
      <c r="AC4" s="1">
        <f>VLOOKUP($D4,'BASE PAN - RECEITAS'!$D$3:$BV$37,71,FALSE)</f>
        <v>1137489.45</v>
      </c>
      <c r="AD4" s="1">
        <f>VLOOKUP($D4,'BASE PAN - RECEITAS'!$D$3:$BY$37,74,FALSE)</f>
        <v>1158592.095</v>
      </c>
      <c r="AE4" s="1">
        <f>VLOOKUP($D4,'BASE PAN - RECEITAS'!$D$3:$CB$37,77,FALSE)</f>
        <v>1180116.294</v>
      </c>
      <c r="AF4" s="1">
        <f>VLOOKUP($D4,'BASE PAN - RECEITAS'!$D$3:$CE$37,80,FALSE)</f>
        <v>1201881.4169999999</v>
      </c>
      <c r="AG4" s="1">
        <f>VLOOKUP($D4,'BASE PAN - RECEITAS'!$D$3:$CH$37,83,FALSE)</f>
        <v>1223827.331</v>
      </c>
      <c r="AH4" s="1">
        <f>VLOOKUP($D4,'BASE PAN - RECEITAS'!$D$3:$CK$37,86,FALSE)</f>
        <v>1245250.48</v>
      </c>
      <c r="AI4" s="1">
        <f>VLOOKUP($D4,'BASE PAN - RECEITAS'!$D$3:$CN$37,89,FALSE)</f>
        <v>1266881.334</v>
      </c>
      <c r="AJ4" s="1">
        <f>VLOOKUP($D4,'BASE PAN - RECEITAS'!$D$3:$CQ$37,92,FALSE)</f>
        <v>1288878.017</v>
      </c>
      <c r="AK4" s="1">
        <f>VLOOKUP($D4,'BASE PAN - RECEITAS'!$D$3:$CT$37,95,FALSE)</f>
        <v>1311380.595</v>
      </c>
      <c r="AL4" s="1">
        <f t="shared" si="0"/>
        <v>29215002.566299997</v>
      </c>
      <c r="AM4" s="1">
        <f t="shared" ref="AM4:AM52" si="1">SUM(H4:V4)</f>
        <v>11871347.8982</v>
      </c>
      <c r="AN4" t="str">
        <f>VLOOKUP(D4,'FLUXO DE CAIXA DESC.-BLOCOS PAN'!$D$3:$AO$52,38,FALSE)</f>
        <v>Bloco Nordeste</v>
      </c>
    </row>
    <row r="5" spans="1:40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33</v>
      </c>
      <c r="H5" s="1">
        <f>VLOOKUP($D5,'BASE PAN - RECEITAS'!$D$3:$K$37,8,FALSE)</f>
        <v>179110.3322</v>
      </c>
      <c r="I5" s="1">
        <f>VLOOKUP($D5,'BASE PAN - RECEITAS'!$D$3:$N$37,11,FALSE)</f>
        <v>182598.73079999999</v>
      </c>
      <c r="J5" s="1">
        <f>VLOOKUP($D5,'BASE PAN - RECEITAS'!$D$3:$Q$37,14,FALSE)</f>
        <v>185229.48920000001</v>
      </c>
      <c r="K5" s="1">
        <f>VLOOKUP($D5,'BASE PAN - RECEITAS'!$D$3:$T$37,17,FALSE)</f>
        <v>194524.1496</v>
      </c>
      <c r="L5" s="1">
        <f>VLOOKUP($D5,'BASE PAN - RECEITAS'!$D$3:$W$37,20,FALSE)</f>
        <v>196165.10980000001</v>
      </c>
      <c r="M5" s="1">
        <f>VLOOKUP($D5,'BASE PAN - RECEITAS'!$D$3:$Z$37,23,FALSE)</f>
        <v>197681.04449999999</v>
      </c>
      <c r="N5" s="1">
        <f>VLOOKUP($D5,'BASE PAN - RECEITAS'!$D$3:$AC$37,26,FALSE)</f>
        <v>199087.58189999999</v>
      </c>
      <c r="O5" s="1">
        <f>VLOOKUP($D5,'BASE PAN - RECEITAS'!$D$3:$AF$37,29,FALSE)</f>
        <v>200431.60639999999</v>
      </c>
      <c r="P5" s="1">
        <f>VLOOKUP($D5,'BASE PAN - RECEITAS'!$D$3:$AI$37,32,FALSE)</f>
        <v>201650.6054</v>
      </c>
      <c r="Q5" s="1">
        <f>VLOOKUP($D5,'BASE PAN - RECEITAS'!$D$3:$AL$37,35,FALSE)</f>
        <v>202775.83530000001</v>
      </c>
      <c r="R5" s="1">
        <f>VLOOKUP($D5,'BASE PAN - RECEITAS'!$D$3:$AO$37,38,FALSE)</f>
        <v>203822.92420000001</v>
      </c>
      <c r="S5" s="1">
        <f>VLOOKUP($D5,'BASE PAN - RECEITAS'!$D$3:$AR$37,41,FALSE)</f>
        <v>204891.2617</v>
      </c>
      <c r="T5" s="1">
        <f>VLOOKUP($D5,'BASE PAN - RECEITAS'!$D$3:$AU$37,44,FALSE)</f>
        <v>205954.57019999999</v>
      </c>
      <c r="U5" s="1">
        <f>VLOOKUP($D5,'BASE PAN - RECEITAS'!$D$3:$AX$37,47,FALSE)</f>
        <v>206986.03099999999</v>
      </c>
      <c r="V5" s="1">
        <f>VLOOKUP($D5,'BASE PAN - RECEITAS'!$D$3:$BA$37,50,FALSE)</f>
        <v>208017.49170000001</v>
      </c>
      <c r="W5" s="1">
        <f>VLOOKUP($D5,'BASE PAN - RECEITAS'!$D$3:$BD$37,53,FALSE)</f>
        <v>209048.95240000001</v>
      </c>
      <c r="X5" s="1">
        <f>VLOOKUP($D5,'BASE PAN - RECEITAS'!$D$3:$BG$37,56,FALSE)</f>
        <v>210049.15669999999</v>
      </c>
      <c r="Y5" s="1">
        <f>VLOOKUP($D5,'BASE PAN - RECEITAS'!$D$3:$BJ$37,59,FALSE)</f>
        <v>211096.24559999999</v>
      </c>
      <c r="Z5" s="1">
        <f>VLOOKUP($D5,'BASE PAN - RECEITAS'!$D$3:$BM$37,62,FALSE)</f>
        <v>212143.3345</v>
      </c>
      <c r="AA5" s="1">
        <f>VLOOKUP($D5,'BASE PAN - RECEITAS'!$D$3:$BP$37,65,FALSE)</f>
        <v>213221.67980000001</v>
      </c>
      <c r="AB5" s="1">
        <f>VLOOKUP($D5,'BASE PAN - RECEITAS'!$D$3:$BS$37,68,FALSE)</f>
        <v>214221.8841</v>
      </c>
      <c r="AC5" s="1">
        <f>VLOOKUP($D5,'BASE PAN - RECEITAS'!$D$3:$BV$37,71,FALSE)</f>
        <v>215237.71660000001</v>
      </c>
      <c r="AD5" s="1">
        <f>VLOOKUP($D5,'BASE PAN - RECEITAS'!$D$3:$BY$37,74,FALSE)</f>
        <v>216237.921</v>
      </c>
      <c r="AE5" s="1">
        <f>VLOOKUP($D5,'BASE PAN - RECEITAS'!$D$3:$CB$37,77,FALSE)</f>
        <v>217191.24069999999</v>
      </c>
      <c r="AF5" s="1">
        <f>VLOOKUP($D5,'BASE PAN - RECEITAS'!$D$3:$CE$37,80,FALSE)</f>
        <v>218097.6759</v>
      </c>
      <c r="AG5" s="1">
        <f>VLOOKUP($D5,'BASE PAN - RECEITAS'!$D$3:$CH$37,83,FALSE)</f>
        <v>219004.11110000001</v>
      </c>
      <c r="AH5" s="1">
        <f>VLOOKUP($D5,'BASE PAN - RECEITAS'!$D$3:$CK$37,86,FALSE)</f>
        <v>219863.6617</v>
      </c>
      <c r="AI5" s="1">
        <f>VLOOKUP($D5,'BASE PAN - RECEITAS'!$D$3:$CN$37,89,FALSE)</f>
        <v>220707.58410000001</v>
      </c>
      <c r="AJ5" s="1">
        <f>VLOOKUP($D5,'BASE PAN - RECEITAS'!$D$3:$CQ$37,92,FALSE)</f>
        <v>221551.50649999999</v>
      </c>
      <c r="AK5" s="1">
        <f>VLOOKUP($D5,'BASE PAN - RECEITAS'!$D$3:$CT$37,95,FALSE)</f>
        <v>222411.057</v>
      </c>
      <c r="AL5" s="1">
        <f t="shared" si="0"/>
        <v>6209010.4916000003</v>
      </c>
      <c r="AM5" s="1">
        <f t="shared" si="1"/>
        <v>2968926.7639000001</v>
      </c>
      <c r="AN5" t="str">
        <f>VLOOKUP(D5,'FLUXO DE CAIXA DESC.-BLOCOS PAN'!$D$3:$AO$52,38,FALSE)</f>
        <v>AM - 2 - AL</v>
      </c>
    </row>
    <row r="6" spans="1:40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33</v>
      </c>
      <c r="H6" s="1">
        <f>VLOOKUP($D6,'BASE PAN - RECEITAS'!$D$3:$K$37,8,FALSE)</f>
        <v>384947.67060000001</v>
      </c>
      <c r="I6" s="1">
        <f>VLOOKUP($D6,'BASE PAN - RECEITAS'!$D$3:$N$37,11,FALSE)</f>
        <v>415775.87949999998</v>
      </c>
      <c r="J6" s="1">
        <f>VLOOKUP($D6,'BASE PAN - RECEITAS'!$D$3:$Q$37,14,FALSE)</f>
        <v>441219.16859999998</v>
      </c>
      <c r="K6" s="1">
        <f>VLOOKUP($D6,'BASE PAN - RECEITAS'!$D$3:$T$37,17,FALSE)</f>
        <v>461166.95409999997</v>
      </c>
      <c r="L6" s="1">
        <f>VLOOKUP($D6,'BASE PAN - RECEITAS'!$D$3:$W$37,20,FALSE)</f>
        <v>478842.44</v>
      </c>
      <c r="M6" s="1">
        <f>VLOOKUP($D6,'BASE PAN - RECEITAS'!$D$3:$Z$37,23,FALSE)</f>
        <v>495471.42839999998</v>
      </c>
      <c r="N6" s="1">
        <f>VLOOKUP($D6,'BASE PAN - RECEITAS'!$D$3:$AC$37,26,FALSE)</f>
        <v>511526.56900000002</v>
      </c>
      <c r="O6" s="1">
        <f>VLOOKUP($D6,'BASE PAN - RECEITAS'!$D$3:$AF$37,29,FALSE)</f>
        <v>527296.00679999997</v>
      </c>
      <c r="P6" s="1">
        <f>VLOOKUP($D6,'BASE PAN - RECEITAS'!$D$3:$AI$37,32,FALSE)</f>
        <v>541992.12820000004</v>
      </c>
      <c r="Q6" s="1">
        <f>VLOOKUP($D6,'BASE PAN - RECEITAS'!$D$3:$AL$37,35,FALSE)</f>
        <v>555964.32380000001</v>
      </c>
      <c r="R6" s="1">
        <f>VLOOKUP($D6,'BASE PAN - RECEITAS'!$D$3:$AO$37,38,FALSE)</f>
        <v>569372.57539999997</v>
      </c>
      <c r="S6" s="1">
        <f>VLOOKUP($D6,'BASE PAN - RECEITAS'!$D$3:$AR$37,41,FALSE)</f>
        <v>582766.52789999999</v>
      </c>
      <c r="T6" s="1">
        <f>VLOOKUP($D6,'BASE PAN - RECEITAS'!$D$3:$AU$37,44,FALSE)</f>
        <v>595909.83790000004</v>
      </c>
      <c r="U6" s="1">
        <f>VLOOKUP($D6,'BASE PAN - RECEITAS'!$D$3:$AX$37,47,FALSE)</f>
        <v>609647.61069999996</v>
      </c>
      <c r="V6" s="1">
        <f>VLOOKUP($D6,'BASE PAN - RECEITAS'!$D$3:$BA$37,50,FALSE)</f>
        <v>623150.36910000001</v>
      </c>
      <c r="W6" s="1">
        <f>VLOOKUP($D6,'BASE PAN - RECEITAS'!$D$3:$BD$37,53,FALSE)</f>
        <v>660829.57860000001</v>
      </c>
      <c r="X6" s="1">
        <f>VLOOKUP($D6,'BASE PAN - RECEITAS'!$D$3:$BG$37,56,FALSE)</f>
        <v>674606.98049999995</v>
      </c>
      <c r="Y6" s="1">
        <f>VLOOKUP($D6,'BASE PAN - RECEITAS'!$D$3:$BJ$37,59,FALSE)</f>
        <v>688914.2548</v>
      </c>
      <c r="Z6" s="1">
        <f>VLOOKUP($D6,'BASE PAN - RECEITAS'!$D$3:$BM$37,62,FALSE)</f>
        <v>703516.91150000005</v>
      </c>
      <c r="AA6" s="1">
        <f>VLOOKUP($D6,'BASE PAN - RECEITAS'!$D$3:$BP$37,65,FALSE)</f>
        <v>718151.45979999995</v>
      </c>
      <c r="AB6" s="1">
        <f>VLOOKUP($D6,'BASE PAN - RECEITAS'!$D$3:$BS$37,68,FALSE)</f>
        <v>732770.42359999998</v>
      </c>
      <c r="AC6" s="1">
        <f>VLOOKUP($D6,'BASE PAN - RECEITAS'!$D$3:$BV$37,71,FALSE)</f>
        <v>747622.43189999997</v>
      </c>
      <c r="AD6" s="1">
        <f>VLOOKUP($D6,'BASE PAN - RECEITAS'!$D$3:$BY$37,74,FALSE)</f>
        <v>762366.07160000002</v>
      </c>
      <c r="AE6" s="1">
        <f>VLOOKUP($D6,'BASE PAN - RECEITAS'!$D$3:$CB$37,77,FALSE)</f>
        <v>776299.31830000004</v>
      </c>
      <c r="AF6" s="1">
        <f>VLOOKUP($D6,'BASE PAN - RECEITAS'!$D$3:$CE$37,80,FALSE)</f>
        <v>789592.87879999995</v>
      </c>
      <c r="AG6" s="1">
        <f>VLOOKUP($D6,'BASE PAN - RECEITAS'!$D$3:$CH$37,83,FALSE)</f>
        <v>802887.16189999995</v>
      </c>
      <c r="AH6" s="1">
        <f>VLOOKUP($D6,'BASE PAN - RECEITAS'!$D$3:$CK$37,86,FALSE)</f>
        <v>815868.64480000001</v>
      </c>
      <c r="AI6" s="1">
        <f>VLOOKUP($D6,'BASE PAN - RECEITAS'!$D$3:$CN$37,89,FALSE)</f>
        <v>828960.3297</v>
      </c>
      <c r="AJ6" s="1">
        <f>VLOOKUP($D6,'BASE PAN - RECEITAS'!$D$3:$CQ$37,92,FALSE)</f>
        <v>842316.95070000004</v>
      </c>
      <c r="AK6" s="1">
        <f>VLOOKUP($D6,'BASE PAN - RECEITAS'!$D$3:$CT$37,95,FALSE)</f>
        <v>855891.0318</v>
      </c>
      <c r="AL6" s="1">
        <f t="shared" si="0"/>
        <v>19195643.918299995</v>
      </c>
      <c r="AM6" s="1">
        <f t="shared" si="1"/>
        <v>7795049.4900000002</v>
      </c>
      <c r="AN6" t="str">
        <f>VLOOKUP(D6,'FLUXO DE CAIXA DESC.-BLOCOS PAN'!$D$3:$AO$52,38,FALSE)</f>
        <v>RO - 1 - AL</v>
      </c>
    </row>
    <row r="7" spans="1:40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33</v>
      </c>
      <c r="H7" s="1">
        <f>VLOOKUP($D7,'BASE PAN - RECEITAS'!$D$3:$K$37,8,FALSE)</f>
        <v>1049524.18</v>
      </c>
      <c r="I7" s="1">
        <f>VLOOKUP($D7,'BASE PAN - RECEITAS'!$D$3:$N$37,11,FALSE)</f>
        <v>1204141.8130000001</v>
      </c>
      <c r="J7" s="1">
        <f>VLOOKUP($D7,'BASE PAN - RECEITAS'!$D$3:$Q$37,14,FALSE)</f>
        <v>1348496.0009999999</v>
      </c>
      <c r="K7" s="1">
        <f>VLOOKUP($D7,'BASE PAN - RECEITAS'!$D$3:$T$37,17,FALSE)</f>
        <v>1503735.2220000001</v>
      </c>
      <c r="L7" s="1">
        <f>VLOOKUP($D7,'BASE PAN - RECEITAS'!$D$3:$W$37,20,FALSE)</f>
        <v>1605743.8840000001</v>
      </c>
      <c r="M7" s="1">
        <f>VLOOKUP($D7,'BASE PAN - RECEITAS'!$D$3:$Z$37,23,FALSE)</f>
        <v>1688243.7209999999</v>
      </c>
      <c r="N7" s="1">
        <f>VLOOKUP($D7,'BASE PAN - RECEITAS'!$D$3:$AC$37,26,FALSE)</f>
        <v>1757077.58</v>
      </c>
      <c r="O7" s="1">
        <f>VLOOKUP($D7,'BASE PAN - RECEITAS'!$D$3:$AF$37,29,FALSE)</f>
        <v>1829409.9029999999</v>
      </c>
      <c r="P7" s="1">
        <f>VLOOKUP($D7,'BASE PAN - RECEITAS'!$D$3:$AI$37,32,FALSE)</f>
        <v>1892081.2709999999</v>
      </c>
      <c r="Q7" s="1">
        <f>VLOOKUP($D7,'BASE PAN - RECEITAS'!$D$3:$AL$37,35,FALSE)</f>
        <v>1956987.1359999999</v>
      </c>
      <c r="R7" s="1">
        <f>VLOOKUP($D7,'BASE PAN - RECEITAS'!$D$3:$AO$37,38,FALSE)</f>
        <v>2011679.6459999999</v>
      </c>
      <c r="S7" s="1">
        <f>VLOOKUP($D7,'BASE PAN - RECEITAS'!$D$3:$AR$37,41,FALSE)</f>
        <v>2072946.3160000001</v>
      </c>
      <c r="T7" s="1">
        <f>VLOOKUP($D7,'BASE PAN - RECEITAS'!$D$3:$AU$37,44,FALSE)</f>
        <v>2126947.0449999999</v>
      </c>
      <c r="U7" s="1">
        <f>VLOOKUP($D7,'BASE PAN - RECEITAS'!$D$3:$AX$37,47,FALSE)</f>
        <v>2190846.2370000002</v>
      </c>
      <c r="V7" s="1">
        <f>VLOOKUP($D7,'BASE PAN - RECEITAS'!$D$3:$BA$37,50,FALSE)</f>
        <v>2245702.8309999998</v>
      </c>
      <c r="W7" s="1">
        <f>VLOOKUP($D7,'BASE PAN - RECEITAS'!$D$3:$BD$37,53,FALSE)</f>
        <v>2309221.0830000001</v>
      </c>
      <c r="X7" s="1">
        <f>VLOOKUP($D7,'BASE PAN - RECEITAS'!$D$3:$BG$37,56,FALSE)</f>
        <v>2364108.7000000002</v>
      </c>
      <c r="Y7" s="1">
        <f>VLOOKUP($D7,'BASE PAN - RECEITAS'!$D$3:$BJ$37,59,FALSE)</f>
        <v>2429799.551</v>
      </c>
      <c r="Z7" s="1">
        <f>VLOOKUP($D7,'BASE PAN - RECEITAS'!$D$3:$BM$37,62,FALSE)</f>
        <v>2484466.3250000002</v>
      </c>
      <c r="AA7" s="1">
        <f>VLOOKUP($D7,'BASE PAN - RECEITAS'!$D$3:$BP$37,65,FALSE)</f>
        <v>2550418.4950000001</v>
      </c>
      <c r="AB7" s="1">
        <f>VLOOKUP($D7,'BASE PAN - RECEITAS'!$D$3:$BS$37,68,FALSE)</f>
        <v>2607085.4759999998</v>
      </c>
      <c r="AC7" s="1">
        <f>VLOOKUP($D7,'BASE PAN - RECEITAS'!$D$3:$BV$37,71,FALSE)</f>
        <v>2673636.4589999998</v>
      </c>
      <c r="AD7" s="1">
        <f>VLOOKUP($D7,'BASE PAN - RECEITAS'!$D$3:$BY$37,74,FALSE)</f>
        <v>2732149.1159999999</v>
      </c>
      <c r="AE7" s="1">
        <f>VLOOKUP($D7,'BASE PAN - RECEITAS'!$D$3:$CB$37,77,FALSE)</f>
        <v>2792323.9279999998</v>
      </c>
      <c r="AF7" s="1">
        <f>VLOOKUP($D7,'BASE PAN - RECEITAS'!$D$3:$CE$37,80,FALSE)</f>
        <v>2843941.747</v>
      </c>
      <c r="AG7" s="1">
        <f>VLOOKUP($D7,'BASE PAN - RECEITAS'!$D$3:$CH$37,83,FALSE)</f>
        <v>2906574.7749999999</v>
      </c>
      <c r="AH7" s="1">
        <f>VLOOKUP($D7,'BASE PAN - RECEITAS'!$D$3:$CK$37,86,FALSE)</f>
        <v>2957066.8360000001</v>
      </c>
      <c r="AI7" s="1">
        <f>VLOOKUP($D7,'BASE PAN - RECEITAS'!$D$3:$CN$37,89,FALSE)</f>
        <v>3018284.0789999999</v>
      </c>
      <c r="AJ7" s="1">
        <f>VLOOKUP($D7,'BASE PAN - RECEITAS'!$D$3:$CQ$37,92,FALSE)</f>
        <v>3080769.8930000002</v>
      </c>
      <c r="AK7" s="1">
        <f>VLOOKUP($D7,'BASE PAN - RECEITAS'!$D$3:$CT$37,95,FALSE)</f>
        <v>3144549.824</v>
      </c>
      <c r="AL7" s="1">
        <f t="shared" si="0"/>
        <v>67377959.072999984</v>
      </c>
      <c r="AM7" s="1">
        <f t="shared" si="1"/>
        <v>26483562.785999995</v>
      </c>
      <c r="AN7" t="str">
        <f>VLOOKUP(D7,'FLUXO DE CAIXA DESC.-BLOCOS PAN'!$D$3:$AO$52,38,FALSE)</f>
        <v>AM - 3 - AL</v>
      </c>
    </row>
    <row r="8" spans="1:40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33</v>
      </c>
      <c r="H8" s="1">
        <f>VLOOKUP($D8,'BASE PAN - RECEITAS'!$D$3:$K$37,8,FALSE)</f>
        <v>465902.2965</v>
      </c>
      <c r="I8" s="1">
        <f>VLOOKUP($D8,'BASE PAN - RECEITAS'!$D$3:$N$37,11,FALSE)</f>
        <v>506020.4584</v>
      </c>
      <c r="J8" s="1">
        <f>VLOOKUP($D8,'BASE PAN - RECEITAS'!$D$3:$Q$37,14,FALSE)</f>
        <v>539876.70180000004</v>
      </c>
      <c r="K8" s="1">
        <f>VLOOKUP($D8,'BASE PAN - RECEITAS'!$D$3:$T$37,17,FALSE)</f>
        <v>567434.67949999997</v>
      </c>
      <c r="L8" s="1">
        <f>VLOOKUP($D8,'BASE PAN - RECEITAS'!$D$3:$W$37,20,FALSE)</f>
        <v>592252.84080000001</v>
      </c>
      <c r="M8" s="1">
        <f>VLOOKUP($D8,'BASE PAN - RECEITAS'!$D$3:$Z$37,23,FALSE)</f>
        <v>616086.42599999998</v>
      </c>
      <c r="N8" s="1">
        <f>VLOOKUP($D8,'BASE PAN - RECEITAS'!$D$3:$AC$37,26,FALSE)</f>
        <v>663448.49369999999</v>
      </c>
      <c r="O8" s="1">
        <f>VLOOKUP($D8,'BASE PAN - RECEITAS'!$D$3:$AF$37,29,FALSE)</f>
        <v>686779.18119999999</v>
      </c>
      <c r="P8" s="1">
        <f>VLOOKUP($D8,'BASE PAN - RECEITAS'!$D$3:$AI$37,32,FALSE)</f>
        <v>709751.42559999996</v>
      </c>
      <c r="Q8" s="1">
        <f>VLOOKUP($D8,'BASE PAN - RECEITAS'!$D$3:$AL$37,35,FALSE)</f>
        <v>731773.01690000005</v>
      </c>
      <c r="R8" s="1">
        <f>VLOOKUP($D8,'BASE PAN - RECEITAS'!$D$3:$AO$37,38,FALSE)</f>
        <v>753217.98239999998</v>
      </c>
      <c r="S8" s="1">
        <f>VLOOKUP($D8,'BASE PAN - RECEITAS'!$D$3:$AR$37,41,FALSE)</f>
        <v>775286.32720000006</v>
      </c>
      <c r="T8" s="1">
        <f>VLOOKUP($D8,'BASE PAN - RECEITAS'!$D$3:$AU$37,44,FALSE)</f>
        <v>797900.12860000005</v>
      </c>
      <c r="U8" s="1">
        <f>VLOOKUP($D8,'BASE PAN - RECEITAS'!$D$3:$AX$37,47,FALSE)</f>
        <v>821557.70220000006</v>
      </c>
      <c r="V8" s="1">
        <f>VLOOKUP($D8,'BASE PAN - RECEITAS'!$D$3:$BA$37,50,FALSE)</f>
        <v>845293.58609999996</v>
      </c>
      <c r="W8" s="1">
        <f>VLOOKUP($D8,'BASE PAN - RECEITAS'!$D$3:$BD$37,53,FALSE)</f>
        <v>870229.47499999998</v>
      </c>
      <c r="X8" s="1">
        <f>VLOOKUP($D8,'BASE PAN - RECEITAS'!$D$3:$BG$37,56,FALSE)</f>
        <v>895461.46889999998</v>
      </c>
      <c r="Y8" s="1">
        <f>VLOOKUP($D8,'BASE PAN - RECEITAS'!$D$3:$BJ$37,59,FALSE)</f>
        <v>922251.91070000001</v>
      </c>
      <c r="Z8" s="1">
        <f>VLOOKUP($D8,'BASE PAN - RECEITAS'!$D$3:$BM$37,62,FALSE)</f>
        <v>949759.23849999998</v>
      </c>
      <c r="AA8" s="1">
        <f>VLOOKUP($D8,'BASE PAN - RECEITAS'!$D$3:$BP$37,65,FALSE)</f>
        <v>1034017.3149999999</v>
      </c>
      <c r="AB8" s="1">
        <f>VLOOKUP($D8,'BASE PAN - RECEITAS'!$D$3:$BS$37,68,FALSE)</f>
        <v>1065465.027</v>
      </c>
      <c r="AC8" s="1">
        <f>VLOOKUP($D8,'BASE PAN - RECEITAS'!$D$3:$BV$37,71,FALSE)</f>
        <v>1097768.274</v>
      </c>
      <c r="AD8" s="1">
        <f>VLOOKUP($D8,'BASE PAN - RECEITAS'!$D$3:$BY$37,74,FALSE)</f>
        <v>1131113.111</v>
      </c>
      <c r="AE8" s="1">
        <f>VLOOKUP($D8,'BASE PAN - RECEITAS'!$D$3:$CB$37,77,FALSE)</f>
        <v>1166402.105</v>
      </c>
      <c r="AF8" s="1">
        <f>VLOOKUP($D8,'BASE PAN - RECEITAS'!$D$3:$CE$37,80,FALSE)</f>
        <v>1203247.7760000001</v>
      </c>
      <c r="AG8" s="1">
        <f>VLOOKUP($D8,'BASE PAN - RECEITAS'!$D$3:$CH$37,83,FALSE)</f>
        <v>1241100.7990000001</v>
      </c>
      <c r="AH8" s="1">
        <f>VLOOKUP($D8,'BASE PAN - RECEITAS'!$D$3:$CK$37,86,FALSE)</f>
        <v>1279347.2450000001</v>
      </c>
      <c r="AI8" s="1">
        <f>VLOOKUP($D8,'BASE PAN - RECEITAS'!$D$3:$CN$37,89,FALSE)</f>
        <v>1318992.9450000001</v>
      </c>
      <c r="AJ8" s="1">
        <f>VLOOKUP($D8,'BASE PAN - RECEITAS'!$D$3:$CQ$37,92,FALSE)</f>
        <v>1360051.007</v>
      </c>
      <c r="AK8" s="1">
        <f>VLOOKUP($D8,'BASE PAN - RECEITAS'!$D$3:$CT$37,95,FALSE)</f>
        <v>1402842.2720000001</v>
      </c>
      <c r="AL8" s="1">
        <f t="shared" ref="AL8:AL19" si="2">SUM(H8:AK8)</f>
        <v>27010631.216000002</v>
      </c>
      <c r="AM8" s="1">
        <f t="shared" si="1"/>
        <v>10072581.2469</v>
      </c>
      <c r="AN8" t="str">
        <f>VLOOKUP(D8,'FLUXO DE CAIXA DESC.-BLOCOS PAN'!$D$3:$AO$52,38,FALSE)</f>
        <v>PA 3 - AL</v>
      </c>
    </row>
    <row r="9" spans="1:40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33</v>
      </c>
      <c r="H9" s="1">
        <f>VLOOKUP($D9,'BASE PAN - RECEITAS'!$D$3:$K$37,8,FALSE)</f>
        <v>335805.8297</v>
      </c>
      <c r="I9" s="1">
        <f>VLOOKUP($D9,'BASE PAN - RECEITAS'!$D$3:$N$37,11,FALSE)</f>
        <v>358858.00530000002</v>
      </c>
      <c r="J9" s="1">
        <f>VLOOKUP($D9,'BASE PAN - RECEITAS'!$D$3:$Q$37,14,FALSE)</f>
        <v>378368.20150000002</v>
      </c>
      <c r="K9" s="1">
        <f>VLOOKUP($D9,'BASE PAN - RECEITAS'!$D$3:$T$37,17,FALSE)</f>
        <v>393808.85580000002</v>
      </c>
      <c r="L9" s="1">
        <f>VLOOKUP($D9,'BASE PAN - RECEITAS'!$D$3:$W$37,20,FALSE)</f>
        <v>407727.36040000001</v>
      </c>
      <c r="M9" s="1">
        <f>VLOOKUP($D9,'BASE PAN - RECEITAS'!$D$3:$Z$37,23,FALSE)</f>
        <v>421386.4007</v>
      </c>
      <c r="N9" s="1">
        <f>VLOOKUP($D9,'BASE PAN - RECEITAS'!$D$3:$AC$37,26,FALSE)</f>
        <v>433811.40529999998</v>
      </c>
      <c r="O9" s="1">
        <f>VLOOKUP($D9,'BASE PAN - RECEITAS'!$D$3:$AF$37,29,FALSE)</f>
        <v>447001.59980000003</v>
      </c>
      <c r="P9" s="1">
        <f>VLOOKUP($D9,'BASE PAN - RECEITAS'!$D$3:$AI$37,32,FALSE)</f>
        <v>459916.10729999997</v>
      </c>
      <c r="Q9" s="1">
        <f>VLOOKUP($D9,'BASE PAN - RECEITAS'!$D$3:$AL$37,35,FALSE)</f>
        <v>471450.30489999999</v>
      </c>
      <c r="R9" s="1">
        <f>VLOOKUP($D9,'BASE PAN - RECEITAS'!$D$3:$AO$37,38,FALSE)</f>
        <v>482686.9754</v>
      </c>
      <c r="S9" s="1">
        <f>VLOOKUP($D9,'BASE PAN - RECEITAS'!$D$3:$AR$37,41,FALSE)</f>
        <v>494783.7879</v>
      </c>
      <c r="T9" s="1">
        <f>VLOOKUP($D9,'BASE PAN - RECEITAS'!$D$3:$AU$37,44,FALSE)</f>
        <v>506176.7403</v>
      </c>
      <c r="U9" s="1">
        <f>VLOOKUP($D9,'BASE PAN - RECEITAS'!$D$3:$AX$37,47,FALSE)</f>
        <v>518684.87270000001</v>
      </c>
      <c r="V9" s="1">
        <f>VLOOKUP($D9,'BASE PAN - RECEITAS'!$D$3:$BA$37,50,FALSE)</f>
        <v>531578.13150000002</v>
      </c>
      <c r="W9" s="1">
        <f>VLOOKUP($D9,'BASE PAN - RECEITAS'!$D$3:$BD$37,53,FALSE)</f>
        <v>543976.90859999997</v>
      </c>
      <c r="X9" s="1">
        <f>VLOOKUP($D9,'BASE PAN - RECEITAS'!$D$3:$BG$37,56,FALSE)</f>
        <v>557267.53260000004</v>
      </c>
      <c r="Y9" s="1">
        <f>VLOOKUP($D9,'BASE PAN - RECEITAS'!$D$3:$BJ$37,59,FALSE)</f>
        <v>570700.97180000006</v>
      </c>
      <c r="Z9" s="1">
        <f>VLOOKUP($D9,'BASE PAN - RECEITAS'!$D$3:$BM$37,62,FALSE)</f>
        <v>584329.34719999996</v>
      </c>
      <c r="AA9" s="1">
        <f>VLOOKUP($D9,'BASE PAN - RECEITAS'!$D$3:$BP$37,65,FALSE)</f>
        <v>598769.79720000003</v>
      </c>
      <c r="AB9" s="1">
        <f>VLOOKUP($D9,'BASE PAN - RECEITAS'!$D$3:$BS$37,68,FALSE)</f>
        <v>613054.55669999996</v>
      </c>
      <c r="AC9" s="1">
        <f>VLOOKUP($D9,'BASE PAN - RECEITAS'!$D$3:$BV$37,71,FALSE)</f>
        <v>628235.152</v>
      </c>
      <c r="AD9" s="1">
        <f>VLOOKUP($D9,'BASE PAN - RECEITAS'!$D$3:$BY$37,74,FALSE)</f>
        <v>666393.96019999997</v>
      </c>
      <c r="AE9" s="1">
        <f>VLOOKUP($D9,'BASE PAN - RECEITAS'!$D$3:$CB$37,77,FALSE)</f>
        <v>681479.73569999996</v>
      </c>
      <c r="AF9" s="1">
        <f>VLOOKUP($D9,'BASE PAN - RECEITAS'!$D$3:$CE$37,80,FALSE)</f>
        <v>698046.75939999998</v>
      </c>
      <c r="AG9" s="1">
        <f>VLOOKUP($D9,'BASE PAN - RECEITAS'!$D$3:$CH$37,83,FALSE)</f>
        <v>713881.3125</v>
      </c>
      <c r="AH9" s="1">
        <f>VLOOKUP($D9,'BASE PAN - RECEITAS'!$D$3:$CK$37,86,FALSE)</f>
        <v>730043.13970000006</v>
      </c>
      <c r="AI9" s="1">
        <f>VLOOKUP($D9,'BASE PAN - RECEITAS'!$D$3:$CN$37,89,FALSE)</f>
        <v>746874.37690000003</v>
      </c>
      <c r="AJ9" s="1">
        <f>VLOOKUP($D9,'BASE PAN - RECEITAS'!$D$3:$CQ$37,92,FALSE)</f>
        <v>764267.37800000003</v>
      </c>
      <c r="AK9" s="1">
        <f>VLOOKUP($D9,'BASE PAN - RECEITAS'!$D$3:$CT$37,95,FALSE)</f>
        <v>782205.8358</v>
      </c>
      <c r="AL9" s="1">
        <f t="shared" si="2"/>
        <v>16521571.342800003</v>
      </c>
      <c r="AM9" s="1">
        <f t="shared" si="1"/>
        <v>6642044.5784999998</v>
      </c>
      <c r="AN9" t="str">
        <f>VLOOKUP(D9,'FLUXO DE CAIXA DESC.-BLOCOS PAN'!$D$3:$AO$52,38,FALSE)</f>
        <v>AM - 2 - AL</v>
      </c>
    </row>
    <row r="10" spans="1:40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33</v>
      </c>
      <c r="H10" s="1">
        <f>VLOOKUP($D10,'BASE PAN - RECEITAS'!$D$3:$K$37,8,FALSE)</f>
        <v>406977.2071</v>
      </c>
      <c r="I10" s="1">
        <f>VLOOKUP($D10,'BASE PAN - RECEITAS'!$D$3:$N$37,11,FALSE)</f>
        <v>444094.75599999999</v>
      </c>
      <c r="J10" s="1">
        <f>VLOOKUP($D10,'BASE PAN - RECEITAS'!$D$3:$Q$37,14,FALSE)</f>
        <v>474310.26409999997</v>
      </c>
      <c r="K10" s="1">
        <f>VLOOKUP($D10,'BASE PAN - RECEITAS'!$D$3:$T$37,17,FALSE)</f>
        <v>497987.5674</v>
      </c>
      <c r="L10" s="1">
        <f>VLOOKUP($D10,'BASE PAN - RECEITAS'!$D$3:$W$37,20,FALSE)</f>
        <v>519044.3211</v>
      </c>
      <c r="M10" s="1">
        <f>VLOOKUP($D10,'BASE PAN - RECEITAS'!$D$3:$Z$37,23,FALSE)</f>
        <v>538735.84380000003</v>
      </c>
      <c r="N10" s="1">
        <f>VLOOKUP($D10,'BASE PAN - RECEITAS'!$D$3:$AC$37,26,FALSE)</f>
        <v>558002.0577</v>
      </c>
      <c r="O10" s="1">
        <f>VLOOKUP($D10,'BASE PAN - RECEITAS'!$D$3:$AF$37,29,FALSE)</f>
        <v>576890.32750000001</v>
      </c>
      <c r="P10" s="1">
        <f>VLOOKUP($D10,'BASE PAN - RECEITAS'!$D$3:$AI$37,32,FALSE)</f>
        <v>594909.63359999994</v>
      </c>
      <c r="Q10" s="1">
        <f>VLOOKUP($D10,'BASE PAN - RECEITAS'!$D$3:$AL$37,35,FALSE)</f>
        <v>612273.147</v>
      </c>
      <c r="R10" s="1">
        <f>VLOOKUP($D10,'BASE PAN - RECEITAS'!$D$3:$AO$37,38,FALSE)</f>
        <v>629032.1899</v>
      </c>
      <c r="S10" s="1">
        <f>VLOOKUP($D10,'BASE PAN - RECEITAS'!$D$3:$AR$37,41,FALSE)</f>
        <v>669822.54550000001</v>
      </c>
      <c r="T10" s="1">
        <f>VLOOKUP($D10,'BASE PAN - RECEITAS'!$D$3:$AU$37,44,FALSE)</f>
        <v>686888.27249999996</v>
      </c>
      <c r="U10" s="1">
        <f>VLOOKUP($D10,'BASE PAN - RECEITAS'!$D$3:$AX$37,47,FALSE)</f>
        <v>704592.24049999996</v>
      </c>
      <c r="V10" s="1">
        <f>VLOOKUP($D10,'BASE PAN - RECEITAS'!$D$3:$BA$37,50,FALSE)</f>
        <v>722468.36040000001</v>
      </c>
      <c r="W10" s="1">
        <f>VLOOKUP($D10,'BASE PAN - RECEITAS'!$D$3:$BD$37,53,FALSE)</f>
        <v>740874.35259999998</v>
      </c>
      <c r="X10" s="1">
        <f>VLOOKUP($D10,'BASE PAN - RECEITAS'!$D$3:$BG$37,56,FALSE)</f>
        <v>759514.11190000002</v>
      </c>
      <c r="Y10" s="1">
        <f>VLOOKUP($D10,'BASE PAN - RECEITAS'!$D$3:$BJ$37,59,FALSE)</f>
        <v>778964.26419999998</v>
      </c>
      <c r="Z10" s="1">
        <f>VLOOKUP($D10,'BASE PAN - RECEITAS'!$D$3:$BM$37,62,FALSE)</f>
        <v>798944.28870000003</v>
      </c>
      <c r="AA10" s="1">
        <f>VLOOKUP($D10,'BASE PAN - RECEITAS'!$D$3:$BP$37,65,FALSE)</f>
        <v>819625.22679999995</v>
      </c>
      <c r="AB10" s="1">
        <f>VLOOKUP($D10,'BASE PAN - RECEITAS'!$D$3:$BS$37,68,FALSE)</f>
        <v>840213.04599999997</v>
      </c>
      <c r="AC10" s="1">
        <f>VLOOKUP($D10,'BASE PAN - RECEITAS'!$D$3:$BV$37,71,FALSE)</f>
        <v>861330.01489999995</v>
      </c>
      <c r="AD10" s="1">
        <f>VLOOKUP($D10,'BASE PAN - RECEITAS'!$D$3:$BY$37,74,FALSE)</f>
        <v>882728.22699999996</v>
      </c>
      <c r="AE10" s="1">
        <f>VLOOKUP($D10,'BASE PAN - RECEITAS'!$D$3:$CB$37,77,FALSE)</f>
        <v>904453.7132</v>
      </c>
      <c r="AF10" s="1">
        <f>VLOOKUP($D10,'BASE PAN - RECEITAS'!$D$3:$CE$37,80,FALSE)</f>
        <v>926646.73369999998</v>
      </c>
      <c r="AG10" s="1">
        <f>VLOOKUP($D10,'BASE PAN - RECEITAS'!$D$3:$CH$37,83,FALSE)</f>
        <v>949354.04209999996</v>
      </c>
      <c r="AH10" s="1">
        <f>VLOOKUP($D10,'BASE PAN - RECEITAS'!$D$3:$CK$37,86,FALSE)</f>
        <v>1027438.552</v>
      </c>
      <c r="AI10" s="1">
        <f>VLOOKUP($D10,'BASE PAN - RECEITAS'!$D$3:$CN$37,89,FALSE)</f>
        <v>1052678.612</v>
      </c>
      <c r="AJ10" s="1">
        <f>VLOOKUP($D10,'BASE PAN - RECEITAS'!$D$3:$CQ$37,92,FALSE)</f>
        <v>1078656.1259999999</v>
      </c>
      <c r="AK10" s="1">
        <f>VLOOKUP($D10,'BASE PAN - RECEITAS'!$D$3:$CT$37,95,FALSE)</f>
        <v>1105477.2339999999</v>
      </c>
      <c r="AL10" s="1">
        <f t="shared" si="2"/>
        <v>22162927.279200003</v>
      </c>
      <c r="AM10" s="1">
        <f t="shared" si="1"/>
        <v>8636028.7340999991</v>
      </c>
      <c r="AN10" t="str">
        <f>VLOOKUP(D10,'FLUXO DE CAIXA DESC.-BLOCOS PAN'!$D$3:$AO$52,38,FALSE)</f>
        <v>PA - 1 - AL</v>
      </c>
    </row>
    <row r="11" spans="1:40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33</v>
      </c>
      <c r="H11" s="1">
        <f>VLOOKUP($D11,'BASE PAN - RECEITAS'!$D$3:$K$37,8,FALSE)</f>
        <v>240337.18539999999</v>
      </c>
      <c r="I11" s="1">
        <f>VLOOKUP($D11,'BASE PAN - RECEITAS'!$D$3:$N$37,11,FALSE)</f>
        <v>251535.79300000001</v>
      </c>
      <c r="J11" s="1">
        <f>VLOOKUP($D11,'BASE PAN - RECEITAS'!$D$3:$Q$37,14,FALSE)</f>
        <v>260678.28570000001</v>
      </c>
      <c r="K11" s="1">
        <f>VLOOKUP($D11,'BASE PAN - RECEITAS'!$D$3:$T$37,17,FALSE)</f>
        <v>267774.07659999997</v>
      </c>
      <c r="L11" s="1">
        <f>VLOOKUP($D11,'BASE PAN - RECEITAS'!$D$3:$W$37,20,FALSE)</f>
        <v>273915.95630000002</v>
      </c>
      <c r="M11" s="1">
        <f>VLOOKUP($D11,'BASE PAN - RECEITAS'!$D$3:$Z$37,23,FALSE)</f>
        <v>279937.79729999998</v>
      </c>
      <c r="N11" s="1">
        <f>VLOOKUP($D11,'BASE PAN - RECEITAS'!$D$3:$AC$37,26,FALSE)</f>
        <v>285563.94660000002</v>
      </c>
      <c r="O11" s="1">
        <f>VLOOKUP($D11,'BASE PAN - RECEITAS'!$D$3:$AF$37,29,FALSE)</f>
        <v>291008.76949999999</v>
      </c>
      <c r="P11" s="1">
        <f>VLOOKUP($D11,'BASE PAN - RECEITAS'!$D$3:$AI$37,32,FALSE)</f>
        <v>296390.93650000001</v>
      </c>
      <c r="Q11" s="1">
        <f>VLOOKUP($D11,'BASE PAN - RECEITAS'!$D$3:$AL$37,35,FALSE)</f>
        <v>301407.58630000002</v>
      </c>
      <c r="R11" s="1">
        <f>VLOOKUP($D11,'BASE PAN - RECEITAS'!$D$3:$AO$37,38,FALSE)</f>
        <v>305892.87760000001</v>
      </c>
      <c r="S11" s="1">
        <f>VLOOKUP($D11,'BASE PAN - RECEITAS'!$D$3:$AR$37,41,FALSE)</f>
        <v>310753.24550000002</v>
      </c>
      <c r="T11" s="1">
        <f>VLOOKUP($D11,'BASE PAN - RECEITAS'!$D$3:$AU$37,44,FALSE)</f>
        <v>315488.58789999998</v>
      </c>
      <c r="U11" s="1">
        <f>VLOOKUP($D11,'BASE PAN - RECEITAS'!$D$3:$AX$37,47,FALSE)</f>
        <v>320271.40629999997</v>
      </c>
      <c r="V11" s="1">
        <f>VLOOKUP($D11,'BASE PAN - RECEITAS'!$D$3:$BA$37,50,FALSE)</f>
        <v>325022.37680000003</v>
      </c>
      <c r="W11" s="1">
        <f>VLOOKUP($D11,'BASE PAN - RECEITAS'!$D$3:$BD$37,53,FALSE)</f>
        <v>330039.02669999999</v>
      </c>
      <c r="X11" s="1">
        <f>VLOOKUP($D11,'BASE PAN - RECEITAS'!$D$3:$BG$37,56,FALSE)</f>
        <v>335149.44559999998</v>
      </c>
      <c r="Y11" s="1">
        <f>VLOOKUP($D11,'BASE PAN - RECEITAS'!$D$3:$BJ$37,59,FALSE)</f>
        <v>340228.60820000002</v>
      </c>
      <c r="Z11" s="1">
        <f>VLOOKUP($D11,'BASE PAN - RECEITAS'!$D$3:$BM$37,62,FALSE)</f>
        <v>345385.9118</v>
      </c>
      <c r="AA11" s="1">
        <f>VLOOKUP($D11,'BASE PAN - RECEITAS'!$D$3:$BP$37,65,FALSE)</f>
        <v>350856.37070000003</v>
      </c>
      <c r="AB11" s="1">
        <f>VLOOKUP($D11,'BASE PAN - RECEITAS'!$D$3:$BS$37,68,FALSE)</f>
        <v>356154.32799999998</v>
      </c>
      <c r="AC11" s="1">
        <f>VLOOKUP($D11,'BASE PAN - RECEITAS'!$D$3:$BV$37,71,FALSE)</f>
        <v>361296.00329999998</v>
      </c>
      <c r="AD11" s="1">
        <f>VLOOKUP($D11,'BASE PAN - RECEITAS'!$D$3:$BY$37,74,FALSE)</f>
        <v>366672.10159999999</v>
      </c>
      <c r="AE11" s="1">
        <f>VLOOKUP($D11,'BASE PAN - RECEITAS'!$D$3:$CB$37,77,FALSE)</f>
        <v>371516.84129999997</v>
      </c>
      <c r="AF11" s="1">
        <f>VLOOKUP($D11,'BASE PAN - RECEITAS'!$D$3:$CE$37,80,FALSE)</f>
        <v>376602.2157</v>
      </c>
      <c r="AG11" s="1">
        <f>VLOOKUP($D11,'BASE PAN - RECEITAS'!$D$3:$CH$37,83,FALSE)</f>
        <v>381337.55810000002</v>
      </c>
      <c r="AH11" s="1">
        <f>VLOOKUP($D11,'BASE PAN - RECEITAS'!$D$3:$CK$37,86,FALSE)</f>
        <v>385932.24670000002</v>
      </c>
      <c r="AI11" s="1">
        <f>VLOOKUP($D11,'BASE PAN - RECEITAS'!$D$3:$CN$37,89,FALSE)</f>
        <v>390573.8199</v>
      </c>
      <c r="AJ11" s="1">
        <f>VLOOKUP($D11,'BASE PAN - RECEITAS'!$D$3:$CQ$37,92,FALSE)</f>
        <v>395309.16220000002</v>
      </c>
      <c r="AK11" s="1">
        <f>VLOOKUP($D11,'BASE PAN - RECEITAS'!$D$3:$CT$37,95,FALSE)</f>
        <v>400122.64559999999</v>
      </c>
      <c r="AL11" s="1">
        <f t="shared" si="2"/>
        <v>9813155.1127000004</v>
      </c>
      <c r="AM11" s="1">
        <f t="shared" si="1"/>
        <v>4325978.8273</v>
      </c>
      <c r="AN11" t="str">
        <f>VLOOKUP(D11,'FLUXO DE CAIXA DESC.-BLOCOS PAN'!$D$3:$AO$52,38,FALSE)</f>
        <v>AC + AM - 1 - AL</v>
      </c>
    </row>
    <row r="12" spans="1:40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33</v>
      </c>
      <c r="H12" s="1">
        <f>VLOOKUP($D12,'BASE PAN - RECEITAS'!$D$3:$K$37,8,FALSE)</f>
        <v>531968.83640000003</v>
      </c>
      <c r="I12" s="1">
        <f>VLOOKUP($D12,'BASE PAN - RECEITAS'!$D$3:$N$37,11,FALSE)</f>
        <v>576624.64820000005</v>
      </c>
      <c r="J12" s="1">
        <f>VLOOKUP($D12,'BASE PAN - RECEITAS'!$D$3:$Q$37,14,FALSE)</f>
        <v>611366.71189999999</v>
      </c>
      <c r="K12" s="1">
        <f>VLOOKUP($D12,'BASE PAN - RECEITAS'!$D$3:$T$37,17,FALSE)</f>
        <v>658273.72409999999</v>
      </c>
      <c r="L12" s="1">
        <f>VLOOKUP($D12,'BASE PAN - RECEITAS'!$D$3:$W$37,20,FALSE)</f>
        <v>678503.10030000005</v>
      </c>
      <c r="M12" s="1">
        <f>VLOOKUP($D12,'BASE PAN - RECEITAS'!$D$3:$Z$37,23,FALSE)</f>
        <v>695023.37049999996</v>
      </c>
      <c r="N12" s="1">
        <f>VLOOKUP($D12,'BASE PAN - RECEITAS'!$D$3:$AC$37,26,FALSE)</f>
        <v>712182.60430000001</v>
      </c>
      <c r="O12" s="1">
        <f>VLOOKUP($D12,'BASE PAN - RECEITAS'!$D$3:$AF$37,29,FALSE)</f>
        <v>727143.70409999997</v>
      </c>
      <c r="P12" s="1">
        <f>VLOOKUP($D12,'BASE PAN - RECEITAS'!$D$3:$AI$37,32,FALSE)</f>
        <v>743102.93299999996</v>
      </c>
      <c r="Q12" s="1">
        <f>VLOOKUP($D12,'BASE PAN - RECEITAS'!$D$3:$AL$37,35,FALSE)</f>
        <v>755524.48529999994</v>
      </c>
      <c r="R12" s="1">
        <f>VLOOKUP($D12,'BASE PAN - RECEITAS'!$D$3:$AO$37,38,FALSE)</f>
        <v>768911.5527</v>
      </c>
      <c r="S12" s="1">
        <f>VLOOKUP($D12,'BASE PAN - RECEITAS'!$D$3:$AR$37,41,FALSE)</f>
        <v>780553.88100000005</v>
      </c>
      <c r="T12" s="1">
        <f>VLOOKUP($D12,'BASE PAN - RECEITAS'!$D$3:$AU$37,44,FALSE)</f>
        <v>793847.44149999996</v>
      </c>
      <c r="U12" s="1">
        <f>VLOOKUP($D12,'BASE PAN - RECEITAS'!$D$3:$AX$37,47,FALSE)</f>
        <v>805707.95250000001</v>
      </c>
      <c r="V12" s="1">
        <f>VLOOKUP($D12,'BASE PAN - RECEITAS'!$D$3:$BA$37,50,FALSE)</f>
        <v>819578.47340000002</v>
      </c>
      <c r="W12" s="1">
        <f>VLOOKUP($D12,'BASE PAN - RECEITAS'!$D$3:$BD$37,53,FALSE)</f>
        <v>831282.41700000002</v>
      </c>
      <c r="X12" s="1">
        <f>VLOOKUP($D12,'BASE PAN - RECEITAS'!$D$3:$BG$37,56,FALSE)</f>
        <v>845387.09299999999</v>
      </c>
      <c r="Y12" s="1">
        <f>VLOOKUP($D12,'BASE PAN - RECEITAS'!$D$3:$BJ$37,59,FALSE)</f>
        <v>857184.54350000003</v>
      </c>
      <c r="Z12" s="1">
        <f>VLOOKUP($D12,'BASE PAN - RECEITAS'!$D$3:$BM$37,62,FALSE)</f>
        <v>871663.24699999997</v>
      </c>
      <c r="AA12" s="1">
        <f>VLOOKUP($D12,'BASE PAN - RECEITAS'!$D$3:$BP$37,65,FALSE)</f>
        <v>884100.38379999995</v>
      </c>
      <c r="AB12" s="1">
        <f>VLOOKUP($D12,'BASE PAN - RECEITAS'!$D$3:$BS$37,68,FALSE)</f>
        <v>898313.42850000004</v>
      </c>
      <c r="AC12" s="1">
        <f>VLOOKUP($D12,'BASE PAN - RECEITAS'!$D$3:$BV$37,71,FALSE)</f>
        <v>910610.30500000005</v>
      </c>
      <c r="AD12" s="1">
        <f>VLOOKUP($D12,'BASE PAN - RECEITAS'!$D$3:$BY$37,74,FALSE)</f>
        <v>925290.88410000002</v>
      </c>
      <c r="AE12" s="1">
        <f>VLOOKUP($D12,'BASE PAN - RECEITAS'!$D$3:$CB$37,77,FALSE)</f>
        <v>938553.99820000003</v>
      </c>
      <c r="AF12" s="1">
        <f>VLOOKUP($D12,'BASE PAN - RECEITAS'!$D$3:$CE$37,80,FALSE)</f>
        <v>954248.29099999997</v>
      </c>
      <c r="AG12" s="1">
        <f>VLOOKUP($D12,'BASE PAN - RECEITAS'!$D$3:$CH$37,83,FALSE)</f>
        <v>967900.29449999996</v>
      </c>
      <c r="AH12" s="1">
        <f>VLOOKUP($D12,'BASE PAN - RECEITAS'!$D$3:$CK$37,86,FALSE)</f>
        <v>1039752.6459999999</v>
      </c>
      <c r="AI12" s="1">
        <f>VLOOKUP($D12,'BASE PAN - RECEITAS'!$D$3:$CN$37,89,FALSE)</f>
        <v>1053623.2549999999</v>
      </c>
      <c r="AJ12" s="1">
        <f>VLOOKUP($D12,'BASE PAN - RECEITAS'!$D$3:$CQ$37,92,FALSE)</f>
        <v>1067590.473</v>
      </c>
      <c r="AK12" s="1">
        <f>VLOOKUP($D12,'BASE PAN - RECEITAS'!$D$3:$CT$37,95,FALSE)</f>
        <v>1081861.1640000001</v>
      </c>
      <c r="AL12" s="1">
        <f t="shared" si="2"/>
        <v>24785675.842800006</v>
      </c>
      <c r="AM12" s="1">
        <f t="shared" si="1"/>
        <v>10658313.419200001</v>
      </c>
      <c r="AN12" t="str">
        <f>VLOOKUP(D12,'FLUXO DE CAIXA DESC.-BLOCOS PAN'!$D$3:$AO$52,38,FALSE)</f>
        <v>PA - 2 - AL</v>
      </c>
    </row>
    <row r="13" spans="1:40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33</v>
      </c>
      <c r="H13" s="1">
        <f>VLOOKUP($D13,'BASE PAN - RECEITAS'!$D$3:$K$37,8,FALSE)</f>
        <v>555698.6446</v>
      </c>
      <c r="I13" s="1">
        <f>VLOOKUP($D13,'BASE PAN - RECEITAS'!$D$3:$N$37,11,FALSE)</f>
        <v>659785.41850000003</v>
      </c>
      <c r="J13" s="1">
        <f>VLOOKUP($D13,'BASE PAN - RECEITAS'!$D$3:$Q$37,14,FALSE)</f>
        <v>713039.75069999998</v>
      </c>
      <c r="K13" s="1">
        <f>VLOOKUP($D13,'BASE PAN - RECEITAS'!$D$3:$T$37,17,FALSE)</f>
        <v>745861.38580000005</v>
      </c>
      <c r="L13" s="1">
        <f>VLOOKUP($D13,'BASE PAN - RECEITAS'!$D$3:$W$37,20,FALSE)</f>
        <v>768397.26489999995</v>
      </c>
      <c r="M13" s="1">
        <f>VLOOKUP($D13,'BASE PAN - RECEITAS'!$D$3:$Z$37,23,FALSE)</f>
        <v>787940.924</v>
      </c>
      <c r="N13" s="1">
        <f>VLOOKUP($D13,'BASE PAN - RECEITAS'!$D$3:$AC$37,26,FALSE)</f>
        <v>804243.01150000002</v>
      </c>
      <c r="O13" s="1">
        <f>VLOOKUP($D13,'BASE PAN - RECEITAS'!$D$3:$AF$37,29,FALSE)</f>
        <v>818814.83389999997</v>
      </c>
      <c r="P13" s="1">
        <f>VLOOKUP($D13,'BASE PAN - RECEITAS'!$D$3:$AI$37,32,FALSE)</f>
        <v>830269.42590000003</v>
      </c>
      <c r="Q13" s="1">
        <f>VLOOKUP($D13,'BASE PAN - RECEITAS'!$D$3:$AL$37,35,FALSE)</f>
        <v>840571.48899999994</v>
      </c>
      <c r="R13" s="1">
        <f>VLOOKUP($D13,'BASE PAN - RECEITAS'!$D$3:$AO$37,38,FALSE)</f>
        <v>849189.70589999994</v>
      </c>
      <c r="S13" s="1">
        <f>VLOOKUP($D13,'BASE PAN - RECEITAS'!$D$3:$AR$37,41,FALSE)</f>
        <v>855968.95420000004</v>
      </c>
      <c r="T13" s="1">
        <f>VLOOKUP($D13,'BASE PAN - RECEITAS'!$D$3:$AU$37,44,FALSE)</f>
        <v>863761.91619999998</v>
      </c>
      <c r="U13" s="1">
        <f>VLOOKUP($D13,'BASE PAN - RECEITAS'!$D$3:$AX$37,47,FALSE)</f>
        <v>871819.09180000005</v>
      </c>
      <c r="V13" s="1">
        <f>VLOOKUP($D13,'BASE PAN - RECEITAS'!$D$3:$BA$37,50,FALSE)</f>
        <v>878395.74190000002</v>
      </c>
      <c r="W13" s="1">
        <f>VLOOKUP($D13,'BASE PAN - RECEITAS'!$D$3:$BD$37,53,FALSE)</f>
        <v>885970.52119999996</v>
      </c>
      <c r="X13" s="1">
        <f>VLOOKUP($D13,'BASE PAN - RECEITAS'!$D$3:$BG$37,56,FALSE)</f>
        <v>893887.43649999995</v>
      </c>
      <c r="Y13" s="1">
        <f>VLOOKUP($D13,'BASE PAN - RECEITAS'!$D$3:$BJ$37,59,FALSE)</f>
        <v>900588.76240000001</v>
      </c>
      <c r="Z13" s="1">
        <f>VLOOKUP($D13,'BASE PAN - RECEITAS'!$D$3:$BM$37,62,FALSE)</f>
        <v>907992.11250000005</v>
      </c>
      <c r="AA13" s="1">
        <f>VLOOKUP($D13,'BASE PAN - RECEITAS'!$D$3:$BP$37,65,FALSE)</f>
        <v>915877.85880000005</v>
      </c>
      <c r="AB13" s="1">
        <f>VLOOKUP($D13,'BASE PAN - RECEITAS'!$D$3:$BS$37,68,FALSE)</f>
        <v>921566.1936</v>
      </c>
      <c r="AC13" s="1">
        <f>VLOOKUP($D13,'BASE PAN - RECEITAS'!$D$3:$BV$37,71,FALSE)</f>
        <v>928642.2696</v>
      </c>
      <c r="AD13" s="1">
        <f>VLOOKUP($D13,'BASE PAN - RECEITAS'!$D$3:$BY$37,74,FALSE)</f>
        <v>934315.01989999996</v>
      </c>
      <c r="AE13" s="1">
        <f>VLOOKUP($D13,'BASE PAN - RECEITAS'!$D$3:$CB$37,77,FALSE)</f>
        <v>940486.47360000003</v>
      </c>
      <c r="AF13" s="1">
        <f>VLOOKUP($D13,'BASE PAN - RECEITAS'!$D$3:$CE$37,80,FALSE)</f>
        <v>947031.9547</v>
      </c>
      <c r="AG13" s="1">
        <f>VLOOKUP($D13,'BASE PAN - RECEITAS'!$D$3:$CH$37,83,FALSE)</f>
        <v>952830.10349999997</v>
      </c>
      <c r="AH13" s="1">
        <f>VLOOKUP($D13,'BASE PAN - RECEITAS'!$D$3:$CK$37,86,FALSE)</f>
        <v>958206.7487</v>
      </c>
      <c r="AI13" s="1">
        <f>VLOOKUP($D13,'BASE PAN - RECEITAS'!$D$3:$CN$37,89,FALSE)</f>
        <v>963474.30249999999</v>
      </c>
      <c r="AJ13" s="1">
        <f>VLOOKUP($D13,'BASE PAN - RECEITAS'!$D$3:$CQ$37,92,FALSE)</f>
        <v>968757.44090000005</v>
      </c>
      <c r="AK13" s="1">
        <f>VLOOKUP($D13,'BASE PAN - RECEITAS'!$D$3:$CT$37,95,FALSE)</f>
        <v>1029547.13</v>
      </c>
      <c r="AL13" s="1">
        <f t="shared" si="2"/>
        <v>25892931.887200002</v>
      </c>
      <c r="AM13" s="1">
        <f t="shared" si="1"/>
        <v>11843757.558800001</v>
      </c>
      <c r="AN13" t="str">
        <f>VLOOKUP(D13,'FLUXO DE CAIXA DESC.-BLOCOS PAN'!$D$3:$AO$52,38,FALSE)</f>
        <v>AM - 2 - AL</v>
      </c>
    </row>
    <row r="14" spans="1:40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33</v>
      </c>
      <c r="H14" s="1">
        <f>VLOOKUP($D14,'BASE PAN - RECEITAS'!$D$3:$K$37,8,FALSE)</f>
        <v>438999.96519999998</v>
      </c>
      <c r="I14" s="1">
        <f>VLOOKUP($D14,'BASE PAN - RECEITAS'!$D$3:$N$37,11,FALSE)</f>
        <v>472450.50919999997</v>
      </c>
      <c r="J14" s="1">
        <f>VLOOKUP($D14,'BASE PAN - RECEITAS'!$D$3:$Q$37,14,FALSE)</f>
        <v>501019.43670000002</v>
      </c>
      <c r="K14" s="1">
        <f>VLOOKUP($D14,'BASE PAN - RECEITAS'!$D$3:$T$37,17,FALSE)</f>
        <v>524326.65020000003</v>
      </c>
      <c r="L14" s="1">
        <f>VLOOKUP($D14,'BASE PAN - RECEITAS'!$D$3:$W$37,20,FALSE)</f>
        <v>545321.52469999995</v>
      </c>
      <c r="M14" s="1">
        <f>VLOOKUP($D14,'BASE PAN - RECEITAS'!$D$3:$Z$37,23,FALSE)</f>
        <v>565621.80920000002</v>
      </c>
      <c r="N14" s="1">
        <f>VLOOKUP($D14,'BASE PAN - RECEITAS'!$D$3:$AC$37,26,FALSE)</f>
        <v>585251.41059999994</v>
      </c>
      <c r="O14" s="1">
        <f>VLOOKUP($D14,'BASE PAN - RECEITAS'!$D$3:$AF$37,29,FALSE)</f>
        <v>604802.87100000004</v>
      </c>
      <c r="P14" s="1">
        <f>VLOOKUP($D14,'BASE PAN - RECEITAS'!$D$3:$AI$37,32,FALSE)</f>
        <v>623603.58669999999</v>
      </c>
      <c r="Q14" s="1">
        <f>VLOOKUP($D14,'BASE PAN - RECEITAS'!$D$3:$AL$37,35,FALSE)</f>
        <v>665458.89139999996</v>
      </c>
      <c r="R14" s="1">
        <f>VLOOKUP($D14,'BASE PAN - RECEITAS'!$D$3:$AO$37,38,FALSE)</f>
        <v>682726.49399999995</v>
      </c>
      <c r="S14" s="1">
        <f>VLOOKUP($D14,'BASE PAN - RECEITAS'!$D$3:$AR$37,41,FALSE)</f>
        <v>700181.83299999998</v>
      </c>
      <c r="T14" s="1">
        <f>VLOOKUP($D14,'BASE PAN - RECEITAS'!$D$3:$AU$37,44,FALSE)</f>
        <v>717855.35470000003</v>
      </c>
      <c r="U14" s="1">
        <f>VLOOKUP($D14,'BASE PAN - RECEITAS'!$D$3:$AX$37,47,FALSE)</f>
        <v>736183.42440000002</v>
      </c>
      <c r="V14" s="1">
        <f>VLOOKUP($D14,'BASE PAN - RECEITAS'!$D$3:$BA$37,50,FALSE)</f>
        <v>754417.98730000004</v>
      </c>
      <c r="W14" s="1">
        <f>VLOOKUP($D14,'BASE PAN - RECEITAS'!$D$3:$BD$37,53,FALSE)</f>
        <v>773338.26729999995</v>
      </c>
      <c r="X14" s="1">
        <f>VLOOKUP($D14,'BASE PAN - RECEITAS'!$D$3:$BG$37,56,FALSE)</f>
        <v>792398.08499999996</v>
      </c>
      <c r="Y14" s="1">
        <f>VLOOKUP($D14,'BASE PAN - RECEITAS'!$D$3:$BJ$37,59,FALSE)</f>
        <v>812215.50190000003</v>
      </c>
      <c r="Z14" s="1">
        <f>VLOOKUP($D14,'BASE PAN - RECEITAS'!$D$3:$BM$37,62,FALSE)</f>
        <v>832575.92879999999</v>
      </c>
      <c r="AA14" s="1">
        <f>VLOOKUP($D14,'BASE PAN - RECEITAS'!$D$3:$BP$37,65,FALSE)</f>
        <v>853397.51520000002</v>
      </c>
      <c r="AB14" s="1">
        <f>VLOOKUP($D14,'BASE PAN - RECEITAS'!$D$3:$BS$37,68,FALSE)</f>
        <v>874032.08779999998</v>
      </c>
      <c r="AC14" s="1">
        <f>VLOOKUP($D14,'BASE PAN - RECEITAS'!$D$3:$BV$37,71,FALSE)</f>
        <v>895290.03960000002</v>
      </c>
      <c r="AD14" s="1">
        <f>VLOOKUP($D14,'BASE PAN - RECEITAS'!$D$3:$BY$37,74,FALSE)</f>
        <v>916547.99140000006</v>
      </c>
      <c r="AE14" s="1">
        <f>VLOOKUP($D14,'BASE PAN - RECEITAS'!$D$3:$CB$37,77,FALSE)</f>
        <v>938179.97069999995</v>
      </c>
      <c r="AF14" s="1">
        <f>VLOOKUP($D14,'BASE PAN - RECEITAS'!$D$3:$CE$37,80,FALSE)</f>
        <v>959749.61210000003</v>
      </c>
      <c r="AG14" s="1">
        <f>VLOOKUP($D14,'BASE PAN - RECEITAS'!$D$3:$CH$37,83,FALSE)</f>
        <v>1037745.28</v>
      </c>
      <c r="AH14" s="1">
        <f>VLOOKUP($D14,'BASE PAN - RECEITAS'!$D$3:$CK$37,86,FALSE)</f>
        <v>1061247.872</v>
      </c>
      <c r="AI14" s="1">
        <f>VLOOKUP($D14,'BASE PAN - RECEITAS'!$D$3:$CN$37,89,FALSE)</f>
        <v>1085066.202</v>
      </c>
      <c r="AJ14" s="1">
        <f>VLOOKUP($D14,'BASE PAN - RECEITAS'!$D$3:$CQ$37,92,FALSE)</f>
        <v>1109572.0449999999</v>
      </c>
      <c r="AK14" s="1">
        <f>VLOOKUP($D14,'BASE PAN - RECEITAS'!$D$3:$CT$37,95,FALSE)</f>
        <v>1134689.2590000001</v>
      </c>
      <c r="AL14" s="1">
        <f t="shared" si="2"/>
        <v>23194267.406100001</v>
      </c>
      <c r="AM14" s="1">
        <f t="shared" si="1"/>
        <v>9118221.7482999992</v>
      </c>
      <c r="AN14" t="str">
        <f>VLOOKUP(D14,'FLUXO DE CAIXA DESC.-BLOCOS PAN'!$D$3:$AO$52,38,FALSE)</f>
        <v>Bloco Nordeste</v>
      </c>
    </row>
    <row r="15" spans="1:40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33</v>
      </c>
      <c r="H15" s="1">
        <f>VLOOKUP($D15,'BASE PAN - RECEITAS'!$D$3:$K$37,8,FALSE)</f>
        <v>770454.41610000003</v>
      </c>
      <c r="I15" s="1">
        <f>VLOOKUP($D15,'BASE PAN - RECEITAS'!$D$3:$N$37,11,FALSE)</f>
        <v>842971.49879999994</v>
      </c>
      <c r="J15" s="1">
        <f>VLOOKUP($D15,'BASE PAN - RECEITAS'!$D$3:$Q$37,14,FALSE)</f>
        <v>902256.30169999995</v>
      </c>
      <c r="K15" s="1">
        <f>VLOOKUP($D15,'BASE PAN - RECEITAS'!$D$3:$T$37,17,FALSE)</f>
        <v>948450.14229999995</v>
      </c>
      <c r="L15" s="1">
        <f>VLOOKUP($D15,'BASE PAN - RECEITAS'!$D$3:$W$37,20,FALSE)</f>
        <v>1045926.561</v>
      </c>
      <c r="M15" s="1">
        <f>VLOOKUP($D15,'BASE PAN - RECEITAS'!$D$3:$Z$37,23,FALSE)</f>
        <v>1087410.9410000001</v>
      </c>
      <c r="N15" s="1">
        <f>VLOOKUP($D15,'BASE PAN - RECEITAS'!$D$3:$AC$37,26,FALSE)</f>
        <v>1127132.1170000001</v>
      </c>
      <c r="O15" s="1">
        <f>VLOOKUP($D15,'BASE PAN - RECEITAS'!$D$3:$AF$37,29,FALSE)</f>
        <v>1165356.25</v>
      </c>
      <c r="P15" s="1">
        <f>VLOOKUP($D15,'BASE PAN - RECEITAS'!$D$3:$AI$37,32,FALSE)</f>
        <v>1201409.0959999999</v>
      </c>
      <c r="Q15" s="1">
        <f>VLOOKUP($D15,'BASE PAN - RECEITAS'!$D$3:$AL$37,35,FALSE)</f>
        <v>1234960.621</v>
      </c>
      <c r="R15" s="1">
        <f>VLOOKUP($D15,'BASE PAN - RECEITAS'!$D$3:$AO$37,38,FALSE)</f>
        <v>1266780.1229999999</v>
      </c>
      <c r="S15" s="1">
        <f>VLOOKUP($D15,'BASE PAN - RECEITAS'!$D$3:$AR$37,41,FALSE)</f>
        <v>1298476.2620000001</v>
      </c>
      <c r="T15" s="1">
        <f>VLOOKUP($D15,'BASE PAN - RECEITAS'!$D$3:$AU$37,44,FALSE)</f>
        <v>1330176.841</v>
      </c>
      <c r="U15" s="1">
        <f>VLOOKUP($D15,'BASE PAN - RECEITAS'!$D$3:$AX$37,47,FALSE)</f>
        <v>1362783.7239999999</v>
      </c>
      <c r="V15" s="1">
        <f>VLOOKUP($D15,'BASE PAN - RECEITAS'!$D$3:$BA$37,50,FALSE)</f>
        <v>1395116.443</v>
      </c>
      <c r="W15" s="1">
        <f>VLOOKUP($D15,'BASE PAN - RECEITAS'!$D$3:$BD$37,53,FALSE)</f>
        <v>1428010.2549999999</v>
      </c>
      <c r="X15" s="1">
        <f>VLOOKUP($D15,'BASE PAN - RECEITAS'!$D$3:$BG$37,56,FALSE)</f>
        <v>1461060.324</v>
      </c>
      <c r="Y15" s="1">
        <f>VLOOKUP($D15,'BASE PAN - RECEITAS'!$D$3:$BJ$37,59,FALSE)</f>
        <v>1495233.4369999999</v>
      </c>
      <c r="Z15" s="1">
        <f>VLOOKUP($D15,'BASE PAN - RECEITAS'!$D$3:$BM$37,62,FALSE)</f>
        <v>1529797.2420000001</v>
      </c>
      <c r="AA15" s="1">
        <f>VLOOKUP($D15,'BASE PAN - RECEITAS'!$D$3:$BP$37,65,FALSE)</f>
        <v>1565288.4909999999</v>
      </c>
      <c r="AB15" s="1">
        <f>VLOOKUP($D15,'BASE PAN - RECEITAS'!$D$3:$BS$37,68,FALSE)</f>
        <v>1600076.0279999999</v>
      </c>
      <c r="AC15" s="1">
        <f>VLOOKUP($D15,'BASE PAN - RECEITAS'!$D$3:$BV$37,71,FALSE)</f>
        <v>1635280.6780000001</v>
      </c>
      <c r="AD15" s="1">
        <f>VLOOKUP($D15,'BASE PAN - RECEITAS'!$D$3:$BY$37,74,FALSE)</f>
        <v>1670497.932</v>
      </c>
      <c r="AE15" s="1">
        <f>VLOOKUP($D15,'BASE PAN - RECEITAS'!$D$3:$CB$37,77,FALSE)</f>
        <v>1704291.2250000001</v>
      </c>
      <c r="AF15" s="1">
        <f>VLOOKUP($D15,'BASE PAN - RECEITAS'!$D$3:$CE$37,80,FALSE)</f>
        <v>1736987.0519999999</v>
      </c>
      <c r="AG15" s="1">
        <f>VLOOKUP($D15,'BASE PAN - RECEITAS'!$D$3:$CH$37,83,FALSE)</f>
        <v>1769593.9350000001</v>
      </c>
      <c r="AH15" s="1">
        <f>VLOOKUP($D15,'BASE PAN - RECEITAS'!$D$3:$CK$37,86,FALSE)</f>
        <v>1801037.0449999999</v>
      </c>
      <c r="AI15" s="1">
        <f>VLOOKUP($D15,'BASE PAN - RECEITAS'!$D$3:$CN$37,89,FALSE)</f>
        <v>1832716.1529999999</v>
      </c>
      <c r="AJ15" s="1">
        <f>VLOOKUP($D15,'BASE PAN - RECEITAS'!$D$3:$CQ$37,92,FALSE)</f>
        <v>1865091.477</v>
      </c>
      <c r="AK15" s="1">
        <f>VLOOKUP($D15,'BASE PAN - RECEITAS'!$D$3:$CT$37,95,FALSE)</f>
        <v>1897900.9450000001</v>
      </c>
      <c r="AL15" s="1">
        <f t="shared" si="2"/>
        <v>41972523.556899995</v>
      </c>
      <c r="AM15" s="1">
        <f t="shared" si="1"/>
        <v>16979661.337899998</v>
      </c>
      <c r="AN15" t="str">
        <f>VLOOKUP(D15,'FLUXO DE CAIXA DESC.-BLOCOS PAN'!$D$3:$AO$52,38,FALSE)</f>
        <v>RO - 1 - AL</v>
      </c>
    </row>
    <row r="16" spans="1:40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33</v>
      </c>
      <c r="H16" s="1">
        <f>VLOOKUP($D16,'BASE PAN - RECEITAS'!$D$3:$K$37,8,FALSE)</f>
        <v>317488.99650000001</v>
      </c>
      <c r="I16" s="1">
        <f>VLOOKUP($D16,'BASE PAN - RECEITAS'!$D$3:$N$37,11,FALSE)</f>
        <v>336696.63669999997</v>
      </c>
      <c r="J16" s="1">
        <f>VLOOKUP($D16,'BASE PAN - RECEITAS'!$D$3:$Q$37,14,FALSE)</f>
        <v>351981.6005</v>
      </c>
      <c r="K16" s="1">
        <f>VLOOKUP($D16,'BASE PAN - RECEITAS'!$D$3:$T$37,17,FALSE)</f>
        <v>363390.18109999999</v>
      </c>
      <c r="L16" s="1">
        <f>VLOOKUP($D16,'BASE PAN - RECEITAS'!$D$3:$W$37,20,FALSE)</f>
        <v>373241.56280000001</v>
      </c>
      <c r="M16" s="1">
        <f>VLOOKUP($D16,'BASE PAN - RECEITAS'!$D$3:$Z$37,23,FALSE)</f>
        <v>381962.68579999998</v>
      </c>
      <c r="N16" s="1">
        <f>VLOOKUP($D16,'BASE PAN - RECEITAS'!$D$3:$AC$37,26,FALSE)</f>
        <v>390902.01189999998</v>
      </c>
      <c r="O16" s="1">
        <f>VLOOKUP($D16,'BASE PAN - RECEITAS'!$D$3:$AF$37,29,FALSE)</f>
        <v>400185.15830000001</v>
      </c>
      <c r="P16" s="1">
        <f>VLOOKUP($D16,'BASE PAN - RECEITAS'!$D$3:$AI$37,32,FALSE)</f>
        <v>409149.52590000001</v>
      </c>
      <c r="Q16" s="1">
        <f>VLOOKUP($D16,'BASE PAN - RECEITAS'!$D$3:$AL$37,35,FALSE)</f>
        <v>417854.42920000001</v>
      </c>
      <c r="R16" s="1">
        <f>VLOOKUP($D16,'BASE PAN - RECEITAS'!$D$3:$AO$37,38,FALSE)</f>
        <v>425996.71750000003</v>
      </c>
      <c r="S16" s="1">
        <f>VLOOKUP($D16,'BASE PAN - RECEITAS'!$D$3:$AR$37,41,FALSE)</f>
        <v>434592.8149</v>
      </c>
      <c r="T16" s="1">
        <f>VLOOKUP($D16,'BASE PAN - RECEITAS'!$D$3:$AU$37,44,FALSE)</f>
        <v>443047.66710000002</v>
      </c>
      <c r="U16" s="1">
        <f>VLOOKUP($D16,'BASE PAN - RECEITAS'!$D$3:$AX$37,47,FALSE)</f>
        <v>451815.08309999999</v>
      </c>
      <c r="V16" s="1">
        <f>VLOOKUP($D16,'BASE PAN - RECEITAS'!$D$3:$BA$37,50,FALSE)</f>
        <v>460651.22379999998</v>
      </c>
      <c r="W16" s="1">
        <f>VLOOKUP($D16,'BASE PAN - RECEITAS'!$D$3:$BD$37,53,FALSE)</f>
        <v>469559.29359999998</v>
      </c>
      <c r="X16" s="1">
        <f>VLOOKUP($D16,'BASE PAN - RECEITAS'!$D$3:$BG$37,56,FALSE)</f>
        <v>478842.44</v>
      </c>
      <c r="Y16" s="1">
        <f>VLOOKUP($D16,'BASE PAN - RECEITAS'!$D$3:$BJ$37,59,FALSE)</f>
        <v>488219.35550000001</v>
      </c>
      <c r="Z16" s="1">
        <f>VLOOKUP($D16,'BASE PAN - RECEITAS'!$D$3:$BM$37,62,FALSE)</f>
        <v>498206.36210000003</v>
      </c>
      <c r="AA16" s="1">
        <f>VLOOKUP($D16,'BASE PAN - RECEITAS'!$D$3:$BP$37,65,FALSE)</f>
        <v>508130.26439999999</v>
      </c>
      <c r="AB16" s="1">
        <f>VLOOKUP($D16,'BASE PAN - RECEITAS'!$D$3:$BS$37,68,FALSE)</f>
        <v>518481.70610000001</v>
      </c>
      <c r="AC16" s="1">
        <f>VLOOKUP($D16,'BASE PAN - RECEITAS'!$D$3:$BV$37,71,FALSE)</f>
        <v>528733.80050000001</v>
      </c>
      <c r="AD16" s="1">
        <f>VLOOKUP($D16,'BASE PAN - RECEITAS'!$D$3:$BY$37,74,FALSE)</f>
        <v>539345.34329999995</v>
      </c>
      <c r="AE16" s="1">
        <f>VLOOKUP($D16,'BASE PAN - RECEITAS'!$D$3:$CB$37,77,FALSE)</f>
        <v>550056.86699999997</v>
      </c>
      <c r="AF16" s="1">
        <f>VLOOKUP($D16,'BASE PAN - RECEITAS'!$D$3:$CE$37,80,FALSE)</f>
        <v>560877.64509999997</v>
      </c>
      <c r="AG16" s="1">
        <f>VLOOKUP($D16,'BASE PAN - RECEITAS'!$D$3:$CH$37,83,FALSE)</f>
        <v>571998.11179999996</v>
      </c>
      <c r="AH16" s="1">
        <f>VLOOKUP($D16,'BASE PAN - RECEITAS'!$D$3:$CK$37,86,FALSE)</f>
        <v>583000.95079999999</v>
      </c>
      <c r="AI16" s="1">
        <f>VLOOKUP($D16,'BASE PAN - RECEITAS'!$D$3:$CN$37,89,FALSE)</f>
        <v>593690.63459999999</v>
      </c>
      <c r="AJ16" s="1">
        <f>VLOOKUP($D16,'BASE PAN - RECEITAS'!$D$3:$CQ$37,92,FALSE)</f>
        <v>604709.10179999995</v>
      </c>
      <c r="AK16" s="1">
        <f>VLOOKUP($D16,'BASE PAN - RECEITAS'!$D$3:$CT$37,95,FALSE)</f>
        <v>615977.02870000002</v>
      </c>
      <c r="AL16" s="1">
        <f t="shared" si="2"/>
        <v>14068785.2004</v>
      </c>
      <c r="AM16" s="1">
        <f t="shared" si="1"/>
        <v>5958956.2950999998</v>
      </c>
      <c r="AN16" t="str">
        <f>VLOOKUP(D16,'FLUXO DE CAIXA DESC.-BLOCOS PAN'!$D$3:$AO$52,38,FALSE)</f>
        <v>PA - 2 - AL</v>
      </c>
    </row>
    <row r="17" spans="1:40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33</v>
      </c>
      <c r="H17" s="1">
        <f>VLOOKUP($D17,'BASE PAN - RECEITAS'!$D$3:$K$37,8,FALSE)</f>
        <v>378243.17589999997</v>
      </c>
      <c r="I17" s="1">
        <f>VLOOKUP($D17,'BASE PAN - RECEITAS'!$D$3:$N$37,11,FALSE)</f>
        <v>413087.83039999998</v>
      </c>
      <c r="J17" s="1">
        <f>VLOOKUP($D17,'BASE PAN - RECEITAS'!$D$3:$Q$37,14,FALSE)</f>
        <v>443594.65379999997</v>
      </c>
      <c r="K17" s="1">
        <f>VLOOKUP($D17,'BASE PAN - RECEITAS'!$D$3:$T$37,17,FALSE)</f>
        <v>467199.43650000001</v>
      </c>
      <c r="L17" s="1">
        <f>VLOOKUP($D17,'BASE PAN - RECEITAS'!$D$3:$W$37,20,FALSE)</f>
        <v>490017.18920000002</v>
      </c>
      <c r="M17" s="1">
        <f>VLOOKUP($D17,'BASE PAN - RECEITAS'!$D$3:$Z$37,23,FALSE)</f>
        <v>510573.24920000002</v>
      </c>
      <c r="N17" s="1">
        <f>VLOOKUP($D17,'BASE PAN - RECEITAS'!$D$3:$AC$37,26,FALSE)</f>
        <v>532578.33589999995</v>
      </c>
      <c r="O17" s="1">
        <f>VLOOKUP($D17,'BASE PAN - RECEITAS'!$D$3:$AF$37,29,FALSE)</f>
        <v>553182.50549999997</v>
      </c>
      <c r="P17" s="1">
        <f>VLOOKUP($D17,'BASE PAN - RECEITAS'!$D$3:$AI$37,32,FALSE)</f>
        <v>575421.27740000002</v>
      </c>
      <c r="Q17" s="1">
        <f>VLOOKUP($D17,'BASE PAN - RECEITAS'!$D$3:$AL$37,35,FALSE)</f>
        <v>595097.17189999996</v>
      </c>
      <c r="R17" s="1">
        <f>VLOOKUP($D17,'BASE PAN - RECEITAS'!$D$3:$AO$37,38,FALSE)</f>
        <v>616086.42599999998</v>
      </c>
      <c r="S17" s="1">
        <f>VLOOKUP($D17,'BASE PAN - RECEITAS'!$D$3:$AR$37,41,FALSE)</f>
        <v>659317.88419999997</v>
      </c>
      <c r="T17" s="1">
        <f>VLOOKUP($D17,'BASE PAN - RECEITAS'!$D$3:$AU$37,44,FALSE)</f>
        <v>680918.69449999998</v>
      </c>
      <c r="U17" s="1">
        <f>VLOOKUP($D17,'BASE PAN - RECEITAS'!$D$3:$AX$37,47,FALSE)</f>
        <v>700867.55009999999</v>
      </c>
      <c r="V17" s="1">
        <f>VLOOKUP($D17,'BASE PAN - RECEITAS'!$D$3:$BA$37,50,FALSE)</f>
        <v>723169.66200000001</v>
      </c>
      <c r="W17" s="1">
        <f>VLOOKUP($D17,'BASE PAN - RECEITAS'!$D$3:$BD$37,53,FALSE)</f>
        <v>743804.23459999997</v>
      </c>
      <c r="X17" s="1">
        <f>VLOOKUP($D17,'BASE PAN - RECEITAS'!$D$3:$BG$37,56,FALSE)</f>
        <v>766745.3101</v>
      </c>
      <c r="Y17" s="1">
        <f>VLOOKUP($D17,'BASE PAN - RECEITAS'!$D$3:$BJ$37,59,FALSE)</f>
        <v>787598.06550000003</v>
      </c>
      <c r="Z17" s="1">
        <f>VLOOKUP($D17,'BASE PAN - RECEITAS'!$D$3:$BM$37,62,FALSE)</f>
        <v>811514.20039999997</v>
      </c>
      <c r="AA17" s="1">
        <f>VLOOKUP($D17,'BASE PAN - RECEITAS'!$D$3:$BP$37,65,FALSE)</f>
        <v>833012.2942</v>
      </c>
      <c r="AB17" s="1">
        <f>VLOOKUP($D17,'BASE PAN - RECEITAS'!$D$3:$BS$37,68,FALSE)</f>
        <v>857278.05039999995</v>
      </c>
      <c r="AC17" s="1">
        <f>VLOOKUP($D17,'BASE PAN - RECEITAS'!$D$3:$BV$37,71,FALSE)</f>
        <v>879143.79689999996</v>
      </c>
      <c r="AD17" s="1">
        <f>VLOOKUP($D17,'BASE PAN - RECEITAS'!$D$3:$BY$37,74,FALSE)</f>
        <v>904266.69940000004</v>
      </c>
      <c r="AE17" s="1">
        <f>VLOOKUP($D17,'BASE PAN - RECEITAS'!$D$3:$CB$37,77,FALSE)</f>
        <v>921940.22109999997</v>
      </c>
      <c r="AF17" s="1">
        <f>VLOOKUP($D17,'BASE PAN - RECEITAS'!$D$3:$CE$37,80,FALSE)</f>
        <v>942683.88509999996</v>
      </c>
      <c r="AG17" s="1">
        <f>VLOOKUP($D17,'BASE PAN - RECEITAS'!$D$3:$CH$37,83,FALSE)</f>
        <v>961027.53929999995</v>
      </c>
      <c r="AH17" s="1">
        <f>VLOOKUP($D17,'BASE PAN - RECEITAS'!$D$3:$CK$37,86,FALSE)</f>
        <v>1038403.156</v>
      </c>
      <c r="AI17" s="1">
        <f>VLOOKUP($D17,'BASE PAN - RECEITAS'!$D$3:$CN$37,89,FALSE)</f>
        <v>1058312.7320000001</v>
      </c>
      <c r="AJ17" s="1">
        <f>VLOOKUP($D17,'BASE PAN - RECEITAS'!$D$3:$CQ$37,92,FALSE)</f>
        <v>1078605.52</v>
      </c>
      <c r="AK17" s="1">
        <f>VLOOKUP($D17,'BASE PAN - RECEITAS'!$D$3:$CT$37,95,FALSE)</f>
        <v>1099320.1869999999</v>
      </c>
      <c r="AL17" s="1">
        <f t="shared" si="2"/>
        <v>22023010.934500001</v>
      </c>
      <c r="AM17" s="1">
        <f t="shared" si="1"/>
        <v>8339355.0425000004</v>
      </c>
      <c r="AN17" t="str">
        <f>VLOOKUP(D17,'FLUXO DE CAIXA DESC.-BLOCOS PAN'!$D$3:$AO$52,38,FALSE)</f>
        <v>PA - 2 - AL</v>
      </c>
    </row>
    <row r="18" spans="1:40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33</v>
      </c>
      <c r="H18" s="1">
        <f>VLOOKUP($D18,'BASE PAN - RECEITAS'!$D$3:$K$37,8,FALSE)</f>
        <v>269633.83149999997</v>
      </c>
      <c r="I18" s="1">
        <f>VLOOKUP($D18,'BASE PAN - RECEITAS'!$D$3:$N$37,11,FALSE)</f>
        <v>283204.0895</v>
      </c>
      <c r="J18" s="1">
        <f>VLOOKUP($D18,'BASE PAN - RECEITAS'!$D$3:$Q$37,14,FALSE)</f>
        <v>294009.3824</v>
      </c>
      <c r="K18" s="1">
        <f>VLOOKUP($D18,'BASE PAN - RECEITAS'!$D$3:$T$37,17,FALSE)</f>
        <v>302017.08590000001</v>
      </c>
      <c r="L18" s="1">
        <f>VLOOKUP($D18,'BASE PAN - RECEITAS'!$D$3:$W$37,20,FALSE)</f>
        <v>308737.20870000002</v>
      </c>
      <c r="M18" s="1">
        <f>VLOOKUP($D18,'BASE PAN - RECEITAS'!$D$3:$Z$37,23,FALSE)</f>
        <v>314847.83199999999</v>
      </c>
      <c r="N18" s="1">
        <f>VLOOKUP($D18,'BASE PAN - RECEITAS'!$D$3:$AC$37,26,FALSE)</f>
        <v>320912.16220000002</v>
      </c>
      <c r="O18" s="1">
        <f>VLOOKUP($D18,'BASE PAN - RECEITAS'!$D$3:$AF$37,29,FALSE)</f>
        <v>327116.55459999997</v>
      </c>
      <c r="P18" s="1">
        <f>VLOOKUP($D18,'BASE PAN - RECEITAS'!$D$3:$AI$37,32,FALSE)</f>
        <v>333180.29340000002</v>
      </c>
      <c r="Q18" s="1">
        <f>VLOOKUP($D18,'BASE PAN - RECEITAS'!$D$3:$AL$37,35,FALSE)</f>
        <v>338853.3273</v>
      </c>
      <c r="R18" s="1">
        <f>VLOOKUP($D18,'BASE PAN - RECEITAS'!$D$3:$AO$37,38,FALSE)</f>
        <v>344323.19469999999</v>
      </c>
      <c r="S18" s="1">
        <f>VLOOKUP($D18,'BASE PAN - RECEITAS'!$D$3:$AR$37,41,FALSE)</f>
        <v>349903.05089999997</v>
      </c>
      <c r="T18" s="1">
        <f>VLOOKUP($D18,'BASE PAN - RECEITAS'!$D$3:$AU$37,44,FALSE)</f>
        <v>355435.43109999999</v>
      </c>
      <c r="U18" s="1">
        <f>VLOOKUP($D18,'BASE PAN - RECEITAS'!$D$3:$AX$37,47,FALSE)</f>
        <v>361202.23420000001</v>
      </c>
      <c r="V18" s="1">
        <f>VLOOKUP($D18,'BASE PAN - RECEITAS'!$D$3:$BA$37,50,FALSE)</f>
        <v>366922.15269999998</v>
      </c>
      <c r="W18" s="1">
        <f>VLOOKUP($D18,'BASE PAN - RECEITAS'!$D$3:$BD$37,53,FALSE)</f>
        <v>372866.48619999998</v>
      </c>
      <c r="X18" s="1">
        <f>VLOOKUP($D18,'BASE PAN - RECEITAS'!$D$3:$BG$37,56,FALSE)</f>
        <v>378852.67540000001</v>
      </c>
      <c r="Y18" s="1">
        <f>VLOOKUP($D18,'BASE PAN - RECEITAS'!$D$3:$BJ$37,59,FALSE)</f>
        <v>385041.43969999999</v>
      </c>
      <c r="Z18" s="1">
        <f>VLOOKUP($D18,'BASE PAN - RECEITAS'!$D$3:$BM$37,62,FALSE)</f>
        <v>391402.11410000001</v>
      </c>
      <c r="AA18" s="1">
        <f>VLOOKUP($D18,'BASE PAN - RECEITAS'!$D$3:$BP$37,65,FALSE)</f>
        <v>397934.6986</v>
      </c>
      <c r="AB18" s="1">
        <f>VLOOKUP($D18,'BASE PAN - RECEITAS'!$D$3:$BS$37,68,FALSE)</f>
        <v>404445.4399</v>
      </c>
      <c r="AC18" s="1">
        <f>VLOOKUP($D18,'BASE PAN - RECEITAS'!$D$3:$BV$37,71,FALSE)</f>
        <v>411165.56270000001</v>
      </c>
      <c r="AD18" s="1">
        <f>VLOOKUP($D18,'BASE PAN - RECEITAS'!$D$3:$BY$37,74,FALSE)</f>
        <v>417885.68550000002</v>
      </c>
      <c r="AE18" s="1">
        <f>VLOOKUP($D18,'BASE PAN - RECEITAS'!$D$3:$CB$37,77,FALSE)</f>
        <v>424777.71850000002</v>
      </c>
      <c r="AF18" s="1">
        <f>VLOOKUP($D18,'BASE PAN - RECEITAS'!$D$3:$CE$37,80,FALSE)</f>
        <v>431732.85570000001</v>
      </c>
      <c r="AG18" s="1">
        <f>VLOOKUP($D18,'BASE PAN - RECEITAS'!$D$3:$CH$37,83,FALSE)</f>
        <v>438921.82419999997</v>
      </c>
      <c r="AH18" s="1">
        <f>VLOOKUP($D18,'BASE PAN - RECEITAS'!$D$3:$CK$37,86,FALSE)</f>
        <v>445954.51089999999</v>
      </c>
      <c r="AI18" s="1">
        <f>VLOOKUP($D18,'BASE PAN - RECEITAS'!$D$3:$CN$37,89,FALSE)</f>
        <v>452815.28749999998</v>
      </c>
      <c r="AJ18" s="1">
        <f>VLOOKUP($D18,'BASE PAN - RECEITAS'!$D$3:$CQ$37,92,FALSE)</f>
        <v>459900.4791</v>
      </c>
      <c r="AK18" s="1">
        <f>VLOOKUP($D18,'BASE PAN - RECEITAS'!$D$3:$CT$37,95,FALSE)</f>
        <v>467183.80829999998</v>
      </c>
      <c r="AL18" s="1">
        <f t="shared" si="2"/>
        <v>11151178.417399999</v>
      </c>
      <c r="AM18" s="1">
        <f t="shared" si="1"/>
        <v>4870297.8311000001</v>
      </c>
      <c r="AN18" t="str">
        <f>VLOOKUP(D18,'FLUXO DE CAIXA DESC.-BLOCOS PAN'!$D$3:$AO$52,38,FALSE)</f>
        <v>PA - 2 - AL</v>
      </c>
    </row>
    <row r="19" spans="1:40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33</v>
      </c>
      <c r="H19" s="1">
        <f>VLOOKUP($D19,'BASE PAN - RECEITAS'!$D$3:$K$37,8,FALSE)</f>
        <v>778200.62470000004</v>
      </c>
      <c r="I19" s="1">
        <f>VLOOKUP($D19,'BASE PAN - RECEITAS'!$D$3:$N$37,11,FALSE)</f>
        <v>851792.3138</v>
      </c>
      <c r="J19" s="1">
        <f>VLOOKUP($D19,'BASE PAN - RECEITAS'!$D$3:$Q$37,14,FALSE)</f>
        <v>911825.89430000004</v>
      </c>
      <c r="K19" s="1">
        <f>VLOOKUP($D19,'BASE PAN - RECEITAS'!$D$3:$T$37,17,FALSE)</f>
        <v>960466.49809999997</v>
      </c>
      <c r="L19" s="1">
        <f>VLOOKUP($D19,'BASE PAN - RECEITAS'!$D$3:$W$37,20,FALSE)</f>
        <v>1057401.8259999999</v>
      </c>
      <c r="M19" s="1">
        <f>VLOOKUP($D19,'BASE PAN - RECEITAS'!$D$3:$Z$37,23,FALSE)</f>
        <v>1097700.8</v>
      </c>
      <c r="N19" s="1">
        <f>VLOOKUP($D19,'BASE PAN - RECEITAS'!$D$3:$AC$37,26,FALSE)</f>
        <v>1139277.524</v>
      </c>
      <c r="O19" s="1">
        <f>VLOOKUP($D19,'BASE PAN - RECEITAS'!$D$3:$AF$37,29,FALSE)</f>
        <v>1178446.3</v>
      </c>
      <c r="P19" s="1">
        <f>VLOOKUP($D19,'BASE PAN - RECEITAS'!$D$3:$AI$37,32,FALSE)</f>
        <v>1213267.574</v>
      </c>
      <c r="Q19" s="1">
        <f>VLOOKUP($D19,'BASE PAN - RECEITAS'!$D$3:$AL$37,35,FALSE)</f>
        <v>1247915.7220000001</v>
      </c>
      <c r="R19" s="1">
        <f>VLOOKUP($D19,'BASE PAN - RECEITAS'!$D$3:$AO$37,38,FALSE)</f>
        <v>1280426.8370000001</v>
      </c>
      <c r="S19" s="1">
        <f>VLOOKUP($D19,'BASE PAN - RECEITAS'!$D$3:$AR$37,41,FALSE)</f>
        <v>1311785.442</v>
      </c>
      <c r="T19" s="1">
        <f>VLOOKUP($D19,'BASE PAN - RECEITAS'!$D$3:$AU$37,44,FALSE)</f>
        <v>1343199.4169999999</v>
      </c>
      <c r="U19" s="1">
        <f>VLOOKUP($D19,'BASE PAN - RECEITAS'!$D$3:$AX$37,47,FALSE)</f>
        <v>1374558.0209999999</v>
      </c>
      <c r="V19" s="1">
        <f>VLOOKUP($D19,'BASE PAN - RECEITAS'!$D$3:$BA$37,50,FALSE)</f>
        <v>1407177.5079999999</v>
      </c>
      <c r="W19" s="1">
        <f>VLOOKUP($D19,'BASE PAN - RECEITAS'!$D$3:$BD$37,53,FALSE)</f>
        <v>1440762.77</v>
      </c>
      <c r="X19" s="1">
        <f>VLOOKUP($D19,'BASE PAN - RECEITAS'!$D$3:$BG$37,56,FALSE)</f>
        <v>1474420.2720000001</v>
      </c>
      <c r="Y19" s="1">
        <f>VLOOKUP($D19,'BASE PAN - RECEITAS'!$D$3:$BJ$37,59,FALSE)</f>
        <v>1509318.7350000001</v>
      </c>
      <c r="Z19" s="1">
        <f>VLOOKUP($D19,'BASE PAN - RECEITAS'!$D$3:$BM$37,62,FALSE)</f>
        <v>1544017.327</v>
      </c>
      <c r="AA19" s="1">
        <f>VLOOKUP($D19,'BASE PAN - RECEITAS'!$D$3:$BP$37,65,FALSE)</f>
        <v>1580014.635</v>
      </c>
      <c r="AB19" s="1">
        <f>VLOOKUP($D19,'BASE PAN - RECEITAS'!$D$3:$BS$37,68,FALSE)</f>
        <v>1614802.334</v>
      </c>
      <c r="AC19" s="1">
        <f>VLOOKUP($D19,'BASE PAN - RECEITAS'!$D$3:$BV$37,71,FALSE)</f>
        <v>1650778.676</v>
      </c>
      <c r="AD19" s="1">
        <f>VLOOKUP($D19,'BASE PAN - RECEITAS'!$D$3:$BY$37,74,FALSE)</f>
        <v>1687720.794</v>
      </c>
      <c r="AE19" s="1">
        <f>VLOOKUP($D19,'BASE PAN - RECEITAS'!$D$3:$CB$37,77,FALSE)</f>
        <v>1724824.7760000001</v>
      </c>
      <c r="AF19" s="1">
        <f>VLOOKUP($D19,'BASE PAN - RECEITAS'!$D$3:$CE$37,80,FALSE)</f>
        <v>1759472.925</v>
      </c>
      <c r="AG19" s="1">
        <f>VLOOKUP($D19,'BASE PAN - RECEITAS'!$D$3:$CH$37,83,FALSE)</f>
        <v>1797528.372</v>
      </c>
      <c r="AH19" s="1">
        <f>VLOOKUP($D19,'BASE PAN - RECEITAS'!$D$3:$CK$37,86,FALSE)</f>
        <v>1832226.963</v>
      </c>
      <c r="AI19" s="1">
        <f>VLOOKUP($D19,'BASE PAN - RECEITAS'!$D$3:$CN$37,89,FALSE)</f>
        <v>1871535.29</v>
      </c>
      <c r="AJ19" s="1">
        <f>VLOOKUP($D19,'BASE PAN - RECEITAS'!$D$3:$CQ$37,92,FALSE)</f>
        <v>1910868.4879999999</v>
      </c>
      <c r="AK19" s="1">
        <f>VLOOKUP($D19,'BASE PAN - RECEITAS'!$D$3:$CT$37,95,FALSE)</f>
        <v>1952280.791</v>
      </c>
      <c r="AL19" s="1">
        <f t="shared" si="2"/>
        <v>42504015.449899994</v>
      </c>
      <c r="AM19" s="1">
        <f t="shared" si="1"/>
        <v>17153442.301899996</v>
      </c>
      <c r="AN19" t="str">
        <f>VLOOKUP(D19,'FLUXO DE CAIXA DESC.-BLOCOS PAN'!$D$3:$AO$52,38,FALSE)</f>
        <v>Bloco Nordeste</v>
      </c>
    </row>
    <row r="20" spans="1:40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33</v>
      </c>
      <c r="H20" s="1">
        <f>VLOOKUP($D20,'BASE PAN - RECEITAS'!$D$3:$K$37,8,FALSE)</f>
        <v>225614.8365</v>
      </c>
      <c r="I20" s="1">
        <f>VLOOKUP($D20,'BASE PAN - RECEITAS'!$D$3:$N$37,11,FALSE)</f>
        <v>233882.74189999999</v>
      </c>
      <c r="J20" s="1">
        <f>VLOOKUP($D20,'BASE PAN - RECEITAS'!$D$3:$Q$37,14,FALSE)</f>
        <v>240384.07</v>
      </c>
      <c r="K20" s="1">
        <f>VLOOKUP($D20,'BASE PAN - RECEITAS'!$D$3:$T$37,17,FALSE)</f>
        <v>245284.516</v>
      </c>
      <c r="L20" s="1">
        <f>VLOOKUP($D20,'BASE PAN - RECEITAS'!$D$3:$W$37,20,FALSE)</f>
        <v>249441.6152</v>
      </c>
      <c r="M20" s="1">
        <f>VLOOKUP($D20,'BASE PAN - RECEITAS'!$D$3:$Z$37,23,FALSE)</f>
        <v>253270.52239999999</v>
      </c>
      <c r="N20" s="1">
        <f>VLOOKUP($D20,'BASE PAN - RECEITAS'!$D$3:$AC$37,26,FALSE)</f>
        <v>256943.1477</v>
      </c>
      <c r="O20" s="1">
        <f>VLOOKUP($D20,'BASE PAN - RECEITAS'!$D$3:$AF$37,29,FALSE)</f>
        <v>260459.49100000001</v>
      </c>
      <c r="P20" s="1">
        <f>VLOOKUP($D20,'BASE PAN - RECEITAS'!$D$3:$AI$37,32,FALSE)</f>
        <v>263851.40029999998</v>
      </c>
      <c r="Q20" s="1">
        <f>VLOOKUP($D20,'BASE PAN - RECEITAS'!$D$3:$AL$37,35,FALSE)</f>
        <v>267008.29519999999</v>
      </c>
      <c r="R20" s="1">
        <f>VLOOKUP($D20,'BASE PAN - RECEITAS'!$D$3:$AO$37,38,FALSE)</f>
        <v>269836.99800000002</v>
      </c>
      <c r="S20" s="1">
        <f>VLOOKUP($D20,'BASE PAN - RECEITAS'!$D$3:$AR$37,41,FALSE)</f>
        <v>272665.7009</v>
      </c>
      <c r="T20" s="1">
        <f>VLOOKUP($D20,'BASE PAN - RECEITAS'!$D$3:$AU$37,44,FALSE)</f>
        <v>275510.03200000001</v>
      </c>
      <c r="U20" s="1">
        <f>VLOOKUP($D20,'BASE PAN - RECEITAS'!$D$3:$AX$37,47,FALSE)</f>
        <v>278531.2599</v>
      </c>
      <c r="V20" s="1">
        <f>VLOOKUP($D20,'BASE PAN - RECEITAS'!$D$3:$BA$37,50,FALSE)</f>
        <v>281359.96279999998</v>
      </c>
      <c r="W20" s="1">
        <f>VLOOKUP($D20,'BASE PAN - RECEITAS'!$D$3:$BD$37,53,FALSE)</f>
        <v>284219.92200000002</v>
      </c>
      <c r="X20" s="1">
        <f>VLOOKUP($D20,'BASE PAN - RECEITAS'!$D$3:$BG$37,56,FALSE)</f>
        <v>287126.7659</v>
      </c>
      <c r="Y20" s="1">
        <f>VLOOKUP($D20,'BASE PAN - RECEITAS'!$D$3:$BJ$37,59,FALSE)</f>
        <v>290149.21889999998</v>
      </c>
      <c r="Z20" s="1">
        <f>VLOOKUP($D20,'BASE PAN - RECEITAS'!$D$3:$BM$37,62,FALSE)</f>
        <v>292993.54989999998</v>
      </c>
      <c r="AA20" s="1">
        <f>VLOOKUP($D20,'BASE PAN - RECEITAS'!$D$3:$BP$37,65,FALSE)</f>
        <v>296078.37270000001</v>
      </c>
      <c r="AB20" s="1">
        <f>VLOOKUP($D20,'BASE PAN - RECEITAS'!$D$3:$BS$37,68,FALSE)</f>
        <v>298985.21649999998</v>
      </c>
      <c r="AC20" s="1">
        <f>VLOOKUP($D20,'BASE PAN - RECEITAS'!$D$3:$BV$37,71,FALSE)</f>
        <v>301907.68849999999</v>
      </c>
      <c r="AD20" s="1">
        <f>VLOOKUP($D20,'BASE PAN - RECEITAS'!$D$3:$BY$37,74,FALSE)</f>
        <v>304830.1605</v>
      </c>
      <c r="AE20" s="1">
        <f>VLOOKUP($D20,'BASE PAN - RECEITAS'!$D$3:$CB$37,77,FALSE)</f>
        <v>307721.3762</v>
      </c>
      <c r="AF20" s="1">
        <f>VLOOKUP($D20,'BASE PAN - RECEITAS'!$D$3:$CE$37,80,FALSE)</f>
        <v>310550.07900000003</v>
      </c>
      <c r="AG20" s="1">
        <f>VLOOKUP($D20,'BASE PAN - RECEITAS'!$D$3:$CH$37,83,FALSE)</f>
        <v>313441.29460000002</v>
      </c>
      <c r="AH20" s="1">
        <f>VLOOKUP($D20,'BASE PAN - RECEITAS'!$D$3:$CK$37,86,FALSE)</f>
        <v>316207.48469999997</v>
      </c>
      <c r="AI20" s="1">
        <f>VLOOKUP($D20,'BASE PAN - RECEITAS'!$D$3:$CN$37,89,FALSE)</f>
        <v>319005.52269999997</v>
      </c>
      <c r="AJ20" s="1">
        <f>VLOOKUP($D20,'BASE PAN - RECEITAS'!$D$3:$CQ$37,92,FALSE)</f>
        <v>321834.2255</v>
      </c>
      <c r="AK20" s="1">
        <f>VLOOKUP($D20,'BASE PAN - RECEITAS'!$D$3:$CT$37,95,FALSE)</f>
        <v>324694.18479999999</v>
      </c>
      <c r="AL20" s="1">
        <f t="shared" ref="AL20:AL52" si="3">SUM(H20:AK20)</f>
        <v>8443789.6522000004</v>
      </c>
      <c r="AM20" s="1">
        <f t="shared" si="1"/>
        <v>3874044.5898000002</v>
      </c>
      <c r="AN20" t="str">
        <f>VLOOKUP(D20,'FLUXO DE CAIXA DESC.-BLOCOS PAN'!$D$3:$AO$52,38,FALSE)</f>
        <v>Bloco Nordeste</v>
      </c>
    </row>
    <row r="21" spans="1:40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33</v>
      </c>
      <c r="H21" s="1">
        <f>VLOOKUP($D21,'BASE PAN - RECEITAS'!$D$3:$K$37,8,FALSE)</f>
        <v>448798.842</v>
      </c>
      <c r="I21" s="1">
        <f>VLOOKUP($D21,'BASE PAN - RECEITAS'!$D$3:$N$37,11,FALSE)</f>
        <v>487234.7794</v>
      </c>
      <c r="J21" s="1">
        <f>VLOOKUP($D21,'BASE PAN - RECEITAS'!$D$3:$Q$37,14,FALSE)</f>
        <v>518012.86040000001</v>
      </c>
      <c r="K21" s="1">
        <f>VLOOKUP($D21,'BASE PAN - RECEITAS'!$D$3:$T$37,17,FALSE)</f>
        <v>541304.48770000006</v>
      </c>
      <c r="L21" s="1">
        <f>VLOOKUP($D21,'BASE PAN - RECEITAS'!$D$3:$W$37,20,FALSE)</f>
        <v>561893.47759999998</v>
      </c>
      <c r="M21" s="1">
        <f>VLOOKUP($D21,'BASE PAN - RECEITAS'!$D$3:$Z$37,23,FALSE)</f>
        <v>580453.55539999995</v>
      </c>
      <c r="N21" s="1">
        <f>VLOOKUP($D21,'BASE PAN - RECEITAS'!$D$3:$AC$37,26,FALSE)</f>
        <v>598519.74609999999</v>
      </c>
      <c r="O21" s="1">
        <f>VLOOKUP($D21,'BASE PAN - RECEITAS'!$D$3:$AF$37,29,FALSE)</f>
        <v>615726.97759999998</v>
      </c>
      <c r="P21" s="1">
        <f>VLOOKUP($D21,'BASE PAN - RECEITAS'!$D$3:$AI$37,32,FALSE)</f>
        <v>632189.67619999999</v>
      </c>
      <c r="Q21" s="1">
        <f>VLOOKUP($D21,'BASE PAN - RECEITAS'!$D$3:$AL$37,35,FALSE)</f>
        <v>670882.29009999998</v>
      </c>
      <c r="R21" s="1">
        <f>VLOOKUP($D21,'BASE PAN - RECEITAS'!$D$3:$AO$37,38,FALSE)</f>
        <v>685548.00730000006</v>
      </c>
      <c r="S21" s="1">
        <f>VLOOKUP($D21,'BASE PAN - RECEITAS'!$D$3:$AR$37,41,FALSE)</f>
        <v>699309.10219999996</v>
      </c>
      <c r="T21" s="1">
        <f>VLOOKUP($D21,'BASE PAN - RECEITAS'!$D$3:$AU$37,44,FALSE)</f>
        <v>713725.46779999998</v>
      </c>
      <c r="U21" s="1">
        <f>VLOOKUP($D21,'BASE PAN - RECEITAS'!$D$3:$AX$37,47,FALSE)</f>
        <v>727517.73160000006</v>
      </c>
      <c r="V21" s="1">
        <f>VLOOKUP($D21,'BASE PAN - RECEITAS'!$D$3:$BA$37,50,FALSE)</f>
        <v>741965.26610000001</v>
      </c>
      <c r="W21" s="1">
        <f>VLOOKUP($D21,'BASE PAN - RECEITAS'!$D$3:$BD$37,53,FALSE)</f>
        <v>756256.9558</v>
      </c>
      <c r="X21" s="1">
        <f>VLOOKUP($D21,'BASE PAN - RECEITAS'!$D$3:$BG$37,56,FALSE)</f>
        <v>770812.8591</v>
      </c>
      <c r="Y21" s="1">
        <f>VLOOKUP($D21,'BASE PAN - RECEITAS'!$D$3:$BJ$37,59,FALSE)</f>
        <v>785291.56259999995</v>
      </c>
      <c r="Z21" s="1">
        <f>VLOOKUP($D21,'BASE PAN - RECEITAS'!$D$3:$BM$37,62,FALSE)</f>
        <v>800424.81420000002</v>
      </c>
      <c r="AA21" s="1">
        <f>VLOOKUP($D21,'BASE PAN - RECEITAS'!$D$3:$BP$37,65,FALSE)</f>
        <v>815354.35699999996</v>
      </c>
      <c r="AB21" s="1">
        <f>VLOOKUP($D21,'BASE PAN - RECEITAS'!$D$3:$BS$37,68,FALSE)</f>
        <v>830487.60860000004</v>
      </c>
      <c r="AC21" s="1">
        <f>VLOOKUP($D21,'BASE PAN - RECEITAS'!$D$3:$BV$37,71,FALSE)</f>
        <v>845278.00170000002</v>
      </c>
      <c r="AD21" s="1">
        <f>VLOOKUP($D21,'BASE PAN - RECEITAS'!$D$3:$BY$37,74,FALSE)</f>
        <v>860348.19270000001</v>
      </c>
      <c r="AE21" s="1">
        <f>VLOOKUP($D21,'BASE PAN - RECEITAS'!$D$3:$CB$37,77,FALSE)</f>
        <v>873548.96900000004</v>
      </c>
      <c r="AF21" s="1">
        <f>VLOOKUP($D21,'BASE PAN - RECEITAS'!$D$3:$CE$37,80,FALSE)</f>
        <v>887887.41209999996</v>
      </c>
      <c r="AG21" s="1">
        <f>VLOOKUP($D21,'BASE PAN - RECEITAS'!$D$3:$CH$37,83,FALSE)</f>
        <v>901399.15529999998</v>
      </c>
      <c r="AH21" s="1">
        <f>VLOOKUP($D21,'BASE PAN - RECEITAS'!$D$3:$CK$37,86,FALSE)</f>
        <v>915503.83129999996</v>
      </c>
      <c r="AI21" s="1">
        <f>VLOOKUP($D21,'BASE PAN - RECEITAS'!$D$3:$CN$37,89,FALSE)</f>
        <v>928704.60750000004</v>
      </c>
      <c r="AJ21" s="1">
        <f>VLOOKUP($D21,'BASE PAN - RECEITAS'!$D$3:$CQ$37,92,FALSE)</f>
        <v>942091.67489999998</v>
      </c>
      <c r="AK21" s="1">
        <f>VLOOKUP($D21,'BASE PAN - RECEITAS'!$D$3:$CT$37,95,FALSE)</f>
        <v>955775.57</v>
      </c>
      <c r="AL21" s="1">
        <f t="shared" si="3"/>
        <v>22092247.839300007</v>
      </c>
      <c r="AM21" s="1">
        <f t="shared" si="1"/>
        <v>9223082.2675000001</v>
      </c>
      <c r="AN21" t="str">
        <f>VLOOKUP(D21,'FLUXO DE CAIXA DESC.-BLOCOS PAN'!$D$3:$AO$52,38,FALSE)</f>
        <v>PA 3 - AL</v>
      </c>
    </row>
    <row r="22" spans="1:40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33</v>
      </c>
      <c r="H22" s="1">
        <f>VLOOKUP($D22,'BASE PAN - RECEITAS'!$D$3:$K$37,8,FALSE)</f>
        <v>831251.24809999997</v>
      </c>
      <c r="I22" s="1">
        <f>VLOOKUP($D22,'BASE PAN - RECEITAS'!$D$3:$N$37,11,FALSE)</f>
        <v>916984.35679999995</v>
      </c>
      <c r="J22" s="1">
        <f>VLOOKUP($D22,'BASE PAN - RECEITAS'!$D$3:$Q$37,14,FALSE)</f>
        <v>1041473.245</v>
      </c>
      <c r="K22" s="1">
        <f>VLOOKUP($D22,'BASE PAN - RECEITAS'!$D$3:$T$37,17,FALSE)</f>
        <v>1097498.3759999999</v>
      </c>
      <c r="L22" s="1">
        <f>VLOOKUP($D22,'BASE PAN - RECEITAS'!$D$3:$W$37,20,FALSE)</f>
        <v>1146109.3160000001</v>
      </c>
      <c r="M22" s="1">
        <f>VLOOKUP($D22,'BASE PAN - RECEITAS'!$D$3:$Z$37,23,FALSE)</f>
        <v>1191271.0549999999</v>
      </c>
      <c r="N22" s="1">
        <f>VLOOKUP($D22,'BASE PAN - RECEITAS'!$D$3:$AC$37,26,FALSE)</f>
        <v>1234066.584</v>
      </c>
      <c r="O22" s="1">
        <f>VLOOKUP($D22,'BASE PAN - RECEITAS'!$D$3:$AF$37,29,FALSE)</f>
        <v>1275146.959</v>
      </c>
      <c r="P22" s="1">
        <f>VLOOKUP($D22,'BASE PAN - RECEITAS'!$D$3:$AI$37,32,FALSE)</f>
        <v>1313725.3330000001</v>
      </c>
      <c r="Q22" s="1">
        <f>VLOOKUP($D22,'BASE PAN - RECEITAS'!$D$3:$AL$37,35,FALSE)</f>
        <v>1349626.199</v>
      </c>
      <c r="R22" s="1">
        <f>VLOOKUP($D22,'BASE PAN - RECEITAS'!$D$3:$AO$37,38,FALSE)</f>
        <v>1383291.703</v>
      </c>
      <c r="S22" s="1">
        <f>VLOOKUP($D22,'BASE PAN - RECEITAS'!$D$3:$AR$37,41,FALSE)</f>
        <v>1416792.622</v>
      </c>
      <c r="T22" s="1">
        <f>VLOOKUP($D22,'BASE PAN - RECEITAS'!$D$3:$AU$37,44,FALSE)</f>
        <v>1450298.1429999999</v>
      </c>
      <c r="U22" s="1">
        <f>VLOOKUP($D22,'BASE PAN - RECEITAS'!$D$3:$AX$37,47,FALSE)</f>
        <v>1484758.1850000001</v>
      </c>
      <c r="V22" s="1">
        <f>VLOOKUP($D22,'BASE PAN - RECEITAS'!$D$3:$BA$37,50,FALSE)</f>
        <v>1518579.6089999999</v>
      </c>
      <c r="W22" s="1">
        <f>VLOOKUP($D22,'BASE PAN - RECEITAS'!$D$3:$BD$37,53,FALSE)</f>
        <v>1553126.382</v>
      </c>
      <c r="X22" s="1">
        <f>VLOOKUP($D22,'BASE PAN - RECEITAS'!$D$3:$BG$37,56,FALSE)</f>
        <v>1587795.6710000001</v>
      </c>
      <c r="Y22" s="1">
        <f>VLOOKUP($D22,'BASE PAN - RECEITAS'!$D$3:$BJ$37,59,FALSE)</f>
        <v>1623388.3</v>
      </c>
      <c r="Z22" s="1">
        <f>VLOOKUP($D22,'BASE PAN - RECEITAS'!$D$3:$BM$37,62,FALSE)</f>
        <v>1659668.44</v>
      </c>
      <c r="AA22" s="1">
        <f>VLOOKUP($D22,'BASE PAN - RECEITAS'!$D$3:$BP$37,65,FALSE)</f>
        <v>1696340.66</v>
      </c>
      <c r="AB22" s="1">
        <f>VLOOKUP($D22,'BASE PAN - RECEITAS'!$D$3:$BS$37,68,FALSE)</f>
        <v>1732280.7069999999</v>
      </c>
      <c r="AC22" s="1">
        <f>VLOOKUP($D22,'BASE PAN - RECEITAS'!$D$3:$BV$37,71,FALSE)</f>
        <v>1768632.423</v>
      </c>
      <c r="AD22" s="1">
        <f>VLOOKUP($D22,'BASE PAN - RECEITAS'!$D$3:$BY$37,74,FALSE)</f>
        <v>1804714.4040000001</v>
      </c>
      <c r="AE22" s="1">
        <f>VLOOKUP($D22,'BASE PAN - RECEITAS'!$D$3:$CB$37,77,FALSE)</f>
        <v>1838333.4040000001</v>
      </c>
      <c r="AF22" s="1">
        <f>VLOOKUP($D22,'BASE PAN - RECEITAS'!$D$3:$CE$37,80,FALSE)</f>
        <v>1870590.648</v>
      </c>
      <c r="AG22" s="1">
        <f>VLOOKUP($D22,'BASE PAN - RECEITAS'!$D$3:$CH$37,83,FALSE)</f>
        <v>1902489.048</v>
      </c>
      <c r="AH22" s="1">
        <f>VLOOKUP($D22,'BASE PAN - RECEITAS'!$D$3:$CK$37,86,FALSE)</f>
        <v>1933151.9369999999</v>
      </c>
      <c r="AI22" s="1">
        <f>VLOOKUP($D22,'BASE PAN - RECEITAS'!$D$3:$CN$37,89,FALSE)</f>
        <v>1963818.9280000001</v>
      </c>
      <c r="AJ22" s="1">
        <f>VLOOKUP($D22,'BASE PAN - RECEITAS'!$D$3:$CQ$37,92,FALSE)</f>
        <v>1995199.003</v>
      </c>
      <c r="AK22" s="1">
        <f>VLOOKUP($D22,'BASE PAN - RECEITAS'!$D$3:$CT$37,95,FALSE)</f>
        <v>2026945.7479999999</v>
      </c>
      <c r="AL22" s="1">
        <f t="shared" si="3"/>
        <v>45607348.636900008</v>
      </c>
      <c r="AM22" s="1">
        <f t="shared" si="1"/>
        <v>18650872.933899999</v>
      </c>
      <c r="AN22" t="str">
        <f>VLOOKUP(D22,'FLUXO DE CAIXA DESC.-BLOCOS PAN'!$D$3:$AO$52,38,FALSE)</f>
        <v>RO - 1 - AL</v>
      </c>
    </row>
    <row r="23" spans="1:40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33</v>
      </c>
      <c r="H23" s="1">
        <f>VLOOKUP($D23,'BASE PAN - RECEITAS'!$D$3:$K$37,8,FALSE)</f>
        <v>202791.46350000001</v>
      </c>
      <c r="I23" s="1">
        <f>VLOOKUP($D23,'BASE PAN - RECEITAS'!$D$3:$N$37,11,FALSE)</f>
        <v>208033.11989999999</v>
      </c>
      <c r="J23" s="1">
        <f>VLOOKUP($D23,'BASE PAN - RECEITAS'!$D$3:$Q$37,14,FALSE)</f>
        <v>212221.4755</v>
      </c>
      <c r="K23" s="1">
        <f>VLOOKUP($D23,'BASE PAN - RECEITAS'!$D$3:$T$37,17,FALSE)</f>
        <v>215487.7677</v>
      </c>
      <c r="L23" s="1">
        <f>VLOOKUP($D23,'BASE PAN - RECEITAS'!$D$3:$W$37,20,FALSE)</f>
        <v>218332.09880000001</v>
      </c>
      <c r="M23" s="1">
        <f>VLOOKUP($D23,'BASE PAN - RECEITAS'!$D$3:$Z$37,23,FALSE)</f>
        <v>221004.5197</v>
      </c>
      <c r="N23" s="1">
        <f>VLOOKUP($D23,'BASE PAN - RECEITAS'!$D$3:$AC$37,26,FALSE)</f>
        <v>223551.91510000001</v>
      </c>
      <c r="O23" s="1">
        <f>VLOOKUP($D23,'BASE PAN - RECEITAS'!$D$3:$AF$37,29,FALSE)</f>
        <v>226005.54130000001</v>
      </c>
      <c r="P23" s="1">
        <f>VLOOKUP($D23,'BASE PAN - RECEITAS'!$D$3:$AI$37,32,FALSE)</f>
        <v>228318.51379999999</v>
      </c>
      <c r="Q23" s="1">
        <f>VLOOKUP($D23,'BASE PAN - RECEITAS'!$D$3:$AL$37,35,FALSE)</f>
        <v>230459.57620000001</v>
      </c>
      <c r="R23" s="1">
        <f>VLOOKUP($D23,'BASE PAN - RECEITAS'!$D$3:$AO$37,38,FALSE)</f>
        <v>232444.3567</v>
      </c>
      <c r="S23" s="1">
        <f>VLOOKUP($D23,'BASE PAN - RECEITAS'!$D$3:$AR$37,41,FALSE)</f>
        <v>234492.2414</v>
      </c>
      <c r="T23" s="1">
        <f>VLOOKUP($D23,'BASE PAN - RECEITAS'!$D$3:$AU$37,44,FALSE)</f>
        <v>236461.39369999999</v>
      </c>
      <c r="U23" s="1">
        <f>VLOOKUP($D23,'BASE PAN - RECEITAS'!$D$3:$AX$37,47,FALSE)</f>
        <v>238508.6869</v>
      </c>
      <c r="V23" s="1">
        <f>VLOOKUP($D23,'BASE PAN - RECEITAS'!$D$3:$BA$37,50,FALSE)</f>
        <v>240477.83919999999</v>
      </c>
      <c r="W23" s="1">
        <f>VLOOKUP($D23,'BASE PAN - RECEITAS'!$D$3:$BD$37,53,FALSE)</f>
        <v>242525.1324</v>
      </c>
      <c r="X23" s="1">
        <f>VLOOKUP($D23,'BASE PAN - RECEITAS'!$D$3:$BG$37,56,FALSE)</f>
        <v>244549.9909</v>
      </c>
      <c r="Y23" s="1">
        <f>VLOOKUP($D23,'BASE PAN - RECEITAS'!$D$3:$BJ$37,59,FALSE)</f>
        <v>246628.54060000001</v>
      </c>
      <c r="Z23" s="1">
        <f>VLOOKUP($D23,'BASE PAN - RECEITAS'!$D$3:$BM$37,62,FALSE)</f>
        <v>248738.34659999999</v>
      </c>
      <c r="AA23" s="1">
        <f>VLOOKUP($D23,'BASE PAN - RECEITAS'!$D$3:$BP$37,65,FALSE)</f>
        <v>250879.40900000001</v>
      </c>
      <c r="AB23" s="1">
        <f>VLOOKUP($D23,'BASE PAN - RECEITAS'!$D$3:$BS$37,68,FALSE)</f>
        <v>252957.95860000001</v>
      </c>
      <c r="AC23" s="1">
        <f>VLOOKUP($D23,'BASE PAN - RECEITAS'!$D$3:$BV$37,71,FALSE)</f>
        <v>255083.3928</v>
      </c>
      <c r="AD23" s="1">
        <f>VLOOKUP($D23,'BASE PAN - RECEITAS'!$D$3:$BY$37,74,FALSE)</f>
        <v>257161.9424</v>
      </c>
      <c r="AE23" s="1">
        <f>VLOOKUP($D23,'BASE PAN - RECEITAS'!$D$3:$CB$37,77,FALSE)</f>
        <v>259240.492</v>
      </c>
      <c r="AF23" s="1">
        <f>VLOOKUP($D23,'BASE PAN - RECEITAS'!$D$3:$CE$37,80,FALSE)</f>
        <v>261240.90059999999</v>
      </c>
      <c r="AG23" s="1">
        <f>VLOOKUP($D23,'BASE PAN - RECEITAS'!$D$3:$CH$37,83,FALSE)</f>
        <v>263304.41350000002</v>
      </c>
      <c r="AH23" s="1">
        <f>VLOOKUP($D23,'BASE PAN - RECEITAS'!$D$3:$CK$37,86,FALSE)</f>
        <v>265226.68119999999</v>
      </c>
      <c r="AI23" s="1">
        <f>VLOOKUP($D23,'BASE PAN - RECEITAS'!$D$3:$CN$37,89,FALSE)</f>
        <v>267164.57709999999</v>
      </c>
      <c r="AJ23" s="1">
        <f>VLOOKUP($D23,'BASE PAN - RECEITAS'!$D$3:$CQ$37,92,FALSE)</f>
        <v>269133.72940000001</v>
      </c>
      <c r="AK23" s="1">
        <f>VLOOKUP($D23,'BASE PAN - RECEITAS'!$D$3:$CT$37,95,FALSE)</f>
        <v>271134.13799999998</v>
      </c>
      <c r="AL23" s="1">
        <f t="shared" si="3"/>
        <v>7223560.1545000011</v>
      </c>
      <c r="AM23" s="1">
        <f t="shared" si="1"/>
        <v>3368590.5094000003</v>
      </c>
      <c r="AN23" t="str">
        <f>VLOOKUP(D23,'FLUXO DE CAIXA DESC.-BLOCOS PAN'!$D$3:$AO$52,38,FALSE)</f>
        <v>MT - 1 - AL</v>
      </c>
    </row>
    <row r="24" spans="1:40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33</v>
      </c>
      <c r="H24" s="1">
        <f>VLOOKUP($D24,'BASE PAN - RECEITAS'!$D$3:$K$37,8,FALSE)</f>
        <v>236539.53460000001</v>
      </c>
      <c r="I24" s="1">
        <f>VLOOKUP($D24,'BASE PAN - RECEITAS'!$D$3:$N$37,11,FALSE)</f>
        <v>249941.71739999999</v>
      </c>
      <c r="J24" s="1">
        <f>VLOOKUP($D24,'BASE PAN - RECEITAS'!$D$3:$Q$37,14,FALSE)</f>
        <v>262507.37569999998</v>
      </c>
      <c r="K24" s="1">
        <f>VLOOKUP($D24,'BASE PAN - RECEITAS'!$D$3:$T$37,17,FALSE)</f>
        <v>275853.85220000002</v>
      </c>
      <c r="L24" s="1">
        <f>VLOOKUP($D24,'BASE PAN - RECEITAS'!$D$3:$W$37,20,FALSE)</f>
        <v>285032.58809999999</v>
      </c>
      <c r="M24" s="1">
        <f>VLOOKUP($D24,'BASE PAN - RECEITAS'!$D$3:$Z$37,23,FALSE)</f>
        <v>292696.61430000002</v>
      </c>
      <c r="N24" s="1">
        <f>VLOOKUP($D24,'BASE PAN - RECEITAS'!$D$3:$AC$37,26,FALSE)</f>
        <v>299188.38299999997</v>
      </c>
      <c r="O24" s="1">
        <f>VLOOKUP($D24,'BASE PAN - RECEITAS'!$D$3:$AF$37,29,FALSE)</f>
        <v>305877.24939999997</v>
      </c>
      <c r="P24" s="1">
        <f>VLOOKUP($D24,'BASE PAN - RECEITAS'!$D$3:$AI$37,32,FALSE)</f>
        <v>311878.4754</v>
      </c>
      <c r="Q24" s="1">
        <f>VLOOKUP($D24,'BASE PAN - RECEITAS'!$D$3:$AL$37,35,FALSE)</f>
        <v>317926.58590000001</v>
      </c>
      <c r="R24" s="1">
        <f>VLOOKUP($D24,'BASE PAN - RECEITAS'!$D$3:$AO$37,38,FALSE)</f>
        <v>323287.64750000002</v>
      </c>
      <c r="S24" s="1">
        <f>VLOOKUP($D24,'BASE PAN - RECEITAS'!$D$3:$AR$37,41,FALSE)</f>
        <v>329179.47610000003</v>
      </c>
      <c r="T24" s="1">
        <f>VLOOKUP($D24,'BASE PAN - RECEITAS'!$D$3:$AU$37,44,FALSE)</f>
        <v>334430.54879999999</v>
      </c>
      <c r="U24" s="1">
        <f>VLOOKUP($D24,'BASE PAN - RECEITAS'!$D$3:$AX$37,47,FALSE)</f>
        <v>340541.17210000003</v>
      </c>
      <c r="V24" s="1">
        <f>VLOOKUP($D24,'BASE PAN - RECEITAS'!$D$3:$BA$37,50,FALSE)</f>
        <v>345901.6421</v>
      </c>
      <c r="W24" s="1">
        <f>VLOOKUP($D24,'BASE PAN - RECEITAS'!$D$3:$BD$37,53,FALSE)</f>
        <v>352044.11330000003</v>
      </c>
      <c r="X24" s="1">
        <f>VLOOKUP($D24,'BASE PAN - RECEITAS'!$D$3:$BG$37,56,FALSE)</f>
        <v>357529.60889999999</v>
      </c>
      <c r="Y24" s="1">
        <f>VLOOKUP($D24,'BASE PAN - RECEITAS'!$D$3:$BJ$37,59,FALSE)</f>
        <v>363937.1679</v>
      </c>
      <c r="Z24" s="1">
        <f>VLOOKUP($D24,'BASE PAN - RECEITAS'!$D$3:$BM$37,62,FALSE)</f>
        <v>369328.89429999999</v>
      </c>
      <c r="AA24" s="1">
        <f>VLOOKUP($D24,'BASE PAN - RECEITAS'!$D$3:$BP$37,65,FALSE)</f>
        <v>375898.94699999999</v>
      </c>
      <c r="AB24" s="1">
        <f>VLOOKUP($D24,'BASE PAN - RECEITAS'!$D$3:$BS$37,68,FALSE)</f>
        <v>381415.69900000002</v>
      </c>
      <c r="AC24" s="1">
        <f>VLOOKUP($D24,'BASE PAN - RECEITAS'!$D$3:$BV$37,71,FALSE)</f>
        <v>388042.0527</v>
      </c>
      <c r="AD24" s="1">
        <f>VLOOKUP($D24,'BASE PAN - RECEITAS'!$D$3:$BY$37,74,FALSE)</f>
        <v>393871.36849999998</v>
      </c>
      <c r="AE24" s="1">
        <f>VLOOKUP($D24,'BASE PAN - RECEITAS'!$D$3:$CB$37,77,FALSE)</f>
        <v>399575.65879999998</v>
      </c>
      <c r="AF24" s="1">
        <f>VLOOKUP($D24,'BASE PAN - RECEITAS'!$D$3:$CE$37,80,FALSE)</f>
        <v>404492.32449999999</v>
      </c>
      <c r="AG24" s="1">
        <f>VLOOKUP($D24,'BASE PAN - RECEITAS'!$D$3:$CH$37,83,FALSE)</f>
        <v>410431.03769999999</v>
      </c>
      <c r="AH24" s="1">
        <f>VLOOKUP($D24,'BASE PAN - RECEITAS'!$D$3:$CK$37,86,FALSE)</f>
        <v>415385.17469999997</v>
      </c>
      <c r="AI24" s="1">
        <f>VLOOKUP($D24,'BASE PAN - RECEITAS'!$D$3:$CN$37,89,FALSE)</f>
        <v>421151.97779999999</v>
      </c>
      <c r="AJ24" s="1">
        <f>VLOOKUP($D24,'BASE PAN - RECEITAS'!$D$3:$CQ$37,92,FALSE)</f>
        <v>427043.8064</v>
      </c>
      <c r="AK24" s="1">
        <f>VLOOKUP($D24,'BASE PAN - RECEITAS'!$D$3:$CT$37,95,FALSE)</f>
        <v>433123.7648</v>
      </c>
      <c r="AL24" s="1">
        <f t="shared" si="3"/>
        <v>10404054.458899997</v>
      </c>
      <c r="AM24" s="1">
        <f t="shared" si="1"/>
        <v>4510782.8625999996</v>
      </c>
      <c r="AN24" t="str">
        <f>VLOOKUP(D24,'FLUXO DE CAIXA DESC.-BLOCOS PAN'!$D$3:$AO$52,38,FALSE)</f>
        <v>AM - 3 - AL</v>
      </c>
    </row>
    <row r="25" spans="1:40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33</v>
      </c>
      <c r="H25" s="1">
        <f>VLOOKUP($D25,'BASE PAN - RECEITAS'!$D$3:$K$37,8,FALSE)</f>
        <v>500659.98830000003</v>
      </c>
      <c r="I25" s="1">
        <f>VLOOKUP($D25,'BASE PAN - RECEITAS'!$D$3:$N$37,11,FALSE)</f>
        <v>540398.05249999999</v>
      </c>
      <c r="J25" s="1">
        <f>VLOOKUP($D25,'BASE PAN - RECEITAS'!$D$3:$Q$37,14,FALSE)</f>
        <v>570810.36910000001</v>
      </c>
      <c r="K25" s="1">
        <f>VLOOKUP($D25,'BASE PAN - RECEITAS'!$D$3:$T$37,17,FALSE)</f>
        <v>592409.12280000001</v>
      </c>
      <c r="L25" s="1">
        <f>VLOOKUP($D25,'BASE PAN - RECEITAS'!$D$3:$W$37,20,FALSE)</f>
        <v>610100.82830000005</v>
      </c>
      <c r="M25" s="1">
        <f>VLOOKUP($D25,'BASE PAN - RECEITAS'!$D$3:$Z$37,23,FALSE)</f>
        <v>626109.71779999998</v>
      </c>
      <c r="N25" s="1">
        <f>VLOOKUP($D25,'BASE PAN - RECEITAS'!$D$3:$AC$37,26,FALSE)</f>
        <v>664445.90029999998</v>
      </c>
      <c r="O25" s="1">
        <f>VLOOKUP($D25,'BASE PAN - RECEITAS'!$D$3:$AF$37,29,FALSE)</f>
        <v>677739.4608</v>
      </c>
      <c r="P25" s="1">
        <f>VLOOKUP($D25,'BASE PAN - RECEITAS'!$D$3:$AI$37,32,FALSE)</f>
        <v>689833.73899999994</v>
      </c>
      <c r="Q25" s="1">
        <f>VLOOKUP($D25,'BASE PAN - RECEITAS'!$D$3:$AL$37,35,FALSE)</f>
        <v>700072.74159999995</v>
      </c>
      <c r="R25" s="1">
        <f>VLOOKUP($D25,'BASE PAN - RECEITAS'!$D$3:$AO$37,38,FALSE)</f>
        <v>709533.24289999995</v>
      </c>
      <c r="S25" s="1">
        <f>VLOOKUP($D25,'BASE PAN - RECEITAS'!$D$3:$AR$37,41,FALSE)</f>
        <v>718463.14930000005</v>
      </c>
      <c r="T25" s="1">
        <f>VLOOKUP($D25,'BASE PAN - RECEITAS'!$D$3:$AU$37,44,FALSE)</f>
        <v>727096.95059999998</v>
      </c>
      <c r="U25" s="1">
        <f>VLOOKUP($D25,'BASE PAN - RECEITAS'!$D$3:$AX$37,47,FALSE)</f>
        <v>736121.08649999998</v>
      </c>
      <c r="V25" s="1">
        <f>VLOOKUP($D25,'BASE PAN - RECEITAS'!$D$3:$BA$37,50,FALSE)</f>
        <v>744801.64119999995</v>
      </c>
      <c r="W25" s="1">
        <f>VLOOKUP($D25,'BASE PAN - RECEITAS'!$D$3:$BD$37,53,FALSE)</f>
        <v>753077.72210000001</v>
      </c>
      <c r="X25" s="1">
        <f>VLOOKUP($D25,'BASE PAN - RECEITAS'!$D$3:$BG$37,56,FALSE)</f>
        <v>761321.91150000005</v>
      </c>
      <c r="Y25" s="1">
        <f>VLOOKUP($D25,'BASE PAN - RECEITAS'!$D$3:$BJ$37,59,FALSE)</f>
        <v>769846.62139999995</v>
      </c>
      <c r="Z25" s="1">
        <f>VLOOKUP($D25,'BASE PAN - RECEITAS'!$D$3:$BM$37,62,FALSE)</f>
        <v>778574.65220000001</v>
      </c>
      <c r="AA25" s="1">
        <f>VLOOKUP($D25,'BASE PAN - RECEITAS'!$D$3:$BP$37,65,FALSE)</f>
        <v>786803.25699999998</v>
      </c>
      <c r="AB25" s="1">
        <f>VLOOKUP($D25,'BASE PAN - RECEITAS'!$D$3:$BS$37,68,FALSE)</f>
        <v>794766.92570000002</v>
      </c>
      <c r="AC25" s="1">
        <f>VLOOKUP($D25,'BASE PAN - RECEITAS'!$D$3:$BV$37,71,FALSE)</f>
        <v>802684.56359999999</v>
      </c>
      <c r="AD25" s="1">
        <f>VLOOKUP($D25,'BASE PAN - RECEITAS'!$D$3:$BY$37,74,FALSE)</f>
        <v>810205.10419999994</v>
      </c>
      <c r="AE25" s="1">
        <f>VLOOKUP($D25,'BASE PAN - RECEITAS'!$D$3:$CB$37,77,FALSE)</f>
        <v>817380.33929999999</v>
      </c>
      <c r="AF25" s="1">
        <f>VLOOKUP($D25,'BASE PAN - RECEITAS'!$D$3:$CE$37,80,FALSE)</f>
        <v>824222.64809999999</v>
      </c>
      <c r="AG25" s="1">
        <f>VLOOKUP($D25,'BASE PAN - RECEITAS'!$D$3:$CH$37,83,FALSE)</f>
        <v>831048.64980000001</v>
      </c>
      <c r="AH25" s="1">
        <f>VLOOKUP($D25,'BASE PAN - RECEITAS'!$D$3:$CK$37,86,FALSE)</f>
        <v>836923.99840000004</v>
      </c>
      <c r="AI25" s="1">
        <f>VLOOKUP($D25,'BASE PAN - RECEITAS'!$D$3:$CN$37,89,FALSE)</f>
        <v>842690.97820000001</v>
      </c>
      <c r="AJ25" s="1">
        <f>VLOOKUP($D25,'BASE PAN - RECEITAS'!$D$3:$CQ$37,92,FALSE)</f>
        <v>848441.65090000001</v>
      </c>
      <c r="AK25" s="1">
        <f>VLOOKUP($D25,'BASE PAN - RECEITAS'!$D$3:$CT$37,95,FALSE)</f>
        <v>854254.66150000005</v>
      </c>
      <c r="AL25" s="1">
        <f t="shared" si="3"/>
        <v>21920839.674899995</v>
      </c>
      <c r="AM25" s="1">
        <f t="shared" si="1"/>
        <v>9808595.9910000004</v>
      </c>
      <c r="AN25" t="str">
        <f>VLOOKUP(D25,'FLUXO DE CAIXA DESC.-BLOCOS PAN'!$D$3:$AO$52,38,FALSE)</f>
        <v>AC + AM - 1 - AL</v>
      </c>
    </row>
    <row r="26" spans="1:40" x14ac:dyDescent="0.35">
      <c r="A26" t="s">
        <v>126</v>
      </c>
      <c r="B26" t="s">
        <v>175</v>
      </c>
      <c r="C26">
        <v>130140</v>
      </c>
      <c r="D26" t="s">
        <v>128</v>
      </c>
      <c r="E26" t="s">
        <v>127</v>
      </c>
      <c r="F26" t="s">
        <v>35</v>
      </c>
      <c r="G26" t="s">
        <v>33</v>
      </c>
      <c r="H26" s="1">
        <f>VLOOKUP($D26,'BASE PAN - RECEITAS'!$D$3:$K$37,8,FALSE)</f>
        <v>378555.73979999998</v>
      </c>
      <c r="I26" s="1">
        <f>VLOOKUP($D26,'BASE PAN - RECEITAS'!$D$3:$N$37,11,FALSE)</f>
        <v>410587.31959999999</v>
      </c>
      <c r="J26" s="1">
        <f>VLOOKUP($D26,'BASE PAN - RECEITAS'!$D$3:$Q$37,14,FALSE)</f>
        <v>434233.3665</v>
      </c>
      <c r="K26" s="1">
        <f>VLOOKUP($D26,'BASE PAN - RECEITAS'!$D$3:$T$37,17,FALSE)</f>
        <v>450814.87880000001</v>
      </c>
      <c r="L26" s="1">
        <f>VLOOKUP($D26,'BASE PAN - RECEITAS'!$D$3:$W$37,20,FALSE)</f>
        <v>464308.22090000001</v>
      </c>
      <c r="M26" s="1">
        <f>VLOOKUP($D26,'BASE PAN - RECEITAS'!$D$3:$Z$37,23,FALSE)</f>
        <v>476154.39079999999</v>
      </c>
      <c r="N26" s="1">
        <f>VLOOKUP($D26,'BASE PAN - RECEITAS'!$D$3:$AC$37,26,FALSE)</f>
        <v>486953.4719</v>
      </c>
      <c r="O26" s="1">
        <f>VLOOKUP($D26,'BASE PAN - RECEITAS'!$D$3:$AF$37,29,FALSE)</f>
        <v>497081.13219999999</v>
      </c>
      <c r="P26" s="1">
        <f>VLOOKUP($D26,'BASE PAN - RECEITAS'!$D$3:$AI$37,32,FALSE)</f>
        <v>506192.36849999998</v>
      </c>
      <c r="Q26" s="1">
        <f>VLOOKUP($D26,'BASE PAN - RECEITAS'!$D$3:$AL$37,35,FALSE)</f>
        <v>514292.75910000002</v>
      </c>
      <c r="R26" s="1">
        <f>VLOOKUP($D26,'BASE PAN - RECEITAS'!$D$3:$AO$37,38,FALSE)</f>
        <v>521513.57549999998</v>
      </c>
      <c r="S26" s="1">
        <f>VLOOKUP($D26,'BASE PAN - RECEITAS'!$D$3:$AR$37,41,FALSE)</f>
        <v>528530.63399999996</v>
      </c>
      <c r="T26" s="1">
        <f>VLOOKUP($D26,'BASE PAN - RECEITAS'!$D$3:$AU$37,44,FALSE)</f>
        <v>535328.89780000004</v>
      </c>
      <c r="U26" s="1">
        <f>VLOOKUP($D26,'BASE PAN - RECEITAS'!$D$3:$AX$37,47,FALSE)</f>
        <v>542195.29469999997</v>
      </c>
      <c r="V26" s="1">
        <f>VLOOKUP($D26,'BASE PAN - RECEITAS'!$D$3:$BA$37,50,FALSE)</f>
        <v>549072.29090000002</v>
      </c>
      <c r="W26" s="1">
        <f>VLOOKUP($D26,'BASE PAN - RECEITAS'!$D$3:$BD$37,53,FALSE)</f>
        <v>555604.87540000002</v>
      </c>
      <c r="X26" s="1">
        <f>VLOOKUP($D26,'BASE PAN - RECEITAS'!$D$3:$BG$37,56,FALSE)</f>
        <v>562377.95160000003</v>
      </c>
      <c r="Y26" s="1">
        <f>VLOOKUP($D26,'BASE PAN - RECEITAS'!$D$3:$BJ$37,59,FALSE)</f>
        <v>569106.89610000001</v>
      </c>
      <c r="Z26" s="1">
        <f>VLOOKUP($D26,'BASE PAN - RECEITAS'!$D$3:$BM$37,62,FALSE)</f>
        <v>576093.28969999996</v>
      </c>
      <c r="AA26" s="1">
        <f>VLOOKUP($D26,'BASE PAN - RECEITAS'!$D$3:$BP$37,65,FALSE)</f>
        <v>582657.13060000003</v>
      </c>
      <c r="AB26" s="1">
        <f>VLOOKUP($D26,'BASE PAN - RECEITAS'!$D$3:$BS$37,68,FALSE)</f>
        <v>589049.06140000001</v>
      </c>
      <c r="AC26" s="1">
        <f>VLOOKUP($D26,'BASE PAN - RECEITAS'!$D$3:$BV$37,71,FALSE)</f>
        <v>595597.27410000004</v>
      </c>
      <c r="AD26" s="1">
        <f>VLOOKUP($D26,'BASE PAN - RECEITAS'!$D$3:$BY$37,74,FALSE)</f>
        <v>601833.51439999999</v>
      </c>
      <c r="AE26" s="1">
        <f>VLOOKUP($D26,'BASE PAN - RECEITAS'!$D$3:$CB$37,77,FALSE)</f>
        <v>608428.61170000001</v>
      </c>
      <c r="AF26" s="1">
        <f>VLOOKUP($D26,'BASE PAN - RECEITAS'!$D$3:$CE$37,80,FALSE)</f>
        <v>614711.14509999997</v>
      </c>
      <c r="AG26" s="1">
        <f>VLOOKUP($D26,'BASE PAN - RECEITAS'!$D$3:$CH$37,83,FALSE)</f>
        <v>621009.30669999996</v>
      </c>
      <c r="AH26" s="1">
        <f>VLOOKUP($D26,'BASE PAN - RECEITAS'!$D$3:$CK$37,86,FALSE)</f>
        <v>627000.52480000001</v>
      </c>
      <c r="AI26" s="1">
        <f>VLOOKUP($D26,'BASE PAN - RECEITAS'!$D$3:$CN$37,89,FALSE)</f>
        <v>632658.522</v>
      </c>
      <c r="AJ26" s="1">
        <f>VLOOKUP($D26,'BASE PAN - RECEITAS'!$D$3:$CQ$37,92,FALSE)</f>
        <v>662138.67480000004</v>
      </c>
      <c r="AK26" s="1">
        <f>VLOOKUP($D26,'BASE PAN - RECEITAS'!$D$3:$CT$37,95,FALSE)</f>
        <v>667905.65460000001</v>
      </c>
      <c r="AL26" s="1">
        <f t="shared" si="3"/>
        <v>16361986.774</v>
      </c>
      <c r="AM26" s="1">
        <f t="shared" si="1"/>
        <v>7295814.3410000009</v>
      </c>
      <c r="AN26" t="str">
        <f>VLOOKUP(D26,'FLUXO DE CAIXA DESC.-BLOCOS PAN'!$D$3:$AO$52,38,FALSE)</f>
        <v>AC + AM - 1 - AL</v>
      </c>
    </row>
    <row r="27" spans="1:40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33</v>
      </c>
      <c r="H27" s="1">
        <f>VLOOKUP($D27,'BASE PAN - RECEITAS'!$D$3:$K$37,8,FALSE)</f>
        <v>479592.5932</v>
      </c>
      <c r="I27" s="1">
        <f>VLOOKUP($D27,'BASE PAN - RECEITAS'!$D$3:$N$37,11,FALSE)</f>
        <v>517559.64279999997</v>
      </c>
      <c r="J27" s="1">
        <f>VLOOKUP($D27,'BASE PAN - RECEITAS'!$D$3:$Q$37,14,FALSE)</f>
        <v>547400.07429999998</v>
      </c>
      <c r="K27" s="1">
        <f>VLOOKUP($D27,'BASE PAN - RECEITAS'!$D$3:$T$37,17,FALSE)</f>
        <v>569528.85730000003</v>
      </c>
      <c r="L27" s="1">
        <f>VLOOKUP($D27,'BASE PAN - RECEITAS'!$D$3:$W$37,20,FALSE)</f>
        <v>588142.62620000006</v>
      </c>
      <c r="M27" s="1">
        <f>VLOOKUP($D27,'BASE PAN - RECEITAS'!$D$3:$Z$37,23,FALSE)</f>
        <v>605084.17839999998</v>
      </c>
      <c r="N27" s="1">
        <f>VLOOKUP($D27,'BASE PAN - RECEITAS'!$D$3:$AC$37,26,FALSE)</f>
        <v>621415.63970000006</v>
      </c>
      <c r="O27" s="1">
        <f>VLOOKUP($D27,'BASE PAN - RECEITAS'!$D$3:$AF$37,29,FALSE)</f>
        <v>661826.98529999994</v>
      </c>
      <c r="P27" s="1">
        <f>VLOOKUP($D27,'BASE PAN - RECEITAS'!$D$3:$AI$37,32,FALSE)</f>
        <v>677583.61600000004</v>
      </c>
      <c r="Q27" s="1">
        <f>VLOOKUP($D27,'BASE PAN - RECEITAS'!$D$3:$AL$37,35,FALSE)</f>
        <v>692202.57979999995</v>
      </c>
      <c r="R27" s="1">
        <f>VLOOKUP($D27,'BASE PAN - RECEITAS'!$D$3:$AO$37,38,FALSE)</f>
        <v>705807.82990000001</v>
      </c>
      <c r="S27" s="1">
        <f>VLOOKUP($D27,'BASE PAN - RECEITAS'!$D$3:$AR$37,41,FALSE)</f>
        <v>719382.63359999994</v>
      </c>
      <c r="T27" s="1">
        <f>VLOOKUP($D27,'BASE PAN - RECEITAS'!$D$3:$AU$37,44,FALSE)</f>
        <v>732801.59250000003</v>
      </c>
      <c r="U27" s="1">
        <f>VLOOKUP($D27,'BASE PAN - RECEITAS'!$D$3:$AX$37,47,FALSE)</f>
        <v>746500.34939999995</v>
      </c>
      <c r="V27" s="1">
        <f>VLOOKUP($D27,'BASE PAN - RECEITAS'!$D$3:$BA$37,50,FALSE)</f>
        <v>759966.06180000002</v>
      </c>
      <c r="W27" s="1">
        <f>VLOOKUP($D27,'BASE PAN - RECEITAS'!$D$3:$BD$37,53,FALSE)</f>
        <v>773618.7879</v>
      </c>
      <c r="X27" s="1">
        <f>VLOOKUP($D27,'BASE PAN - RECEITAS'!$D$3:$BG$37,56,FALSE)</f>
        <v>787161.70010000002</v>
      </c>
      <c r="Y27" s="1">
        <f>VLOOKUP($D27,'BASE PAN - RECEITAS'!$D$3:$BJ$37,59,FALSE)</f>
        <v>801157.28469999996</v>
      </c>
      <c r="Z27" s="1">
        <f>VLOOKUP($D27,'BASE PAN - RECEITAS'!$D$3:$BM$37,62,FALSE)</f>
        <v>815354.35699999996</v>
      </c>
      <c r="AA27" s="1">
        <f>VLOOKUP($D27,'BASE PAN - RECEITAS'!$D$3:$BP$37,65,FALSE)</f>
        <v>829708.38470000005</v>
      </c>
      <c r="AB27" s="1">
        <f>VLOOKUP($D27,'BASE PAN - RECEITAS'!$D$3:$BS$37,68,FALSE)</f>
        <v>843626.04689999996</v>
      </c>
      <c r="AC27" s="1">
        <f>VLOOKUP($D27,'BASE PAN - RECEITAS'!$D$3:$BV$37,71,FALSE)</f>
        <v>857683.24690000003</v>
      </c>
      <c r="AD27" s="1">
        <f>VLOOKUP($D27,'BASE PAN - RECEITAS'!$D$3:$BY$37,74,FALSE)</f>
        <v>871632.07810000004</v>
      </c>
      <c r="AE27" s="1">
        <f>VLOOKUP($D27,'BASE PAN - RECEITAS'!$D$3:$CB$37,77,FALSE)</f>
        <v>885596.49369999999</v>
      </c>
      <c r="AF27" s="1">
        <f>VLOOKUP($D27,'BASE PAN - RECEITAS'!$D$3:$CE$37,80,FALSE)</f>
        <v>899342.00410000002</v>
      </c>
      <c r="AG27" s="1">
        <f>VLOOKUP($D27,'BASE PAN - RECEITAS'!$D$3:$CH$37,83,FALSE)</f>
        <v>913259.66639999999</v>
      </c>
      <c r="AH27" s="1">
        <f>VLOOKUP($D27,'BASE PAN - RECEITAS'!$D$3:$CK$37,86,FALSE)</f>
        <v>926631.14919999999</v>
      </c>
      <c r="AI27" s="1">
        <f>VLOOKUP($D27,'BASE PAN - RECEITAS'!$D$3:$CN$37,89,FALSE)</f>
        <v>940159.19949999999</v>
      </c>
      <c r="AJ27" s="1">
        <f>VLOOKUP($D27,'BASE PAN - RECEITAS'!$D$3:$CQ$37,92,FALSE)</f>
        <v>953921.01699999999</v>
      </c>
      <c r="AK27" s="1">
        <f>VLOOKUP($D27,'BASE PAN - RECEITAS'!$D$3:$CT$37,95,FALSE)</f>
        <v>967900.29449999996</v>
      </c>
      <c r="AL27" s="1">
        <f t="shared" si="3"/>
        <v>22691546.970900003</v>
      </c>
      <c r="AM27" s="1">
        <f t="shared" si="1"/>
        <v>9624795.2602000013</v>
      </c>
      <c r="AN27" t="str">
        <f>VLOOKUP(D27,'FLUXO DE CAIXA DESC.-BLOCOS PAN'!$D$3:$AO$52,38,FALSE)</f>
        <v>MT - 2 - AL</v>
      </c>
    </row>
    <row r="28" spans="1:40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33</v>
      </c>
      <c r="H28" s="1">
        <f>VLOOKUP($D28,'BASE PAN - RECEITAS'!$D$3:$K$37,8,FALSE)</f>
        <v>567653.47420000006</v>
      </c>
      <c r="I28" s="1">
        <f>VLOOKUP($D28,'BASE PAN - RECEITAS'!$D$3:$N$37,11,FALSE)</f>
        <v>664944.60360000003</v>
      </c>
      <c r="J28" s="1">
        <f>VLOOKUP($D28,'BASE PAN - RECEITAS'!$D$3:$Q$37,14,FALSE)</f>
        <v>716764.44110000005</v>
      </c>
      <c r="K28" s="1">
        <f>VLOOKUP($D28,'BASE PAN - RECEITAS'!$D$3:$T$37,17,FALSE)</f>
        <v>752017.97759999998</v>
      </c>
      <c r="L28" s="1">
        <f>VLOOKUP($D28,'BASE PAN - RECEITAS'!$D$3:$W$37,20,FALSE)</f>
        <v>779587.6433</v>
      </c>
      <c r="M28" s="1">
        <f>VLOOKUP($D28,'BASE PAN - RECEITAS'!$D$3:$Z$37,23,FALSE)</f>
        <v>803526.12549999997</v>
      </c>
      <c r="N28" s="1">
        <f>VLOOKUP($D28,'BASE PAN - RECEITAS'!$D$3:$AC$37,26,FALSE)</f>
        <v>825562.91330000001</v>
      </c>
      <c r="O28" s="1">
        <f>VLOOKUP($D28,'BASE PAN - RECEITAS'!$D$3:$AF$37,29,FALSE)</f>
        <v>846259.82380000001</v>
      </c>
      <c r="P28" s="1">
        <f>VLOOKUP($D28,'BASE PAN - RECEITAS'!$D$3:$AI$37,32,FALSE)</f>
        <v>865289.19519999996</v>
      </c>
      <c r="Q28" s="1">
        <f>VLOOKUP($D28,'BASE PAN - RECEITAS'!$D$3:$AL$37,35,FALSE)</f>
        <v>882276.27709999995</v>
      </c>
      <c r="R28" s="1">
        <f>VLOOKUP($D28,'BASE PAN - RECEITAS'!$D$3:$AO$37,38,FALSE)</f>
        <v>897892.64760000003</v>
      </c>
      <c r="S28" s="1">
        <f>VLOOKUP($D28,'BASE PAN - RECEITAS'!$D$3:$AR$37,41,FALSE)</f>
        <v>913353.17319999996</v>
      </c>
      <c r="T28" s="1">
        <f>VLOOKUP($D28,'BASE PAN - RECEITAS'!$D$3:$AU$37,44,FALSE)</f>
        <v>928564.34719999996</v>
      </c>
      <c r="U28" s="1">
        <f>VLOOKUP($D28,'BASE PAN - RECEITAS'!$D$3:$AX$37,47,FALSE)</f>
        <v>944195.57949999999</v>
      </c>
      <c r="V28" s="1">
        <f>VLOOKUP($D28,'BASE PAN - RECEITAS'!$D$3:$BA$37,50,FALSE)</f>
        <v>959313.24670000002</v>
      </c>
      <c r="W28" s="1">
        <f>VLOOKUP($D28,'BASE PAN - RECEITAS'!$D$3:$BD$37,53,FALSE)</f>
        <v>1030137.532</v>
      </c>
      <c r="X28" s="1">
        <f>VLOOKUP($D28,'BASE PAN - RECEITAS'!$D$3:$BG$37,56,FALSE)</f>
        <v>1046466.357</v>
      </c>
      <c r="Y28" s="1">
        <f>VLOOKUP($D28,'BASE PAN - RECEITAS'!$D$3:$BJ$37,59,FALSE)</f>
        <v>1063457.6610000001</v>
      </c>
      <c r="Z28" s="1">
        <f>VLOOKUP($D28,'BASE PAN - RECEITAS'!$D$3:$BM$37,62,FALSE)</f>
        <v>1080444.2</v>
      </c>
      <c r="AA28" s="1">
        <f>VLOOKUP($D28,'BASE PAN - RECEITAS'!$D$3:$BP$37,65,FALSE)</f>
        <v>1097751.406</v>
      </c>
      <c r="AB28" s="1">
        <f>VLOOKUP($D28,'BASE PAN - RECEITAS'!$D$3:$BS$37,68,FALSE)</f>
        <v>1114379.602</v>
      </c>
      <c r="AC28" s="1">
        <f>VLOOKUP($D28,'BASE PAN - RECEITAS'!$D$3:$BV$37,71,FALSE)</f>
        <v>1131180.5859999999</v>
      </c>
      <c r="AD28" s="1">
        <f>VLOOKUP($D28,'BASE PAN - RECEITAS'!$D$3:$BY$37,74,FALSE)</f>
        <v>1147526.28</v>
      </c>
      <c r="AE28" s="1">
        <f>VLOOKUP($D28,'BASE PAN - RECEITAS'!$D$3:$CB$37,77,FALSE)</f>
        <v>1163062.28</v>
      </c>
      <c r="AF28" s="1">
        <f>VLOOKUP($D28,'BASE PAN - RECEITAS'!$D$3:$CE$37,80,FALSE)</f>
        <v>1178007.716</v>
      </c>
      <c r="AG28" s="1">
        <f>VLOOKUP($D28,'BASE PAN - RECEITAS'!$D$3:$CH$37,83,FALSE)</f>
        <v>1193244.683</v>
      </c>
      <c r="AH28" s="1">
        <f>VLOOKUP($D28,'BASE PAN - RECEITAS'!$D$3:$CK$37,86,FALSE)</f>
        <v>1207346.851</v>
      </c>
      <c r="AI28" s="1">
        <f>VLOOKUP($D28,'BASE PAN - RECEITAS'!$D$3:$CN$37,89,FALSE)</f>
        <v>1221195.8259999999</v>
      </c>
      <c r="AJ28" s="1">
        <f>VLOOKUP($D28,'BASE PAN - RECEITAS'!$D$3:$CQ$37,92,FALSE)</f>
        <v>1235213.6510000001</v>
      </c>
      <c r="AK28" s="1">
        <f>VLOOKUP($D28,'BASE PAN - RECEITAS'!$D$3:$CT$37,95,FALSE)</f>
        <v>1249450.767</v>
      </c>
      <c r="AL28" s="1">
        <f t="shared" si="3"/>
        <v>29506066.866900008</v>
      </c>
      <c r="AM28" s="1">
        <f t="shared" si="1"/>
        <v>12347201.468900003</v>
      </c>
      <c r="AN28" t="str">
        <f>VLOOKUP(D28,'FLUXO DE CAIXA DESC.-BLOCOS PAN'!$D$3:$AO$52,38,FALSE)</f>
        <v>MA + TO - AL</v>
      </c>
    </row>
    <row r="29" spans="1:40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33</v>
      </c>
      <c r="H29" s="1">
        <f>VLOOKUP($D29,'BASE PAN - RECEITAS'!$D$3:$K$37,8,FALSE)</f>
        <v>168751.20050000001</v>
      </c>
      <c r="I29" s="1">
        <f>VLOOKUP($D29,'BASE PAN - RECEITAS'!$D$3:$N$37,11,FALSE)</f>
        <v>170100.54579999999</v>
      </c>
      <c r="J29" s="1">
        <f>VLOOKUP($D29,'BASE PAN - RECEITAS'!$D$3:$Q$37,14,FALSE)</f>
        <v>171188.25690000001</v>
      </c>
      <c r="K29" s="1">
        <f>VLOOKUP($D29,'BASE PAN - RECEITAS'!$D$3:$T$37,17,FALSE)</f>
        <v>172016.0968</v>
      </c>
      <c r="L29" s="1">
        <f>VLOOKUP($D29,'BASE PAN - RECEITAS'!$D$3:$W$37,20,FALSE)</f>
        <v>172716.40400000001</v>
      </c>
      <c r="M29" s="1">
        <f>VLOOKUP($D29,'BASE PAN - RECEITAS'!$D$3:$Z$37,23,FALSE)</f>
        <v>173401.81099999999</v>
      </c>
      <c r="N29" s="1">
        <f>VLOOKUP($D29,'BASE PAN - RECEITAS'!$D$3:$AC$37,26,FALSE)</f>
        <v>174027.61730000001</v>
      </c>
      <c r="O29" s="1">
        <f>VLOOKUP($D29,'BASE PAN - RECEITAS'!$D$3:$AF$37,29,FALSE)</f>
        <v>174646.85519999999</v>
      </c>
      <c r="P29" s="1">
        <f>VLOOKUP($D29,'BASE PAN - RECEITAS'!$D$3:$AI$37,32,FALSE)</f>
        <v>175227.96109999999</v>
      </c>
      <c r="Q29" s="1">
        <f>VLOOKUP($D29,'BASE PAN - RECEITAS'!$D$3:$AL$37,35,FALSE)</f>
        <v>175779.26670000001</v>
      </c>
      <c r="R29" s="1">
        <f>VLOOKUP($D29,'BASE PAN - RECEITAS'!$D$3:$AO$37,38,FALSE)</f>
        <v>176270.97169999999</v>
      </c>
      <c r="S29" s="1">
        <f>VLOOKUP($D29,'BASE PAN - RECEITAS'!$D$3:$AR$37,41,FALSE)</f>
        <v>176777.57689999999</v>
      </c>
      <c r="T29" s="1">
        <f>VLOOKUP($D29,'BASE PAN - RECEITAS'!$D$3:$AU$37,44,FALSE)</f>
        <v>177277.61350000001</v>
      </c>
      <c r="U29" s="1">
        <f>VLOOKUP($D29,'BASE PAN - RECEITAS'!$D$3:$AX$37,47,FALSE)</f>
        <v>177799.1189</v>
      </c>
      <c r="V29" s="1">
        <f>VLOOKUP($D29,'BASE PAN - RECEITAS'!$D$3:$BA$37,50,FALSE)</f>
        <v>178290.82389999999</v>
      </c>
      <c r="W29" s="1">
        <f>VLOOKUP($D29,'BASE PAN - RECEITAS'!$D$3:$BD$37,53,FALSE)</f>
        <v>178797.429</v>
      </c>
      <c r="X29" s="1">
        <f>VLOOKUP($D29,'BASE PAN - RECEITAS'!$D$3:$BG$37,56,FALSE)</f>
        <v>179304.03419999999</v>
      </c>
      <c r="Y29" s="1">
        <f>VLOOKUP($D29,'BASE PAN - RECEITAS'!$D$3:$BJ$37,59,FALSE)</f>
        <v>179833.87109999999</v>
      </c>
      <c r="Z29" s="1">
        <f>VLOOKUP($D29,'BASE PAN - RECEITAS'!$D$3:$BM$37,62,FALSE)</f>
        <v>180340.47630000001</v>
      </c>
      <c r="AA29" s="1">
        <f>VLOOKUP($D29,'BASE PAN - RECEITAS'!$D$3:$BP$37,65,FALSE)</f>
        <v>180876.8818</v>
      </c>
      <c r="AB29" s="1">
        <f>VLOOKUP($D29,'BASE PAN - RECEITAS'!$D$3:$BS$37,68,FALSE)</f>
        <v>181383.48689999999</v>
      </c>
      <c r="AC29" s="1">
        <f>VLOOKUP($D29,'BASE PAN - RECEITAS'!$D$3:$BV$37,71,FALSE)</f>
        <v>181934.79250000001</v>
      </c>
      <c r="AD29" s="1">
        <f>VLOOKUP($D29,'BASE PAN - RECEITAS'!$D$3:$BY$37,74,FALSE)</f>
        <v>182449.72930000001</v>
      </c>
      <c r="AE29" s="1">
        <f>VLOOKUP($D29,'BASE PAN - RECEITAS'!$D$3:$CB$37,77,FALSE)</f>
        <v>182971.2346</v>
      </c>
      <c r="AF29" s="1">
        <f>VLOOKUP($D29,'BASE PAN - RECEITAS'!$D$3:$CE$37,80,FALSE)</f>
        <v>183477.83979999999</v>
      </c>
      <c r="AG29" s="1">
        <f>VLOOKUP($D29,'BASE PAN - RECEITAS'!$D$3:$CH$37,83,FALSE)</f>
        <v>183954.6447</v>
      </c>
      <c r="AH29" s="1">
        <f>VLOOKUP($D29,'BASE PAN - RECEITAS'!$D$3:$CK$37,86,FALSE)</f>
        <v>184431.44949999999</v>
      </c>
      <c r="AI29" s="1">
        <f>VLOOKUP($D29,'BASE PAN - RECEITAS'!$D$3:$CN$37,89,FALSE)</f>
        <v>184893.3542</v>
      </c>
      <c r="AJ29" s="1">
        <f>VLOOKUP($D29,'BASE PAN - RECEITAS'!$D$3:$CQ$37,92,FALSE)</f>
        <v>185378.49069999999</v>
      </c>
      <c r="AK29" s="1">
        <f>VLOOKUP($D29,'BASE PAN - RECEITAS'!$D$3:$CT$37,95,FALSE)</f>
        <v>185870.19570000001</v>
      </c>
      <c r="AL29" s="1">
        <f t="shared" si="3"/>
        <v>5350170.0305000013</v>
      </c>
      <c r="AM29" s="1">
        <f t="shared" si="1"/>
        <v>2614272.1202000007</v>
      </c>
      <c r="AN29" t="str">
        <f>VLOOKUP(D29,'FLUXO DE CAIXA DESC.-BLOCOS PAN'!$D$3:$AO$52,38,FALSE)</f>
        <v>MT - 1 - AL</v>
      </c>
    </row>
    <row r="30" spans="1:40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33</v>
      </c>
      <c r="H30" s="1">
        <f>VLOOKUP($D30,'BASE PAN - RECEITAS'!$D$3:$K$37,8,FALSE)</f>
        <v>311878.4754</v>
      </c>
      <c r="I30" s="1">
        <f>VLOOKUP($D30,'BASE PAN - RECEITAS'!$D$3:$N$37,11,FALSE)</f>
        <v>331320.53840000002</v>
      </c>
      <c r="J30" s="1">
        <f>VLOOKUP($D30,'BASE PAN - RECEITAS'!$D$3:$Q$37,14,FALSE)</f>
        <v>346526.76980000001</v>
      </c>
      <c r="K30" s="1">
        <f>VLOOKUP($D30,'BASE PAN - RECEITAS'!$D$3:$T$37,17,FALSE)</f>
        <v>357920.3137</v>
      </c>
      <c r="L30" s="1">
        <f>VLOOKUP($D30,'BASE PAN - RECEITAS'!$D$3:$W$37,20,FALSE)</f>
        <v>367500.3958</v>
      </c>
      <c r="M30" s="1">
        <f>VLOOKUP($D30,'BASE PAN - RECEITAS'!$D$3:$Z$37,23,FALSE)</f>
        <v>376414.67739999999</v>
      </c>
      <c r="N30" s="1">
        <f>VLOOKUP($D30,'BASE PAN - RECEITAS'!$D$3:$AC$37,26,FALSE)</f>
        <v>384603.85029999999</v>
      </c>
      <c r="O30" s="1">
        <f>VLOOKUP($D30,'BASE PAN - RECEITAS'!$D$3:$AF$37,29,FALSE)</f>
        <v>392464.83120000002</v>
      </c>
      <c r="P30" s="1">
        <f>VLOOKUP($D30,'BASE PAN - RECEITAS'!$D$3:$AI$37,32,FALSE)</f>
        <v>399653.79979999998</v>
      </c>
      <c r="Q30" s="1">
        <f>VLOOKUP($D30,'BASE PAN - RECEITAS'!$D$3:$AL$37,35,FALSE)</f>
        <v>406258.31020000001</v>
      </c>
      <c r="R30" s="1">
        <f>VLOOKUP($D30,'BASE PAN - RECEITAS'!$D$3:$AO$37,38,FALSE)</f>
        <v>412306.42080000002</v>
      </c>
      <c r="S30" s="1">
        <f>VLOOKUP($D30,'BASE PAN - RECEITAS'!$D$3:$AR$37,41,FALSE)</f>
        <v>418307.64669999998</v>
      </c>
      <c r="T30" s="1">
        <f>VLOOKUP($D30,'BASE PAN - RECEITAS'!$D$3:$AU$37,44,FALSE)</f>
        <v>424152.59080000001</v>
      </c>
      <c r="U30" s="1">
        <f>VLOOKUP($D30,'BASE PAN - RECEITAS'!$D$3:$AX$37,47,FALSE)</f>
        <v>430153.81670000002</v>
      </c>
      <c r="V30" s="1">
        <f>VLOOKUP($D30,'BASE PAN - RECEITAS'!$D$3:$BA$37,50,FALSE)</f>
        <v>436108.74959999998</v>
      </c>
      <c r="W30" s="1">
        <f>VLOOKUP($D30,'BASE PAN - RECEITAS'!$D$3:$BD$37,53,FALSE)</f>
        <v>442016.20640000002</v>
      </c>
      <c r="X30" s="1">
        <f>VLOOKUP($D30,'BASE PAN - RECEITAS'!$D$3:$BG$37,56,FALSE)</f>
        <v>447986.17599999998</v>
      </c>
      <c r="Y30" s="1">
        <f>VLOOKUP($D30,'BASE PAN - RECEITAS'!$D$3:$BJ$37,59,FALSE)</f>
        <v>454034.28649999999</v>
      </c>
      <c r="Z30" s="1">
        <f>VLOOKUP($D30,'BASE PAN - RECEITAS'!$D$3:$BM$37,62,FALSE)</f>
        <v>460213.63439999998</v>
      </c>
      <c r="AA30" s="1">
        <f>VLOOKUP($D30,'BASE PAN - RECEITAS'!$D$3:$BP$37,65,FALSE)</f>
        <v>466464.91139999998</v>
      </c>
      <c r="AB30" s="1">
        <f>VLOOKUP($D30,'BASE PAN - RECEITAS'!$D$3:$BS$37,68,FALSE)</f>
        <v>472434.88099999999</v>
      </c>
      <c r="AC30" s="1">
        <f>VLOOKUP($D30,'BASE PAN - RECEITAS'!$D$3:$BV$37,71,FALSE)</f>
        <v>478561.13250000001</v>
      </c>
      <c r="AD30" s="1">
        <f>VLOOKUP($D30,'BASE PAN - RECEITAS'!$D$3:$BY$37,74,FALSE)</f>
        <v>484515.47389999998</v>
      </c>
      <c r="AE30" s="1">
        <f>VLOOKUP($D30,'BASE PAN - RECEITAS'!$D$3:$CB$37,77,FALSE)</f>
        <v>490861.1116</v>
      </c>
      <c r="AF30" s="1">
        <f>VLOOKUP($D30,'BASE PAN - RECEITAS'!$D$3:$CE$37,80,FALSE)</f>
        <v>496956.1067</v>
      </c>
      <c r="AG30" s="1">
        <f>VLOOKUP($D30,'BASE PAN - RECEITAS'!$D$3:$CH$37,83,FALSE)</f>
        <v>503176.12729999999</v>
      </c>
      <c r="AH30" s="1">
        <f>VLOOKUP($D30,'BASE PAN - RECEITAS'!$D$3:$CK$37,86,FALSE)</f>
        <v>509036.69949999999</v>
      </c>
      <c r="AI30" s="1">
        <f>VLOOKUP($D30,'BASE PAN - RECEITAS'!$D$3:$CN$37,89,FALSE)</f>
        <v>515011.65590000001</v>
      </c>
      <c r="AJ30" s="1">
        <f>VLOOKUP($D30,'BASE PAN - RECEITAS'!$D$3:$CQ$37,92,FALSE)</f>
        <v>521044.72970000003</v>
      </c>
      <c r="AK30" s="1">
        <f>VLOOKUP($D30,'BASE PAN - RECEITAS'!$D$3:$CT$37,95,FALSE)</f>
        <v>527108.46849999996</v>
      </c>
      <c r="AL30" s="1">
        <f t="shared" si="3"/>
        <v>13064992.787900001</v>
      </c>
      <c r="AM30" s="1">
        <f t="shared" si="1"/>
        <v>5795571.1866000006</v>
      </c>
      <c r="AN30" t="str">
        <f>VLOOKUP(D30,'FLUXO DE CAIXA DESC.-BLOCOS PAN'!$D$3:$AO$52,38,FALSE)</f>
        <v>MT - 1 - AL</v>
      </c>
    </row>
    <row r="31" spans="1:40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33</v>
      </c>
      <c r="H31" s="1">
        <f>VLOOKUP($D31,'BASE PAN - RECEITAS'!$D$3:$K$37,8,FALSE)</f>
        <v>470637.63890000002</v>
      </c>
      <c r="I31" s="1">
        <f>VLOOKUP($D31,'BASE PAN - RECEITAS'!$D$3:$N$37,11,FALSE)</f>
        <v>520779.05050000001</v>
      </c>
      <c r="J31" s="1">
        <f>VLOOKUP($D31,'BASE PAN - RECEITAS'!$D$3:$Q$37,14,FALSE)</f>
        <v>551369.63520000002</v>
      </c>
      <c r="K31" s="1">
        <f>VLOOKUP($D31,'BASE PAN - RECEITAS'!$D$3:$T$37,17,FALSE)</f>
        <v>575702.58490000002</v>
      </c>
      <c r="L31" s="1">
        <f>VLOOKUP($D31,'BASE PAN - RECEITAS'!$D$3:$W$37,20,FALSE)</f>
        <v>596910.04220000003</v>
      </c>
      <c r="M31" s="1">
        <f>VLOOKUP($D31,'BASE PAN - RECEITAS'!$D$3:$Z$37,23,FALSE)</f>
        <v>616664.6692</v>
      </c>
      <c r="N31" s="1">
        <f>VLOOKUP($D31,'BASE PAN - RECEITAS'!$D$3:$AC$37,26,FALSE)</f>
        <v>661265.94400000002</v>
      </c>
      <c r="O31" s="1">
        <f>VLOOKUP($D31,'BASE PAN - RECEITAS'!$D$3:$AF$37,29,FALSE)</f>
        <v>667625.13399999996</v>
      </c>
      <c r="P31" s="1">
        <f>VLOOKUP($D31,'BASE PAN - RECEITAS'!$D$3:$AI$37,32,FALSE)</f>
        <v>691205.17319999996</v>
      </c>
      <c r="Q31" s="1">
        <f>VLOOKUP($D31,'BASE PAN - RECEITAS'!$D$3:$AL$37,35,FALSE)</f>
        <v>714660.53650000005</v>
      </c>
      <c r="R31" s="1">
        <f>VLOOKUP($D31,'BASE PAN - RECEITAS'!$D$3:$AO$37,38,FALSE)</f>
        <v>720317.7023</v>
      </c>
      <c r="S31" s="1">
        <f>VLOOKUP($D31,'BASE PAN - RECEITAS'!$D$3:$AR$37,41,FALSE)</f>
        <v>743586.05189999996</v>
      </c>
      <c r="T31" s="1">
        <f>VLOOKUP($D31,'BASE PAN - RECEITAS'!$D$3:$AU$37,44,FALSE)</f>
        <v>749118.54189999995</v>
      </c>
      <c r="U31" s="1">
        <f>VLOOKUP($D31,'BASE PAN - RECEITAS'!$D$3:$AX$37,47,FALSE)</f>
        <v>772854.42579999997</v>
      </c>
      <c r="V31" s="1">
        <f>VLOOKUP($D31,'BASE PAN - RECEITAS'!$D$3:$BA$37,50,FALSE)</f>
        <v>778247.37809999997</v>
      </c>
      <c r="W31" s="1">
        <f>VLOOKUP($D31,'BASE PAN - RECEITAS'!$D$3:$BD$37,53,FALSE)</f>
        <v>783624.02339999995</v>
      </c>
      <c r="X31" s="1">
        <f>VLOOKUP($D31,'BASE PAN - RECEITAS'!$D$3:$BG$37,56,FALSE)</f>
        <v>807313.15390000003</v>
      </c>
      <c r="Y31" s="1">
        <f>VLOOKUP($D31,'BASE PAN - RECEITAS'!$D$3:$BJ$37,59,FALSE)</f>
        <v>812932.38800000004</v>
      </c>
      <c r="Z31" s="1">
        <f>VLOOKUP($D31,'BASE PAN - RECEITAS'!$D$3:$BM$37,62,FALSE)</f>
        <v>837422.70169999998</v>
      </c>
      <c r="AA31" s="1">
        <f>VLOOKUP($D31,'BASE PAN - RECEITAS'!$D$3:$BP$37,65,FALSE)</f>
        <v>843111.75910000002</v>
      </c>
      <c r="AB31" s="1">
        <f>VLOOKUP($D31,'BASE PAN - RECEITAS'!$D$3:$BS$37,68,FALSE)</f>
        <v>867330.76190000004</v>
      </c>
      <c r="AC31" s="1">
        <f>VLOOKUP($D31,'BASE PAN - RECEITAS'!$D$3:$BV$37,71,FALSE)</f>
        <v>872582.73129999998</v>
      </c>
      <c r="AD31" s="1">
        <f>VLOOKUP($D31,'BASE PAN - RECEITAS'!$D$3:$BY$37,74,FALSE)</f>
        <v>896817.31850000005</v>
      </c>
      <c r="AE31" s="1">
        <f>VLOOKUP($D31,'BASE PAN - RECEITAS'!$D$3:$CB$37,77,FALSE)</f>
        <v>901695.26040000003</v>
      </c>
      <c r="AF31" s="1">
        <f>VLOOKUP($D31,'BASE PAN - RECEITAS'!$D$3:$CE$37,80,FALSE)</f>
        <v>925914.26320000004</v>
      </c>
      <c r="AG31" s="1">
        <f>VLOOKUP($D31,'BASE PAN - RECEITAS'!$D$3:$CH$37,83,FALSE)</f>
        <v>930450.06920000003</v>
      </c>
      <c r="AH31" s="1">
        <f>VLOOKUP($D31,'BASE PAN - RECEITAS'!$D$3:$CK$37,86,FALSE)</f>
        <v>954030.10829999996</v>
      </c>
      <c r="AI31" s="1">
        <f>VLOOKUP($D31,'BASE PAN - RECEITAS'!$D$3:$CN$37,89,FALSE)</f>
        <v>957598.95400000003</v>
      </c>
      <c r="AJ31" s="1">
        <f>VLOOKUP($D31,'BASE PAN - RECEITAS'!$D$3:$CQ$37,92,FALSE)</f>
        <v>961183.38410000002</v>
      </c>
      <c r="AK31" s="1">
        <f>VLOOKUP($D31,'BASE PAN - RECEITAS'!$D$3:$CT$37,95,FALSE)</f>
        <v>964783.39879999997</v>
      </c>
      <c r="AL31" s="1">
        <f t="shared" si="3"/>
        <v>23147734.784400005</v>
      </c>
      <c r="AM31" s="1">
        <f t="shared" si="1"/>
        <v>9830944.5086000003</v>
      </c>
      <c r="AN31" t="str">
        <f>VLOOKUP(D31,'FLUXO DE CAIXA DESC.-BLOCOS PAN'!$D$3:$AO$52,38,FALSE)</f>
        <v>Bloco Nordeste</v>
      </c>
    </row>
    <row r="32" spans="1:40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33</v>
      </c>
      <c r="H32" s="1">
        <f>VLOOKUP($D32,'BASE PAN - RECEITAS'!$D$3:$K$37,8,FALSE)</f>
        <v>255208.41829999999</v>
      </c>
      <c r="I32" s="1">
        <f>VLOOKUP($D32,'BASE PAN - RECEITAS'!$D$3:$N$37,11,FALSE)</f>
        <v>268242.92239999998</v>
      </c>
      <c r="J32" s="1">
        <f>VLOOKUP($D32,'BASE PAN - RECEITAS'!$D$3:$Q$37,14,FALSE)</f>
        <v>278213.70929999999</v>
      </c>
      <c r="K32" s="1">
        <f>VLOOKUP($D32,'BASE PAN - RECEITAS'!$D$3:$T$37,17,FALSE)</f>
        <v>285985.90779999999</v>
      </c>
      <c r="L32" s="1">
        <f>VLOOKUP($D32,'BASE PAN - RECEITAS'!$D$3:$W$37,20,FALSE)</f>
        <v>292462.19140000001</v>
      </c>
      <c r="M32" s="1">
        <f>VLOOKUP($D32,'BASE PAN - RECEITAS'!$D$3:$Z$37,23,FALSE)</f>
        <v>298703.90899999999</v>
      </c>
      <c r="N32" s="1">
        <f>VLOOKUP($D32,'BASE PAN - RECEITAS'!$D$3:$AC$37,26,FALSE)</f>
        <v>304580.10940000002</v>
      </c>
      <c r="O32" s="1">
        <f>VLOOKUP($D32,'BASE PAN - RECEITAS'!$D$3:$AF$37,29,FALSE)</f>
        <v>310018.7205</v>
      </c>
      <c r="P32" s="1">
        <f>VLOOKUP($D32,'BASE PAN - RECEITAS'!$D$3:$AI$37,32,FALSE)</f>
        <v>315441.70329999999</v>
      </c>
      <c r="Q32" s="1">
        <f>VLOOKUP($D32,'BASE PAN - RECEITAS'!$D$3:$AL$37,35,FALSE)</f>
        <v>320552.71370000002</v>
      </c>
      <c r="R32" s="1">
        <f>VLOOKUP($D32,'BASE PAN - RECEITAS'!$D$3:$AO$37,38,FALSE)</f>
        <v>325366.19709999999</v>
      </c>
      <c r="S32" s="1">
        <f>VLOOKUP($D32,'BASE PAN - RECEITAS'!$D$3:$AR$37,41,FALSE)</f>
        <v>330226.565</v>
      </c>
      <c r="T32" s="1">
        <f>VLOOKUP($D32,'BASE PAN - RECEITAS'!$D$3:$AU$37,44,FALSE)</f>
        <v>335102.56109999999</v>
      </c>
      <c r="U32" s="1">
        <f>VLOOKUP($D32,'BASE PAN - RECEITAS'!$D$3:$AX$37,47,FALSE)</f>
        <v>340134.83909999998</v>
      </c>
      <c r="V32" s="1">
        <f>VLOOKUP($D32,'BASE PAN - RECEITAS'!$D$3:$BA$37,50,FALSE)</f>
        <v>345370.28360000002</v>
      </c>
      <c r="W32" s="1">
        <f>VLOOKUP($D32,'BASE PAN - RECEITAS'!$D$3:$BD$37,53,FALSE)</f>
        <v>350528.17859999998</v>
      </c>
      <c r="X32" s="1">
        <f>VLOOKUP($D32,'BASE PAN - RECEITAS'!$D$3:$BG$37,56,FALSE)</f>
        <v>355935.53330000001</v>
      </c>
      <c r="Y32" s="1">
        <f>VLOOKUP($D32,'BASE PAN - RECEITAS'!$D$3:$BJ$37,59,FALSE)</f>
        <v>361264.74690000003</v>
      </c>
      <c r="Z32" s="1">
        <f>VLOOKUP($D32,'BASE PAN - RECEITAS'!$D$3:$BM$37,62,FALSE)</f>
        <v>366953.40899999999</v>
      </c>
      <c r="AA32" s="1">
        <f>VLOOKUP($D32,'BASE PAN - RECEITAS'!$D$3:$BP$37,65,FALSE)</f>
        <v>372788.34519999998</v>
      </c>
      <c r="AB32" s="1">
        <f>VLOOKUP($D32,'BASE PAN - RECEITAS'!$D$3:$BS$37,68,FALSE)</f>
        <v>378493.22700000001</v>
      </c>
      <c r="AC32" s="1">
        <f>VLOOKUP($D32,'BASE PAN - RECEITAS'!$D$3:$BV$37,71,FALSE)</f>
        <v>384572.59389999998</v>
      </c>
      <c r="AD32" s="1">
        <f>VLOOKUP($D32,'BASE PAN - RECEITAS'!$D$3:$BY$37,74,FALSE)</f>
        <v>390370.65340000001</v>
      </c>
      <c r="AE32" s="1">
        <f>VLOOKUP($D32,'BASE PAN - RECEITAS'!$D$3:$CB$37,77,FALSE)</f>
        <v>397106.4044</v>
      </c>
      <c r="AF32" s="1">
        <f>VLOOKUP($D32,'BASE PAN - RECEITAS'!$D$3:$CE$37,80,FALSE)</f>
        <v>403789.05579999997</v>
      </c>
      <c r="AG32" s="1">
        <f>VLOOKUP($D32,'BASE PAN - RECEITAS'!$D$3:$CH$37,83,FALSE)</f>
        <v>410743.60149999999</v>
      </c>
      <c r="AH32" s="1">
        <f>VLOOKUP($D32,'BASE PAN - RECEITAS'!$D$3:$CK$37,86,FALSE)</f>
        <v>417244.92959999997</v>
      </c>
      <c r="AI32" s="1">
        <f>VLOOKUP($D32,'BASE PAN - RECEITAS'!$D$3:$CN$37,89,FALSE)</f>
        <v>424074.4498</v>
      </c>
      <c r="AJ32" s="1">
        <f>VLOOKUP($D32,'BASE PAN - RECEITAS'!$D$3:$CQ$37,92,FALSE)</f>
        <v>431060.25189999997</v>
      </c>
      <c r="AK32" s="1">
        <f>VLOOKUP($D32,'BASE PAN - RECEITAS'!$D$3:$CT$37,95,FALSE)</f>
        <v>438281.06839999999</v>
      </c>
      <c r="AL32" s="1">
        <f t="shared" si="3"/>
        <v>10488817.1997</v>
      </c>
      <c r="AM32" s="1">
        <f t="shared" si="1"/>
        <v>4605610.7509999992</v>
      </c>
      <c r="AN32" t="str">
        <f>VLOOKUP(D32,'FLUXO DE CAIXA DESC.-BLOCOS PAN'!$D$3:$AO$52,38,FALSE)</f>
        <v>AC + AM - 1 - AL</v>
      </c>
    </row>
    <row r="33" spans="1:40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33</v>
      </c>
      <c r="H33" s="1">
        <f>VLOOKUP($D33,'BASE PAN - RECEITAS'!$D$3:$K$37,8,FALSE)</f>
        <v>162610.57490000001</v>
      </c>
      <c r="I33" s="1">
        <f>VLOOKUP($D33,'BASE PAN - RECEITAS'!$D$3:$N$37,11,FALSE)</f>
        <v>163512.91560000001</v>
      </c>
      <c r="J33" s="1">
        <f>VLOOKUP($D33,'BASE PAN - RECEITAS'!$D$3:$Q$37,14,FALSE)</f>
        <v>164198.32260000001</v>
      </c>
      <c r="K33" s="1">
        <f>VLOOKUP($D33,'BASE PAN - RECEITAS'!$D$3:$T$37,17,FALSE)</f>
        <v>164704.9277</v>
      </c>
      <c r="L33" s="1">
        <f>VLOOKUP($D33,'BASE PAN - RECEITAS'!$D$3:$W$37,20,FALSE)</f>
        <v>165092.33170000001</v>
      </c>
      <c r="M33" s="1">
        <f>VLOOKUP($D33,'BASE PAN - RECEITAS'!$D$3:$Z$37,23,FALSE)</f>
        <v>165435.03520000001</v>
      </c>
      <c r="N33" s="1">
        <f>VLOOKUP($D33,'BASE PAN - RECEITAS'!$D$3:$AC$37,26,FALSE)</f>
        <v>165762.83850000001</v>
      </c>
      <c r="O33" s="1">
        <f>VLOOKUP($D33,'BASE PAN - RECEITAS'!$D$3:$AF$37,29,FALSE)</f>
        <v>166060.84160000001</v>
      </c>
      <c r="P33" s="1">
        <f>VLOOKUP($D33,'BASE PAN - RECEITAS'!$D$3:$AI$37,32,FALSE)</f>
        <v>166367.17619999999</v>
      </c>
      <c r="Q33" s="1">
        <f>VLOOKUP($D33,'BASE PAN - RECEITAS'!$D$3:$AL$37,35,FALSE)</f>
        <v>166665.17920000001</v>
      </c>
      <c r="R33" s="1">
        <f>VLOOKUP($D33,'BASE PAN - RECEITAS'!$D$3:$AO$37,38,FALSE)</f>
        <v>166918.48180000001</v>
      </c>
      <c r="S33" s="1">
        <f>VLOOKUP($D33,'BASE PAN - RECEITAS'!$D$3:$AR$37,41,FALSE)</f>
        <v>167186.68460000001</v>
      </c>
      <c r="T33" s="1">
        <f>VLOOKUP($D33,'BASE PAN - RECEITAS'!$D$3:$AU$37,44,FALSE)</f>
        <v>167439.9871</v>
      </c>
      <c r="U33" s="1">
        <f>VLOOKUP($D33,'BASE PAN - RECEITAS'!$D$3:$AX$37,47,FALSE)</f>
        <v>167693.28969999999</v>
      </c>
      <c r="V33" s="1">
        <f>VLOOKUP($D33,'BASE PAN - RECEITAS'!$D$3:$BA$37,50,FALSE)</f>
        <v>167946.59229999999</v>
      </c>
      <c r="W33" s="1">
        <f>VLOOKUP($D33,'BASE PAN - RECEITAS'!$D$3:$BD$37,53,FALSE)</f>
        <v>168199.89490000001</v>
      </c>
      <c r="X33" s="1">
        <f>VLOOKUP($D33,'BASE PAN - RECEITAS'!$D$3:$BG$37,56,FALSE)</f>
        <v>168453.19750000001</v>
      </c>
      <c r="Y33" s="1">
        <f>VLOOKUP($D33,'BASE PAN - RECEITAS'!$D$3:$BJ$37,59,FALSE)</f>
        <v>168706.5001</v>
      </c>
      <c r="Z33" s="1">
        <f>VLOOKUP($D33,'BASE PAN - RECEITAS'!$D$3:$BM$37,62,FALSE)</f>
        <v>168983.0344</v>
      </c>
      <c r="AA33" s="1">
        <f>VLOOKUP($D33,'BASE PAN - RECEITAS'!$D$3:$BP$37,65,FALSE)</f>
        <v>169281.0374</v>
      </c>
      <c r="AB33" s="1">
        <f>VLOOKUP($D33,'BASE PAN - RECEITAS'!$D$3:$BS$37,68,FALSE)</f>
        <v>169534.34</v>
      </c>
      <c r="AC33" s="1">
        <f>VLOOKUP($D33,'BASE PAN - RECEITAS'!$D$3:$BV$37,71,FALSE)</f>
        <v>169787.64259999999</v>
      </c>
      <c r="AD33" s="1">
        <f>VLOOKUP($D33,'BASE PAN - RECEITAS'!$D$3:$BY$37,74,FALSE)</f>
        <v>170040.94519999999</v>
      </c>
      <c r="AE33" s="1">
        <f>VLOOKUP($D33,'BASE PAN - RECEITAS'!$D$3:$CB$37,77,FALSE)</f>
        <v>170294.24780000001</v>
      </c>
      <c r="AF33" s="1">
        <f>VLOOKUP($D33,'BASE PAN - RECEITAS'!$D$3:$CE$37,80,FALSE)</f>
        <v>170547.5503</v>
      </c>
      <c r="AG33" s="1">
        <f>VLOOKUP($D33,'BASE PAN - RECEITAS'!$D$3:$CH$37,83,FALSE)</f>
        <v>170845.5534</v>
      </c>
      <c r="AH33" s="1">
        <f>VLOOKUP($D33,'BASE PAN - RECEITAS'!$D$3:$CK$37,86,FALSE)</f>
        <v>171098.856</v>
      </c>
      <c r="AI33" s="1">
        <f>VLOOKUP($D33,'BASE PAN - RECEITAS'!$D$3:$CN$37,89,FALSE)</f>
        <v>171322.35819999999</v>
      </c>
      <c r="AJ33" s="1">
        <f>VLOOKUP($D33,'BASE PAN - RECEITAS'!$D$3:$CQ$37,92,FALSE)</f>
        <v>171628.69289999999</v>
      </c>
      <c r="AK33" s="1">
        <f>VLOOKUP($D33,'BASE PAN - RECEITAS'!$D$3:$CT$37,95,FALSE)</f>
        <v>171881.99549999999</v>
      </c>
      <c r="AL33" s="1">
        <f t="shared" si="3"/>
        <v>5038201.0248999996</v>
      </c>
      <c r="AM33" s="1">
        <f t="shared" si="1"/>
        <v>2487595.1787000005</v>
      </c>
      <c r="AN33" t="str">
        <f>VLOOKUP(D33,'FLUXO DE CAIXA DESC.-BLOCOS PAN'!$D$3:$AO$52,38,FALSE)</f>
        <v>AM - 3 - AL</v>
      </c>
    </row>
    <row r="34" spans="1:40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33</v>
      </c>
      <c r="H34" s="1">
        <f>VLOOKUP($D34,'BASE PAN - RECEITAS'!$D$3:$K$37,8,FALSE)</f>
        <v>1171445.8219999999</v>
      </c>
      <c r="I34" s="1">
        <f>VLOOKUP($D34,'BASE PAN - RECEITAS'!$D$3:$N$37,11,FALSE)</f>
        <v>1338779.838</v>
      </c>
      <c r="J34" s="1">
        <f>VLOOKUP($D34,'BASE PAN - RECEITAS'!$D$3:$Q$37,14,FALSE)</f>
        <v>1471265.84</v>
      </c>
      <c r="K34" s="1">
        <f>VLOOKUP($D34,'BASE PAN - RECEITAS'!$D$3:$T$37,17,FALSE)</f>
        <v>1575949.459</v>
      </c>
      <c r="L34" s="1">
        <f>VLOOKUP($D34,'BASE PAN - RECEITAS'!$D$3:$W$37,20,FALSE)</f>
        <v>1662569.8419999999</v>
      </c>
      <c r="M34" s="1">
        <f>VLOOKUP($D34,'BASE PAN - RECEITAS'!$D$3:$Z$37,23,FALSE)</f>
        <v>1741609.0549999999</v>
      </c>
      <c r="N34" s="1">
        <f>VLOOKUP($D34,'BASE PAN - RECEITAS'!$D$3:$AC$37,26,FALSE)</f>
        <v>1815780.057</v>
      </c>
      <c r="O34" s="1">
        <f>VLOOKUP($D34,'BASE PAN - RECEITAS'!$D$3:$AF$37,29,FALSE)</f>
        <v>1888066.5390000001</v>
      </c>
      <c r="P34" s="1">
        <f>VLOOKUP($D34,'BASE PAN - RECEITAS'!$D$3:$AI$37,32,FALSE)</f>
        <v>1956481.077</v>
      </c>
      <c r="Q34" s="1">
        <f>VLOOKUP($D34,'BASE PAN - RECEITAS'!$D$3:$AL$37,35,FALSE)</f>
        <v>2021294.76</v>
      </c>
      <c r="R34" s="1">
        <f>VLOOKUP($D34,'BASE PAN - RECEITAS'!$D$3:$AO$37,38,FALSE)</f>
        <v>2082139.5519999999</v>
      </c>
      <c r="S34" s="1">
        <f>VLOOKUP($D34,'BASE PAN - RECEITAS'!$D$3:$AR$37,41,FALSE)</f>
        <v>2144596.9049999998</v>
      </c>
      <c r="T34" s="1">
        <f>VLOOKUP($D34,'BASE PAN - RECEITAS'!$D$3:$AU$37,44,FALSE)</f>
        <v>2206044.8650000002</v>
      </c>
      <c r="U34" s="1">
        <f>VLOOKUP($D34,'BASE PAN - RECEITAS'!$D$3:$AX$37,47,FALSE)</f>
        <v>2270386.0639999998</v>
      </c>
      <c r="V34" s="1">
        <f>VLOOKUP($D34,'BASE PAN - RECEITAS'!$D$3:$BA$37,50,FALSE)</f>
        <v>2333275.574</v>
      </c>
      <c r="W34" s="1">
        <f>VLOOKUP($D34,'BASE PAN - RECEITAS'!$D$3:$BD$37,53,FALSE)</f>
        <v>2398542.1579999998</v>
      </c>
      <c r="X34" s="1">
        <f>VLOOKUP($D34,'BASE PAN - RECEITAS'!$D$3:$BG$37,56,FALSE)</f>
        <v>2463650.4470000002</v>
      </c>
      <c r="Y34" s="1">
        <f>VLOOKUP($D34,'BASE PAN - RECEITAS'!$D$3:$BJ$37,59,FALSE)</f>
        <v>2531635.4300000002</v>
      </c>
      <c r="Z34" s="1">
        <f>VLOOKUP($D34,'BASE PAN - RECEITAS'!$D$3:$BM$37,62,FALSE)</f>
        <v>2599815.1</v>
      </c>
      <c r="AA34" s="1">
        <f>VLOOKUP($D34,'BASE PAN - RECEITAS'!$D$3:$BP$37,65,FALSE)</f>
        <v>2671072.4279999998</v>
      </c>
      <c r="AB34" s="1">
        <f>VLOOKUP($D34,'BASE PAN - RECEITAS'!$D$3:$BS$37,68,FALSE)</f>
        <v>2740195.449</v>
      </c>
      <c r="AC34" s="1">
        <f>VLOOKUP($D34,'BASE PAN - RECEITAS'!$D$3:$BV$37,71,FALSE)</f>
        <v>2812009.6090000002</v>
      </c>
      <c r="AD34" s="1">
        <f>VLOOKUP($D34,'BASE PAN - RECEITAS'!$D$3:$BY$37,74,FALSE)</f>
        <v>2882705.676</v>
      </c>
      <c r="AE34" s="1">
        <f>VLOOKUP($D34,'BASE PAN - RECEITAS'!$D$3:$CB$37,77,FALSE)</f>
        <v>2954401.594</v>
      </c>
      <c r="AF34" s="1">
        <f>VLOOKUP($D34,'BASE PAN - RECEITAS'!$D$3:$CE$37,80,FALSE)</f>
        <v>3025689.4040000001</v>
      </c>
      <c r="AG34" s="1">
        <f>VLOOKUP($D34,'BASE PAN - RECEITAS'!$D$3:$CH$37,83,FALSE)</f>
        <v>3099966.2209999999</v>
      </c>
      <c r="AH34" s="1">
        <f>VLOOKUP($D34,'BASE PAN - RECEITAS'!$D$3:$CK$37,86,FALSE)</f>
        <v>3171775.7790000001</v>
      </c>
      <c r="AI34" s="1">
        <f>VLOOKUP($D34,'BASE PAN - RECEITAS'!$D$3:$CN$37,89,FALSE)</f>
        <v>3246467.3280000002</v>
      </c>
      <c r="AJ34" s="1">
        <f>VLOOKUP($D34,'BASE PAN - RECEITAS'!$D$3:$CQ$37,92,FALSE)</f>
        <v>3322549.0869999998</v>
      </c>
      <c r="AK34" s="1">
        <f>VLOOKUP($D34,'BASE PAN - RECEITAS'!$D$3:$CT$37,95,FALSE)</f>
        <v>3400448.2179999999</v>
      </c>
      <c r="AL34" s="1">
        <f t="shared" si="3"/>
        <v>71000609.177000001</v>
      </c>
      <c r="AM34" s="1">
        <f t="shared" si="1"/>
        <v>27679685.249000002</v>
      </c>
      <c r="AN34" t="str">
        <f>VLOOKUP(D34,'FLUXO DE CAIXA DESC.-BLOCOS PAN'!$D$3:$AO$52,38,FALSE)</f>
        <v>AM - 3 - AL</v>
      </c>
    </row>
    <row r="35" spans="1:40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33</v>
      </c>
      <c r="H35" s="1">
        <f>VLOOKUP($D35,'BASE PAN - RECEITAS'!$D$3:$K$37,8,FALSE)</f>
        <v>449564.62339999998</v>
      </c>
      <c r="I35" s="1">
        <f>VLOOKUP($D35,'BASE PAN - RECEITAS'!$D$3:$N$37,11,FALSE)</f>
        <v>486797.19</v>
      </c>
      <c r="J35" s="1">
        <f>VLOOKUP($D35,'BASE PAN - RECEITAS'!$D$3:$Q$37,14,FALSE)</f>
        <v>516418.19329999998</v>
      </c>
      <c r="K35" s="1">
        <f>VLOOKUP($D35,'BASE PAN - RECEITAS'!$D$3:$T$37,17,FALSE)</f>
        <v>538892.12569999998</v>
      </c>
      <c r="L35" s="1">
        <f>VLOOKUP($D35,'BASE PAN - RECEITAS'!$D$3:$W$37,20,FALSE)</f>
        <v>558220.85239999997</v>
      </c>
      <c r="M35" s="1">
        <f>VLOOKUP($D35,'BASE PAN - RECEITAS'!$D$3:$Z$37,23,FALSE)</f>
        <v>575968.26419999998</v>
      </c>
      <c r="N35" s="1">
        <f>VLOOKUP($D35,'BASE PAN - RECEITAS'!$D$3:$AC$37,26,FALSE)</f>
        <v>592721.68660000002</v>
      </c>
      <c r="O35" s="1">
        <f>VLOOKUP($D35,'BASE PAN - RECEITAS'!$D$3:$AF$37,29,FALSE)</f>
        <v>609022.48300000001</v>
      </c>
      <c r="P35" s="1">
        <f>VLOOKUP($D35,'BASE PAN - RECEITAS'!$D$3:$AI$37,32,FALSE)</f>
        <v>623963.03509999998</v>
      </c>
      <c r="Q35" s="1">
        <f>VLOOKUP($D35,'BASE PAN - RECEITAS'!$D$3:$AL$37,35,FALSE)</f>
        <v>661733.47840000002</v>
      </c>
      <c r="R35" s="1">
        <f>VLOOKUP($D35,'BASE PAN - RECEITAS'!$D$3:$AO$37,38,FALSE)</f>
        <v>674606.98049999995</v>
      </c>
      <c r="S35" s="1">
        <f>VLOOKUP($D35,'BASE PAN - RECEITAS'!$D$3:$AR$37,41,FALSE)</f>
        <v>687402.56030000001</v>
      </c>
      <c r="T35" s="1">
        <f>VLOOKUP($D35,'BASE PAN - RECEITAS'!$D$3:$AU$37,44,FALSE)</f>
        <v>700119.49509999994</v>
      </c>
      <c r="U35" s="1">
        <f>VLOOKUP($D35,'BASE PAN - RECEITAS'!$D$3:$AX$37,47,FALSE)</f>
        <v>713086.50410000002</v>
      </c>
      <c r="V35" s="1">
        <f>VLOOKUP($D35,'BASE PAN - RECEITAS'!$D$3:$BA$37,50,FALSE)</f>
        <v>725741.10100000002</v>
      </c>
      <c r="W35" s="1">
        <f>VLOOKUP($D35,'BASE PAN - RECEITAS'!$D$3:$BD$37,53,FALSE)</f>
        <v>738676.94099999999</v>
      </c>
      <c r="X35" s="1">
        <f>VLOOKUP($D35,'BASE PAN - RECEITAS'!$D$3:$BG$37,56,FALSE)</f>
        <v>751550.44319999998</v>
      </c>
      <c r="Y35" s="1">
        <f>VLOOKUP($D35,'BASE PAN - RECEITAS'!$D$3:$BJ$37,59,FALSE)</f>
        <v>764859.5882</v>
      </c>
      <c r="Z35" s="1">
        <f>VLOOKUP($D35,'BASE PAN - RECEITAS'!$D$3:$BM$37,62,FALSE)</f>
        <v>778138.2868</v>
      </c>
      <c r="AA35" s="1">
        <f>VLOOKUP($D35,'BASE PAN - RECEITAS'!$D$3:$BP$37,65,FALSE)</f>
        <v>791727.95239999995</v>
      </c>
      <c r="AB35" s="1">
        <f>VLOOKUP($D35,'BASE PAN - RECEITAS'!$D$3:$BS$37,68,FALSE)</f>
        <v>804928.72860000003</v>
      </c>
      <c r="AC35" s="1">
        <f>VLOOKUP($D35,'BASE PAN - RECEITAS'!$D$3:$BV$37,71,FALSE)</f>
        <v>818394.05299999996</v>
      </c>
      <c r="AD35" s="1">
        <f>VLOOKUP($D35,'BASE PAN - RECEITAS'!$D$3:$BY$37,74,FALSE)</f>
        <v>831640.86</v>
      </c>
      <c r="AE35" s="1">
        <f>VLOOKUP($D35,'BASE PAN - RECEITAS'!$D$3:$CB$37,77,FALSE)</f>
        <v>844763.71389999997</v>
      </c>
      <c r="AF35" s="1">
        <f>VLOOKUP($D35,'BASE PAN - RECEITAS'!$D$3:$CE$37,80,FALSE)</f>
        <v>857542.9865</v>
      </c>
      <c r="AG35" s="1">
        <f>VLOOKUP($D35,'BASE PAN - RECEITAS'!$D$3:$CH$37,83,FALSE)</f>
        <v>870400.90419999999</v>
      </c>
      <c r="AH35" s="1">
        <f>VLOOKUP($D35,'BASE PAN - RECEITAS'!$D$3:$CK$37,86,FALSE)</f>
        <v>882852.90289999999</v>
      </c>
      <c r="AI35" s="1">
        <f>VLOOKUP($D35,'BASE PAN - RECEITAS'!$D$3:$CN$37,89,FALSE)</f>
        <v>895305.62410000002</v>
      </c>
      <c r="AJ35" s="1">
        <f>VLOOKUP($D35,'BASE PAN - RECEITAS'!$D$3:$CQ$37,92,FALSE)</f>
        <v>907976.52800000005</v>
      </c>
      <c r="AK35" s="1">
        <f>VLOOKUP($D35,'BASE PAN - RECEITAS'!$D$3:$CT$37,95,FALSE)</f>
        <v>920818.13859999995</v>
      </c>
      <c r="AL35" s="1">
        <f t="shared" si="3"/>
        <v>21573836.224499997</v>
      </c>
      <c r="AM35" s="1">
        <f t="shared" si="1"/>
        <v>9114258.5731000006</v>
      </c>
      <c r="AN35" t="str">
        <f>VLOOKUP(D35,'FLUXO DE CAIXA DESC.-BLOCOS PAN'!$D$3:$AO$52,38,FALSE)</f>
        <v>MT - 1 - AL</v>
      </c>
    </row>
    <row r="36" spans="1:40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33</v>
      </c>
      <c r="H36" s="1">
        <f>VLOOKUP($D36,'BASE PAN - RECEITAS'!$D$3:$K$37,8,FALSE)</f>
        <v>807967.70200000005</v>
      </c>
      <c r="I36" s="1">
        <f>VLOOKUP($D36,'BASE PAN - RECEITAS'!$D$3:$N$37,11,FALSE)</f>
        <v>906885.61450000003</v>
      </c>
      <c r="J36" s="1">
        <f>VLOOKUP($D36,'BASE PAN - RECEITAS'!$D$3:$Q$37,14,FALSE)</f>
        <v>1049372.362</v>
      </c>
      <c r="K36" s="1">
        <f>VLOOKUP($D36,'BASE PAN - RECEITAS'!$D$3:$T$37,17,FALSE)</f>
        <v>1117550.902</v>
      </c>
      <c r="L36" s="1">
        <f>VLOOKUP($D36,'BASE PAN - RECEITAS'!$D$3:$W$37,20,FALSE)</f>
        <v>1184675.4240000001</v>
      </c>
      <c r="M36" s="1">
        <f>VLOOKUP($D36,'BASE PAN - RECEITAS'!$D$3:$Z$37,23,FALSE)</f>
        <v>1241674.3319999999</v>
      </c>
      <c r="N36" s="1">
        <f>VLOOKUP($D36,'BASE PAN - RECEITAS'!$D$3:$AC$37,26,FALSE)</f>
        <v>1304363.2479999999</v>
      </c>
      <c r="O36" s="1">
        <f>VLOOKUP($D36,'BASE PAN - RECEITAS'!$D$3:$AF$37,29,FALSE)</f>
        <v>1359646.16</v>
      </c>
      <c r="P36" s="1">
        <f>VLOOKUP($D36,'BASE PAN - RECEITAS'!$D$3:$AI$37,32,FALSE)</f>
        <v>1421701.3910000001</v>
      </c>
      <c r="Q36" s="1">
        <f>VLOOKUP($D36,'BASE PAN - RECEITAS'!$D$3:$AL$37,35,FALSE)</f>
        <v>1472682.804</v>
      </c>
      <c r="R36" s="1">
        <f>VLOOKUP($D36,'BASE PAN - RECEITAS'!$D$3:$AO$37,38,FALSE)</f>
        <v>1526912.7069999999</v>
      </c>
      <c r="S36" s="1">
        <f>VLOOKUP($D36,'BASE PAN - RECEITAS'!$D$3:$AR$37,41,FALSE)</f>
        <v>1576944.7080000001</v>
      </c>
      <c r="T36" s="1">
        <f>VLOOKUP($D36,'BASE PAN - RECEITAS'!$D$3:$AU$37,44,FALSE)</f>
        <v>1631957.5589999999</v>
      </c>
      <c r="U36" s="1">
        <f>VLOOKUP($D36,'BASE PAN - RECEITAS'!$D$3:$AX$37,47,FALSE)</f>
        <v>1682407.1780000001</v>
      </c>
      <c r="V36" s="1">
        <f>VLOOKUP($D36,'BASE PAN - RECEITAS'!$D$3:$BA$37,50,FALSE)</f>
        <v>1738876.338</v>
      </c>
      <c r="W36" s="1">
        <f>VLOOKUP($D36,'BASE PAN - RECEITAS'!$D$3:$BD$37,53,FALSE)</f>
        <v>1789279.6159999999</v>
      </c>
      <c r="X36" s="1">
        <f>VLOOKUP($D36,'BASE PAN - RECEITAS'!$D$3:$BG$37,56,FALSE)</f>
        <v>1845856.8089999999</v>
      </c>
      <c r="Y36" s="1">
        <f>VLOOKUP($D36,'BASE PAN - RECEITAS'!$D$3:$BJ$37,59,FALSE)</f>
        <v>1896146.6089999999</v>
      </c>
      <c r="Z36" s="1">
        <f>VLOOKUP($D36,'BASE PAN - RECEITAS'!$D$3:$BM$37,62,FALSE)</f>
        <v>1953984.5209999999</v>
      </c>
      <c r="AA36" s="1">
        <f>VLOOKUP($D36,'BASE PAN - RECEITAS'!$D$3:$BP$37,65,FALSE)</f>
        <v>2003582.7080000001</v>
      </c>
      <c r="AB36" s="1">
        <f>VLOOKUP($D36,'BASE PAN - RECEITAS'!$D$3:$BS$37,68,FALSE)</f>
        <v>2060902.12</v>
      </c>
      <c r="AC36" s="1">
        <f>VLOOKUP($D36,'BASE PAN - RECEITAS'!$D$3:$BV$37,71,FALSE)</f>
        <v>2110259.3760000002</v>
      </c>
      <c r="AD36" s="1">
        <f>VLOOKUP($D36,'BASE PAN - RECEITAS'!$D$3:$BY$37,74,FALSE)</f>
        <v>2169478.1209999998</v>
      </c>
      <c r="AE36" s="1">
        <f>VLOOKUP($D36,'BASE PAN - RECEITAS'!$D$3:$CB$37,77,FALSE)</f>
        <v>2209216.1660000002</v>
      </c>
      <c r="AF36" s="1">
        <f>VLOOKUP($D36,'BASE PAN - RECEITAS'!$D$3:$CE$37,80,FALSE)</f>
        <v>2259050.5129999998</v>
      </c>
      <c r="AG36" s="1">
        <f>VLOOKUP($D36,'BASE PAN - RECEITAS'!$D$3:$CH$37,83,FALSE)</f>
        <v>2406891.963</v>
      </c>
      <c r="AH36" s="1">
        <f>VLOOKUP($D36,'BASE PAN - RECEITAS'!$D$3:$CK$37,86,FALSE)</f>
        <v>2461018.9419999998</v>
      </c>
      <c r="AI36" s="1">
        <f>VLOOKUP($D36,'BASE PAN - RECEITAS'!$D$3:$CN$37,89,FALSE)</f>
        <v>2501351.6529999999</v>
      </c>
      <c r="AJ36" s="1">
        <f>VLOOKUP($D36,'BASE PAN - RECEITAS'!$D$3:$CQ$37,92,FALSE)</f>
        <v>2542498.66</v>
      </c>
      <c r="AK36" s="1">
        <f>VLOOKUP($D36,'BASE PAN - RECEITAS'!$D$3:$CT$37,95,FALSE)</f>
        <v>2584447.9479999999</v>
      </c>
      <c r="AL36" s="1">
        <f t="shared" si="3"/>
        <v>52817584.154500008</v>
      </c>
      <c r="AM36" s="1">
        <f t="shared" si="1"/>
        <v>20023618.429500002</v>
      </c>
      <c r="AN36" t="str">
        <f>VLOOKUP(D36,'FLUXO DE CAIXA DESC.-BLOCOS PAN'!$D$3:$AO$52,38,FALSE)</f>
        <v>PA 3 - AL</v>
      </c>
    </row>
    <row r="37" spans="1:40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33</v>
      </c>
      <c r="H37" s="1">
        <f>VLOOKUP($D37,'BASE PAN - RECEITAS'!$D$3:$K$37,8,FALSE)</f>
        <v>1410871.736</v>
      </c>
      <c r="I37" s="1">
        <f>VLOOKUP($D37,'BASE PAN - RECEITAS'!$D$3:$N$37,11,FALSE)</f>
        <v>1569455.04</v>
      </c>
      <c r="J37" s="1">
        <f>VLOOKUP($D37,'BASE PAN - RECEITAS'!$D$3:$Q$37,14,FALSE)</f>
        <v>1696239.4480000001</v>
      </c>
      <c r="K37" s="1">
        <f>VLOOKUP($D37,'BASE PAN - RECEITAS'!$D$3:$T$37,17,FALSE)</f>
        <v>1792214.7560000001</v>
      </c>
      <c r="L37" s="1">
        <f>VLOOKUP($D37,'BASE PAN - RECEITAS'!$D$3:$W$37,20,FALSE)</f>
        <v>1875111.4380000001</v>
      </c>
      <c r="M37" s="1">
        <f>VLOOKUP($D37,'BASE PAN - RECEITAS'!$D$3:$Z$37,23,FALSE)</f>
        <v>1952027.7609999999</v>
      </c>
      <c r="N37" s="1">
        <f>VLOOKUP($D37,'BASE PAN - RECEITAS'!$D$3:$AC$37,26,FALSE)</f>
        <v>2024735.959</v>
      </c>
      <c r="O37" s="1">
        <f>VLOOKUP($D37,'BASE PAN - RECEITAS'!$D$3:$AF$37,29,FALSE)</f>
        <v>2098687.6690000002</v>
      </c>
      <c r="P37" s="1">
        <f>VLOOKUP($D37,'BASE PAN - RECEITAS'!$D$3:$AI$37,32,FALSE)</f>
        <v>2168027.4190000002</v>
      </c>
      <c r="Q37" s="1">
        <f>VLOOKUP($D37,'BASE PAN - RECEITAS'!$D$3:$AL$37,35,FALSE)</f>
        <v>2231212.6850000001</v>
      </c>
      <c r="R37" s="1">
        <f>VLOOKUP($D37,'BASE PAN - RECEITAS'!$D$3:$AO$37,38,FALSE)</f>
        <v>2292622.3590000002</v>
      </c>
      <c r="S37" s="1">
        <f>VLOOKUP($D37,'BASE PAN - RECEITAS'!$D$3:$AR$37,41,FALSE)</f>
        <v>2350903.2829999998</v>
      </c>
      <c r="T37" s="1">
        <f>VLOOKUP($D37,'BASE PAN - RECEITAS'!$D$3:$AU$37,44,FALSE)</f>
        <v>2411007.9070000001</v>
      </c>
      <c r="U37" s="1">
        <f>VLOOKUP($D37,'BASE PAN - RECEITAS'!$D$3:$AX$37,47,FALSE)</f>
        <v>2472354.6549999998</v>
      </c>
      <c r="V37" s="1">
        <f>VLOOKUP($D37,'BASE PAN - RECEITAS'!$D$3:$BA$37,50,FALSE)</f>
        <v>2534047.6430000002</v>
      </c>
      <c r="W37" s="1">
        <f>VLOOKUP($D37,'BASE PAN - RECEITAS'!$D$3:$BD$37,53,FALSE)</f>
        <v>2595007.5430000001</v>
      </c>
      <c r="X37" s="1">
        <f>VLOOKUP($D37,'BASE PAN - RECEITAS'!$D$3:$BG$37,56,FALSE)</f>
        <v>2655722.1510000001</v>
      </c>
      <c r="Y37" s="1">
        <f>VLOOKUP($D37,'BASE PAN - RECEITAS'!$D$3:$BJ$37,59,FALSE)</f>
        <v>2718333.878</v>
      </c>
      <c r="Z37" s="1">
        <f>VLOOKUP($D37,'BASE PAN - RECEITAS'!$D$3:$BM$37,62,FALSE)</f>
        <v>2779195.5380000002</v>
      </c>
      <c r="AA37" s="1">
        <f>VLOOKUP($D37,'BASE PAN - RECEITAS'!$D$3:$BP$37,65,FALSE)</f>
        <v>2844245.3820000002</v>
      </c>
      <c r="AB37" s="1">
        <f>VLOOKUP($D37,'BASE PAN - RECEITAS'!$D$3:$BS$37,68,FALSE)</f>
        <v>2905883.1609999998</v>
      </c>
      <c r="AC37" s="1">
        <f>VLOOKUP($D37,'BASE PAN - RECEITAS'!$D$3:$BV$37,71,FALSE)</f>
        <v>2968301.3369999998</v>
      </c>
      <c r="AD37" s="1">
        <f>VLOOKUP($D37,'BASE PAN - RECEITAS'!$D$3:$BY$37,74,FALSE)</f>
        <v>3033330.89</v>
      </c>
      <c r="AE37" s="1">
        <f>VLOOKUP($D37,'BASE PAN - RECEITAS'!$D$3:$CB$37,77,FALSE)</f>
        <v>3091042.8829999999</v>
      </c>
      <c r="AF37" s="1">
        <f>VLOOKUP($D37,'BASE PAN - RECEITAS'!$D$3:$CE$37,80,FALSE)</f>
        <v>3151516.5649999999</v>
      </c>
      <c r="AG37" s="1">
        <f>VLOOKUP($D37,'BASE PAN - RECEITAS'!$D$3:$CH$37,83,FALSE)</f>
        <v>3210021.3829999999</v>
      </c>
      <c r="AH37" s="1">
        <f>VLOOKUP($D37,'BASE PAN - RECEITAS'!$D$3:$CK$37,86,FALSE)</f>
        <v>3268109.7689999999</v>
      </c>
      <c r="AI37" s="1">
        <f>VLOOKUP($D37,'BASE PAN - RECEITAS'!$D$3:$CN$37,89,FALSE)</f>
        <v>3327103.6150000002</v>
      </c>
      <c r="AJ37" s="1">
        <f>VLOOKUP($D37,'BASE PAN - RECEITAS'!$D$3:$CQ$37,92,FALSE)</f>
        <v>3387054.5320000001</v>
      </c>
      <c r="AK37" s="1">
        <f>VLOOKUP($D37,'BASE PAN - RECEITAS'!$D$3:$CT$37,95,FALSE)</f>
        <v>3448191.6979999999</v>
      </c>
      <c r="AL37" s="1">
        <f t="shared" si="3"/>
        <v>76262580.083000004</v>
      </c>
      <c r="AM37" s="1">
        <f t="shared" si="1"/>
        <v>30879519.758000005</v>
      </c>
      <c r="AN37" t="str">
        <f>VLOOKUP(D37,'FLUXO DE CAIXA DESC.-BLOCOS PAN'!$D$3:$AO$52,38,FALSE)</f>
        <v>Bloco Nordeste</v>
      </c>
    </row>
    <row r="38" spans="1:40" x14ac:dyDescent="0.35">
      <c r="A38" t="s">
        <v>53</v>
      </c>
      <c r="B38" s="5" t="s">
        <v>266</v>
      </c>
      <c r="C38">
        <v>150375</v>
      </c>
      <c r="D38" t="s">
        <v>289</v>
      </c>
      <c r="E38" t="str">
        <f>VLOOKUP(A38,'CAPEX Manut. Estr_Naveg. Aérea'!$A$2:$B$38,2,FALSE)</f>
        <v>Jacareacanga</v>
      </c>
      <c r="F38" t="s">
        <v>29</v>
      </c>
      <c r="G38" t="s">
        <v>33</v>
      </c>
      <c r="H38" s="1">
        <f>VLOOKUP($A38,'Receitas - Aerop. Estratégicos'!$A$3:$K$17,11,FALSE)</f>
        <v>224871.7415</v>
      </c>
      <c r="I38" s="1">
        <f>VLOOKUP($A38,'Receitas - Aerop. Estratégicos'!$A$3:$N$17,14,FALSE)</f>
        <v>224871.7415</v>
      </c>
      <c r="J38" s="1">
        <f>VLOOKUP($A38,'Receitas - Aerop. Estratégicos'!$A$3:$Q$17,17,FALSE)</f>
        <v>224871.7415</v>
      </c>
      <c r="K38" s="1">
        <f>VLOOKUP($A38,'Receitas - Aerop. Estratégicos'!$A$3:$T$17,20,FALSE)</f>
        <v>224871.7415</v>
      </c>
      <c r="L38" s="1">
        <f>VLOOKUP($A38,'Receitas - Aerop. Estratégicos'!$A$3:$W$17,23,FALSE)</f>
        <v>224871.7415</v>
      </c>
      <c r="M38" s="1">
        <f>VLOOKUP($A38,'Receitas - Aerop. Estratégicos'!$A$3:$Z$17,26,FALSE)</f>
        <v>224871.7415</v>
      </c>
      <c r="N38" s="1">
        <f>VLOOKUP($A38,'Receitas - Aerop. Estratégicos'!$A$3:$AC$17,29,FALSE)</f>
        <v>224871.7415</v>
      </c>
      <c r="O38" s="1">
        <f>VLOOKUP($A38,'Receitas - Aerop. Estratégicos'!$A$3:$AF$17,32,FALSE)</f>
        <v>224871.7415</v>
      </c>
      <c r="P38" s="1">
        <f>VLOOKUP($A38,'Receitas - Aerop. Estratégicos'!$A$3:$AI$17,35,FALSE)</f>
        <v>224871.7415</v>
      </c>
      <c r="Q38" s="1">
        <f>VLOOKUP($A38,'Receitas - Aerop. Estratégicos'!$A$3:$AL$17,38,FALSE)</f>
        <v>224871.7415</v>
      </c>
      <c r="R38" s="1">
        <f>VLOOKUP($A38,'Receitas - Aerop. Estratégicos'!$A$3:$AO$17,41,FALSE)</f>
        <v>224871.7415</v>
      </c>
      <c r="S38" s="1">
        <f>VLOOKUP($A38,'Receitas - Aerop. Estratégicos'!$A$3:$AR$17,44,FALSE)</f>
        <v>224871.7415</v>
      </c>
      <c r="T38" s="1">
        <f>VLOOKUP($A38,'Receitas - Aerop. Estratégicos'!$A$3:$AU$17,47,FALSE)</f>
        <v>224871.7415</v>
      </c>
      <c r="U38" s="1">
        <f>VLOOKUP($A38,'Receitas - Aerop. Estratégicos'!$A$3:$AX$17,50,FALSE)</f>
        <v>224871.7415</v>
      </c>
      <c r="V38" s="1">
        <f>VLOOKUP($A38,'Receitas - Aerop. Estratégicos'!$A$3:$BA$17,53,FALSE)</f>
        <v>224871.7415</v>
      </c>
      <c r="W38" s="1">
        <f>VLOOKUP($A38,'Receitas - Aerop. Estratégicos'!$A$3:$BD$17,56,FALSE)</f>
        <v>224871.7415</v>
      </c>
      <c r="X38" s="1">
        <f>VLOOKUP($A38,'Receitas - Aerop. Estratégicos'!$A$3:$BG$17,59,FALSE)</f>
        <v>224871.7415</v>
      </c>
      <c r="Y38" s="1">
        <f>VLOOKUP($A38,'Receitas - Aerop. Estratégicos'!$A$3:$BJ$17,62,FALSE)</f>
        <v>224871.7415</v>
      </c>
      <c r="Z38" s="1">
        <f>VLOOKUP($A38,'Receitas - Aerop. Estratégicos'!$A$3:$BM$17,65,FALSE)</f>
        <v>224871.7415</v>
      </c>
      <c r="AA38" s="1">
        <f>VLOOKUP($A38,'Receitas - Aerop. Estratégicos'!$A$3:$BP$17,68,FALSE)</f>
        <v>224871.7415</v>
      </c>
      <c r="AB38" s="1">
        <f>VLOOKUP($A38,'Receitas - Aerop. Estratégicos'!$A$3:$BS$17,71,FALSE)</f>
        <v>224871.7415</v>
      </c>
      <c r="AC38" s="1">
        <f>VLOOKUP($A38,'Receitas - Aerop. Estratégicos'!$A$3:$BV$17,74,FALSE)</f>
        <v>224871.7415</v>
      </c>
      <c r="AD38" s="1">
        <f>VLOOKUP($A38,'Receitas - Aerop. Estratégicos'!$A$3:$BY$17,77,FALSE)</f>
        <v>224871.7415</v>
      </c>
      <c r="AE38" s="1">
        <f>VLOOKUP($A38,'Receitas - Aerop. Estratégicos'!$A$3:$CB$17,80,FALSE)</f>
        <v>224871.7415</v>
      </c>
      <c r="AF38" s="1">
        <f>VLOOKUP($A38,'Receitas - Aerop. Estratégicos'!$A$3:$CE$17,83,FALSE)</f>
        <v>224871.7415</v>
      </c>
      <c r="AG38" s="1">
        <f>VLOOKUP($A38,'Receitas - Aerop. Estratégicos'!$A$3:$CH$17,86,FALSE)</f>
        <v>224871.7415</v>
      </c>
      <c r="AH38" s="1">
        <f>VLOOKUP($A38,'Receitas - Aerop. Estratégicos'!$A$3:$CK$17,89,FALSE)</f>
        <v>224871.7415</v>
      </c>
      <c r="AI38" s="1">
        <f>VLOOKUP($A38,'Receitas - Aerop. Estratégicos'!$A$3:$CN$17,92,FALSE)</f>
        <v>224871.7415</v>
      </c>
      <c r="AJ38" s="1">
        <f>VLOOKUP($A38,'Receitas - Aerop. Estratégicos'!$A$3:$CQ$17,95,FALSE)</f>
        <v>224871.7415</v>
      </c>
      <c r="AK38" s="1">
        <f>VLOOKUP($A38,'Receitas - Aerop. Estratégicos'!$A$3:$CT$17,98,FALSE)</f>
        <v>224871.7415</v>
      </c>
      <c r="AL38" s="1">
        <f t="shared" si="3"/>
        <v>6746152.2449999955</v>
      </c>
      <c r="AM38" s="1">
        <f t="shared" si="1"/>
        <v>3373076.1225000001</v>
      </c>
      <c r="AN38" t="str">
        <f>VLOOKUP(D38,'FLUXO DE CAIXA DESC.-BLOCOS PAN'!$D$3:$AO$52,38,FALSE)</f>
        <v>PA - 1 - AL</v>
      </c>
    </row>
    <row r="39" spans="1:40" x14ac:dyDescent="0.35">
      <c r="A39" t="s">
        <v>86</v>
      </c>
      <c r="B39" s="5" t="s">
        <v>268</v>
      </c>
      <c r="C39">
        <v>130390</v>
      </c>
      <c r="D39" t="s">
        <v>290</v>
      </c>
      <c r="E39" t="str">
        <f>VLOOKUP(A39,'CAPEX Manut. Estr_Naveg. Aérea'!$A$2:$B$38,2,FALSE)</f>
        <v>São Paulo de Olivença</v>
      </c>
      <c r="F39" t="s">
        <v>35</v>
      </c>
      <c r="G39" t="s">
        <v>33</v>
      </c>
      <c r="H39" s="1">
        <f>VLOOKUP($A39,'Receitas - Aerop. Estratégicos'!$A$3:$K$17,11,FALSE)</f>
        <v>38176.712</v>
      </c>
      <c r="I39" s="1">
        <f>VLOOKUP($A39,'Receitas - Aerop. Estratégicos'!$A$3:$N$17,14,FALSE)</f>
        <v>38176.712</v>
      </c>
      <c r="J39" s="1">
        <f>VLOOKUP($A39,'Receitas - Aerop. Estratégicos'!$A$3:$Q$17,17,FALSE)</f>
        <v>38176.712</v>
      </c>
      <c r="K39" s="1">
        <f>VLOOKUP($A39,'Receitas - Aerop. Estratégicos'!$A$3:$T$17,20,FALSE)</f>
        <v>38176.712</v>
      </c>
      <c r="L39" s="1">
        <f>VLOOKUP($A39,'Receitas - Aerop. Estratégicos'!$A$3:$W$17,23,FALSE)</f>
        <v>38176.712</v>
      </c>
      <c r="M39" s="1">
        <f>VLOOKUP($A39,'Receitas - Aerop. Estratégicos'!$A$3:$Z$17,26,FALSE)</f>
        <v>38176.712</v>
      </c>
      <c r="N39" s="1">
        <f>VLOOKUP($A39,'Receitas - Aerop. Estratégicos'!$A$3:$AC$17,29,FALSE)</f>
        <v>38176.712</v>
      </c>
      <c r="O39" s="1">
        <f>VLOOKUP($A39,'Receitas - Aerop. Estratégicos'!$A$3:$AF$17,32,FALSE)</f>
        <v>38176.712</v>
      </c>
      <c r="P39" s="1">
        <f>VLOOKUP($A39,'Receitas - Aerop. Estratégicos'!$A$3:$AI$17,35,FALSE)</f>
        <v>38176.712</v>
      </c>
      <c r="Q39" s="1">
        <f>VLOOKUP($A39,'Receitas - Aerop. Estratégicos'!$A$3:$AL$17,38,FALSE)</f>
        <v>38176.712</v>
      </c>
      <c r="R39" s="1">
        <f>VLOOKUP($A39,'Receitas - Aerop. Estratégicos'!$A$3:$AO$17,41,FALSE)</f>
        <v>38176.712</v>
      </c>
      <c r="S39" s="1">
        <f>VLOOKUP($A39,'Receitas - Aerop. Estratégicos'!$A$3:$AR$17,44,FALSE)</f>
        <v>38176.712</v>
      </c>
      <c r="T39" s="1">
        <f>VLOOKUP($A39,'Receitas - Aerop. Estratégicos'!$A$3:$AU$17,47,FALSE)</f>
        <v>38176.712</v>
      </c>
      <c r="U39" s="1">
        <f>VLOOKUP($A39,'Receitas - Aerop. Estratégicos'!$A$3:$AX$17,50,FALSE)</f>
        <v>38176.712</v>
      </c>
      <c r="V39" s="1">
        <f>VLOOKUP($A39,'Receitas - Aerop. Estratégicos'!$A$3:$BA$17,53,FALSE)</f>
        <v>38176.712</v>
      </c>
      <c r="W39" s="1">
        <f>VLOOKUP($A39,'Receitas - Aerop. Estratégicos'!$A$3:$BD$17,56,FALSE)</f>
        <v>38176.712</v>
      </c>
      <c r="X39" s="1">
        <f>VLOOKUP($A39,'Receitas - Aerop. Estratégicos'!$A$3:$BG$17,59,FALSE)</f>
        <v>38176.712</v>
      </c>
      <c r="Y39" s="1">
        <f>VLOOKUP($A39,'Receitas - Aerop. Estratégicos'!$A$3:$BJ$17,62,FALSE)</f>
        <v>38176.712</v>
      </c>
      <c r="Z39" s="1">
        <f>VLOOKUP($A39,'Receitas - Aerop. Estratégicos'!$A$3:$BM$17,65,FALSE)</f>
        <v>38176.712</v>
      </c>
      <c r="AA39" s="1">
        <f>VLOOKUP($A39,'Receitas - Aerop. Estratégicos'!$A$3:$BP$17,68,FALSE)</f>
        <v>38176.712</v>
      </c>
      <c r="AB39" s="1">
        <f>VLOOKUP($A39,'Receitas - Aerop. Estratégicos'!$A$3:$BS$17,71,FALSE)</f>
        <v>38176.712</v>
      </c>
      <c r="AC39" s="1">
        <f>VLOOKUP($A39,'Receitas - Aerop. Estratégicos'!$A$3:$BV$17,74,FALSE)</f>
        <v>38176.712</v>
      </c>
      <c r="AD39" s="1">
        <f>VLOOKUP($A39,'Receitas - Aerop. Estratégicos'!$A$3:$BY$17,77,FALSE)</f>
        <v>38176.712</v>
      </c>
      <c r="AE39" s="1">
        <f>VLOOKUP($A39,'Receitas - Aerop. Estratégicos'!$A$3:$CB$17,80,FALSE)</f>
        <v>38176.712</v>
      </c>
      <c r="AF39" s="1">
        <f>VLOOKUP($A39,'Receitas - Aerop. Estratégicos'!$A$3:$CE$17,83,FALSE)</f>
        <v>38176.712</v>
      </c>
      <c r="AG39" s="1">
        <f>VLOOKUP($A39,'Receitas - Aerop. Estratégicos'!$A$3:$CH$17,86,FALSE)</f>
        <v>38176.712</v>
      </c>
      <c r="AH39" s="1">
        <f>VLOOKUP($A39,'Receitas - Aerop. Estratégicos'!$A$3:$CK$17,89,FALSE)</f>
        <v>38176.712</v>
      </c>
      <c r="AI39" s="1">
        <f>VLOOKUP($A39,'Receitas - Aerop. Estratégicos'!$A$3:$CN$17,92,FALSE)</f>
        <v>38176.712</v>
      </c>
      <c r="AJ39" s="1">
        <f>VLOOKUP($A39,'Receitas - Aerop. Estratégicos'!$A$3:$CQ$17,95,FALSE)</f>
        <v>38176.712</v>
      </c>
      <c r="AK39" s="1">
        <f>VLOOKUP($A39,'Receitas - Aerop. Estratégicos'!$A$3:$CT$17,98,FALSE)</f>
        <v>38176.712</v>
      </c>
      <c r="AL39" s="1">
        <f t="shared" si="3"/>
        <v>1145301.3600000008</v>
      </c>
      <c r="AM39" s="1">
        <f t="shared" si="1"/>
        <v>572650.67999999993</v>
      </c>
      <c r="AN39" t="str">
        <f>VLOOKUP(D39,'FLUXO DE CAIXA DESC.-BLOCOS PAN'!$D$3:$AO$52,38,FALSE)</f>
        <v>AC + AM - 1 - AL</v>
      </c>
    </row>
    <row r="40" spans="1:40" x14ac:dyDescent="0.35">
      <c r="A40" t="s">
        <v>161</v>
      </c>
      <c r="B40" s="5" t="s">
        <v>269</v>
      </c>
      <c r="C40">
        <v>510677</v>
      </c>
      <c r="D40" t="s">
        <v>301</v>
      </c>
      <c r="E40" t="str">
        <f>VLOOKUP(A40,'CAPEX Manut. Estr_Naveg. Aérea'!$A$2:$B$38,2,FALSE)</f>
        <v>Porto Alegre do Norte</v>
      </c>
      <c r="F40" t="s">
        <v>37</v>
      </c>
      <c r="G40" t="s">
        <v>33</v>
      </c>
      <c r="H40" s="1">
        <f>VLOOKUP($A40,'Receitas - Aerop. Estratégicos'!$A$3:$K$17,11,FALSE)</f>
        <v>19854.640100000001</v>
      </c>
      <c r="I40" s="1">
        <f>VLOOKUP($A40,'Receitas - Aerop. Estratégicos'!$A$3:$N$17,14,FALSE)</f>
        <v>19854.640100000001</v>
      </c>
      <c r="J40" s="1">
        <f>VLOOKUP($A40,'Receitas - Aerop. Estratégicos'!$A$3:$Q$17,17,FALSE)</f>
        <v>19854.640100000001</v>
      </c>
      <c r="K40" s="1">
        <f>VLOOKUP($A40,'Receitas - Aerop. Estratégicos'!$A$3:$T$17,20,FALSE)</f>
        <v>19854.640100000001</v>
      </c>
      <c r="L40" s="1">
        <f>VLOOKUP($A40,'Receitas - Aerop. Estratégicos'!$A$3:$W$17,23,FALSE)</f>
        <v>19854.640100000001</v>
      </c>
      <c r="M40" s="1">
        <f>VLOOKUP($A40,'Receitas - Aerop. Estratégicos'!$A$3:$Z$17,26,FALSE)</f>
        <v>19854.640100000001</v>
      </c>
      <c r="N40" s="1">
        <f>VLOOKUP($A40,'Receitas - Aerop. Estratégicos'!$A$3:$AC$17,29,FALSE)</f>
        <v>19854.640100000001</v>
      </c>
      <c r="O40" s="1">
        <f>VLOOKUP($A40,'Receitas - Aerop. Estratégicos'!$A$3:$AF$17,32,FALSE)</f>
        <v>19854.640100000001</v>
      </c>
      <c r="P40" s="1">
        <f>VLOOKUP($A40,'Receitas - Aerop. Estratégicos'!$A$3:$AI$17,35,FALSE)</f>
        <v>19854.640100000001</v>
      </c>
      <c r="Q40" s="1">
        <f>VLOOKUP($A40,'Receitas - Aerop. Estratégicos'!$A$3:$AL$17,38,FALSE)</f>
        <v>19854.640100000001</v>
      </c>
      <c r="R40" s="1">
        <f>VLOOKUP($A40,'Receitas - Aerop. Estratégicos'!$A$3:$AO$17,41,FALSE)</f>
        <v>19854.640100000001</v>
      </c>
      <c r="S40" s="1">
        <f>VLOOKUP($A40,'Receitas - Aerop. Estratégicos'!$A$3:$AR$17,44,FALSE)</f>
        <v>19854.640100000001</v>
      </c>
      <c r="T40" s="1">
        <f>VLOOKUP($A40,'Receitas - Aerop. Estratégicos'!$A$3:$AU$17,47,FALSE)</f>
        <v>19854.640100000001</v>
      </c>
      <c r="U40" s="1">
        <f>VLOOKUP($A40,'Receitas - Aerop. Estratégicos'!$A$3:$AX$17,50,FALSE)</f>
        <v>19854.640100000001</v>
      </c>
      <c r="V40" s="1">
        <f>VLOOKUP($A40,'Receitas - Aerop. Estratégicos'!$A$3:$BA$17,53,FALSE)</f>
        <v>19854.640100000001</v>
      </c>
      <c r="W40" s="1">
        <f>VLOOKUP($A40,'Receitas - Aerop. Estratégicos'!$A$3:$BD$17,56,FALSE)</f>
        <v>19854.640100000001</v>
      </c>
      <c r="X40" s="1">
        <f>VLOOKUP($A40,'Receitas - Aerop. Estratégicos'!$A$3:$BG$17,59,FALSE)</f>
        <v>19854.640100000001</v>
      </c>
      <c r="Y40" s="1">
        <f>VLOOKUP($A40,'Receitas - Aerop. Estratégicos'!$A$3:$BJ$17,62,FALSE)</f>
        <v>19854.640100000001</v>
      </c>
      <c r="Z40" s="1">
        <f>VLOOKUP($A40,'Receitas - Aerop. Estratégicos'!$A$3:$BM$17,65,FALSE)</f>
        <v>19854.640100000001</v>
      </c>
      <c r="AA40" s="1">
        <f>VLOOKUP($A40,'Receitas - Aerop. Estratégicos'!$A$3:$BP$17,68,FALSE)</f>
        <v>19854.640100000001</v>
      </c>
      <c r="AB40" s="1">
        <f>VLOOKUP($A40,'Receitas - Aerop. Estratégicos'!$A$3:$BS$17,71,FALSE)</f>
        <v>19854.640100000001</v>
      </c>
      <c r="AC40" s="1">
        <f>VLOOKUP($A40,'Receitas - Aerop. Estratégicos'!$A$3:$BV$17,74,FALSE)</f>
        <v>19854.640100000001</v>
      </c>
      <c r="AD40" s="1">
        <f>VLOOKUP($A40,'Receitas - Aerop. Estratégicos'!$A$3:$BY$17,77,FALSE)</f>
        <v>19854.640100000001</v>
      </c>
      <c r="AE40" s="1">
        <f>VLOOKUP($A40,'Receitas - Aerop. Estratégicos'!$A$3:$CB$17,80,FALSE)</f>
        <v>19854.640100000001</v>
      </c>
      <c r="AF40" s="1">
        <f>VLOOKUP($A40,'Receitas - Aerop. Estratégicos'!$A$3:$CE$17,83,FALSE)</f>
        <v>19854.640100000001</v>
      </c>
      <c r="AG40" s="1">
        <f>VLOOKUP($A40,'Receitas - Aerop. Estratégicos'!$A$3:$CH$17,86,FALSE)</f>
        <v>19854.640100000001</v>
      </c>
      <c r="AH40" s="1">
        <f>VLOOKUP($A40,'Receitas - Aerop. Estratégicos'!$A$3:$CK$17,89,FALSE)</f>
        <v>19854.640100000001</v>
      </c>
      <c r="AI40" s="1">
        <f>VLOOKUP($A40,'Receitas - Aerop. Estratégicos'!$A$3:$CN$17,92,FALSE)</f>
        <v>19854.640100000001</v>
      </c>
      <c r="AJ40" s="1">
        <f>VLOOKUP($A40,'Receitas - Aerop. Estratégicos'!$A$3:$CQ$17,95,FALSE)</f>
        <v>19854.640100000001</v>
      </c>
      <c r="AK40" s="1">
        <f>VLOOKUP($A40,'Receitas - Aerop. Estratégicos'!$A$3:$CT$17,98,FALSE)</f>
        <v>19854.640100000001</v>
      </c>
      <c r="AL40" s="1">
        <f t="shared" si="3"/>
        <v>595639.2030000001</v>
      </c>
      <c r="AM40" s="1">
        <f t="shared" si="1"/>
        <v>297819.60149999999</v>
      </c>
      <c r="AN40" t="str">
        <f>VLOOKUP(D40,'FLUXO DE CAIXA DESC.-BLOCOS PAN'!$D$3:$AO$52,38,FALSE)</f>
        <v>MT - 2 - AL</v>
      </c>
    </row>
    <row r="41" spans="1:40" x14ac:dyDescent="0.35">
      <c r="A41" t="s">
        <v>114</v>
      </c>
      <c r="B41" s="5" t="s">
        <v>278</v>
      </c>
      <c r="C41">
        <v>120035</v>
      </c>
      <c r="D41" t="s">
        <v>294</v>
      </c>
      <c r="E41" t="str">
        <f>VLOOKUP(A41,'CAPEX Manut. Estr_Naveg. Aérea'!$A$2:$B$38,2,FALSE)</f>
        <v>Marechal Thaumaturgo</v>
      </c>
      <c r="F41" t="s">
        <v>41</v>
      </c>
      <c r="G41" t="s">
        <v>33</v>
      </c>
      <c r="H41" s="1">
        <f>VLOOKUP($A41,'Receitas - Aerop. Estratégicos'!$A$3:$K$17,11,FALSE)</f>
        <v>48665.196799999998</v>
      </c>
      <c r="I41" s="1">
        <f>VLOOKUP($A41,'Receitas - Aerop. Estratégicos'!$A$3:$N$17,14,FALSE)</f>
        <v>48665.196799999998</v>
      </c>
      <c r="J41" s="1">
        <f>VLOOKUP($A41,'Receitas - Aerop. Estratégicos'!$A$3:$Q$17,17,FALSE)</f>
        <v>48665.196799999998</v>
      </c>
      <c r="K41" s="1">
        <f>VLOOKUP($A41,'Receitas - Aerop. Estratégicos'!$A$3:$T$17,20,FALSE)</f>
        <v>48665.196799999998</v>
      </c>
      <c r="L41" s="1">
        <f>VLOOKUP($A41,'Receitas - Aerop. Estratégicos'!$A$3:$W$17,23,FALSE)</f>
        <v>48665.196799999998</v>
      </c>
      <c r="M41" s="1">
        <f>VLOOKUP($A41,'Receitas - Aerop. Estratégicos'!$A$3:$Z$17,26,FALSE)</f>
        <v>48665.196799999998</v>
      </c>
      <c r="N41" s="1">
        <f>VLOOKUP($A41,'Receitas - Aerop. Estratégicos'!$A$3:$AC$17,29,FALSE)</f>
        <v>48665.196799999998</v>
      </c>
      <c r="O41" s="1">
        <f>VLOOKUP($A41,'Receitas - Aerop. Estratégicos'!$A$3:$AF$17,32,FALSE)</f>
        <v>48665.196799999998</v>
      </c>
      <c r="P41" s="1">
        <f>VLOOKUP($A41,'Receitas - Aerop. Estratégicos'!$A$3:$AI$17,35,FALSE)</f>
        <v>48665.196799999998</v>
      </c>
      <c r="Q41" s="1">
        <f>VLOOKUP($A41,'Receitas - Aerop. Estratégicos'!$A$3:$AL$17,38,FALSE)</f>
        <v>48665.196799999998</v>
      </c>
      <c r="R41" s="1">
        <f>VLOOKUP($A41,'Receitas - Aerop. Estratégicos'!$A$3:$AO$17,41,FALSE)</f>
        <v>48665.196799999998</v>
      </c>
      <c r="S41" s="1">
        <f>VLOOKUP($A41,'Receitas - Aerop. Estratégicos'!$A$3:$AR$17,44,FALSE)</f>
        <v>48665.196799999998</v>
      </c>
      <c r="T41" s="1">
        <f>VLOOKUP($A41,'Receitas - Aerop. Estratégicos'!$A$3:$AU$17,47,FALSE)</f>
        <v>48665.196799999998</v>
      </c>
      <c r="U41" s="1">
        <f>VLOOKUP($A41,'Receitas - Aerop. Estratégicos'!$A$3:$AX$17,50,FALSE)</f>
        <v>48665.196799999998</v>
      </c>
      <c r="V41" s="1">
        <f>VLOOKUP($A41,'Receitas - Aerop. Estratégicos'!$A$3:$BA$17,53,FALSE)</f>
        <v>48665.196799999998</v>
      </c>
      <c r="W41" s="1">
        <f>VLOOKUP($A41,'Receitas - Aerop. Estratégicos'!$A$3:$BD$17,56,FALSE)</f>
        <v>48665.196799999998</v>
      </c>
      <c r="X41" s="1">
        <f>VLOOKUP($A41,'Receitas - Aerop. Estratégicos'!$A$3:$BG$17,59,FALSE)</f>
        <v>48665.196799999998</v>
      </c>
      <c r="Y41" s="1">
        <f>VLOOKUP($A41,'Receitas - Aerop. Estratégicos'!$A$3:$BJ$17,62,FALSE)</f>
        <v>48665.196799999998</v>
      </c>
      <c r="Z41" s="1">
        <f>VLOOKUP($A41,'Receitas - Aerop. Estratégicos'!$A$3:$BM$17,65,FALSE)</f>
        <v>48665.196799999998</v>
      </c>
      <c r="AA41" s="1">
        <f>VLOOKUP($A41,'Receitas - Aerop. Estratégicos'!$A$3:$BP$17,68,FALSE)</f>
        <v>48665.196799999998</v>
      </c>
      <c r="AB41" s="1">
        <f>VLOOKUP($A41,'Receitas - Aerop. Estratégicos'!$A$3:$BS$17,71,FALSE)</f>
        <v>48665.196799999998</v>
      </c>
      <c r="AC41" s="1">
        <f>VLOOKUP($A41,'Receitas - Aerop. Estratégicos'!$A$3:$BV$17,74,FALSE)</f>
        <v>48665.196799999998</v>
      </c>
      <c r="AD41" s="1">
        <f>VLOOKUP($A41,'Receitas - Aerop. Estratégicos'!$A$3:$BY$17,77,FALSE)</f>
        <v>48665.196799999998</v>
      </c>
      <c r="AE41" s="1">
        <f>VLOOKUP($A41,'Receitas - Aerop. Estratégicos'!$A$3:$CB$17,80,FALSE)</f>
        <v>48665.196799999998</v>
      </c>
      <c r="AF41" s="1">
        <f>VLOOKUP($A41,'Receitas - Aerop. Estratégicos'!$A$3:$CE$17,83,FALSE)</f>
        <v>48665.196799999998</v>
      </c>
      <c r="AG41" s="1">
        <f>VLOOKUP($A41,'Receitas - Aerop. Estratégicos'!$A$3:$CH$17,86,FALSE)</f>
        <v>48665.196799999998</v>
      </c>
      <c r="AH41" s="1">
        <f>VLOOKUP($A41,'Receitas - Aerop. Estratégicos'!$A$3:$CK$17,89,FALSE)</f>
        <v>48665.196799999998</v>
      </c>
      <c r="AI41" s="1">
        <f>VLOOKUP($A41,'Receitas - Aerop. Estratégicos'!$A$3:$CN$17,92,FALSE)</f>
        <v>48665.196799999998</v>
      </c>
      <c r="AJ41" s="1">
        <f>VLOOKUP($A41,'Receitas - Aerop. Estratégicos'!$A$3:$CQ$17,95,FALSE)</f>
        <v>48665.196799999998</v>
      </c>
      <c r="AK41" s="1">
        <f>VLOOKUP($A41,'Receitas - Aerop. Estratégicos'!$A$3:$CT$17,98,FALSE)</f>
        <v>48665.196799999998</v>
      </c>
      <c r="AL41" s="1">
        <f t="shared" si="3"/>
        <v>1459955.9040000006</v>
      </c>
      <c r="AM41" s="1">
        <f t="shared" si="1"/>
        <v>729977.95200000005</v>
      </c>
      <c r="AN41" t="str">
        <f>VLOOKUP(D41,'FLUXO DE CAIXA DESC.-BLOCOS PAN'!$D$3:$AO$52,38,FALSE)</f>
        <v>AC + AM - 1 - AL</v>
      </c>
    </row>
    <row r="42" spans="1:40" x14ac:dyDescent="0.35">
      <c r="A42" t="s">
        <v>87</v>
      </c>
      <c r="B42" s="5" t="s">
        <v>279</v>
      </c>
      <c r="C42">
        <v>150503</v>
      </c>
      <c r="D42" t="s">
        <v>291</v>
      </c>
      <c r="E42" t="str">
        <f>VLOOKUP(A42,'CAPEX Manut. Estr_Naveg. Aérea'!$A$2:$B$38,2,FALSE)</f>
        <v>Novo Progresso</v>
      </c>
      <c r="F42" t="s">
        <v>29</v>
      </c>
      <c r="G42" t="s">
        <v>33</v>
      </c>
      <c r="H42" s="1">
        <f>VLOOKUP($A42,'Receitas - Aerop. Estratégicos'!$A$3:$K$17,11,FALSE)</f>
        <v>40471.068099999997</v>
      </c>
      <c r="I42" s="1">
        <f>VLOOKUP($A42,'Receitas - Aerop. Estratégicos'!$A$3:$N$17,14,FALSE)</f>
        <v>40471.068099999997</v>
      </c>
      <c r="J42" s="1">
        <f>VLOOKUP($A42,'Receitas - Aerop. Estratégicos'!$A$3:$Q$17,17,FALSE)</f>
        <v>40471.068099999997</v>
      </c>
      <c r="K42" s="1">
        <f>VLOOKUP($A42,'Receitas - Aerop. Estratégicos'!$A$3:$T$17,20,FALSE)</f>
        <v>40471.068099999997</v>
      </c>
      <c r="L42" s="1">
        <f>VLOOKUP($A42,'Receitas - Aerop. Estratégicos'!$A$3:$W$17,23,FALSE)</f>
        <v>40471.068099999997</v>
      </c>
      <c r="M42" s="1">
        <f>VLOOKUP($A42,'Receitas - Aerop. Estratégicos'!$A$3:$Z$17,26,FALSE)</f>
        <v>40471.068099999997</v>
      </c>
      <c r="N42" s="1">
        <f>VLOOKUP($A42,'Receitas - Aerop. Estratégicos'!$A$3:$AC$17,29,FALSE)</f>
        <v>40471.068099999997</v>
      </c>
      <c r="O42" s="1">
        <f>VLOOKUP($A42,'Receitas - Aerop. Estratégicos'!$A$3:$AF$17,32,FALSE)</f>
        <v>40471.068099999997</v>
      </c>
      <c r="P42" s="1">
        <f>VLOOKUP($A42,'Receitas - Aerop. Estratégicos'!$A$3:$AI$17,35,FALSE)</f>
        <v>40471.068099999997</v>
      </c>
      <c r="Q42" s="1">
        <f>VLOOKUP($A42,'Receitas - Aerop. Estratégicos'!$A$3:$AL$17,38,FALSE)</f>
        <v>40471.068099999997</v>
      </c>
      <c r="R42" s="1">
        <f>VLOOKUP($A42,'Receitas - Aerop. Estratégicos'!$A$3:$AO$17,41,FALSE)</f>
        <v>40471.068099999997</v>
      </c>
      <c r="S42" s="1">
        <f>VLOOKUP($A42,'Receitas - Aerop. Estratégicos'!$A$3:$AR$17,44,FALSE)</f>
        <v>40471.068099999997</v>
      </c>
      <c r="T42" s="1">
        <f>VLOOKUP($A42,'Receitas - Aerop. Estratégicos'!$A$3:$AU$17,47,FALSE)</f>
        <v>40471.068099999997</v>
      </c>
      <c r="U42" s="1">
        <f>VLOOKUP($A42,'Receitas - Aerop. Estratégicos'!$A$3:$AX$17,50,FALSE)</f>
        <v>40471.068099999997</v>
      </c>
      <c r="V42" s="1">
        <f>VLOOKUP($A42,'Receitas - Aerop. Estratégicos'!$A$3:$BA$17,53,FALSE)</f>
        <v>40471.068099999997</v>
      </c>
      <c r="W42" s="1">
        <f>VLOOKUP($A42,'Receitas - Aerop. Estratégicos'!$A$3:$BD$17,56,FALSE)</f>
        <v>40471.068099999997</v>
      </c>
      <c r="X42" s="1">
        <f>VLOOKUP($A42,'Receitas - Aerop. Estratégicos'!$A$3:$BG$17,59,FALSE)</f>
        <v>40471.068099999997</v>
      </c>
      <c r="Y42" s="1">
        <f>VLOOKUP($A42,'Receitas - Aerop. Estratégicos'!$A$3:$BJ$17,62,FALSE)</f>
        <v>40471.068099999997</v>
      </c>
      <c r="Z42" s="1">
        <f>VLOOKUP($A42,'Receitas - Aerop. Estratégicos'!$A$3:$BM$17,65,FALSE)</f>
        <v>40471.068099999997</v>
      </c>
      <c r="AA42" s="1">
        <f>VLOOKUP($A42,'Receitas - Aerop. Estratégicos'!$A$3:$BP$17,68,FALSE)</f>
        <v>40471.068099999997</v>
      </c>
      <c r="AB42" s="1">
        <f>VLOOKUP($A42,'Receitas - Aerop. Estratégicos'!$A$3:$BS$17,71,FALSE)</f>
        <v>40471.068099999997</v>
      </c>
      <c r="AC42" s="1">
        <f>VLOOKUP($A42,'Receitas - Aerop. Estratégicos'!$A$3:$BV$17,74,FALSE)</f>
        <v>40471.068099999997</v>
      </c>
      <c r="AD42" s="1">
        <f>VLOOKUP($A42,'Receitas - Aerop. Estratégicos'!$A$3:$BY$17,77,FALSE)</f>
        <v>40471.068099999997</v>
      </c>
      <c r="AE42" s="1">
        <f>VLOOKUP($A42,'Receitas - Aerop. Estratégicos'!$A$3:$CB$17,80,FALSE)</f>
        <v>40471.068099999997</v>
      </c>
      <c r="AF42" s="1">
        <f>VLOOKUP($A42,'Receitas - Aerop. Estratégicos'!$A$3:$CE$17,83,FALSE)</f>
        <v>40471.068099999997</v>
      </c>
      <c r="AG42" s="1">
        <f>VLOOKUP($A42,'Receitas - Aerop. Estratégicos'!$A$3:$CH$17,86,FALSE)</f>
        <v>40471.068099999997</v>
      </c>
      <c r="AH42" s="1">
        <f>VLOOKUP($A42,'Receitas - Aerop. Estratégicos'!$A$3:$CK$17,89,FALSE)</f>
        <v>40471.068099999997</v>
      </c>
      <c r="AI42" s="1">
        <f>VLOOKUP($A42,'Receitas - Aerop. Estratégicos'!$A$3:$CN$17,92,FALSE)</f>
        <v>40471.068099999997</v>
      </c>
      <c r="AJ42" s="1">
        <f>VLOOKUP($A42,'Receitas - Aerop. Estratégicos'!$A$3:$CQ$17,95,FALSE)</f>
        <v>40471.068099999997</v>
      </c>
      <c r="AK42" s="1">
        <f>VLOOKUP($A42,'Receitas - Aerop. Estratégicos'!$A$3:$CT$17,98,FALSE)</f>
        <v>40471.068099999997</v>
      </c>
      <c r="AL42" s="1">
        <f t="shared" si="3"/>
        <v>1214132.0430000003</v>
      </c>
      <c r="AM42" s="1">
        <f t="shared" si="1"/>
        <v>607066.02149999992</v>
      </c>
      <c r="AN42" t="str">
        <f>VLOOKUP(D42,'FLUXO DE CAIXA DESC.-BLOCOS PAN'!$D$3:$AO$52,38,FALSE)</f>
        <v>PA - 1 - AL</v>
      </c>
    </row>
    <row r="43" spans="1:40" x14ac:dyDescent="0.35">
      <c r="A43" s="74" t="s">
        <v>369</v>
      </c>
      <c r="B43" s="75" t="s">
        <v>370</v>
      </c>
      <c r="C43" s="74">
        <v>260110</v>
      </c>
      <c r="D43" s="74" t="s">
        <v>371</v>
      </c>
      <c r="E43" s="74" t="s">
        <v>370</v>
      </c>
      <c r="F43" s="74" t="s">
        <v>36</v>
      </c>
      <c r="G43" s="74" t="s">
        <v>33</v>
      </c>
      <c r="H43" s="67">
        <f>VLOOKUP($A43,'Receitas - Aerop. Estratégicos'!$A$3:$K$17,11,FALSE)</f>
        <v>18379.697</v>
      </c>
      <c r="I43" s="67">
        <f>VLOOKUP($A43,'Receitas - Aerop. Estratégicos'!$A$3:$N$17,14,FALSE)</f>
        <v>18379.697</v>
      </c>
      <c r="J43" s="67">
        <f>VLOOKUP($A43,'Receitas - Aerop. Estratégicos'!$A$3:$Q$17,17,FALSE)</f>
        <v>18379.697</v>
      </c>
      <c r="K43" s="67">
        <f>VLOOKUP($A43,'Receitas - Aerop. Estratégicos'!$A$3:$T$17,20,FALSE)</f>
        <v>18379.697</v>
      </c>
      <c r="L43" s="67">
        <f>VLOOKUP($A43,'Receitas - Aerop. Estratégicos'!$A$3:$W$17,23,FALSE)</f>
        <v>18379.697</v>
      </c>
      <c r="M43" s="67">
        <f>VLOOKUP($A43,'Receitas - Aerop. Estratégicos'!$A$3:$Z$17,26,FALSE)</f>
        <v>18379.697</v>
      </c>
      <c r="N43" s="67">
        <f>VLOOKUP($A43,'Receitas - Aerop. Estratégicos'!$A$3:$AC$17,29,FALSE)</f>
        <v>18379.697</v>
      </c>
      <c r="O43" s="67">
        <f>VLOOKUP($A43,'Receitas - Aerop. Estratégicos'!$A$3:$AF$17,32,FALSE)</f>
        <v>18379.697</v>
      </c>
      <c r="P43" s="67">
        <f>VLOOKUP($A43,'Receitas - Aerop. Estratégicos'!$A$3:$AI$17,35,FALSE)</f>
        <v>18379.697</v>
      </c>
      <c r="Q43" s="67">
        <f>VLOOKUP($A43,'Receitas - Aerop. Estratégicos'!$A$3:$AL$17,38,FALSE)</f>
        <v>18379.697</v>
      </c>
      <c r="R43" s="67">
        <f>VLOOKUP($A43,'Receitas - Aerop. Estratégicos'!$A$3:$AO$17,41,FALSE)</f>
        <v>18379.697</v>
      </c>
      <c r="S43" s="67">
        <f>VLOOKUP($A43,'Receitas - Aerop. Estratégicos'!$A$3:$AR$17,44,FALSE)</f>
        <v>18379.697</v>
      </c>
      <c r="T43" s="67">
        <f>VLOOKUP($A43,'Receitas - Aerop. Estratégicos'!$A$3:$AU$17,47,FALSE)</f>
        <v>18379.697</v>
      </c>
      <c r="U43" s="67">
        <f>VLOOKUP($A43,'Receitas - Aerop. Estratégicos'!$A$3:$AX$17,50,FALSE)</f>
        <v>18379.697</v>
      </c>
      <c r="V43" s="67">
        <f>VLOOKUP($A43,'Receitas - Aerop. Estratégicos'!$A$3:$BA$17,53,FALSE)</f>
        <v>18379.697</v>
      </c>
      <c r="W43" s="67">
        <f>VLOOKUP($A43,'Receitas - Aerop. Estratégicos'!$A$3:$BD$17,56,FALSE)</f>
        <v>18379.697</v>
      </c>
      <c r="X43" s="67">
        <f>VLOOKUP($A43,'Receitas - Aerop. Estratégicos'!$A$3:$BG$17,59,FALSE)</f>
        <v>18379.697</v>
      </c>
      <c r="Y43" s="67">
        <f>VLOOKUP($A43,'Receitas - Aerop. Estratégicos'!$A$3:$BJ$17,62,FALSE)</f>
        <v>18379.697</v>
      </c>
      <c r="Z43" s="67">
        <f>VLOOKUP($A43,'Receitas - Aerop. Estratégicos'!$A$3:$BM$17,65,FALSE)</f>
        <v>18379.697</v>
      </c>
      <c r="AA43" s="67">
        <f>VLOOKUP($A43,'Receitas - Aerop. Estratégicos'!$A$3:$BP$17,68,FALSE)</f>
        <v>18379.697</v>
      </c>
      <c r="AB43" s="67">
        <f>VLOOKUP($A43,'Receitas - Aerop. Estratégicos'!$A$3:$BS$17,71,FALSE)</f>
        <v>18379.697</v>
      </c>
      <c r="AC43" s="67">
        <f>VLOOKUP($A43,'Receitas - Aerop. Estratégicos'!$A$3:$BV$17,74,FALSE)</f>
        <v>18379.697</v>
      </c>
      <c r="AD43" s="67">
        <f>VLOOKUP($A43,'Receitas - Aerop. Estratégicos'!$A$3:$BY$17,77,FALSE)</f>
        <v>18379.697</v>
      </c>
      <c r="AE43" s="67">
        <f>VLOOKUP($A43,'Receitas - Aerop. Estratégicos'!$A$3:$CB$17,80,FALSE)</f>
        <v>18379.697</v>
      </c>
      <c r="AF43" s="67">
        <f>VLOOKUP($A43,'Receitas - Aerop. Estratégicos'!$A$3:$CE$17,83,FALSE)</f>
        <v>18379.697</v>
      </c>
      <c r="AG43" s="67">
        <f>VLOOKUP($A43,'Receitas - Aerop. Estratégicos'!$A$3:$CH$17,86,FALSE)</f>
        <v>18379.697</v>
      </c>
      <c r="AH43" s="67">
        <f>VLOOKUP($A43,'Receitas - Aerop. Estratégicos'!$A$3:$CK$17,89,FALSE)</f>
        <v>18379.697</v>
      </c>
      <c r="AI43" s="67">
        <f>VLOOKUP($A43,'Receitas - Aerop. Estratégicos'!$A$3:$CN$17,92,FALSE)</f>
        <v>18379.697</v>
      </c>
      <c r="AJ43" s="67">
        <f>VLOOKUP($A43,'Receitas - Aerop. Estratégicos'!$A$3:$CQ$17,95,FALSE)</f>
        <v>18379.697</v>
      </c>
      <c r="AK43" s="67">
        <f>VLOOKUP($A43,'Receitas - Aerop. Estratégicos'!$A$3:$CT$17,98,FALSE)</f>
        <v>18379.697</v>
      </c>
      <c r="AL43" s="67">
        <f t="shared" ref="AL43" si="4">SUM(H43:AK43)</f>
        <v>551390.9099999998</v>
      </c>
      <c r="AM43" s="67">
        <f t="shared" ref="AM43" si="5">SUM(H43:V43)</f>
        <v>275695.4549999999</v>
      </c>
      <c r="AN43" s="74" t="str">
        <f>VLOOKUP(D43,'FLUXO DE CAIXA DESC.-BLOCOS PAN'!$D$3:$AO$52,38,FALSE)</f>
        <v>Bloco Nordeste</v>
      </c>
    </row>
    <row r="44" spans="1:40" x14ac:dyDescent="0.35">
      <c r="A44" t="s">
        <v>88</v>
      </c>
      <c r="B44" s="5" t="s">
        <v>270</v>
      </c>
      <c r="C44">
        <v>210120</v>
      </c>
      <c r="D44" t="s">
        <v>292</v>
      </c>
      <c r="E44" t="str">
        <f>VLOOKUP(A44,'CAPEX Manut. Estr_Naveg. Aérea'!$A$2:$B$38,2,FALSE)</f>
        <v>Bacabal</v>
      </c>
      <c r="F44" t="s">
        <v>31</v>
      </c>
      <c r="G44" t="s">
        <v>33</v>
      </c>
      <c r="H44" s="1">
        <f>VLOOKUP($A44,'Receitas - Aerop. Estratégicos'!$A$3:$K$17,11,FALSE)</f>
        <v>65381.219499999999</v>
      </c>
      <c r="I44" s="1">
        <f>VLOOKUP($A44,'Receitas - Aerop. Estratégicos'!$A$3:$N$17,14,FALSE)</f>
        <v>65381.219499999999</v>
      </c>
      <c r="J44" s="1">
        <f>VLOOKUP($A44,'Receitas - Aerop. Estratégicos'!$A$3:$Q$17,17,FALSE)</f>
        <v>65381.219499999999</v>
      </c>
      <c r="K44" s="1">
        <f>VLOOKUP($A44,'Receitas - Aerop. Estratégicos'!$A$3:$T$17,20,FALSE)</f>
        <v>65381.219499999999</v>
      </c>
      <c r="L44" s="1">
        <f>VLOOKUP($A44,'Receitas - Aerop. Estratégicos'!$A$3:$W$17,23,FALSE)</f>
        <v>65381.219499999999</v>
      </c>
      <c r="M44" s="1">
        <f>VLOOKUP($A44,'Receitas - Aerop. Estratégicos'!$A$3:$Z$17,26,FALSE)</f>
        <v>65381.219499999999</v>
      </c>
      <c r="N44" s="1">
        <f>VLOOKUP($A44,'Receitas - Aerop. Estratégicos'!$A$3:$AC$17,29,FALSE)</f>
        <v>65381.219499999999</v>
      </c>
      <c r="O44" s="1">
        <f>VLOOKUP($A44,'Receitas - Aerop. Estratégicos'!$A$3:$AF$17,32,FALSE)</f>
        <v>65381.219499999999</v>
      </c>
      <c r="P44" s="1">
        <f>VLOOKUP($A44,'Receitas - Aerop. Estratégicos'!$A$3:$AI$17,35,FALSE)</f>
        <v>65381.219499999999</v>
      </c>
      <c r="Q44" s="1">
        <f>VLOOKUP($A44,'Receitas - Aerop. Estratégicos'!$A$3:$AL$17,38,FALSE)</f>
        <v>65381.219499999999</v>
      </c>
      <c r="R44" s="1">
        <f>VLOOKUP($A44,'Receitas - Aerop. Estratégicos'!$A$3:$AO$17,41,FALSE)</f>
        <v>65381.219499999999</v>
      </c>
      <c r="S44" s="1">
        <f>VLOOKUP($A44,'Receitas - Aerop. Estratégicos'!$A$3:$AR$17,44,FALSE)</f>
        <v>65381.219499999999</v>
      </c>
      <c r="T44" s="1">
        <f>VLOOKUP($A44,'Receitas - Aerop. Estratégicos'!$A$3:$AU$17,47,FALSE)</f>
        <v>65381.219499999999</v>
      </c>
      <c r="U44" s="1">
        <f>VLOOKUP($A44,'Receitas - Aerop. Estratégicos'!$A$3:$AX$17,50,FALSE)</f>
        <v>65381.219499999999</v>
      </c>
      <c r="V44" s="1">
        <f>VLOOKUP($A44,'Receitas - Aerop. Estratégicos'!$A$3:$BA$17,53,FALSE)</f>
        <v>65381.219499999999</v>
      </c>
      <c r="W44" s="1">
        <f>VLOOKUP($A44,'Receitas - Aerop. Estratégicos'!$A$3:$BD$17,56,FALSE)</f>
        <v>65381.219499999999</v>
      </c>
      <c r="X44" s="1">
        <f>VLOOKUP($A44,'Receitas - Aerop. Estratégicos'!$A$3:$BG$17,59,FALSE)</f>
        <v>65381.219499999999</v>
      </c>
      <c r="Y44" s="1">
        <f>VLOOKUP($A44,'Receitas - Aerop. Estratégicos'!$A$3:$BJ$17,62,FALSE)</f>
        <v>65381.219499999999</v>
      </c>
      <c r="Z44" s="1">
        <f>VLOOKUP($A44,'Receitas - Aerop. Estratégicos'!$A$3:$BM$17,65,FALSE)</f>
        <v>65381.219499999999</v>
      </c>
      <c r="AA44" s="1">
        <f>VLOOKUP($A44,'Receitas - Aerop. Estratégicos'!$A$3:$BP$17,68,FALSE)</f>
        <v>65381.219499999999</v>
      </c>
      <c r="AB44" s="1">
        <f>VLOOKUP($A44,'Receitas - Aerop. Estratégicos'!$A$3:$BS$17,71,FALSE)</f>
        <v>65381.219499999999</v>
      </c>
      <c r="AC44" s="1">
        <f>VLOOKUP($A44,'Receitas - Aerop. Estratégicos'!$A$3:$BV$17,74,FALSE)</f>
        <v>65381.219499999999</v>
      </c>
      <c r="AD44" s="1">
        <f>VLOOKUP($A44,'Receitas - Aerop. Estratégicos'!$A$3:$BY$17,77,FALSE)</f>
        <v>65381.219499999999</v>
      </c>
      <c r="AE44" s="1">
        <f>VLOOKUP($A44,'Receitas - Aerop. Estratégicos'!$A$3:$CB$17,80,FALSE)</f>
        <v>65381.219499999999</v>
      </c>
      <c r="AF44" s="1">
        <f>VLOOKUP($A44,'Receitas - Aerop. Estratégicos'!$A$3:$CE$17,83,FALSE)</f>
        <v>65381.219499999999</v>
      </c>
      <c r="AG44" s="1">
        <f>VLOOKUP($A44,'Receitas - Aerop. Estratégicos'!$A$3:$CH$17,86,FALSE)</f>
        <v>65381.219499999999</v>
      </c>
      <c r="AH44" s="1">
        <f>VLOOKUP($A44,'Receitas - Aerop. Estratégicos'!$A$3:$CK$17,89,FALSE)</f>
        <v>65381.219499999999</v>
      </c>
      <c r="AI44" s="1">
        <f>VLOOKUP($A44,'Receitas - Aerop. Estratégicos'!$A$3:$CN$17,92,FALSE)</f>
        <v>65381.219499999999</v>
      </c>
      <c r="AJ44" s="1">
        <f>VLOOKUP($A44,'Receitas - Aerop. Estratégicos'!$A$3:$CQ$17,95,FALSE)</f>
        <v>65381.219499999999</v>
      </c>
      <c r="AK44" s="1">
        <f>VLOOKUP($A44,'Receitas - Aerop. Estratégicos'!$A$3:$CT$17,98,FALSE)</f>
        <v>65381.219499999999</v>
      </c>
      <c r="AL44" s="1">
        <f t="shared" si="3"/>
        <v>1961436.5849999986</v>
      </c>
      <c r="AM44" s="1">
        <f t="shared" si="1"/>
        <v>980718.29249999998</v>
      </c>
      <c r="AN44" t="str">
        <f>VLOOKUP(D44,'FLUXO DE CAIXA DESC.-BLOCOS PAN'!$D$3:$AO$52,38,FALSE)</f>
        <v>MA + TO - AL</v>
      </c>
    </row>
    <row r="45" spans="1:40" x14ac:dyDescent="0.35">
      <c r="A45" t="s">
        <v>89</v>
      </c>
      <c r="B45" s="5" t="s">
        <v>271</v>
      </c>
      <c r="C45">
        <v>210140</v>
      </c>
      <c r="D45" t="s">
        <v>293</v>
      </c>
      <c r="E45" t="str">
        <f>VLOOKUP(A45,'CAPEX Manut. Estr_Naveg. Aérea'!$A$2:$B$38,2,FALSE)</f>
        <v>Balsas</v>
      </c>
      <c r="F45" t="s">
        <v>31</v>
      </c>
      <c r="G45" t="s">
        <v>33</v>
      </c>
      <c r="H45" s="1">
        <f>VLOOKUP($A45,'Receitas - Aerop. Estratégicos'!$A$3:$K$17,11,FALSE)</f>
        <v>125755.5601</v>
      </c>
      <c r="I45" s="1">
        <f>VLOOKUP($A45,'Receitas - Aerop. Estratégicos'!$A$3:$N$17,14,FALSE)</f>
        <v>125755.5601</v>
      </c>
      <c r="J45" s="1">
        <f>VLOOKUP($A45,'Receitas - Aerop. Estratégicos'!$A$3:$Q$17,17,FALSE)</f>
        <v>125755.5601</v>
      </c>
      <c r="K45" s="1">
        <f>VLOOKUP($A45,'Receitas - Aerop. Estratégicos'!$A$3:$T$17,20,FALSE)</f>
        <v>125755.5601</v>
      </c>
      <c r="L45" s="1">
        <f>VLOOKUP($A45,'Receitas - Aerop. Estratégicos'!$A$3:$W$17,23,FALSE)</f>
        <v>125755.5601</v>
      </c>
      <c r="M45" s="1">
        <f>VLOOKUP($A45,'Receitas - Aerop. Estratégicos'!$A$3:$Z$17,26,FALSE)</f>
        <v>125755.5601</v>
      </c>
      <c r="N45" s="1">
        <f>VLOOKUP($A45,'Receitas - Aerop. Estratégicos'!$A$3:$AC$17,29,FALSE)</f>
        <v>125755.5601</v>
      </c>
      <c r="O45" s="1">
        <f>VLOOKUP($A45,'Receitas - Aerop. Estratégicos'!$A$3:$AF$17,32,FALSE)</f>
        <v>125755.5601</v>
      </c>
      <c r="P45" s="1">
        <f>VLOOKUP($A45,'Receitas - Aerop. Estratégicos'!$A$3:$AI$17,35,FALSE)</f>
        <v>125755.5601</v>
      </c>
      <c r="Q45" s="1">
        <f>VLOOKUP($A45,'Receitas - Aerop. Estratégicos'!$A$3:$AL$17,38,FALSE)</f>
        <v>125755.5601</v>
      </c>
      <c r="R45" s="1">
        <f>VLOOKUP($A45,'Receitas - Aerop. Estratégicos'!$A$3:$AO$17,41,FALSE)</f>
        <v>125755.5601</v>
      </c>
      <c r="S45" s="1">
        <f>VLOOKUP($A45,'Receitas - Aerop. Estratégicos'!$A$3:$AR$17,44,FALSE)</f>
        <v>125755.5601</v>
      </c>
      <c r="T45" s="1">
        <f>VLOOKUP($A45,'Receitas - Aerop. Estratégicos'!$A$3:$AU$17,47,FALSE)</f>
        <v>125755.5601</v>
      </c>
      <c r="U45" s="1">
        <f>VLOOKUP($A45,'Receitas - Aerop. Estratégicos'!$A$3:$AX$17,50,FALSE)</f>
        <v>125755.5601</v>
      </c>
      <c r="V45" s="1">
        <f>VLOOKUP($A45,'Receitas - Aerop. Estratégicos'!$A$3:$BA$17,53,FALSE)</f>
        <v>125755.5601</v>
      </c>
      <c r="W45" s="1">
        <f>VLOOKUP($A45,'Receitas - Aerop. Estratégicos'!$A$3:$BD$17,56,FALSE)</f>
        <v>125755.5601</v>
      </c>
      <c r="X45" s="1">
        <f>VLOOKUP($A45,'Receitas - Aerop. Estratégicos'!$A$3:$BG$17,59,FALSE)</f>
        <v>125755.5601</v>
      </c>
      <c r="Y45" s="1">
        <f>VLOOKUP($A45,'Receitas - Aerop. Estratégicos'!$A$3:$BJ$17,62,FALSE)</f>
        <v>125755.5601</v>
      </c>
      <c r="Z45" s="1">
        <f>VLOOKUP($A45,'Receitas - Aerop. Estratégicos'!$A$3:$BM$17,65,FALSE)</f>
        <v>125755.5601</v>
      </c>
      <c r="AA45" s="1">
        <f>VLOOKUP($A45,'Receitas - Aerop. Estratégicos'!$A$3:$BP$17,68,FALSE)</f>
        <v>125755.5601</v>
      </c>
      <c r="AB45" s="1">
        <f>VLOOKUP($A45,'Receitas - Aerop. Estratégicos'!$A$3:$BS$17,71,FALSE)</f>
        <v>125755.5601</v>
      </c>
      <c r="AC45" s="1">
        <f>VLOOKUP($A45,'Receitas - Aerop. Estratégicos'!$A$3:$BV$17,74,FALSE)</f>
        <v>125755.5601</v>
      </c>
      <c r="AD45" s="1">
        <f>VLOOKUP($A45,'Receitas - Aerop. Estratégicos'!$A$3:$BY$17,77,FALSE)</f>
        <v>125755.5601</v>
      </c>
      <c r="AE45" s="1">
        <f>VLOOKUP($A45,'Receitas - Aerop. Estratégicos'!$A$3:$CB$17,80,FALSE)</f>
        <v>125755.5601</v>
      </c>
      <c r="AF45" s="1">
        <f>VLOOKUP($A45,'Receitas - Aerop. Estratégicos'!$A$3:$CE$17,83,FALSE)</f>
        <v>125755.5601</v>
      </c>
      <c r="AG45" s="1">
        <f>VLOOKUP($A45,'Receitas - Aerop. Estratégicos'!$A$3:$CH$17,86,FALSE)</f>
        <v>125755.5601</v>
      </c>
      <c r="AH45" s="1">
        <f>VLOOKUP($A45,'Receitas - Aerop. Estratégicos'!$A$3:$CK$17,89,FALSE)</f>
        <v>125755.5601</v>
      </c>
      <c r="AI45" s="1">
        <f>VLOOKUP($A45,'Receitas - Aerop. Estratégicos'!$A$3:$CN$17,92,FALSE)</f>
        <v>125755.5601</v>
      </c>
      <c r="AJ45" s="1">
        <f>VLOOKUP($A45,'Receitas - Aerop. Estratégicos'!$A$3:$CQ$17,95,FALSE)</f>
        <v>125755.5601</v>
      </c>
      <c r="AK45" s="1">
        <f>VLOOKUP($A45,'Receitas - Aerop. Estratégicos'!$A$3:$CT$17,98,FALSE)</f>
        <v>125755.5601</v>
      </c>
      <c r="AL45" s="1">
        <f t="shared" si="3"/>
        <v>3772666.8029999975</v>
      </c>
      <c r="AM45" s="1">
        <f t="shared" si="1"/>
        <v>1886333.4014999992</v>
      </c>
      <c r="AN45" t="str">
        <f>VLOOKUP(D45,'FLUXO DE CAIXA DESC.-BLOCOS PAN'!$D$3:$AO$52,38,FALSE)</f>
        <v>MA + TO - AL</v>
      </c>
    </row>
    <row r="46" spans="1:40" x14ac:dyDescent="0.35">
      <c r="A46" s="74" t="s">
        <v>373</v>
      </c>
      <c r="B46" s="75" t="s">
        <v>374</v>
      </c>
      <c r="C46" s="74">
        <v>260600</v>
      </c>
      <c r="D46" s="74" t="s">
        <v>375</v>
      </c>
      <c r="E46" s="74" t="s">
        <v>374</v>
      </c>
      <c r="F46" s="74" t="s">
        <v>36</v>
      </c>
      <c r="G46" s="74" t="s">
        <v>33</v>
      </c>
      <c r="H46" s="67">
        <f>VLOOKUP($A46,'Receitas - Aerop. Estratégicos'!$A$3:$K$17,11,FALSE)</f>
        <v>20674.053</v>
      </c>
      <c r="I46" s="67">
        <f>VLOOKUP($A46,'Receitas - Aerop. Estratégicos'!$A$3:$N$17,14,FALSE)</f>
        <v>20674.053</v>
      </c>
      <c r="J46" s="67">
        <f>VLOOKUP($A46,'Receitas - Aerop. Estratégicos'!$A$3:$Q$17,17,FALSE)</f>
        <v>20674.053</v>
      </c>
      <c r="K46" s="67">
        <f>VLOOKUP($A46,'Receitas - Aerop. Estratégicos'!$A$3:$T$17,20,FALSE)</f>
        <v>20674.053</v>
      </c>
      <c r="L46" s="67">
        <f>VLOOKUP($A46,'Receitas - Aerop. Estratégicos'!$A$3:$W$17,23,FALSE)</f>
        <v>20674.053</v>
      </c>
      <c r="M46" s="67">
        <f>VLOOKUP($A46,'Receitas - Aerop. Estratégicos'!$A$3:$Z$17,26,FALSE)</f>
        <v>20674.053</v>
      </c>
      <c r="N46" s="67">
        <f>VLOOKUP($A46,'Receitas - Aerop. Estratégicos'!$A$3:$AC$17,29,FALSE)</f>
        <v>20674.053</v>
      </c>
      <c r="O46" s="67">
        <f>VLOOKUP($A46,'Receitas - Aerop. Estratégicos'!$A$3:$AF$17,32,FALSE)</f>
        <v>20674.053</v>
      </c>
      <c r="P46" s="67">
        <f>VLOOKUP($A46,'Receitas - Aerop. Estratégicos'!$A$3:$AI$17,35,FALSE)</f>
        <v>20674.053</v>
      </c>
      <c r="Q46" s="67">
        <f>VLOOKUP($A46,'Receitas - Aerop. Estratégicos'!$A$3:$AL$17,38,FALSE)</f>
        <v>20674.053</v>
      </c>
      <c r="R46" s="67">
        <f>VLOOKUP($A46,'Receitas - Aerop. Estratégicos'!$A$3:$AO$17,41,FALSE)</f>
        <v>20674.053</v>
      </c>
      <c r="S46" s="67">
        <f>VLOOKUP($A46,'Receitas - Aerop. Estratégicos'!$A$3:$AR$17,44,FALSE)</f>
        <v>20674.053</v>
      </c>
      <c r="T46" s="67">
        <f>VLOOKUP($A46,'Receitas - Aerop. Estratégicos'!$A$3:$AU$17,47,FALSE)</f>
        <v>20674.053</v>
      </c>
      <c r="U46" s="67">
        <f>VLOOKUP($A46,'Receitas - Aerop. Estratégicos'!$A$3:$AX$17,50,FALSE)</f>
        <v>20674.053</v>
      </c>
      <c r="V46" s="67">
        <f>VLOOKUP($A46,'Receitas - Aerop. Estratégicos'!$A$3:$BA$17,53,FALSE)</f>
        <v>20674.053</v>
      </c>
      <c r="W46" s="67">
        <f>VLOOKUP($A46,'Receitas - Aerop. Estratégicos'!$A$3:$BD$17,56,FALSE)</f>
        <v>20674.053</v>
      </c>
      <c r="X46" s="67">
        <f>VLOOKUP($A46,'Receitas - Aerop. Estratégicos'!$A$3:$BG$17,59,FALSE)</f>
        <v>20674.053</v>
      </c>
      <c r="Y46" s="67">
        <f>VLOOKUP($A46,'Receitas - Aerop. Estratégicos'!$A$3:$BJ$17,62,FALSE)</f>
        <v>20674.053</v>
      </c>
      <c r="Z46" s="67">
        <f>VLOOKUP($A46,'Receitas - Aerop. Estratégicos'!$A$3:$BM$17,65,FALSE)</f>
        <v>20674.053</v>
      </c>
      <c r="AA46" s="67">
        <f>VLOOKUP($A46,'Receitas - Aerop. Estratégicos'!$A$3:$BP$17,68,FALSE)</f>
        <v>20674.053</v>
      </c>
      <c r="AB46" s="67">
        <f>VLOOKUP($A46,'Receitas - Aerop. Estratégicos'!$A$3:$BS$17,71,FALSE)</f>
        <v>20674.053</v>
      </c>
      <c r="AC46" s="67">
        <f>VLOOKUP($A46,'Receitas - Aerop. Estratégicos'!$A$3:$BV$17,74,FALSE)</f>
        <v>20674.053</v>
      </c>
      <c r="AD46" s="67">
        <f>VLOOKUP($A46,'Receitas - Aerop. Estratégicos'!$A$3:$BY$17,77,FALSE)</f>
        <v>20674.053</v>
      </c>
      <c r="AE46" s="67">
        <f>VLOOKUP($A46,'Receitas - Aerop. Estratégicos'!$A$3:$CB$17,80,FALSE)</f>
        <v>20674.053</v>
      </c>
      <c r="AF46" s="67">
        <f>VLOOKUP($A46,'Receitas - Aerop. Estratégicos'!$A$3:$CE$17,83,FALSE)</f>
        <v>20674.053</v>
      </c>
      <c r="AG46" s="67">
        <f>VLOOKUP($A46,'Receitas - Aerop. Estratégicos'!$A$3:$CH$17,86,FALSE)</f>
        <v>20674.053</v>
      </c>
      <c r="AH46" s="67">
        <f>VLOOKUP($A46,'Receitas - Aerop. Estratégicos'!$A$3:$CK$17,89,FALSE)</f>
        <v>20674.053</v>
      </c>
      <c r="AI46" s="67">
        <f>VLOOKUP($A46,'Receitas - Aerop. Estratégicos'!$A$3:$CN$17,92,FALSE)</f>
        <v>20674.053</v>
      </c>
      <c r="AJ46" s="67">
        <f>VLOOKUP($A46,'Receitas - Aerop. Estratégicos'!$A$3:$CQ$17,95,FALSE)</f>
        <v>20674.053</v>
      </c>
      <c r="AK46" s="67">
        <f>VLOOKUP($A46,'Receitas - Aerop. Estratégicos'!$A$3:$CT$17,98,FALSE)</f>
        <v>20674.053</v>
      </c>
      <c r="AL46" s="67">
        <f t="shared" ref="AL46" si="6">SUM(H46:AK46)</f>
        <v>620221.59000000008</v>
      </c>
      <c r="AM46" s="67">
        <f t="shared" ref="AM46" si="7">SUM(H46:V46)</f>
        <v>310110.7950000001</v>
      </c>
      <c r="AN46" s="74" t="str">
        <f>VLOOKUP(D46,'FLUXO DE CAIXA DESC.-BLOCOS PAN'!$D$3:$AO$52,38,FALSE)</f>
        <v>Bloco Nordeste</v>
      </c>
    </row>
    <row r="47" spans="1:40" x14ac:dyDescent="0.35">
      <c r="A47" t="s">
        <v>125</v>
      </c>
      <c r="B47" s="5" t="s">
        <v>272</v>
      </c>
      <c r="C47">
        <v>110008</v>
      </c>
      <c r="D47" t="s">
        <v>295</v>
      </c>
      <c r="E47" t="str">
        <f>VLOOKUP(A47,'CAPEX Manut. Estr_Naveg. Aérea'!$A$2:$B$38,2,FALSE)</f>
        <v>Costa Marques</v>
      </c>
      <c r="F47" t="s">
        <v>30</v>
      </c>
      <c r="G47" t="s">
        <v>33</v>
      </c>
      <c r="H47" s="1">
        <f>VLOOKUP($A47,'Receitas - Aerop. Estratégicos'!$A$3:$K$17,11,FALSE)</f>
        <v>19100.780299999999</v>
      </c>
      <c r="I47" s="1">
        <f>VLOOKUP($A47,'Receitas - Aerop. Estratégicos'!$A$3:$N$17,14,FALSE)</f>
        <v>19100.780299999999</v>
      </c>
      <c r="J47" s="1">
        <f>VLOOKUP($A47,'Receitas - Aerop. Estratégicos'!$A$3:$Q$17,17,FALSE)</f>
        <v>19100.780299999999</v>
      </c>
      <c r="K47" s="1">
        <f>VLOOKUP($A47,'Receitas - Aerop. Estratégicos'!$A$3:$T$17,20,FALSE)</f>
        <v>19100.780299999999</v>
      </c>
      <c r="L47" s="1">
        <f>VLOOKUP($A47,'Receitas - Aerop. Estratégicos'!$A$3:$W$17,23,FALSE)</f>
        <v>19100.780299999999</v>
      </c>
      <c r="M47" s="1">
        <f>VLOOKUP($A47,'Receitas - Aerop. Estratégicos'!$A$3:$Z$17,26,FALSE)</f>
        <v>19100.780299999999</v>
      </c>
      <c r="N47" s="1">
        <f>VLOOKUP($A47,'Receitas - Aerop. Estratégicos'!$A$3:$AC$17,29,FALSE)</f>
        <v>19100.780299999999</v>
      </c>
      <c r="O47" s="1">
        <f>VLOOKUP($A47,'Receitas - Aerop. Estratégicos'!$A$3:$AF$17,32,FALSE)</f>
        <v>19100.780299999999</v>
      </c>
      <c r="P47" s="1">
        <f>VLOOKUP($A47,'Receitas - Aerop. Estratégicos'!$A$3:$AI$17,35,FALSE)</f>
        <v>19100.780299999999</v>
      </c>
      <c r="Q47" s="1">
        <f>VLOOKUP($A47,'Receitas - Aerop. Estratégicos'!$A$3:$AL$17,38,FALSE)</f>
        <v>19100.780299999999</v>
      </c>
      <c r="R47" s="1">
        <f>VLOOKUP($A47,'Receitas - Aerop. Estratégicos'!$A$3:$AO$17,41,FALSE)</f>
        <v>19100.780299999999</v>
      </c>
      <c r="S47" s="1">
        <f>VLOOKUP($A47,'Receitas - Aerop. Estratégicos'!$A$3:$AR$17,44,FALSE)</f>
        <v>19100.780299999999</v>
      </c>
      <c r="T47" s="1">
        <f>VLOOKUP($A47,'Receitas - Aerop. Estratégicos'!$A$3:$AU$17,47,FALSE)</f>
        <v>19100.780299999999</v>
      </c>
      <c r="U47" s="1">
        <f>VLOOKUP($A47,'Receitas - Aerop. Estratégicos'!$A$3:$AX$17,50,FALSE)</f>
        <v>19100.780299999999</v>
      </c>
      <c r="V47" s="1">
        <f>VLOOKUP($A47,'Receitas - Aerop. Estratégicos'!$A$3:$BA$17,53,FALSE)</f>
        <v>19100.780299999999</v>
      </c>
      <c r="W47" s="1">
        <f>VLOOKUP($A47,'Receitas - Aerop. Estratégicos'!$A$3:$BD$17,56,FALSE)</f>
        <v>19100.780299999999</v>
      </c>
      <c r="X47" s="1">
        <f>VLOOKUP($A47,'Receitas - Aerop. Estratégicos'!$A$3:$BG$17,59,FALSE)</f>
        <v>19100.780299999999</v>
      </c>
      <c r="Y47" s="1">
        <f>VLOOKUP($A47,'Receitas - Aerop. Estratégicos'!$A$3:$BJ$17,62,FALSE)</f>
        <v>19100.780299999999</v>
      </c>
      <c r="Z47" s="1">
        <f>VLOOKUP($A47,'Receitas - Aerop. Estratégicos'!$A$3:$BM$17,65,FALSE)</f>
        <v>19100.780299999999</v>
      </c>
      <c r="AA47" s="1">
        <f>VLOOKUP($A47,'Receitas - Aerop. Estratégicos'!$A$3:$BP$17,68,FALSE)</f>
        <v>19100.780299999999</v>
      </c>
      <c r="AB47" s="1">
        <f>VLOOKUP($A47,'Receitas - Aerop. Estratégicos'!$A$3:$BS$17,71,FALSE)</f>
        <v>19100.780299999999</v>
      </c>
      <c r="AC47" s="1">
        <f>VLOOKUP($A47,'Receitas - Aerop. Estratégicos'!$A$3:$BV$17,74,FALSE)</f>
        <v>19100.780299999999</v>
      </c>
      <c r="AD47" s="1">
        <f>VLOOKUP($A47,'Receitas - Aerop. Estratégicos'!$A$3:$BY$17,77,FALSE)</f>
        <v>19100.780299999999</v>
      </c>
      <c r="AE47" s="1">
        <f>VLOOKUP($A47,'Receitas - Aerop. Estratégicos'!$A$3:$CB$17,80,FALSE)</f>
        <v>19100.780299999999</v>
      </c>
      <c r="AF47" s="1">
        <f>VLOOKUP($A47,'Receitas - Aerop. Estratégicos'!$A$3:$CE$17,83,FALSE)</f>
        <v>19100.780299999999</v>
      </c>
      <c r="AG47" s="1">
        <f>VLOOKUP($A47,'Receitas - Aerop. Estratégicos'!$A$3:$CH$17,86,FALSE)</f>
        <v>19100.780299999999</v>
      </c>
      <c r="AH47" s="1">
        <f>VLOOKUP($A47,'Receitas - Aerop. Estratégicos'!$A$3:$CK$17,89,FALSE)</f>
        <v>19100.780299999999</v>
      </c>
      <c r="AI47" s="1">
        <f>VLOOKUP($A47,'Receitas - Aerop. Estratégicos'!$A$3:$CN$17,92,FALSE)</f>
        <v>19100.780299999999</v>
      </c>
      <c r="AJ47" s="1">
        <f>VLOOKUP($A47,'Receitas - Aerop. Estratégicos'!$A$3:$CQ$17,95,FALSE)</f>
        <v>19100.780299999999</v>
      </c>
      <c r="AK47" s="1">
        <f>VLOOKUP($A47,'Receitas - Aerop. Estratégicos'!$A$3:$CT$17,98,FALSE)</f>
        <v>19100.780299999999</v>
      </c>
      <c r="AL47" s="1">
        <f t="shared" si="3"/>
        <v>573023.40899999964</v>
      </c>
      <c r="AM47" s="1">
        <f t="shared" si="1"/>
        <v>286511.70449999988</v>
      </c>
      <c r="AN47" t="str">
        <f>VLOOKUP(D47,'FLUXO DE CAIXA DESC.-BLOCOS PAN'!$D$3:$AO$52,38,FALSE)</f>
        <v>RO - 1 - AL</v>
      </c>
    </row>
    <row r="48" spans="1:40" x14ac:dyDescent="0.35">
      <c r="A48" t="s">
        <v>134</v>
      </c>
      <c r="B48" s="5" t="s">
        <v>273</v>
      </c>
      <c r="C48">
        <v>130370</v>
      </c>
      <c r="D48" t="s">
        <v>296</v>
      </c>
      <c r="E48" t="str">
        <f>VLOOKUP(A48,'CAPEX Manut. Estr_Naveg. Aérea'!$A$2:$B$38,2,FALSE)</f>
        <v>Santo Antônio do Içá</v>
      </c>
      <c r="F48" t="s">
        <v>35</v>
      </c>
      <c r="G48" t="s">
        <v>33</v>
      </c>
      <c r="H48" s="1">
        <f>VLOOKUP($A48,'Receitas - Aerop. Estratégicos'!$A$3:$K$17,11,FALSE)</f>
        <v>19297.439399999999</v>
      </c>
      <c r="I48" s="1">
        <f>VLOOKUP($A48,'Receitas - Aerop. Estratégicos'!$A$3:$N$17,14,FALSE)</f>
        <v>19297.439399999999</v>
      </c>
      <c r="J48" s="1">
        <f>VLOOKUP($A48,'Receitas - Aerop. Estratégicos'!$A$3:$Q$17,17,FALSE)</f>
        <v>19297.439399999999</v>
      </c>
      <c r="K48" s="1">
        <f>VLOOKUP($A48,'Receitas - Aerop. Estratégicos'!$A$3:$T$17,20,FALSE)</f>
        <v>19297.439399999999</v>
      </c>
      <c r="L48" s="1">
        <f>VLOOKUP($A48,'Receitas - Aerop. Estratégicos'!$A$3:$W$17,23,FALSE)</f>
        <v>19297.439399999999</v>
      </c>
      <c r="M48" s="1">
        <f>VLOOKUP($A48,'Receitas - Aerop. Estratégicos'!$A$3:$Z$17,26,FALSE)</f>
        <v>19297.439399999999</v>
      </c>
      <c r="N48" s="1">
        <f>VLOOKUP($A48,'Receitas - Aerop. Estratégicos'!$A$3:$AC$17,29,FALSE)</f>
        <v>19297.439399999999</v>
      </c>
      <c r="O48" s="1">
        <f>VLOOKUP($A48,'Receitas - Aerop. Estratégicos'!$A$3:$AF$17,32,FALSE)</f>
        <v>19297.439399999999</v>
      </c>
      <c r="P48" s="1">
        <f>VLOOKUP($A48,'Receitas - Aerop. Estratégicos'!$A$3:$AI$17,35,FALSE)</f>
        <v>19297.439399999999</v>
      </c>
      <c r="Q48" s="1">
        <f>VLOOKUP($A48,'Receitas - Aerop. Estratégicos'!$A$3:$AL$17,38,FALSE)</f>
        <v>19297.439399999999</v>
      </c>
      <c r="R48" s="1">
        <f>VLOOKUP($A48,'Receitas - Aerop. Estratégicos'!$A$3:$AO$17,41,FALSE)</f>
        <v>19297.439399999999</v>
      </c>
      <c r="S48" s="1">
        <f>VLOOKUP($A48,'Receitas - Aerop. Estratégicos'!$A$3:$AR$17,44,FALSE)</f>
        <v>19297.439399999999</v>
      </c>
      <c r="T48" s="1">
        <f>VLOOKUP($A48,'Receitas - Aerop. Estratégicos'!$A$3:$AU$17,47,FALSE)</f>
        <v>19297.439399999999</v>
      </c>
      <c r="U48" s="1">
        <f>VLOOKUP($A48,'Receitas - Aerop. Estratégicos'!$A$3:$AX$17,50,FALSE)</f>
        <v>19297.439399999999</v>
      </c>
      <c r="V48" s="1">
        <f>VLOOKUP($A48,'Receitas - Aerop. Estratégicos'!$A$3:$BA$17,53,FALSE)</f>
        <v>19297.439399999999</v>
      </c>
      <c r="W48" s="1">
        <f>VLOOKUP($A48,'Receitas - Aerop. Estratégicos'!$A$3:$BD$17,56,FALSE)</f>
        <v>19297.439399999999</v>
      </c>
      <c r="X48" s="1">
        <f>VLOOKUP($A48,'Receitas - Aerop. Estratégicos'!$A$3:$BG$17,59,FALSE)</f>
        <v>19297.439399999999</v>
      </c>
      <c r="Y48" s="1">
        <f>VLOOKUP($A48,'Receitas - Aerop. Estratégicos'!$A$3:$BJ$17,62,FALSE)</f>
        <v>19297.439399999999</v>
      </c>
      <c r="Z48" s="1">
        <f>VLOOKUP($A48,'Receitas - Aerop. Estratégicos'!$A$3:$BM$17,65,FALSE)</f>
        <v>19297.439399999999</v>
      </c>
      <c r="AA48" s="1">
        <f>VLOOKUP($A48,'Receitas - Aerop. Estratégicos'!$A$3:$BP$17,68,FALSE)</f>
        <v>19297.439399999999</v>
      </c>
      <c r="AB48" s="1">
        <f>VLOOKUP($A48,'Receitas - Aerop. Estratégicos'!$A$3:$BS$17,71,FALSE)</f>
        <v>19297.439399999999</v>
      </c>
      <c r="AC48" s="1">
        <f>VLOOKUP($A48,'Receitas - Aerop. Estratégicos'!$A$3:$BV$17,74,FALSE)</f>
        <v>19297.439399999999</v>
      </c>
      <c r="AD48" s="1">
        <f>VLOOKUP($A48,'Receitas - Aerop. Estratégicos'!$A$3:$BY$17,77,FALSE)</f>
        <v>19297.439399999999</v>
      </c>
      <c r="AE48" s="1">
        <f>VLOOKUP($A48,'Receitas - Aerop. Estratégicos'!$A$3:$CB$17,80,FALSE)</f>
        <v>19297.439399999999</v>
      </c>
      <c r="AF48" s="1">
        <f>VLOOKUP($A48,'Receitas - Aerop. Estratégicos'!$A$3:$CE$17,83,FALSE)</f>
        <v>19297.439399999999</v>
      </c>
      <c r="AG48" s="1">
        <f>VLOOKUP($A48,'Receitas - Aerop. Estratégicos'!$A$3:$CH$17,86,FALSE)</f>
        <v>19297.439399999999</v>
      </c>
      <c r="AH48" s="1">
        <f>VLOOKUP($A48,'Receitas - Aerop. Estratégicos'!$A$3:$CK$17,89,FALSE)</f>
        <v>19297.439399999999</v>
      </c>
      <c r="AI48" s="1">
        <f>VLOOKUP($A48,'Receitas - Aerop. Estratégicos'!$A$3:$CN$17,92,FALSE)</f>
        <v>19297.439399999999</v>
      </c>
      <c r="AJ48" s="1">
        <f>VLOOKUP($A48,'Receitas - Aerop. Estratégicos'!$A$3:$CQ$17,95,FALSE)</f>
        <v>19297.439399999999</v>
      </c>
      <c r="AK48" s="1">
        <f>VLOOKUP($A48,'Receitas - Aerop. Estratégicos'!$A$3:$CT$17,98,FALSE)</f>
        <v>19297.439399999999</v>
      </c>
      <c r="AL48" s="1">
        <f t="shared" si="3"/>
        <v>578923.18199999968</v>
      </c>
      <c r="AM48" s="1">
        <f t="shared" si="1"/>
        <v>289461.59099999996</v>
      </c>
      <c r="AN48" t="str">
        <f>VLOOKUP(D48,'FLUXO DE CAIXA DESC.-BLOCOS PAN'!$D$3:$AO$52,38,FALSE)</f>
        <v>AC + AM - 1 - AL</v>
      </c>
    </row>
    <row r="49" spans="1:40" x14ac:dyDescent="0.35">
      <c r="A49" t="s">
        <v>151</v>
      </c>
      <c r="B49" s="5" t="s">
        <v>274</v>
      </c>
      <c r="C49">
        <v>130160</v>
      </c>
      <c r="D49" t="s">
        <v>297</v>
      </c>
      <c r="E49" t="str">
        <f>VLOOKUP(A49,'CAPEX Manut. Estr_Naveg. Aérea'!$A$2:$B$38,2,FALSE)</f>
        <v>Fonte Boa</v>
      </c>
      <c r="F49" t="s">
        <v>35</v>
      </c>
      <c r="G49" t="s">
        <v>33</v>
      </c>
      <c r="H49" s="1">
        <f>VLOOKUP($A49,'Receitas - Aerop. Estratégicos'!$A$3:$K$17,11,FALSE)</f>
        <v>25262.765100000001</v>
      </c>
      <c r="I49" s="1">
        <f>VLOOKUP($A49,'Receitas - Aerop. Estratégicos'!$A$3:$N$17,14,FALSE)</f>
        <v>25262.765100000001</v>
      </c>
      <c r="J49" s="1">
        <f>VLOOKUP($A49,'Receitas - Aerop. Estratégicos'!$A$3:$Q$17,17,FALSE)</f>
        <v>25262.765100000001</v>
      </c>
      <c r="K49" s="1">
        <f>VLOOKUP($A49,'Receitas - Aerop. Estratégicos'!$A$3:$T$17,20,FALSE)</f>
        <v>25262.765100000001</v>
      </c>
      <c r="L49" s="1">
        <f>VLOOKUP($A49,'Receitas - Aerop. Estratégicos'!$A$3:$W$17,23,FALSE)</f>
        <v>25262.765100000001</v>
      </c>
      <c r="M49" s="1">
        <f>VLOOKUP($A49,'Receitas - Aerop. Estratégicos'!$A$3:$Z$17,26,FALSE)</f>
        <v>25262.765100000001</v>
      </c>
      <c r="N49" s="1">
        <f>VLOOKUP($A49,'Receitas - Aerop. Estratégicos'!$A$3:$AC$17,29,FALSE)</f>
        <v>25262.765100000001</v>
      </c>
      <c r="O49" s="1">
        <f>VLOOKUP($A49,'Receitas - Aerop. Estratégicos'!$A$3:$AF$17,32,FALSE)</f>
        <v>25262.765100000001</v>
      </c>
      <c r="P49" s="1">
        <f>VLOOKUP($A49,'Receitas - Aerop. Estratégicos'!$A$3:$AI$17,35,FALSE)</f>
        <v>25262.765100000001</v>
      </c>
      <c r="Q49" s="1">
        <f>VLOOKUP($A49,'Receitas - Aerop. Estratégicos'!$A$3:$AL$17,38,FALSE)</f>
        <v>25262.765100000001</v>
      </c>
      <c r="R49" s="1">
        <f>VLOOKUP($A49,'Receitas - Aerop. Estratégicos'!$A$3:$AO$17,41,FALSE)</f>
        <v>25262.765100000001</v>
      </c>
      <c r="S49" s="1">
        <f>VLOOKUP($A49,'Receitas - Aerop. Estratégicos'!$A$3:$AR$17,44,FALSE)</f>
        <v>25262.765100000001</v>
      </c>
      <c r="T49" s="1">
        <f>VLOOKUP($A49,'Receitas - Aerop. Estratégicos'!$A$3:$AU$17,47,FALSE)</f>
        <v>25262.765100000001</v>
      </c>
      <c r="U49" s="1">
        <f>VLOOKUP($A49,'Receitas - Aerop. Estratégicos'!$A$3:$AX$17,50,FALSE)</f>
        <v>25262.765100000001</v>
      </c>
      <c r="V49" s="1">
        <f>VLOOKUP($A49,'Receitas - Aerop. Estratégicos'!$A$3:$BA$17,53,FALSE)</f>
        <v>25262.765100000001</v>
      </c>
      <c r="W49" s="1">
        <f>VLOOKUP($A49,'Receitas - Aerop. Estratégicos'!$A$3:$BD$17,56,FALSE)</f>
        <v>25262.765100000001</v>
      </c>
      <c r="X49" s="1">
        <f>VLOOKUP($A49,'Receitas - Aerop. Estratégicos'!$A$3:$BG$17,59,FALSE)</f>
        <v>25262.765100000001</v>
      </c>
      <c r="Y49" s="1">
        <f>VLOOKUP($A49,'Receitas - Aerop. Estratégicos'!$A$3:$BJ$17,62,FALSE)</f>
        <v>25262.765100000001</v>
      </c>
      <c r="Z49" s="1">
        <f>VLOOKUP($A49,'Receitas - Aerop. Estratégicos'!$A$3:$BM$17,65,FALSE)</f>
        <v>25262.765100000001</v>
      </c>
      <c r="AA49" s="1">
        <f>VLOOKUP($A49,'Receitas - Aerop. Estratégicos'!$A$3:$BP$17,68,FALSE)</f>
        <v>25262.765100000001</v>
      </c>
      <c r="AB49" s="1">
        <f>VLOOKUP($A49,'Receitas - Aerop. Estratégicos'!$A$3:$BS$17,71,FALSE)</f>
        <v>25262.765100000001</v>
      </c>
      <c r="AC49" s="1">
        <f>VLOOKUP($A49,'Receitas - Aerop. Estratégicos'!$A$3:$BV$17,74,FALSE)</f>
        <v>25262.765100000001</v>
      </c>
      <c r="AD49" s="1">
        <f>VLOOKUP($A49,'Receitas - Aerop. Estratégicos'!$A$3:$BY$17,77,FALSE)</f>
        <v>25262.765100000001</v>
      </c>
      <c r="AE49" s="1">
        <f>VLOOKUP($A49,'Receitas - Aerop. Estratégicos'!$A$3:$CB$17,80,FALSE)</f>
        <v>25262.765100000001</v>
      </c>
      <c r="AF49" s="1">
        <f>VLOOKUP($A49,'Receitas - Aerop. Estratégicos'!$A$3:$CE$17,83,FALSE)</f>
        <v>25262.765100000001</v>
      </c>
      <c r="AG49" s="1">
        <f>VLOOKUP($A49,'Receitas - Aerop. Estratégicos'!$A$3:$CH$17,86,FALSE)</f>
        <v>25262.765100000001</v>
      </c>
      <c r="AH49" s="1">
        <f>VLOOKUP($A49,'Receitas - Aerop. Estratégicos'!$A$3:$CK$17,89,FALSE)</f>
        <v>25262.765100000001</v>
      </c>
      <c r="AI49" s="1">
        <f>VLOOKUP($A49,'Receitas - Aerop. Estratégicos'!$A$3:$CN$17,92,FALSE)</f>
        <v>25262.765100000001</v>
      </c>
      <c r="AJ49" s="1">
        <f>VLOOKUP($A49,'Receitas - Aerop. Estratégicos'!$A$3:$CQ$17,95,FALSE)</f>
        <v>25262.765100000001</v>
      </c>
      <c r="AK49" s="1">
        <f>VLOOKUP($A49,'Receitas - Aerop. Estratégicos'!$A$3:$CT$17,98,FALSE)</f>
        <v>25262.765100000001</v>
      </c>
      <c r="AL49" s="1">
        <f t="shared" si="3"/>
        <v>757882.95299999975</v>
      </c>
      <c r="AM49" s="1">
        <f t="shared" si="1"/>
        <v>378941.47650000005</v>
      </c>
      <c r="AN49" t="str">
        <f>VLOOKUP(D49,'FLUXO DE CAIXA DESC.-BLOCOS PAN'!$D$3:$AO$52,38,FALSE)</f>
        <v>AM - 2 - AL</v>
      </c>
    </row>
    <row r="50" spans="1:40" x14ac:dyDescent="0.35">
      <c r="A50" t="s">
        <v>155</v>
      </c>
      <c r="B50" s="5" t="s">
        <v>265</v>
      </c>
      <c r="C50">
        <v>510704</v>
      </c>
      <c r="D50" t="s">
        <v>298</v>
      </c>
      <c r="E50" t="str">
        <f>VLOOKUP(A50,'CAPEX Manut. Estr_Naveg. Aérea'!$A$2:$B$38,2,FALSE)</f>
        <v>Primavera do Leste</v>
      </c>
      <c r="F50" t="s">
        <v>37</v>
      </c>
      <c r="G50" t="s">
        <v>33</v>
      </c>
      <c r="H50" s="1">
        <f>VLOOKUP($A50,'Receitas - Aerop. Estratégicos'!$A$3:$K$17,11,FALSE)</f>
        <v>122401.28200000001</v>
      </c>
      <c r="I50" s="1">
        <f>VLOOKUP($A50,'Receitas - Aerop. Estratégicos'!$A$3:$N$17,14,FALSE)</f>
        <v>122401.28200000001</v>
      </c>
      <c r="J50" s="1">
        <f>VLOOKUP($A50,'Receitas - Aerop. Estratégicos'!$A$3:$Q$17,17,FALSE)</f>
        <v>122401.28200000001</v>
      </c>
      <c r="K50" s="1">
        <f>VLOOKUP($A50,'Receitas - Aerop. Estratégicos'!$A$3:$T$17,20,FALSE)</f>
        <v>122401.28200000001</v>
      </c>
      <c r="L50" s="1">
        <f>VLOOKUP($A50,'Receitas - Aerop. Estratégicos'!$A$3:$W$17,23,FALSE)</f>
        <v>122401.28200000001</v>
      </c>
      <c r="M50" s="1">
        <f>VLOOKUP($A50,'Receitas - Aerop. Estratégicos'!$A$3:$Z$17,26,FALSE)</f>
        <v>122401.28200000001</v>
      </c>
      <c r="N50" s="1">
        <f>VLOOKUP($A50,'Receitas - Aerop. Estratégicos'!$A$3:$AC$17,29,FALSE)</f>
        <v>122401.28200000001</v>
      </c>
      <c r="O50" s="1">
        <f>VLOOKUP($A50,'Receitas - Aerop. Estratégicos'!$A$3:$AF$17,32,FALSE)</f>
        <v>122401.28200000001</v>
      </c>
      <c r="P50" s="1">
        <f>VLOOKUP($A50,'Receitas - Aerop. Estratégicos'!$A$3:$AI$17,35,FALSE)</f>
        <v>122401.28200000001</v>
      </c>
      <c r="Q50" s="1">
        <f>VLOOKUP($A50,'Receitas - Aerop. Estratégicos'!$A$3:$AL$17,38,FALSE)</f>
        <v>122401.28200000001</v>
      </c>
      <c r="R50" s="1">
        <f>VLOOKUP($A50,'Receitas - Aerop. Estratégicos'!$A$3:$AO$17,41,FALSE)</f>
        <v>122401.28200000001</v>
      </c>
      <c r="S50" s="1">
        <f>VLOOKUP($A50,'Receitas - Aerop. Estratégicos'!$A$3:$AR$17,44,FALSE)</f>
        <v>122401.28200000001</v>
      </c>
      <c r="T50" s="1">
        <f>VLOOKUP($A50,'Receitas - Aerop. Estratégicos'!$A$3:$AU$17,47,FALSE)</f>
        <v>122401.28200000001</v>
      </c>
      <c r="U50" s="1">
        <f>VLOOKUP($A50,'Receitas - Aerop. Estratégicos'!$A$3:$AX$17,50,FALSE)</f>
        <v>122401.28200000001</v>
      </c>
      <c r="V50" s="1">
        <f>VLOOKUP($A50,'Receitas - Aerop. Estratégicos'!$A$3:$BA$17,53,FALSE)</f>
        <v>122401.28200000001</v>
      </c>
      <c r="W50" s="1">
        <f>VLOOKUP($A50,'Receitas - Aerop. Estratégicos'!$A$3:$BD$17,56,FALSE)</f>
        <v>122401.28200000001</v>
      </c>
      <c r="X50" s="1">
        <f>VLOOKUP($A50,'Receitas - Aerop. Estratégicos'!$A$3:$BG$17,59,FALSE)</f>
        <v>122401.28200000001</v>
      </c>
      <c r="Y50" s="1">
        <f>VLOOKUP($A50,'Receitas - Aerop. Estratégicos'!$A$3:$BJ$17,62,FALSE)</f>
        <v>122401.28200000001</v>
      </c>
      <c r="Z50" s="1">
        <f>VLOOKUP($A50,'Receitas - Aerop. Estratégicos'!$A$3:$BM$17,65,FALSE)</f>
        <v>122401.28200000001</v>
      </c>
      <c r="AA50" s="1">
        <f>VLOOKUP($A50,'Receitas - Aerop. Estratégicos'!$A$3:$BP$17,68,FALSE)</f>
        <v>122401.28200000001</v>
      </c>
      <c r="AB50" s="1">
        <f>VLOOKUP($A50,'Receitas - Aerop. Estratégicos'!$A$3:$BS$17,71,FALSE)</f>
        <v>122401.28200000001</v>
      </c>
      <c r="AC50" s="1">
        <f>VLOOKUP($A50,'Receitas - Aerop. Estratégicos'!$A$3:$BV$17,74,FALSE)</f>
        <v>122401.28200000001</v>
      </c>
      <c r="AD50" s="1">
        <f>VLOOKUP($A50,'Receitas - Aerop. Estratégicos'!$A$3:$BY$17,77,FALSE)</f>
        <v>122401.28200000001</v>
      </c>
      <c r="AE50" s="1">
        <f>VLOOKUP($A50,'Receitas - Aerop. Estratégicos'!$A$3:$CB$17,80,FALSE)</f>
        <v>122401.28200000001</v>
      </c>
      <c r="AF50" s="1">
        <f>VLOOKUP($A50,'Receitas - Aerop. Estratégicos'!$A$3:$CE$17,83,FALSE)</f>
        <v>122401.28200000001</v>
      </c>
      <c r="AG50" s="1">
        <f>VLOOKUP($A50,'Receitas - Aerop. Estratégicos'!$A$3:$CH$17,86,FALSE)</f>
        <v>122401.28200000001</v>
      </c>
      <c r="AH50" s="1">
        <f>VLOOKUP($A50,'Receitas - Aerop. Estratégicos'!$A$3:$CK$17,89,FALSE)</f>
        <v>122401.28200000001</v>
      </c>
      <c r="AI50" s="1">
        <f>VLOOKUP($A50,'Receitas - Aerop. Estratégicos'!$A$3:$CN$17,92,FALSE)</f>
        <v>122401.28200000001</v>
      </c>
      <c r="AJ50" s="1">
        <f>VLOOKUP($A50,'Receitas - Aerop. Estratégicos'!$A$3:$CQ$17,95,FALSE)</f>
        <v>122401.28200000001</v>
      </c>
      <c r="AK50" s="1">
        <f>VLOOKUP($A50,'Receitas - Aerop. Estratégicos'!$A$3:$CT$17,98,FALSE)</f>
        <v>122401.28200000001</v>
      </c>
      <c r="AL50" s="1">
        <f t="shared" si="3"/>
        <v>3672038.4600000028</v>
      </c>
      <c r="AM50" s="1">
        <f t="shared" si="1"/>
        <v>1836019.2300000009</v>
      </c>
      <c r="AN50" t="str">
        <f>VLOOKUP(D50,'FLUXO DE CAIXA DESC.-BLOCOS PAN'!$D$3:$AO$52,38,FALSE)</f>
        <v>MT - 2 - AL</v>
      </c>
    </row>
    <row r="51" spans="1:40" x14ac:dyDescent="0.35">
      <c r="A51" t="s">
        <v>156</v>
      </c>
      <c r="B51" s="5" t="s">
        <v>275</v>
      </c>
      <c r="C51">
        <v>130360</v>
      </c>
      <c r="D51" t="s">
        <v>299</v>
      </c>
      <c r="E51" t="str">
        <f>VLOOKUP(A51,'CAPEX Manut. Estr_Naveg. Aérea'!$A$2:$B$38,2,FALSE)</f>
        <v>Santa Isabel do Rio Negro</v>
      </c>
      <c r="F51" t="s">
        <v>35</v>
      </c>
      <c r="G51" t="s">
        <v>33</v>
      </c>
      <c r="H51" s="1">
        <f>VLOOKUP($A51,'Receitas - Aerop. Estratégicos'!$A$3:$K$17,11,FALSE)</f>
        <v>36144.568099999997</v>
      </c>
      <c r="I51" s="1">
        <f>VLOOKUP($A51,'Receitas - Aerop. Estratégicos'!$A$3:$N$17,14,FALSE)</f>
        <v>36144.568099999997</v>
      </c>
      <c r="J51" s="1">
        <f>VLOOKUP($A51,'Receitas - Aerop. Estratégicos'!$A$3:$Q$17,17,FALSE)</f>
        <v>36144.568099999997</v>
      </c>
      <c r="K51" s="1">
        <f>VLOOKUP($A51,'Receitas - Aerop. Estratégicos'!$A$3:$T$17,20,FALSE)</f>
        <v>36144.568099999997</v>
      </c>
      <c r="L51" s="1">
        <f>VLOOKUP($A51,'Receitas - Aerop. Estratégicos'!$A$3:$W$17,23,FALSE)</f>
        <v>36144.568099999997</v>
      </c>
      <c r="M51" s="1">
        <f>VLOOKUP($A51,'Receitas - Aerop. Estratégicos'!$A$3:$Z$17,26,FALSE)</f>
        <v>36144.568099999997</v>
      </c>
      <c r="N51" s="1">
        <f>VLOOKUP($A51,'Receitas - Aerop. Estratégicos'!$A$3:$AC$17,29,FALSE)</f>
        <v>36144.568099999997</v>
      </c>
      <c r="O51" s="1">
        <f>VLOOKUP($A51,'Receitas - Aerop. Estratégicos'!$A$3:$AF$17,32,FALSE)</f>
        <v>36144.568099999997</v>
      </c>
      <c r="P51" s="1">
        <f>VLOOKUP($A51,'Receitas - Aerop. Estratégicos'!$A$3:$AI$17,35,FALSE)</f>
        <v>36144.568099999997</v>
      </c>
      <c r="Q51" s="1">
        <f>VLOOKUP($A51,'Receitas - Aerop. Estratégicos'!$A$3:$AL$17,38,FALSE)</f>
        <v>36144.568099999997</v>
      </c>
      <c r="R51" s="1">
        <f>VLOOKUP($A51,'Receitas - Aerop. Estratégicos'!$A$3:$AO$17,41,FALSE)</f>
        <v>36144.568099999997</v>
      </c>
      <c r="S51" s="1">
        <f>VLOOKUP($A51,'Receitas - Aerop. Estratégicos'!$A$3:$AR$17,44,FALSE)</f>
        <v>36144.568099999997</v>
      </c>
      <c r="T51" s="1">
        <f>VLOOKUP($A51,'Receitas - Aerop. Estratégicos'!$A$3:$AU$17,47,FALSE)</f>
        <v>36144.568099999997</v>
      </c>
      <c r="U51" s="1">
        <f>VLOOKUP($A51,'Receitas - Aerop. Estratégicos'!$A$3:$AX$17,50,FALSE)</f>
        <v>36144.568099999997</v>
      </c>
      <c r="V51" s="1">
        <f>VLOOKUP($A51,'Receitas - Aerop. Estratégicos'!$A$3:$BA$17,53,FALSE)</f>
        <v>36144.568099999997</v>
      </c>
      <c r="W51" s="1">
        <f>VLOOKUP($A51,'Receitas - Aerop. Estratégicos'!$A$3:$BD$17,56,FALSE)</f>
        <v>36144.568099999997</v>
      </c>
      <c r="X51" s="1">
        <f>VLOOKUP($A51,'Receitas - Aerop. Estratégicos'!$A$3:$BG$17,59,FALSE)</f>
        <v>36144.568099999997</v>
      </c>
      <c r="Y51" s="1">
        <f>VLOOKUP($A51,'Receitas - Aerop. Estratégicos'!$A$3:$BJ$17,62,FALSE)</f>
        <v>36144.568099999997</v>
      </c>
      <c r="Z51" s="1">
        <f>VLOOKUP($A51,'Receitas - Aerop. Estratégicos'!$A$3:$BM$17,65,FALSE)</f>
        <v>36144.568099999997</v>
      </c>
      <c r="AA51" s="1">
        <f>VLOOKUP($A51,'Receitas - Aerop. Estratégicos'!$A$3:$BP$17,68,FALSE)</f>
        <v>36144.568099999997</v>
      </c>
      <c r="AB51" s="1">
        <f>VLOOKUP($A51,'Receitas - Aerop. Estratégicos'!$A$3:$BS$17,71,FALSE)</f>
        <v>36144.568099999997</v>
      </c>
      <c r="AC51" s="1">
        <f>VLOOKUP($A51,'Receitas - Aerop. Estratégicos'!$A$3:$BV$17,74,FALSE)</f>
        <v>36144.568099999997</v>
      </c>
      <c r="AD51" s="1">
        <f>VLOOKUP($A51,'Receitas - Aerop. Estratégicos'!$A$3:$BY$17,77,FALSE)</f>
        <v>36144.568099999997</v>
      </c>
      <c r="AE51" s="1">
        <f>VLOOKUP($A51,'Receitas - Aerop. Estratégicos'!$A$3:$CB$17,80,FALSE)</f>
        <v>36144.568099999997</v>
      </c>
      <c r="AF51" s="1">
        <f>VLOOKUP($A51,'Receitas - Aerop. Estratégicos'!$A$3:$CE$17,83,FALSE)</f>
        <v>36144.568099999997</v>
      </c>
      <c r="AG51" s="1">
        <f>VLOOKUP($A51,'Receitas - Aerop. Estratégicos'!$A$3:$CH$17,86,FALSE)</f>
        <v>36144.568099999997</v>
      </c>
      <c r="AH51" s="1">
        <f>VLOOKUP($A51,'Receitas - Aerop. Estratégicos'!$A$3:$CK$17,89,FALSE)</f>
        <v>36144.568099999997</v>
      </c>
      <c r="AI51" s="1">
        <f>VLOOKUP($A51,'Receitas - Aerop. Estratégicos'!$A$3:$CN$17,92,FALSE)</f>
        <v>36144.568099999997</v>
      </c>
      <c r="AJ51" s="1">
        <f>VLOOKUP($A51,'Receitas - Aerop. Estratégicos'!$A$3:$CQ$17,95,FALSE)</f>
        <v>36144.568099999997</v>
      </c>
      <c r="AK51" s="1">
        <f>VLOOKUP($A51,'Receitas - Aerop. Estratégicos'!$A$3:$CT$17,98,FALSE)</f>
        <v>36144.568099999997</v>
      </c>
      <c r="AL51" s="1">
        <f t="shared" si="3"/>
        <v>1084337.0430000003</v>
      </c>
      <c r="AM51" s="1">
        <f t="shared" si="1"/>
        <v>542168.5214999998</v>
      </c>
      <c r="AN51" t="str">
        <f>VLOOKUP(D51,'FLUXO DE CAIXA DESC.-BLOCOS PAN'!$D$3:$AO$52,38,FALSE)</f>
        <v>AM - 2 - AL</v>
      </c>
    </row>
    <row r="52" spans="1:40" x14ac:dyDescent="0.35">
      <c r="A52" t="s">
        <v>160</v>
      </c>
      <c r="B52" s="5" t="s">
        <v>276</v>
      </c>
      <c r="C52">
        <v>130014</v>
      </c>
      <c r="D52" t="s">
        <v>300</v>
      </c>
      <c r="E52" t="str">
        <f>VLOOKUP(A52,'CAPEX Manut. Estr_Naveg. Aérea'!$A$2:$B$38,2,FALSE)</f>
        <v>Apuí</v>
      </c>
      <c r="F52" t="s">
        <v>35</v>
      </c>
      <c r="G52" t="s">
        <v>33</v>
      </c>
      <c r="H52" s="1">
        <f>VLOOKUP($A52,'Receitas - Aerop. Estratégicos'!$A$3:$K$17,11,FALSE)</f>
        <v>32145.833299999998</v>
      </c>
      <c r="I52" s="1">
        <f>VLOOKUP($A52,'Receitas - Aerop. Estratégicos'!$A$3:$N$17,14,FALSE)</f>
        <v>32145.833299999998</v>
      </c>
      <c r="J52" s="1">
        <f>VLOOKUP($A52,'Receitas - Aerop. Estratégicos'!$A$3:$Q$17,17,FALSE)</f>
        <v>32145.833299999998</v>
      </c>
      <c r="K52" s="1">
        <f>VLOOKUP($A52,'Receitas - Aerop. Estratégicos'!$A$3:$T$17,20,FALSE)</f>
        <v>32145.833299999998</v>
      </c>
      <c r="L52" s="1">
        <f>VLOOKUP($A52,'Receitas - Aerop. Estratégicos'!$A$3:$W$17,23,FALSE)</f>
        <v>32145.833299999998</v>
      </c>
      <c r="M52" s="1">
        <f>VLOOKUP($A52,'Receitas - Aerop. Estratégicos'!$A$3:$Z$17,26,FALSE)</f>
        <v>32145.833299999998</v>
      </c>
      <c r="N52" s="1">
        <f>VLOOKUP($A52,'Receitas - Aerop. Estratégicos'!$A$3:$AC$17,29,FALSE)</f>
        <v>32145.833299999998</v>
      </c>
      <c r="O52" s="1">
        <f>VLOOKUP($A52,'Receitas - Aerop. Estratégicos'!$A$3:$AF$17,32,FALSE)</f>
        <v>32145.833299999998</v>
      </c>
      <c r="P52" s="1">
        <f>VLOOKUP($A52,'Receitas - Aerop. Estratégicos'!$A$3:$AI$17,35,FALSE)</f>
        <v>32145.833299999998</v>
      </c>
      <c r="Q52" s="1">
        <f>VLOOKUP($A52,'Receitas - Aerop. Estratégicos'!$A$3:$AL$17,38,FALSE)</f>
        <v>32145.833299999998</v>
      </c>
      <c r="R52" s="1">
        <f>VLOOKUP($A52,'Receitas - Aerop. Estratégicos'!$A$3:$AO$17,41,FALSE)</f>
        <v>32145.833299999998</v>
      </c>
      <c r="S52" s="1">
        <f>VLOOKUP($A52,'Receitas - Aerop. Estratégicos'!$A$3:$AR$17,44,FALSE)</f>
        <v>32145.833299999998</v>
      </c>
      <c r="T52" s="1">
        <f>VLOOKUP($A52,'Receitas - Aerop. Estratégicos'!$A$3:$AU$17,47,FALSE)</f>
        <v>32145.833299999998</v>
      </c>
      <c r="U52" s="1">
        <f>VLOOKUP($A52,'Receitas - Aerop. Estratégicos'!$A$3:$AX$17,50,FALSE)</f>
        <v>32145.833299999998</v>
      </c>
      <c r="V52" s="1">
        <f>VLOOKUP($A52,'Receitas - Aerop. Estratégicos'!$A$3:$BA$17,53,FALSE)</f>
        <v>32145.833299999998</v>
      </c>
      <c r="W52" s="1">
        <f>VLOOKUP($A52,'Receitas - Aerop. Estratégicos'!$A$3:$BD$17,56,FALSE)</f>
        <v>32145.833299999998</v>
      </c>
      <c r="X52" s="1">
        <f>VLOOKUP($A52,'Receitas - Aerop. Estratégicos'!$A$3:$BG$17,59,FALSE)</f>
        <v>32145.833299999998</v>
      </c>
      <c r="Y52" s="1">
        <f>VLOOKUP($A52,'Receitas - Aerop. Estratégicos'!$A$3:$BJ$17,62,FALSE)</f>
        <v>32145.833299999998</v>
      </c>
      <c r="Z52" s="1">
        <f>VLOOKUP($A52,'Receitas - Aerop. Estratégicos'!$A$3:$BM$17,65,FALSE)</f>
        <v>32145.833299999998</v>
      </c>
      <c r="AA52" s="1">
        <f>VLOOKUP($A52,'Receitas - Aerop. Estratégicos'!$A$3:$BP$17,68,FALSE)</f>
        <v>32145.833299999998</v>
      </c>
      <c r="AB52" s="1">
        <f>VLOOKUP($A52,'Receitas - Aerop. Estratégicos'!$A$3:$BS$17,71,FALSE)</f>
        <v>32145.833299999998</v>
      </c>
      <c r="AC52" s="1">
        <f>VLOOKUP($A52,'Receitas - Aerop. Estratégicos'!$A$3:$BV$17,74,FALSE)</f>
        <v>32145.833299999998</v>
      </c>
      <c r="AD52" s="1">
        <f>VLOOKUP($A52,'Receitas - Aerop. Estratégicos'!$A$3:$BY$17,77,FALSE)</f>
        <v>32145.833299999998</v>
      </c>
      <c r="AE52" s="1">
        <f>VLOOKUP($A52,'Receitas - Aerop. Estratégicos'!$A$3:$CB$17,80,FALSE)</f>
        <v>32145.833299999998</v>
      </c>
      <c r="AF52" s="1">
        <f>VLOOKUP($A52,'Receitas - Aerop. Estratégicos'!$A$3:$CE$17,83,FALSE)</f>
        <v>32145.833299999998</v>
      </c>
      <c r="AG52" s="1">
        <f>VLOOKUP($A52,'Receitas - Aerop. Estratégicos'!$A$3:$CH$17,86,FALSE)</f>
        <v>32145.833299999998</v>
      </c>
      <c r="AH52" s="1">
        <f>VLOOKUP($A52,'Receitas - Aerop. Estratégicos'!$A$3:$CK$17,89,FALSE)</f>
        <v>32145.833299999998</v>
      </c>
      <c r="AI52" s="1">
        <f>VLOOKUP($A52,'Receitas - Aerop. Estratégicos'!$A$3:$CN$17,92,FALSE)</f>
        <v>32145.833299999998</v>
      </c>
      <c r="AJ52" s="1">
        <f>VLOOKUP($A52,'Receitas - Aerop. Estratégicos'!$A$3:$CQ$17,95,FALSE)</f>
        <v>32145.833299999998</v>
      </c>
      <c r="AK52" s="1">
        <f>VLOOKUP($A52,'Receitas - Aerop. Estratégicos'!$A$3:$CT$17,98,FALSE)</f>
        <v>32145.833299999998</v>
      </c>
      <c r="AL52" s="1">
        <f t="shared" si="3"/>
        <v>964374.99900000077</v>
      </c>
      <c r="AM52" s="1">
        <f t="shared" si="1"/>
        <v>482187.49949999998</v>
      </c>
      <c r="AN52" t="str">
        <f>VLOOKUP(D52,'FLUXO DE CAIXA DESC.-BLOCOS PAN'!$D$3:$AO$52,38,FALSE)</f>
        <v>AM - 3 - AL</v>
      </c>
    </row>
    <row r="53" spans="1:40" x14ac:dyDescent="0.35">
      <c r="H53" s="69">
        <f>SUBTOTAL(109,H3:H52)</f>
        <v>18124723.802400008</v>
      </c>
      <c r="I53" s="69">
        <f>SUBTOTAL(109,I3:I52)</f>
        <v>19846952.695799999</v>
      </c>
      <c r="J53" s="69">
        <f>SUBTOTAL(109,J3:J52)</f>
        <v>21344763.529300004</v>
      </c>
      <c r="K53" s="69">
        <f>SUBTOTAL(109,K3:K52)</f>
        <v>22439892.693300001</v>
      </c>
      <c r="L53" s="69">
        <f>SUBTOTAL(109,L3:L52)</f>
        <v>23433542.160100002</v>
      </c>
      <c r="M53" s="69">
        <f>SUBTOTAL(109,M3:M52)</f>
        <v>24230338.227999996</v>
      </c>
      <c r="N53" s="69">
        <f>SUBTOTAL(109,N3:N52)</f>
        <v>25062588.346299998</v>
      </c>
      <c r="O53" s="69">
        <f>SUBTOTAL(109,O3:O52)</f>
        <v>25810125.797100008</v>
      </c>
      <c r="P53" s="69">
        <f>SUBTOTAL(109,P3:P52)</f>
        <v>26514754.872300006</v>
      </c>
      <c r="Q53" s="69">
        <f>SUBTOTAL(109,Q3:Q52)</f>
        <v>27240509.813799996</v>
      </c>
      <c r="R53" s="69">
        <f>SUBTOTAL(109,R3:R52)</f>
        <v>27844587.879000008</v>
      </c>
      <c r="S53" s="69">
        <f>SUBTOTAL(109,S3:S52)</f>
        <v>28509342.9877</v>
      </c>
      <c r="T53" s="69">
        <f>SUBTOTAL(109,T3:T52)</f>
        <v>29110156.830299996</v>
      </c>
      <c r="U53" s="69">
        <f>SUBTOTAL(109,U3:U52)</f>
        <v>29745297.760400005</v>
      </c>
      <c r="V53" s="69">
        <f>SUBTOTAL(109,V3:V52)</f>
        <v>30359115.897499997</v>
      </c>
      <c r="W53" s="69">
        <f>SUBTOTAL(109,W3:W52)</f>
        <v>31059690.643000007</v>
      </c>
      <c r="X53" s="69">
        <f>SUBTOTAL(109,X3:X52)</f>
        <v>31760276.605800007</v>
      </c>
      <c r="Y53" s="69">
        <f>SUBTOTAL(109,Y3:Y52)</f>
        <v>32403656.825400002</v>
      </c>
      <c r="Z53" s="69">
        <f>SUBTOTAL(109,Z3:Z52)</f>
        <v>33072263.465700008</v>
      </c>
      <c r="AA53" s="69">
        <f>SUBTOTAL(109,AA3:AA52)</f>
        <v>33792009.143000007</v>
      </c>
      <c r="AB53" s="69">
        <f>SUBTOTAL(109,AB3:AB52)</f>
        <v>34465405.105900005</v>
      </c>
      <c r="AC53" s="69">
        <f>SUBTOTAL(109,AC3:AC52)</f>
        <v>35129765.85019999</v>
      </c>
      <c r="AD53" s="69">
        <f>SUBTOTAL(109,AD3:AD52)</f>
        <v>35899164.413399994</v>
      </c>
      <c r="AE53" s="69">
        <f>SUBTOTAL(109,AE3:AE52)</f>
        <v>36534899.278999992</v>
      </c>
      <c r="AF53" s="69">
        <f>SUBTOTAL(109,AF3:AF52)</f>
        <v>37195702.321299978</v>
      </c>
      <c r="AG53" s="69">
        <f>SUBTOTAL(109,AG3:AG52)</f>
        <v>38003455.231599994</v>
      </c>
      <c r="AH53" s="69">
        <f>SUBTOTAL(109,AH3:AH52)</f>
        <v>38827172.679699987</v>
      </c>
      <c r="AI53" s="69">
        <f>SUBTOTAL(109,AI3:AI52)</f>
        <v>39469992.855499998</v>
      </c>
      <c r="AJ53" s="69">
        <f>SUBTOTAL(109,AJ3:AJ52)</f>
        <v>40149402.966699988</v>
      </c>
      <c r="AK53" s="69">
        <f>SUBTOTAL(109,AK3:AK52)</f>
        <v>40875901.209199995</v>
      </c>
      <c r="AL53" s="69">
        <f>SUBTOTAL(109,AL3:AL52)</f>
        <v>918255451.88869989</v>
      </c>
      <c r="AM53" s="69">
        <f>SUBTOTAL(109,AM3:AM52)</f>
        <v>379616693.29329997</v>
      </c>
    </row>
    <row r="54" spans="1:40" x14ac:dyDescent="0.35">
      <c r="H54" s="69">
        <f>H53</f>
        <v>18124723.802400008</v>
      </c>
      <c r="I54" s="69">
        <f>H54+I53</f>
        <v>37971676.498200007</v>
      </c>
      <c r="J54" s="69">
        <f t="shared" ref="J54:AK54" si="8">I54+J53</f>
        <v>59316440.027500011</v>
      </c>
      <c r="K54" s="69">
        <f t="shared" si="8"/>
        <v>81756332.720800012</v>
      </c>
      <c r="L54" s="69">
        <f t="shared" si="8"/>
        <v>105189874.88090001</v>
      </c>
      <c r="M54" s="69">
        <f t="shared" si="8"/>
        <v>129420213.10890001</v>
      </c>
      <c r="N54" s="69">
        <f t="shared" si="8"/>
        <v>154482801.45520002</v>
      </c>
      <c r="O54" s="69">
        <f t="shared" si="8"/>
        <v>180292927.25230002</v>
      </c>
      <c r="P54" s="69">
        <f t="shared" si="8"/>
        <v>206807682.12460002</v>
      </c>
      <c r="Q54" s="69">
        <f t="shared" si="8"/>
        <v>234048191.93840003</v>
      </c>
      <c r="R54" s="69">
        <f t="shared" si="8"/>
        <v>261892779.81740004</v>
      </c>
      <c r="S54" s="69">
        <f t="shared" si="8"/>
        <v>290402122.80510002</v>
      </c>
      <c r="T54" s="69">
        <f t="shared" si="8"/>
        <v>319512279.6354</v>
      </c>
      <c r="U54" s="69">
        <f t="shared" si="8"/>
        <v>349257577.39579999</v>
      </c>
      <c r="V54" s="69">
        <f t="shared" si="8"/>
        <v>379616693.29329997</v>
      </c>
      <c r="W54" s="69">
        <f t="shared" si="8"/>
        <v>410676383.93629998</v>
      </c>
      <c r="X54" s="69">
        <f t="shared" si="8"/>
        <v>442436660.54210001</v>
      </c>
      <c r="Y54" s="69">
        <f t="shared" si="8"/>
        <v>474840317.36750001</v>
      </c>
      <c r="Z54" s="69">
        <f t="shared" si="8"/>
        <v>507912580.83320004</v>
      </c>
      <c r="AA54" s="69">
        <f t="shared" si="8"/>
        <v>541704589.9762001</v>
      </c>
      <c r="AB54" s="69">
        <f t="shared" si="8"/>
        <v>576169995.08210015</v>
      </c>
      <c r="AC54" s="69">
        <f t="shared" si="8"/>
        <v>611299760.93230009</v>
      </c>
      <c r="AD54" s="69">
        <f t="shared" si="8"/>
        <v>647198925.34570003</v>
      </c>
      <c r="AE54" s="69">
        <f t="shared" si="8"/>
        <v>683733824.62470007</v>
      </c>
      <c r="AF54" s="69">
        <f t="shared" si="8"/>
        <v>720929526.9460001</v>
      </c>
      <c r="AG54" s="69">
        <f t="shared" si="8"/>
        <v>758932982.17760015</v>
      </c>
      <c r="AH54" s="69">
        <f t="shared" si="8"/>
        <v>797760154.85730016</v>
      </c>
      <c r="AI54" s="69">
        <f t="shared" si="8"/>
        <v>837230147.71280015</v>
      </c>
      <c r="AJ54" s="69">
        <f t="shared" si="8"/>
        <v>877379550.6795001</v>
      </c>
      <c r="AK54" s="69">
        <f t="shared" si="8"/>
        <v>918255451.88870013</v>
      </c>
    </row>
    <row r="59" spans="1:40" x14ac:dyDescent="0.35">
      <c r="A59" s="63" t="s">
        <v>354</v>
      </c>
    </row>
  </sheetData>
  <autoFilter ref="A2:AN2" xr:uid="{349CBB29-228C-4F2C-98D3-4C909DC92161}"/>
  <conditionalFormatting sqref="D47:D52 D38">
    <cfRule type="duplicateValues" dxfId="10" priority="1"/>
  </conditionalFormatting>
  <hyperlinks>
    <hyperlink ref="A59" location="Introdução!A1" display="Introdução!A1" xr:uid="{C2405780-4420-478C-9E75-862C9E68EFCE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A2D7-232A-42E1-8091-BBBF5BBCE65B}">
  <sheetPr>
    <tabColor rgb="FF92D050"/>
  </sheetPr>
  <dimension ref="A1:BK44"/>
  <sheetViews>
    <sheetView workbookViewId="0">
      <pane ySplit="2" topLeftCell="A3" activePane="bottomLeft" state="frozen"/>
      <selection pane="bottomLeft" activeCell="A10" sqref="A10:XFD10"/>
    </sheetView>
  </sheetViews>
  <sheetFormatPr defaultRowHeight="14.5" x14ac:dyDescent="0.35"/>
  <cols>
    <col min="1" max="1" width="7" bestFit="1" customWidth="1"/>
    <col min="2" max="2" width="19" customWidth="1"/>
    <col min="3" max="3" width="13.1796875" bestFit="1" customWidth="1"/>
    <col min="4" max="4" width="16.54296875" customWidth="1"/>
    <col min="5" max="5" width="3.81640625" bestFit="1" customWidth="1"/>
    <col min="6" max="7" width="11.81640625" customWidth="1"/>
    <col min="8" max="8" width="17.7265625" customWidth="1"/>
    <col min="9" max="9" width="17.453125" bestFit="1" customWidth="1"/>
    <col min="10" max="10" width="17.7265625" bestFit="1" customWidth="1"/>
    <col min="11" max="11" width="17.453125" bestFit="1" customWidth="1"/>
    <col min="12" max="12" width="18.453125" bestFit="1" customWidth="1"/>
    <col min="13" max="13" width="16.26953125" bestFit="1" customWidth="1"/>
    <col min="14" max="14" width="18" bestFit="1" customWidth="1"/>
    <col min="15" max="15" width="10.453125" bestFit="1" customWidth="1"/>
    <col min="16" max="16" width="18.1796875" bestFit="1" customWidth="1"/>
    <col min="17" max="17" width="15" bestFit="1" customWidth="1"/>
    <col min="18" max="18" width="18.453125" bestFit="1" customWidth="1"/>
    <col min="20" max="20" width="17.7265625" bestFit="1" customWidth="1"/>
    <col min="21" max="22" width="16.7265625" bestFit="1" customWidth="1"/>
    <col min="23" max="23" width="18" bestFit="1" customWidth="1"/>
    <col min="24" max="24" width="18.1796875" bestFit="1" customWidth="1"/>
    <col min="25" max="25" width="16.26953125" bestFit="1" customWidth="1"/>
    <col min="26" max="26" width="18.26953125" bestFit="1" customWidth="1"/>
    <col min="27" max="27" width="10.1796875" bestFit="1" customWidth="1"/>
    <col min="28" max="28" width="17.1796875" bestFit="1" customWidth="1"/>
    <col min="29" max="29" width="15" bestFit="1" customWidth="1"/>
    <col min="30" max="30" width="18.26953125" bestFit="1" customWidth="1"/>
    <col min="32" max="32" width="17.26953125" bestFit="1" customWidth="1"/>
    <col min="33" max="33" width="16.1796875" bestFit="1" customWidth="1"/>
    <col min="34" max="34" width="16.26953125" bestFit="1" customWidth="1"/>
    <col min="35" max="35" width="17.1796875" bestFit="1" customWidth="1"/>
    <col min="36" max="36" width="18.1796875" bestFit="1" customWidth="1"/>
    <col min="37" max="37" width="15.81640625" bestFit="1" customWidth="1"/>
    <col min="38" max="38" width="18" bestFit="1" customWidth="1"/>
    <col min="39" max="39" width="9.7265625" bestFit="1" customWidth="1"/>
    <col min="40" max="40" width="17.1796875" bestFit="1" customWidth="1"/>
    <col min="41" max="41" width="14.26953125" bestFit="1" customWidth="1"/>
    <col min="42" max="42" width="18.26953125" bestFit="1" customWidth="1"/>
    <col min="44" max="44" width="16.81640625" bestFit="1" customWidth="1"/>
    <col min="45" max="45" width="9.26953125" bestFit="1" customWidth="1"/>
    <col min="46" max="46" width="15.81640625" bestFit="1" customWidth="1"/>
    <col min="47" max="48" width="16.81640625" bestFit="1" customWidth="1"/>
    <col min="49" max="49" width="15.81640625" bestFit="1" customWidth="1"/>
    <col min="50" max="50" width="18" bestFit="1" customWidth="1"/>
    <col min="51" max="51" width="9.26953125" bestFit="1" customWidth="1"/>
    <col min="52" max="52" width="16.81640625" bestFit="1" customWidth="1"/>
    <col min="53" max="53" width="14.26953125" bestFit="1" customWidth="1"/>
    <col min="54" max="55" width="18" bestFit="1" customWidth="1"/>
    <col min="57" max="57" width="10.7265625" bestFit="1" customWidth="1"/>
    <col min="58" max="58" width="11.54296875" customWidth="1"/>
    <col min="59" max="59" width="11.1796875" customWidth="1"/>
    <col min="60" max="60" width="11.1796875" bestFit="1" customWidth="1"/>
    <col min="61" max="61" width="11.26953125" customWidth="1"/>
    <col min="62" max="63" width="11.1796875" bestFit="1" customWidth="1"/>
  </cols>
  <sheetData>
    <row r="1" spans="1:63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 t="s">
        <v>8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9</v>
      </c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 t="s">
        <v>10</v>
      </c>
      <c r="BD1" s="2"/>
      <c r="BE1" s="2" t="s">
        <v>11</v>
      </c>
      <c r="BF1" s="2" t="s">
        <v>12</v>
      </c>
      <c r="BG1" s="2"/>
      <c r="BH1" s="2"/>
      <c r="BI1" s="2" t="s">
        <v>13</v>
      </c>
      <c r="BJ1" s="2"/>
      <c r="BK1" s="2"/>
    </row>
    <row r="2" spans="1:63" x14ac:dyDescent="0.35">
      <c r="A2" s="2"/>
      <c r="B2" s="2"/>
      <c r="C2" s="2"/>
      <c r="D2" s="2"/>
      <c r="E2" s="2"/>
      <c r="F2" s="2"/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  <c r="Q2" s="2" t="s">
        <v>24</v>
      </c>
      <c r="R2" s="2" t="s">
        <v>25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14</v>
      </c>
      <c r="AF2" s="2" t="s">
        <v>15</v>
      </c>
      <c r="AG2" s="2" t="s">
        <v>16</v>
      </c>
      <c r="AH2" s="2" t="s">
        <v>17</v>
      </c>
      <c r="AI2" s="2" t="s">
        <v>18</v>
      </c>
      <c r="AJ2" s="2" t="s">
        <v>19</v>
      </c>
      <c r="AK2" s="2" t="s">
        <v>20</v>
      </c>
      <c r="AL2" s="2" t="s">
        <v>21</v>
      </c>
      <c r="AM2" s="2" t="s">
        <v>22</v>
      </c>
      <c r="AN2" s="2" t="s">
        <v>23</v>
      </c>
      <c r="AO2" s="2" t="s">
        <v>24</v>
      </c>
      <c r="AP2" s="2" t="s">
        <v>25</v>
      </c>
      <c r="AQ2" s="2" t="s">
        <v>14</v>
      </c>
      <c r="AR2" s="2" t="s">
        <v>15</v>
      </c>
      <c r="AS2" s="2" t="s">
        <v>16</v>
      </c>
      <c r="AT2" s="2" t="s">
        <v>17</v>
      </c>
      <c r="AU2" s="2" t="s">
        <v>18</v>
      </c>
      <c r="AV2" s="2" t="s">
        <v>19</v>
      </c>
      <c r="AW2" s="2" t="s">
        <v>20</v>
      </c>
      <c r="AX2" s="2" t="s">
        <v>21</v>
      </c>
      <c r="AY2" s="2" t="s">
        <v>22</v>
      </c>
      <c r="AZ2" s="2" t="s">
        <v>23</v>
      </c>
      <c r="BA2" s="2" t="s">
        <v>24</v>
      </c>
      <c r="BB2" s="2" t="s">
        <v>25</v>
      </c>
      <c r="BC2" s="2" t="s">
        <v>25</v>
      </c>
      <c r="BD2" s="2"/>
      <c r="BE2" s="2"/>
      <c r="BF2" s="2" t="s">
        <v>26</v>
      </c>
      <c r="BG2" s="2" t="s">
        <v>27</v>
      </c>
      <c r="BH2" s="2" t="s">
        <v>28</v>
      </c>
      <c r="BI2" s="2" t="s">
        <v>26</v>
      </c>
      <c r="BJ2" s="2" t="s">
        <v>27</v>
      </c>
      <c r="BK2" s="2" t="s">
        <v>28</v>
      </c>
    </row>
    <row r="3" spans="1:63" x14ac:dyDescent="0.35">
      <c r="A3" t="s">
        <v>43</v>
      </c>
      <c r="B3" t="s">
        <v>44</v>
      </c>
      <c r="C3" t="s">
        <v>45</v>
      </c>
      <c r="D3" t="s">
        <v>44</v>
      </c>
      <c r="E3" t="s">
        <v>29</v>
      </c>
      <c r="F3" t="s">
        <v>33</v>
      </c>
      <c r="G3" t="s">
        <v>34</v>
      </c>
      <c r="H3" s="1">
        <v>0</v>
      </c>
      <c r="I3" s="1">
        <v>5110000</v>
      </c>
      <c r="J3" s="1">
        <v>0</v>
      </c>
      <c r="K3" s="1">
        <v>0</v>
      </c>
      <c r="L3" s="1">
        <v>8985000</v>
      </c>
      <c r="M3" s="1">
        <v>0</v>
      </c>
      <c r="N3" s="1">
        <v>1215000</v>
      </c>
      <c r="O3" s="1">
        <v>0</v>
      </c>
      <c r="P3" s="1">
        <v>170000</v>
      </c>
      <c r="Q3" s="1">
        <v>0</v>
      </c>
      <c r="R3" s="1">
        <v>15480000</v>
      </c>
      <c r="S3">
        <v>2025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>
        <v>2045</v>
      </c>
      <c r="AF3" s="1">
        <v>29885000</v>
      </c>
      <c r="AG3" s="1">
        <v>0</v>
      </c>
      <c r="AH3" s="1">
        <v>875000</v>
      </c>
      <c r="AI3" s="1">
        <v>9005000</v>
      </c>
      <c r="AJ3" s="1">
        <v>7755000</v>
      </c>
      <c r="AK3" s="1">
        <v>0</v>
      </c>
      <c r="AL3" s="1">
        <v>8770000</v>
      </c>
      <c r="AM3" s="1">
        <v>0</v>
      </c>
      <c r="AN3" s="1">
        <v>7820000</v>
      </c>
      <c r="AO3" s="1">
        <v>10000</v>
      </c>
      <c r="AP3" s="1">
        <v>64120000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>
        <v>0</v>
      </c>
      <c r="BC3" s="1"/>
      <c r="BE3">
        <v>1</v>
      </c>
      <c r="BG3">
        <v>2045</v>
      </c>
      <c r="BH3">
        <v>2025</v>
      </c>
      <c r="BJ3">
        <v>3</v>
      </c>
      <c r="BK3">
        <v>2</v>
      </c>
    </row>
    <row r="4" spans="1:63" x14ac:dyDescent="0.35">
      <c r="A4" t="s">
        <v>46</v>
      </c>
      <c r="B4" t="s">
        <v>47</v>
      </c>
      <c r="C4" t="s">
        <v>48</v>
      </c>
      <c r="D4" t="s">
        <v>49</v>
      </c>
      <c r="E4" t="s">
        <v>40</v>
      </c>
      <c r="F4" t="s">
        <v>33</v>
      </c>
      <c r="G4" t="s">
        <v>34</v>
      </c>
      <c r="H4" s="1">
        <v>0</v>
      </c>
      <c r="I4" s="1">
        <v>4500000</v>
      </c>
      <c r="J4" s="1">
        <v>0</v>
      </c>
      <c r="K4" s="1">
        <v>610000</v>
      </c>
      <c r="L4" s="1">
        <v>2860000</v>
      </c>
      <c r="M4" s="1">
        <v>0</v>
      </c>
      <c r="N4" s="1">
        <v>0</v>
      </c>
      <c r="O4" s="1">
        <v>0</v>
      </c>
      <c r="P4" s="1">
        <v>0</v>
      </c>
      <c r="Q4" s="1">
        <v>10000</v>
      </c>
      <c r="R4" s="1">
        <v>7980000</v>
      </c>
      <c r="S4">
        <v>2025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>
        <v>2039</v>
      </c>
      <c r="AF4" s="1">
        <v>28390000</v>
      </c>
      <c r="AG4" s="1">
        <v>0</v>
      </c>
      <c r="AH4" s="1">
        <v>0</v>
      </c>
      <c r="AI4" s="1">
        <v>1710000</v>
      </c>
      <c r="AJ4" s="1">
        <v>5300000</v>
      </c>
      <c r="AK4" s="1">
        <v>0</v>
      </c>
      <c r="AL4" s="1">
        <v>6130000</v>
      </c>
      <c r="AM4" s="1">
        <v>0</v>
      </c>
      <c r="AN4" s="1">
        <v>6300000</v>
      </c>
      <c r="AO4" s="1">
        <v>0</v>
      </c>
      <c r="AP4" s="1">
        <v>47830000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>
        <v>0</v>
      </c>
      <c r="BC4" s="1"/>
      <c r="BE4">
        <v>1</v>
      </c>
      <c r="BG4">
        <v>2039</v>
      </c>
      <c r="BH4">
        <v>2025</v>
      </c>
      <c r="BJ4">
        <v>3</v>
      </c>
      <c r="BK4">
        <v>2</v>
      </c>
    </row>
    <row r="5" spans="1:63" x14ac:dyDescent="0.35">
      <c r="A5" t="s">
        <v>50</v>
      </c>
      <c r="B5" t="s">
        <v>51</v>
      </c>
      <c r="C5" t="s">
        <v>52</v>
      </c>
      <c r="D5" t="s">
        <v>51</v>
      </c>
      <c r="E5" t="s">
        <v>35</v>
      </c>
      <c r="F5" t="s">
        <v>33</v>
      </c>
      <c r="G5" t="s">
        <v>34</v>
      </c>
      <c r="H5" s="1">
        <v>0</v>
      </c>
      <c r="I5" s="1">
        <v>260000</v>
      </c>
      <c r="J5" s="1">
        <v>0</v>
      </c>
      <c r="K5" s="1">
        <v>0</v>
      </c>
      <c r="L5" s="1">
        <v>3015000</v>
      </c>
      <c r="M5" s="1">
        <v>0</v>
      </c>
      <c r="N5" s="1">
        <v>2180000</v>
      </c>
      <c r="O5" s="1">
        <v>0</v>
      </c>
      <c r="P5" s="1">
        <v>280000</v>
      </c>
      <c r="Q5" s="1">
        <v>0</v>
      </c>
      <c r="R5" s="1">
        <v>5735000</v>
      </c>
      <c r="S5">
        <v>2026</v>
      </c>
      <c r="T5" s="1">
        <v>8800000</v>
      </c>
      <c r="U5" s="1">
        <v>4870000</v>
      </c>
      <c r="V5" s="1">
        <v>5450000</v>
      </c>
      <c r="W5" s="1">
        <v>2680000</v>
      </c>
      <c r="X5" s="1">
        <v>7310000</v>
      </c>
      <c r="Y5" s="1">
        <v>0</v>
      </c>
      <c r="Z5" s="1">
        <v>1785000</v>
      </c>
      <c r="AA5" s="1">
        <v>0</v>
      </c>
      <c r="AB5" s="1">
        <v>1260000</v>
      </c>
      <c r="AC5" s="1">
        <v>0</v>
      </c>
      <c r="AD5" s="1">
        <v>32155000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>
        <v>0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>
        <v>0</v>
      </c>
      <c r="BC5" s="1"/>
      <c r="BE5">
        <v>0</v>
      </c>
      <c r="BH5">
        <v>2026</v>
      </c>
      <c r="BK5">
        <v>1</v>
      </c>
    </row>
    <row r="6" spans="1:63" x14ac:dyDescent="0.35">
      <c r="A6" t="s">
        <v>54</v>
      </c>
      <c r="B6" t="s">
        <v>55</v>
      </c>
      <c r="C6" t="s">
        <v>56</v>
      </c>
      <c r="D6" t="s">
        <v>55</v>
      </c>
      <c r="E6" t="s">
        <v>30</v>
      </c>
      <c r="F6" t="s">
        <v>33</v>
      </c>
      <c r="G6" t="s">
        <v>34</v>
      </c>
      <c r="H6" s="1">
        <v>16340000</v>
      </c>
      <c r="I6" s="1">
        <v>5110000</v>
      </c>
      <c r="J6" s="1">
        <v>5515000</v>
      </c>
      <c r="K6" s="1">
        <v>1985000</v>
      </c>
      <c r="L6" s="1">
        <v>8615000</v>
      </c>
      <c r="M6" s="1">
        <v>0</v>
      </c>
      <c r="N6" s="1">
        <v>3500000</v>
      </c>
      <c r="O6" s="1">
        <v>0</v>
      </c>
      <c r="P6" s="1">
        <v>425000</v>
      </c>
      <c r="Q6" s="1">
        <v>10000</v>
      </c>
      <c r="R6" s="1">
        <v>41500000</v>
      </c>
      <c r="S6">
        <v>2038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>
        <v>0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>
        <v>0</v>
      </c>
      <c r="BC6" s="1"/>
      <c r="BE6">
        <v>1</v>
      </c>
      <c r="BH6">
        <v>2038</v>
      </c>
      <c r="BK6">
        <v>2</v>
      </c>
    </row>
    <row r="7" spans="1:63" x14ac:dyDescent="0.35">
      <c r="A7" t="s">
        <v>57</v>
      </c>
      <c r="B7" t="s">
        <v>58</v>
      </c>
      <c r="C7" t="s">
        <v>59</v>
      </c>
      <c r="D7" t="s">
        <v>58</v>
      </c>
      <c r="E7" t="s">
        <v>35</v>
      </c>
      <c r="F7" t="s">
        <v>33</v>
      </c>
      <c r="G7" t="s">
        <v>34</v>
      </c>
      <c r="H7" s="1">
        <v>39035000</v>
      </c>
      <c r="I7" s="1">
        <v>5130000</v>
      </c>
      <c r="J7" s="1">
        <v>0</v>
      </c>
      <c r="K7" s="1">
        <v>3960000</v>
      </c>
      <c r="L7" s="1">
        <v>13590000</v>
      </c>
      <c r="M7" s="1">
        <v>0</v>
      </c>
      <c r="N7" s="1">
        <v>12120000</v>
      </c>
      <c r="O7" s="1">
        <v>0</v>
      </c>
      <c r="P7" s="1">
        <v>1615000</v>
      </c>
      <c r="Q7" s="1">
        <v>300000</v>
      </c>
      <c r="R7" s="1">
        <v>75750000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0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>
        <v>0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>
        <v>0</v>
      </c>
      <c r="BC7" s="1"/>
      <c r="BE7">
        <v>3</v>
      </c>
    </row>
    <row r="8" spans="1:63" x14ac:dyDescent="0.35">
      <c r="A8" t="s">
        <v>60</v>
      </c>
      <c r="B8" t="s">
        <v>61</v>
      </c>
      <c r="C8" t="s">
        <v>62</v>
      </c>
      <c r="D8" t="s">
        <v>63</v>
      </c>
      <c r="E8" t="s">
        <v>29</v>
      </c>
      <c r="F8" t="s">
        <v>33</v>
      </c>
      <c r="G8" t="s">
        <v>34</v>
      </c>
      <c r="H8" s="1">
        <v>11300000</v>
      </c>
      <c r="I8" s="1">
        <v>5110000</v>
      </c>
      <c r="J8" s="1">
        <v>0</v>
      </c>
      <c r="K8" s="1">
        <v>2185000</v>
      </c>
      <c r="L8" s="1">
        <v>7755000</v>
      </c>
      <c r="M8" s="1">
        <v>0</v>
      </c>
      <c r="N8" s="1">
        <v>1890000</v>
      </c>
      <c r="O8" s="1">
        <v>0</v>
      </c>
      <c r="P8" s="1">
        <v>315000</v>
      </c>
      <c r="Q8" s="1">
        <v>10000</v>
      </c>
      <c r="R8" s="1">
        <v>28565000</v>
      </c>
      <c r="S8">
        <v>2029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>
        <v>2042</v>
      </c>
      <c r="AF8" s="1">
        <v>28215000</v>
      </c>
      <c r="AG8" s="1">
        <v>0</v>
      </c>
      <c r="AH8" s="1">
        <v>0</v>
      </c>
      <c r="AI8" s="1">
        <v>1915000</v>
      </c>
      <c r="AJ8" s="1">
        <v>7325000</v>
      </c>
      <c r="AK8" s="1">
        <v>0</v>
      </c>
      <c r="AL8" s="1">
        <v>8770000</v>
      </c>
      <c r="AM8" s="1">
        <v>0</v>
      </c>
      <c r="AN8" s="1">
        <v>7820000</v>
      </c>
      <c r="AO8" s="1">
        <v>0</v>
      </c>
      <c r="AP8" s="1">
        <v>54045000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>
        <v>0</v>
      </c>
      <c r="BC8" s="1"/>
      <c r="BE8">
        <v>1</v>
      </c>
      <c r="BG8">
        <v>2042</v>
      </c>
      <c r="BH8">
        <v>2029</v>
      </c>
      <c r="BJ8">
        <v>3</v>
      </c>
      <c r="BK8">
        <v>2</v>
      </c>
    </row>
    <row r="9" spans="1:63" x14ac:dyDescent="0.35">
      <c r="A9" t="s">
        <v>64</v>
      </c>
      <c r="B9" t="s">
        <v>65</v>
      </c>
      <c r="C9" t="s">
        <v>66</v>
      </c>
      <c r="D9" t="s">
        <v>65</v>
      </c>
      <c r="E9" t="s">
        <v>35</v>
      </c>
      <c r="F9" t="s">
        <v>33</v>
      </c>
      <c r="G9" t="s">
        <v>34</v>
      </c>
      <c r="H9" s="1">
        <v>195000</v>
      </c>
      <c r="I9" s="1">
        <v>5130000</v>
      </c>
      <c r="J9" s="1">
        <v>0</v>
      </c>
      <c r="K9" s="1">
        <v>1300000</v>
      </c>
      <c r="L9" s="1">
        <v>9000000</v>
      </c>
      <c r="M9" s="1">
        <v>0</v>
      </c>
      <c r="N9" s="1">
        <v>4160000</v>
      </c>
      <c r="O9" s="1">
        <v>0</v>
      </c>
      <c r="P9" s="1">
        <v>465000</v>
      </c>
      <c r="Q9" s="1">
        <v>0</v>
      </c>
      <c r="R9" s="1">
        <v>20250000</v>
      </c>
      <c r="S9">
        <v>2045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270000</v>
      </c>
      <c r="AD9" s="1">
        <v>270000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>
        <v>0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>
        <v>0</v>
      </c>
      <c r="BC9" s="1"/>
      <c r="BE9">
        <v>1</v>
      </c>
      <c r="BH9">
        <v>2045</v>
      </c>
      <c r="BK9">
        <v>2</v>
      </c>
    </row>
    <row r="10" spans="1:63" x14ac:dyDescent="0.35">
      <c r="A10" t="s">
        <v>67</v>
      </c>
      <c r="B10" t="s">
        <v>68</v>
      </c>
      <c r="C10" t="s">
        <v>69</v>
      </c>
      <c r="D10" t="s">
        <v>70</v>
      </c>
      <c r="E10" t="s">
        <v>29</v>
      </c>
      <c r="F10" t="s">
        <v>33</v>
      </c>
      <c r="G10" t="s">
        <v>34</v>
      </c>
      <c r="H10" s="1">
        <v>0</v>
      </c>
      <c r="I10" s="1">
        <v>5110000</v>
      </c>
      <c r="J10" s="1">
        <v>0</v>
      </c>
      <c r="K10" s="1">
        <v>2495000</v>
      </c>
      <c r="L10" s="1">
        <v>8985000</v>
      </c>
      <c r="M10" s="1">
        <v>0</v>
      </c>
      <c r="N10" s="1">
        <v>830000</v>
      </c>
      <c r="O10" s="1">
        <v>0</v>
      </c>
      <c r="P10" s="1">
        <v>445000</v>
      </c>
      <c r="Q10" s="1">
        <v>15000</v>
      </c>
      <c r="R10" s="1">
        <v>17880000</v>
      </c>
      <c r="S10">
        <v>2034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>
        <v>2049</v>
      </c>
      <c r="AF10" s="1">
        <v>29760000</v>
      </c>
      <c r="AG10" s="1">
        <v>0</v>
      </c>
      <c r="AH10" s="1">
        <v>1550000</v>
      </c>
      <c r="AI10" s="1">
        <v>1915000</v>
      </c>
      <c r="AJ10" s="1">
        <v>7220000</v>
      </c>
      <c r="AK10" s="1">
        <v>0</v>
      </c>
      <c r="AL10" s="1">
        <v>8770000</v>
      </c>
      <c r="AM10" s="1">
        <v>0</v>
      </c>
      <c r="AN10" s="1">
        <v>7820000</v>
      </c>
      <c r="AO10" s="1">
        <v>15000</v>
      </c>
      <c r="AP10" s="1">
        <v>57050000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>
        <v>0</v>
      </c>
      <c r="BC10" s="1"/>
      <c r="BE10">
        <v>1</v>
      </c>
      <c r="BG10">
        <v>2049</v>
      </c>
      <c r="BH10">
        <v>2034</v>
      </c>
      <c r="BJ10">
        <v>3</v>
      </c>
      <c r="BK10">
        <v>2</v>
      </c>
    </row>
    <row r="11" spans="1:63" x14ac:dyDescent="0.35">
      <c r="A11" t="s">
        <v>71</v>
      </c>
      <c r="B11" t="s">
        <v>72</v>
      </c>
      <c r="C11" t="s">
        <v>73</v>
      </c>
      <c r="D11" t="s">
        <v>72</v>
      </c>
      <c r="E11" t="s">
        <v>41</v>
      </c>
      <c r="F11" t="s">
        <v>33</v>
      </c>
      <c r="G11" t="s">
        <v>34</v>
      </c>
      <c r="H11" s="1">
        <v>13765000</v>
      </c>
      <c r="I11" s="1">
        <v>4960000</v>
      </c>
      <c r="J11" s="1">
        <v>1615000</v>
      </c>
      <c r="K11" s="1">
        <v>3320000</v>
      </c>
      <c r="L11" s="1">
        <v>9290000</v>
      </c>
      <c r="M11" s="1">
        <v>0</v>
      </c>
      <c r="N11" s="1">
        <v>4320000</v>
      </c>
      <c r="O11" s="1">
        <v>0</v>
      </c>
      <c r="P11" s="1">
        <v>505000</v>
      </c>
      <c r="Q11" s="1">
        <v>0</v>
      </c>
      <c r="R11" s="1">
        <v>37775000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0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>
        <v>0</v>
      </c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>
        <v>0</v>
      </c>
      <c r="BC11" s="1"/>
      <c r="BE11">
        <v>1</v>
      </c>
    </row>
    <row r="12" spans="1:63" x14ac:dyDescent="0.35">
      <c r="A12" t="s">
        <v>74</v>
      </c>
      <c r="B12" t="s">
        <v>75</v>
      </c>
      <c r="C12" t="s">
        <v>76</v>
      </c>
      <c r="D12" t="s">
        <v>75</v>
      </c>
      <c r="E12" t="s">
        <v>29</v>
      </c>
      <c r="F12" t="s">
        <v>33</v>
      </c>
      <c r="G12" t="s">
        <v>34</v>
      </c>
      <c r="H12" s="1">
        <v>18835000</v>
      </c>
      <c r="I12" s="1">
        <v>5110000</v>
      </c>
      <c r="J12" s="1">
        <v>4190000</v>
      </c>
      <c r="K12" s="1">
        <v>1885000</v>
      </c>
      <c r="L12" s="1">
        <v>8985000</v>
      </c>
      <c r="M12" s="1">
        <v>0</v>
      </c>
      <c r="N12" s="1">
        <v>1955000</v>
      </c>
      <c r="O12" s="1">
        <v>0</v>
      </c>
      <c r="P12" s="1">
        <v>445000</v>
      </c>
      <c r="Q12" s="1">
        <v>10000</v>
      </c>
      <c r="R12" s="1">
        <v>41415000</v>
      </c>
      <c r="S12">
        <v>2026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>
        <v>2049</v>
      </c>
      <c r="AF12" s="1">
        <v>28670000</v>
      </c>
      <c r="AG12" s="1">
        <v>0</v>
      </c>
      <c r="AH12" s="1">
        <v>0</v>
      </c>
      <c r="AI12" s="1">
        <v>2285000</v>
      </c>
      <c r="AJ12" s="1">
        <v>7755000</v>
      </c>
      <c r="AK12" s="1">
        <v>0</v>
      </c>
      <c r="AL12" s="1">
        <v>8770000</v>
      </c>
      <c r="AM12" s="1">
        <v>0</v>
      </c>
      <c r="AN12" s="1">
        <v>7820000</v>
      </c>
      <c r="AO12" s="1">
        <v>0</v>
      </c>
      <c r="AP12" s="1">
        <v>55300000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>
        <v>0</v>
      </c>
      <c r="BC12" s="1"/>
      <c r="BE12">
        <v>1</v>
      </c>
      <c r="BG12">
        <v>2049</v>
      </c>
      <c r="BH12">
        <v>2026</v>
      </c>
      <c r="BJ12">
        <v>3</v>
      </c>
      <c r="BK12">
        <v>2</v>
      </c>
    </row>
    <row r="13" spans="1:63" x14ac:dyDescent="0.35">
      <c r="A13" t="s">
        <v>77</v>
      </c>
      <c r="B13" t="s">
        <v>78</v>
      </c>
      <c r="C13" t="s">
        <v>79</v>
      </c>
      <c r="D13" t="s">
        <v>78</v>
      </c>
      <c r="E13" t="s">
        <v>35</v>
      </c>
      <c r="F13" t="s">
        <v>33</v>
      </c>
      <c r="G13" t="s">
        <v>34</v>
      </c>
      <c r="H13" s="1">
        <v>0</v>
      </c>
      <c r="I13" s="1">
        <v>5130000</v>
      </c>
      <c r="J13" s="1">
        <v>0</v>
      </c>
      <c r="K13" s="1">
        <v>1360000</v>
      </c>
      <c r="L13" s="1">
        <v>9000000</v>
      </c>
      <c r="M13" s="1">
        <v>0</v>
      </c>
      <c r="N13" s="1">
        <v>1550000</v>
      </c>
      <c r="O13" s="1">
        <v>0</v>
      </c>
      <c r="P13" s="1">
        <v>465000</v>
      </c>
      <c r="Q13" s="1">
        <v>0</v>
      </c>
      <c r="R13" s="1">
        <v>17505000</v>
      </c>
      <c r="S13">
        <v>2024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270000</v>
      </c>
      <c r="AD13" s="1">
        <v>270000</v>
      </c>
      <c r="AE13">
        <v>2052</v>
      </c>
      <c r="AF13" s="1">
        <v>39215000</v>
      </c>
      <c r="AG13" s="1">
        <v>0</v>
      </c>
      <c r="AH13" s="1">
        <v>0</v>
      </c>
      <c r="AI13" s="1">
        <v>2385000</v>
      </c>
      <c r="AJ13" s="1">
        <v>7860000</v>
      </c>
      <c r="AK13" s="1">
        <v>0</v>
      </c>
      <c r="AL13" s="1">
        <v>8770000</v>
      </c>
      <c r="AM13" s="1">
        <v>0</v>
      </c>
      <c r="AN13" s="1">
        <v>7860000</v>
      </c>
      <c r="AO13" s="1">
        <v>0</v>
      </c>
      <c r="AP13" s="1">
        <v>66090000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>
        <v>0</v>
      </c>
      <c r="BC13" s="1"/>
      <c r="BE13">
        <v>1</v>
      </c>
      <c r="BG13">
        <v>2052</v>
      </c>
      <c r="BH13">
        <v>2024</v>
      </c>
      <c r="BJ13">
        <v>3</v>
      </c>
      <c r="BK13">
        <v>2</v>
      </c>
    </row>
    <row r="14" spans="1:63" x14ac:dyDescent="0.35">
      <c r="A14" t="s">
        <v>80</v>
      </c>
      <c r="B14" t="s">
        <v>81</v>
      </c>
      <c r="C14" t="s">
        <v>82</v>
      </c>
      <c r="D14" t="s">
        <v>81</v>
      </c>
      <c r="E14" t="s">
        <v>40</v>
      </c>
      <c r="F14" t="s">
        <v>33</v>
      </c>
      <c r="G14" t="s">
        <v>34</v>
      </c>
      <c r="H14" s="1">
        <v>0</v>
      </c>
      <c r="I14" s="1">
        <v>5290000</v>
      </c>
      <c r="J14" s="1">
        <v>0</v>
      </c>
      <c r="K14" s="1">
        <v>2130000</v>
      </c>
      <c r="L14" s="1">
        <v>2860000</v>
      </c>
      <c r="M14" s="1">
        <v>0</v>
      </c>
      <c r="N14" s="1">
        <v>0</v>
      </c>
      <c r="O14" s="1">
        <v>0</v>
      </c>
      <c r="P14" s="1">
        <v>0</v>
      </c>
      <c r="Q14" s="1">
        <v>15000</v>
      </c>
      <c r="R14" s="1">
        <v>10295000</v>
      </c>
      <c r="S14">
        <v>2032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>
        <v>2048</v>
      </c>
      <c r="AF14" s="1">
        <v>21735000</v>
      </c>
      <c r="AG14" s="1">
        <v>0</v>
      </c>
      <c r="AH14" s="1">
        <v>0</v>
      </c>
      <c r="AI14" s="1">
        <v>1975000</v>
      </c>
      <c r="AJ14" s="1">
        <v>5770000</v>
      </c>
      <c r="AK14" s="1">
        <v>0</v>
      </c>
      <c r="AL14" s="1">
        <v>5225000</v>
      </c>
      <c r="AM14" s="1">
        <v>0</v>
      </c>
      <c r="AN14" s="1">
        <v>60000</v>
      </c>
      <c r="AO14" s="1">
        <v>0</v>
      </c>
      <c r="AP14" s="1">
        <v>34765000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>
        <v>0</v>
      </c>
      <c r="BC14" s="1"/>
      <c r="BE14">
        <v>1</v>
      </c>
      <c r="BG14">
        <v>2048</v>
      </c>
      <c r="BH14">
        <v>2032</v>
      </c>
      <c r="BJ14">
        <v>3</v>
      </c>
      <c r="BK14">
        <v>2</v>
      </c>
    </row>
    <row r="15" spans="1:63" x14ac:dyDescent="0.35">
      <c r="A15" t="s">
        <v>83</v>
      </c>
      <c r="B15" t="s">
        <v>84</v>
      </c>
      <c r="C15" t="s">
        <v>85</v>
      </c>
      <c r="D15" t="s">
        <v>84</v>
      </c>
      <c r="E15" t="s">
        <v>30</v>
      </c>
      <c r="F15" t="s">
        <v>33</v>
      </c>
      <c r="G15" t="s">
        <v>34</v>
      </c>
      <c r="H15" s="1">
        <v>0</v>
      </c>
      <c r="I15" s="1">
        <v>13420000</v>
      </c>
      <c r="J15" s="1">
        <v>0</v>
      </c>
      <c r="K15" s="1">
        <v>1455000</v>
      </c>
      <c r="L15" s="1">
        <v>9585000</v>
      </c>
      <c r="M15" s="1">
        <v>0</v>
      </c>
      <c r="N15" s="1">
        <v>1335000</v>
      </c>
      <c r="O15" s="1">
        <v>0</v>
      </c>
      <c r="P15" s="1">
        <v>425000</v>
      </c>
      <c r="Q15" s="1">
        <v>10000</v>
      </c>
      <c r="R15" s="1">
        <v>26230000</v>
      </c>
      <c r="S15">
        <v>2027</v>
      </c>
      <c r="T15" s="1">
        <v>43635000</v>
      </c>
      <c r="U15" s="1">
        <v>0</v>
      </c>
      <c r="V15" s="1">
        <v>0</v>
      </c>
      <c r="W15" s="1">
        <v>1890000</v>
      </c>
      <c r="X15" s="1">
        <v>7715000</v>
      </c>
      <c r="Y15" s="1">
        <v>0</v>
      </c>
      <c r="Z15" s="1">
        <v>8770000</v>
      </c>
      <c r="AA15" s="1">
        <v>0</v>
      </c>
      <c r="AB15" s="1">
        <v>7765000</v>
      </c>
      <c r="AC15" s="1">
        <v>0</v>
      </c>
      <c r="AD15" s="1">
        <v>69775000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>
        <v>0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>
        <v>0</v>
      </c>
      <c r="BC15" s="1"/>
      <c r="BE15">
        <v>2</v>
      </c>
      <c r="BH15">
        <v>2027</v>
      </c>
      <c r="BK15">
        <v>3</v>
      </c>
    </row>
    <row r="16" spans="1:63" x14ac:dyDescent="0.35">
      <c r="A16" t="s">
        <v>90</v>
      </c>
      <c r="B16" t="s">
        <v>91</v>
      </c>
      <c r="C16" t="s">
        <v>92</v>
      </c>
      <c r="D16" t="s">
        <v>91</v>
      </c>
      <c r="E16" t="s">
        <v>29</v>
      </c>
      <c r="F16" t="s">
        <v>33</v>
      </c>
      <c r="G16" t="s">
        <v>34</v>
      </c>
      <c r="H16" s="1">
        <v>8475000</v>
      </c>
      <c r="I16" s="1">
        <v>4345000</v>
      </c>
      <c r="J16" s="1">
        <v>0</v>
      </c>
      <c r="K16" s="1">
        <v>2900000</v>
      </c>
      <c r="L16" s="1">
        <v>8050000</v>
      </c>
      <c r="M16" s="1">
        <v>0</v>
      </c>
      <c r="N16" s="1">
        <v>1890000</v>
      </c>
      <c r="O16" s="1">
        <v>0</v>
      </c>
      <c r="P16" s="1">
        <v>350000</v>
      </c>
      <c r="Q16" s="1">
        <v>0</v>
      </c>
      <c r="R16" s="1">
        <v>26010000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>
        <v>0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>
        <v>0</v>
      </c>
      <c r="BC16" s="1"/>
      <c r="BE16">
        <v>1</v>
      </c>
    </row>
    <row r="17" spans="1:63" x14ac:dyDescent="0.35">
      <c r="A17" t="s">
        <v>93</v>
      </c>
      <c r="B17" t="s">
        <v>94</v>
      </c>
      <c r="C17" t="s">
        <v>95</v>
      </c>
      <c r="D17" t="s">
        <v>96</v>
      </c>
      <c r="E17" t="s">
        <v>29</v>
      </c>
      <c r="F17" t="s">
        <v>33</v>
      </c>
      <c r="G17" t="s">
        <v>34</v>
      </c>
      <c r="H17" s="1">
        <v>9105000</v>
      </c>
      <c r="I17" s="1">
        <v>5110000</v>
      </c>
      <c r="J17" s="1">
        <v>7230000</v>
      </c>
      <c r="K17" s="1">
        <v>1810000</v>
      </c>
      <c r="L17" s="1">
        <v>8985000</v>
      </c>
      <c r="M17" s="1">
        <v>0</v>
      </c>
      <c r="N17" s="1">
        <v>5360000</v>
      </c>
      <c r="O17" s="1">
        <v>0</v>
      </c>
      <c r="P17" s="1">
        <v>445000</v>
      </c>
      <c r="Q17" s="1">
        <v>0</v>
      </c>
      <c r="R17" s="1">
        <v>38045000</v>
      </c>
      <c r="S17">
        <v>2034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250000</v>
      </c>
      <c r="AD17" s="1">
        <v>250000</v>
      </c>
      <c r="AE17">
        <v>2049</v>
      </c>
      <c r="AF17" s="1">
        <v>37715000</v>
      </c>
      <c r="AG17" s="1">
        <v>0</v>
      </c>
      <c r="AH17" s="1">
        <v>2860000</v>
      </c>
      <c r="AI17" s="1">
        <v>2630000</v>
      </c>
      <c r="AJ17" s="1">
        <v>7755000</v>
      </c>
      <c r="AK17" s="1">
        <v>0</v>
      </c>
      <c r="AL17" s="1">
        <v>8770000</v>
      </c>
      <c r="AM17" s="1">
        <v>0</v>
      </c>
      <c r="AN17" s="1">
        <v>7820000</v>
      </c>
      <c r="AO17" s="1">
        <v>30000</v>
      </c>
      <c r="AP17" s="1">
        <v>67580000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>
        <v>0</v>
      </c>
      <c r="BC17" s="1"/>
      <c r="BE17">
        <v>1</v>
      </c>
      <c r="BG17">
        <v>2049</v>
      </c>
      <c r="BH17">
        <v>2034</v>
      </c>
      <c r="BJ17">
        <v>3</v>
      </c>
      <c r="BK17">
        <v>2</v>
      </c>
    </row>
    <row r="18" spans="1:63" x14ac:dyDescent="0.35">
      <c r="A18" t="s">
        <v>97</v>
      </c>
      <c r="B18" t="s">
        <v>98</v>
      </c>
      <c r="C18" t="s">
        <v>99</v>
      </c>
      <c r="D18" t="s">
        <v>98</v>
      </c>
      <c r="E18" t="s">
        <v>29</v>
      </c>
      <c r="F18" t="s">
        <v>33</v>
      </c>
      <c r="G18" t="s">
        <v>34</v>
      </c>
      <c r="H18" s="1">
        <v>10045000</v>
      </c>
      <c r="I18" s="1">
        <v>4345000</v>
      </c>
      <c r="J18" s="1">
        <v>0</v>
      </c>
      <c r="K18" s="1">
        <v>1615000</v>
      </c>
      <c r="L18" s="1">
        <v>8530000</v>
      </c>
      <c r="M18" s="1">
        <v>0</v>
      </c>
      <c r="N18" s="1">
        <v>2635000</v>
      </c>
      <c r="O18" s="1">
        <v>0</v>
      </c>
      <c r="P18" s="1">
        <v>445000</v>
      </c>
      <c r="Q18" s="1">
        <v>0</v>
      </c>
      <c r="R18" s="1">
        <v>27615000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0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>
        <v>0</v>
      </c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>
        <v>0</v>
      </c>
      <c r="BC18" s="1"/>
      <c r="BE18">
        <v>1</v>
      </c>
    </row>
    <row r="19" spans="1:63" x14ac:dyDescent="0.35">
      <c r="A19" t="s">
        <v>100</v>
      </c>
      <c r="B19" t="s">
        <v>101</v>
      </c>
      <c r="C19" t="s">
        <v>102</v>
      </c>
      <c r="D19" t="s">
        <v>103</v>
      </c>
      <c r="E19" t="s">
        <v>40</v>
      </c>
      <c r="F19" t="s">
        <v>33</v>
      </c>
      <c r="G19" t="s">
        <v>34</v>
      </c>
      <c r="H19" s="1">
        <v>0</v>
      </c>
      <c r="I19" s="1">
        <v>4500000</v>
      </c>
      <c r="J19" s="1">
        <v>0</v>
      </c>
      <c r="K19" s="1">
        <v>1700000</v>
      </c>
      <c r="L19" s="1">
        <v>6415000</v>
      </c>
      <c r="M19" s="1">
        <v>0</v>
      </c>
      <c r="N19" s="1">
        <v>2580000</v>
      </c>
      <c r="O19" s="1">
        <v>0</v>
      </c>
      <c r="P19" s="1">
        <v>0</v>
      </c>
      <c r="Q19" s="1">
        <v>15000</v>
      </c>
      <c r="R19" s="1">
        <v>15210000</v>
      </c>
      <c r="S19">
        <v>2027</v>
      </c>
      <c r="T19" s="1">
        <v>29760000</v>
      </c>
      <c r="U19" s="1">
        <v>0</v>
      </c>
      <c r="V19" s="1">
        <v>920000</v>
      </c>
      <c r="W19" s="1">
        <v>1975000</v>
      </c>
      <c r="X19" s="1">
        <v>7255000</v>
      </c>
      <c r="Y19" s="1">
        <v>0</v>
      </c>
      <c r="Z19" s="1">
        <v>8030000</v>
      </c>
      <c r="AA19" s="1">
        <v>0</v>
      </c>
      <c r="AB19" s="1">
        <v>6765000</v>
      </c>
      <c r="AC19" s="1">
        <v>10000</v>
      </c>
      <c r="AD19" s="1">
        <v>54715000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>
        <v>0</v>
      </c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>
        <v>0</v>
      </c>
      <c r="BC19" s="1"/>
      <c r="BE19">
        <v>2</v>
      </c>
      <c r="BH19">
        <v>2027</v>
      </c>
      <c r="BK19">
        <v>3</v>
      </c>
    </row>
    <row r="20" spans="1:63" x14ac:dyDescent="0.35">
      <c r="A20" t="s">
        <v>104</v>
      </c>
      <c r="B20" t="s">
        <v>105</v>
      </c>
      <c r="C20" t="s">
        <v>106</v>
      </c>
      <c r="D20" t="s">
        <v>107</v>
      </c>
      <c r="E20" t="s">
        <v>36</v>
      </c>
      <c r="F20" t="s">
        <v>33</v>
      </c>
      <c r="G20" t="s">
        <v>34</v>
      </c>
      <c r="H20" s="1">
        <v>8620000</v>
      </c>
      <c r="I20" s="1">
        <v>4485000</v>
      </c>
      <c r="J20" s="1">
        <v>0</v>
      </c>
      <c r="K20" s="1">
        <v>2555000</v>
      </c>
      <c r="L20" s="1">
        <v>7215000</v>
      </c>
      <c r="M20" s="1">
        <v>0</v>
      </c>
      <c r="N20" s="1">
        <v>4340000</v>
      </c>
      <c r="O20" s="1">
        <v>0</v>
      </c>
      <c r="P20" s="1">
        <v>380000</v>
      </c>
      <c r="Q20" s="1">
        <v>15000</v>
      </c>
      <c r="R20" s="1">
        <v>27610000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>
        <v>0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>
        <v>0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>
        <v>0</v>
      </c>
      <c r="BC20" s="1"/>
      <c r="BE20">
        <v>1</v>
      </c>
    </row>
    <row r="21" spans="1:63" x14ac:dyDescent="0.35">
      <c r="A21" t="s">
        <v>108</v>
      </c>
      <c r="B21" t="s">
        <v>109</v>
      </c>
      <c r="C21" t="s">
        <v>110</v>
      </c>
      <c r="D21" t="s">
        <v>109</v>
      </c>
      <c r="E21" t="s">
        <v>29</v>
      </c>
      <c r="F21" t="s">
        <v>33</v>
      </c>
      <c r="G21" t="s">
        <v>34</v>
      </c>
      <c r="H21" s="1">
        <v>10045000</v>
      </c>
      <c r="I21" s="1">
        <v>5110000</v>
      </c>
      <c r="J21" s="1">
        <v>0</v>
      </c>
      <c r="K21" s="1">
        <v>2470000</v>
      </c>
      <c r="L21" s="1">
        <v>7650000</v>
      </c>
      <c r="M21" s="1">
        <v>0</v>
      </c>
      <c r="N21" s="1">
        <v>3500000</v>
      </c>
      <c r="O21" s="1">
        <v>0</v>
      </c>
      <c r="P21" s="1">
        <v>445000</v>
      </c>
      <c r="Q21" s="1">
        <v>0</v>
      </c>
      <c r="R21" s="1">
        <v>29220000</v>
      </c>
      <c r="S21">
        <v>2032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250000</v>
      </c>
      <c r="AD21" s="1">
        <v>250000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>
        <v>0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>
        <v>0</v>
      </c>
      <c r="BC21" s="1"/>
      <c r="BE21">
        <v>1</v>
      </c>
      <c r="BH21">
        <v>2032</v>
      </c>
      <c r="BK21">
        <v>2</v>
      </c>
    </row>
    <row r="22" spans="1:63" x14ac:dyDescent="0.35">
      <c r="A22" t="s">
        <v>111</v>
      </c>
      <c r="B22" t="s">
        <v>112</v>
      </c>
      <c r="C22" t="s">
        <v>113</v>
      </c>
      <c r="D22" t="s">
        <v>112</v>
      </c>
      <c r="E22" t="s">
        <v>30</v>
      </c>
      <c r="F22" t="s">
        <v>33</v>
      </c>
      <c r="G22" t="s">
        <v>34</v>
      </c>
      <c r="H22" s="1">
        <v>0</v>
      </c>
      <c r="I22" s="1">
        <v>5110000</v>
      </c>
      <c r="J22" s="1">
        <v>0</v>
      </c>
      <c r="K22" s="1">
        <v>1425000</v>
      </c>
      <c r="L22" s="1">
        <v>8615000</v>
      </c>
      <c r="M22" s="1">
        <v>0</v>
      </c>
      <c r="N22" s="1">
        <v>5360000</v>
      </c>
      <c r="O22" s="1">
        <v>0</v>
      </c>
      <c r="P22" s="1">
        <v>425000</v>
      </c>
      <c r="Q22" s="1">
        <v>100000</v>
      </c>
      <c r="R22" s="1">
        <v>21035000</v>
      </c>
      <c r="S22">
        <v>2025</v>
      </c>
      <c r="T22" s="1">
        <v>23710000</v>
      </c>
      <c r="U22" s="1">
        <v>0</v>
      </c>
      <c r="V22" s="1">
        <v>0</v>
      </c>
      <c r="W22" s="1">
        <v>1835000</v>
      </c>
      <c r="X22" s="1">
        <v>6970000</v>
      </c>
      <c r="Y22" s="1">
        <v>0</v>
      </c>
      <c r="Z22" s="1">
        <v>8770000</v>
      </c>
      <c r="AA22" s="1">
        <v>0</v>
      </c>
      <c r="AB22" s="1">
        <v>7765000</v>
      </c>
      <c r="AC22" s="1">
        <v>0</v>
      </c>
      <c r="AD22" s="1">
        <v>49050000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>
        <v>0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>
        <v>0</v>
      </c>
      <c r="BC22" s="1"/>
      <c r="BE22">
        <v>2</v>
      </c>
      <c r="BH22">
        <v>2025</v>
      </c>
      <c r="BK22">
        <v>3</v>
      </c>
    </row>
    <row r="23" spans="1:63" x14ac:dyDescent="0.35">
      <c r="A23" t="s">
        <v>116</v>
      </c>
      <c r="B23" t="s">
        <v>117</v>
      </c>
      <c r="C23" t="s">
        <v>118</v>
      </c>
      <c r="D23" t="s">
        <v>117</v>
      </c>
      <c r="E23" t="s">
        <v>37</v>
      </c>
      <c r="F23" t="s">
        <v>33</v>
      </c>
      <c r="G23" t="s">
        <v>34</v>
      </c>
      <c r="H23" s="1">
        <v>9480000</v>
      </c>
      <c r="I23" s="1">
        <v>5045000</v>
      </c>
      <c r="J23" s="1">
        <v>9980000</v>
      </c>
      <c r="K23" s="1">
        <v>2750000</v>
      </c>
      <c r="L23" s="1">
        <v>8455000</v>
      </c>
      <c r="M23" s="1">
        <v>0</v>
      </c>
      <c r="N23" s="1">
        <v>5115000</v>
      </c>
      <c r="O23" s="1">
        <v>0</v>
      </c>
      <c r="P23" s="1">
        <v>420000</v>
      </c>
      <c r="Q23" s="1">
        <v>0</v>
      </c>
      <c r="R23" s="1">
        <v>41245000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>
        <v>0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>
        <v>0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>
        <v>0</v>
      </c>
      <c r="BC23" s="1"/>
      <c r="BE23">
        <v>1</v>
      </c>
    </row>
    <row r="24" spans="1:63" x14ac:dyDescent="0.35">
      <c r="A24" t="s">
        <v>119</v>
      </c>
      <c r="B24" t="s">
        <v>120</v>
      </c>
      <c r="C24" t="s">
        <v>121</v>
      </c>
      <c r="D24" t="s">
        <v>120</v>
      </c>
      <c r="E24" t="s">
        <v>35</v>
      </c>
      <c r="F24" t="s">
        <v>33</v>
      </c>
      <c r="G24" t="s">
        <v>34</v>
      </c>
      <c r="H24" s="1">
        <v>8800000</v>
      </c>
      <c r="I24" s="1">
        <v>5130000</v>
      </c>
      <c r="J24" s="1">
        <v>0</v>
      </c>
      <c r="K24" s="1">
        <v>3055000</v>
      </c>
      <c r="L24" s="1">
        <v>9000000</v>
      </c>
      <c r="M24" s="1">
        <v>0</v>
      </c>
      <c r="N24" s="1">
        <v>5360000</v>
      </c>
      <c r="O24" s="1">
        <v>0</v>
      </c>
      <c r="P24" s="1">
        <v>465000</v>
      </c>
      <c r="Q24" s="1">
        <v>0</v>
      </c>
      <c r="R24" s="1">
        <v>31810000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0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>
        <v>0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>
        <v>0</v>
      </c>
      <c r="BC24" s="1"/>
      <c r="BE24">
        <v>1</v>
      </c>
    </row>
    <row r="25" spans="1:63" x14ac:dyDescent="0.35">
      <c r="A25" t="s">
        <v>122</v>
      </c>
      <c r="B25" t="s">
        <v>123</v>
      </c>
      <c r="C25" t="s">
        <v>124</v>
      </c>
      <c r="D25" t="s">
        <v>123</v>
      </c>
      <c r="E25" t="s">
        <v>35</v>
      </c>
      <c r="F25" t="s">
        <v>33</v>
      </c>
      <c r="G25" t="s">
        <v>34</v>
      </c>
      <c r="H25" s="1">
        <v>15080000</v>
      </c>
      <c r="I25" s="1">
        <v>5130000</v>
      </c>
      <c r="J25" s="1">
        <v>0</v>
      </c>
      <c r="K25" s="1">
        <v>3065000</v>
      </c>
      <c r="L25" s="1">
        <v>9000000</v>
      </c>
      <c r="M25" s="1">
        <v>0</v>
      </c>
      <c r="N25" s="1">
        <v>5360000</v>
      </c>
      <c r="O25" s="1">
        <v>0</v>
      </c>
      <c r="P25" s="1">
        <v>465000</v>
      </c>
      <c r="Q25" s="1">
        <v>0</v>
      </c>
      <c r="R25" s="1">
        <v>38100000</v>
      </c>
      <c r="S25">
        <v>2029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270000</v>
      </c>
      <c r="AD25" s="1">
        <v>270000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>
        <v>0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>
        <v>0</v>
      </c>
      <c r="BC25" s="1"/>
      <c r="BE25">
        <v>1</v>
      </c>
      <c r="BH25">
        <v>2029</v>
      </c>
      <c r="BK25">
        <v>2</v>
      </c>
    </row>
    <row r="26" spans="1:63" x14ac:dyDescent="0.35">
      <c r="A26" t="s">
        <v>126</v>
      </c>
      <c r="B26" t="s">
        <v>127</v>
      </c>
      <c r="C26" t="s">
        <v>128</v>
      </c>
      <c r="D26" t="s">
        <v>127</v>
      </c>
      <c r="E26" t="s">
        <v>35</v>
      </c>
      <c r="F26" t="s">
        <v>33</v>
      </c>
      <c r="G26" t="s">
        <v>34</v>
      </c>
      <c r="H26" s="1">
        <v>0</v>
      </c>
      <c r="I26" s="1">
        <v>5130000</v>
      </c>
      <c r="J26" s="1">
        <v>0</v>
      </c>
      <c r="K26" s="1">
        <v>1310000</v>
      </c>
      <c r="L26" s="1">
        <v>9000000</v>
      </c>
      <c r="M26" s="1">
        <v>0</v>
      </c>
      <c r="N26" s="1">
        <v>5360000</v>
      </c>
      <c r="O26" s="1">
        <v>0</v>
      </c>
      <c r="P26" s="1">
        <v>465000</v>
      </c>
      <c r="Q26" s="1">
        <v>0</v>
      </c>
      <c r="R26" s="1">
        <v>21265000</v>
      </c>
      <c r="S26">
        <v>2051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270000</v>
      </c>
      <c r="AD26" s="1">
        <v>270000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>
        <v>0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>
        <v>0</v>
      </c>
      <c r="BC26" s="1"/>
      <c r="BE26">
        <v>1</v>
      </c>
      <c r="BH26">
        <v>2051</v>
      </c>
      <c r="BK26">
        <v>2</v>
      </c>
    </row>
    <row r="27" spans="1:63" x14ac:dyDescent="0.35">
      <c r="A27" t="s">
        <v>129</v>
      </c>
      <c r="B27" t="s">
        <v>42</v>
      </c>
      <c r="C27" t="s">
        <v>130</v>
      </c>
      <c r="D27" t="s">
        <v>42</v>
      </c>
      <c r="E27" t="s">
        <v>37</v>
      </c>
      <c r="F27" t="s">
        <v>33</v>
      </c>
      <c r="G27" t="s">
        <v>34</v>
      </c>
      <c r="H27" s="1">
        <v>15135000</v>
      </c>
      <c r="I27" s="1">
        <v>0</v>
      </c>
      <c r="J27" s="1">
        <v>9980000</v>
      </c>
      <c r="K27" s="1">
        <v>2975000</v>
      </c>
      <c r="L27" s="1">
        <v>8455000</v>
      </c>
      <c r="M27" s="1">
        <v>0</v>
      </c>
      <c r="N27" s="1">
        <v>5115000</v>
      </c>
      <c r="O27" s="1">
        <v>0</v>
      </c>
      <c r="P27" s="1">
        <v>420000</v>
      </c>
      <c r="Q27" s="1">
        <v>0</v>
      </c>
      <c r="R27" s="1">
        <v>42080000</v>
      </c>
      <c r="S27">
        <v>2030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270000</v>
      </c>
      <c r="AD27" s="1">
        <v>270000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>
        <v>0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>
        <v>0</v>
      </c>
      <c r="BC27" s="1">
        <v>16179126.039999999</v>
      </c>
      <c r="BE27">
        <v>1</v>
      </c>
      <c r="BH27">
        <v>2030</v>
      </c>
      <c r="BK27">
        <v>2</v>
      </c>
    </row>
    <row r="28" spans="1:63" x14ac:dyDescent="0.35">
      <c r="A28" t="s">
        <v>131</v>
      </c>
      <c r="B28" t="s">
        <v>132</v>
      </c>
      <c r="C28" t="s">
        <v>133</v>
      </c>
      <c r="D28" t="s">
        <v>132</v>
      </c>
      <c r="E28" t="s">
        <v>32</v>
      </c>
      <c r="F28" t="s">
        <v>33</v>
      </c>
      <c r="G28" t="s">
        <v>34</v>
      </c>
      <c r="H28" s="1">
        <v>0</v>
      </c>
      <c r="I28" s="1">
        <v>4905000</v>
      </c>
      <c r="J28" s="1">
        <v>0</v>
      </c>
      <c r="K28" s="1">
        <v>730000</v>
      </c>
      <c r="L28" s="1">
        <v>7830000</v>
      </c>
      <c r="M28" s="1">
        <v>0</v>
      </c>
      <c r="N28" s="1">
        <v>5360000</v>
      </c>
      <c r="O28" s="1">
        <v>0</v>
      </c>
      <c r="P28" s="1">
        <v>370000</v>
      </c>
      <c r="Q28" s="1">
        <v>10000</v>
      </c>
      <c r="R28" s="1">
        <v>19205000</v>
      </c>
      <c r="S28">
        <v>2024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>
        <v>2038</v>
      </c>
      <c r="AF28" s="1">
        <v>20445000</v>
      </c>
      <c r="AG28" s="1">
        <v>0</v>
      </c>
      <c r="AH28" s="1">
        <v>0</v>
      </c>
      <c r="AI28" s="1">
        <v>1840000</v>
      </c>
      <c r="AJ28" s="1">
        <v>6605000</v>
      </c>
      <c r="AK28" s="1">
        <v>0</v>
      </c>
      <c r="AL28" s="1">
        <v>8770000</v>
      </c>
      <c r="AM28" s="1">
        <v>0</v>
      </c>
      <c r="AN28" s="1">
        <v>7620000</v>
      </c>
      <c r="AO28" s="1">
        <v>0</v>
      </c>
      <c r="AP28" s="1">
        <v>45280000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>
        <v>0</v>
      </c>
      <c r="BC28" s="1"/>
      <c r="BE28">
        <v>1</v>
      </c>
      <c r="BG28">
        <v>2038</v>
      </c>
      <c r="BH28">
        <v>2024</v>
      </c>
      <c r="BJ28">
        <v>3</v>
      </c>
      <c r="BK28">
        <v>2</v>
      </c>
    </row>
    <row r="29" spans="1:63" x14ac:dyDescent="0.35">
      <c r="A29" t="s">
        <v>135</v>
      </c>
      <c r="B29" t="s">
        <v>136</v>
      </c>
      <c r="C29" t="s">
        <v>137</v>
      </c>
      <c r="D29" t="s">
        <v>136</v>
      </c>
      <c r="E29" t="s">
        <v>37</v>
      </c>
      <c r="F29" t="s">
        <v>33</v>
      </c>
      <c r="G29" t="s">
        <v>34</v>
      </c>
      <c r="H29" s="1">
        <v>0</v>
      </c>
      <c r="I29" s="1">
        <v>255000</v>
      </c>
      <c r="J29" s="1">
        <v>0</v>
      </c>
      <c r="K29" s="1">
        <v>0</v>
      </c>
      <c r="L29" s="1">
        <v>2825000</v>
      </c>
      <c r="M29" s="1">
        <v>0</v>
      </c>
      <c r="N29" s="1">
        <v>3410000</v>
      </c>
      <c r="O29" s="1">
        <v>0</v>
      </c>
      <c r="P29" s="1">
        <v>255000</v>
      </c>
      <c r="Q29" s="1">
        <v>0</v>
      </c>
      <c r="R29" s="1">
        <v>6745000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>
        <v>0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>
        <v>0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>
        <v>0</v>
      </c>
      <c r="BC29" s="1"/>
      <c r="BE29">
        <v>0</v>
      </c>
    </row>
    <row r="30" spans="1:63" x14ac:dyDescent="0.35">
      <c r="A30" t="s">
        <v>138</v>
      </c>
      <c r="B30" t="s">
        <v>139</v>
      </c>
      <c r="C30" t="s">
        <v>140</v>
      </c>
      <c r="D30" t="s">
        <v>139</v>
      </c>
      <c r="E30" t="s">
        <v>37</v>
      </c>
      <c r="F30" t="s">
        <v>33</v>
      </c>
      <c r="G30" t="s">
        <v>34</v>
      </c>
      <c r="H30" s="1">
        <v>0</v>
      </c>
      <c r="I30" s="1">
        <v>5045000</v>
      </c>
      <c r="J30" s="1">
        <v>0</v>
      </c>
      <c r="K30" s="1">
        <v>690000</v>
      </c>
      <c r="L30" s="1">
        <v>8455000</v>
      </c>
      <c r="M30" s="1">
        <v>0</v>
      </c>
      <c r="N30" s="1">
        <v>5115000</v>
      </c>
      <c r="O30" s="1">
        <v>0</v>
      </c>
      <c r="P30" s="1">
        <v>420000</v>
      </c>
      <c r="Q30" s="1">
        <v>0</v>
      </c>
      <c r="R30" s="1">
        <v>19725000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0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>
        <v>0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>
        <v>0</v>
      </c>
      <c r="BC30" s="1"/>
      <c r="BE30">
        <v>1</v>
      </c>
    </row>
    <row r="31" spans="1:63" x14ac:dyDescent="0.35">
      <c r="A31" t="s">
        <v>141</v>
      </c>
      <c r="B31" t="s">
        <v>142</v>
      </c>
      <c r="C31" t="s">
        <v>143</v>
      </c>
      <c r="D31" t="s">
        <v>144</v>
      </c>
      <c r="E31" t="s">
        <v>38</v>
      </c>
      <c r="F31" t="s">
        <v>33</v>
      </c>
      <c r="G31" t="s">
        <v>34</v>
      </c>
      <c r="H31" s="1">
        <v>0</v>
      </c>
      <c r="I31" s="1">
        <v>5155000</v>
      </c>
      <c r="J31" s="1">
        <v>0</v>
      </c>
      <c r="K31" s="1">
        <v>1125000</v>
      </c>
      <c r="L31" s="1">
        <v>3395000</v>
      </c>
      <c r="M31" s="1">
        <v>0</v>
      </c>
      <c r="N31" s="1">
        <v>0</v>
      </c>
      <c r="O31" s="1">
        <v>0</v>
      </c>
      <c r="P31" s="1">
        <v>0</v>
      </c>
      <c r="Q31" s="1">
        <v>10000</v>
      </c>
      <c r="R31" s="1">
        <v>9685000</v>
      </c>
      <c r="S31">
        <v>2029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>
        <v>0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>
        <v>0</v>
      </c>
      <c r="BC31" s="1"/>
      <c r="BE31">
        <v>1</v>
      </c>
      <c r="BH31">
        <v>2029</v>
      </c>
      <c r="BK31">
        <v>2</v>
      </c>
    </row>
    <row r="32" spans="1:63" x14ac:dyDescent="0.35">
      <c r="A32" t="s">
        <v>145</v>
      </c>
      <c r="B32" t="s">
        <v>146</v>
      </c>
      <c r="C32" t="s">
        <v>147</v>
      </c>
      <c r="D32" t="s">
        <v>146</v>
      </c>
      <c r="E32" t="s">
        <v>35</v>
      </c>
      <c r="F32" t="s">
        <v>33</v>
      </c>
      <c r="G32" t="s">
        <v>34</v>
      </c>
      <c r="H32" s="1">
        <v>8800000</v>
      </c>
      <c r="I32" s="1">
        <v>5130000</v>
      </c>
      <c r="J32" s="1">
        <v>705000</v>
      </c>
      <c r="K32" s="1">
        <v>2645000</v>
      </c>
      <c r="L32" s="1">
        <v>9000000</v>
      </c>
      <c r="M32" s="1">
        <v>0</v>
      </c>
      <c r="N32" s="1">
        <v>5360000</v>
      </c>
      <c r="O32" s="1">
        <v>0</v>
      </c>
      <c r="P32" s="1">
        <v>465000</v>
      </c>
      <c r="Q32" s="1">
        <v>0</v>
      </c>
      <c r="R32" s="1">
        <v>32105000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0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>
        <v>0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>
        <v>0</v>
      </c>
      <c r="BC32" s="1"/>
      <c r="BE32">
        <v>1</v>
      </c>
    </row>
    <row r="33" spans="1:63" x14ac:dyDescent="0.35">
      <c r="A33" t="s">
        <v>148</v>
      </c>
      <c r="B33" t="s">
        <v>149</v>
      </c>
      <c r="C33" t="s">
        <v>150</v>
      </c>
      <c r="D33" t="s">
        <v>149</v>
      </c>
      <c r="E33" t="s">
        <v>35</v>
      </c>
      <c r="F33" t="s">
        <v>33</v>
      </c>
      <c r="G33" t="s">
        <v>34</v>
      </c>
      <c r="H33" s="1">
        <v>0</v>
      </c>
      <c r="I33" s="1">
        <v>260000</v>
      </c>
      <c r="J33" s="1">
        <v>0</v>
      </c>
      <c r="K33" s="1">
        <v>225000</v>
      </c>
      <c r="L33" s="1">
        <v>3015000</v>
      </c>
      <c r="M33" s="1">
        <v>0</v>
      </c>
      <c r="N33" s="1">
        <v>3575000</v>
      </c>
      <c r="O33" s="1">
        <v>0</v>
      </c>
      <c r="P33" s="1">
        <v>280000</v>
      </c>
      <c r="Q33" s="1">
        <v>0</v>
      </c>
      <c r="R33" s="1">
        <v>7355000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0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>
        <v>0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>
        <v>0</v>
      </c>
      <c r="BC33" s="1"/>
      <c r="BE33">
        <v>0</v>
      </c>
    </row>
    <row r="34" spans="1:63" x14ac:dyDescent="0.35">
      <c r="A34" t="s">
        <v>152</v>
      </c>
      <c r="B34" t="s">
        <v>153</v>
      </c>
      <c r="C34" t="s">
        <v>154</v>
      </c>
      <c r="D34" t="s">
        <v>153</v>
      </c>
      <c r="E34" t="s">
        <v>35</v>
      </c>
      <c r="F34" t="s">
        <v>33</v>
      </c>
      <c r="G34" t="s">
        <v>34</v>
      </c>
      <c r="H34" s="1">
        <v>30300000</v>
      </c>
      <c r="I34" s="1">
        <v>5130000</v>
      </c>
      <c r="J34" s="1">
        <v>0</v>
      </c>
      <c r="K34" s="1">
        <v>3215000</v>
      </c>
      <c r="L34" s="1">
        <v>12735000</v>
      </c>
      <c r="M34" s="1">
        <v>0</v>
      </c>
      <c r="N34" s="1">
        <v>14125000</v>
      </c>
      <c r="O34" s="1">
        <v>0</v>
      </c>
      <c r="P34" s="1">
        <v>1615000</v>
      </c>
      <c r="Q34" s="1">
        <v>15000</v>
      </c>
      <c r="R34" s="1">
        <v>67135000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>
        <v>0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>
        <v>0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>
        <v>0</v>
      </c>
      <c r="BC34" s="1"/>
      <c r="BE34">
        <v>3</v>
      </c>
    </row>
    <row r="35" spans="1:63" x14ac:dyDescent="0.35">
      <c r="A35" t="s">
        <v>157</v>
      </c>
      <c r="B35" t="s">
        <v>158</v>
      </c>
      <c r="C35" t="s">
        <v>159</v>
      </c>
      <c r="D35" t="s">
        <v>158</v>
      </c>
      <c r="E35" t="s">
        <v>37</v>
      </c>
      <c r="F35" t="s">
        <v>33</v>
      </c>
      <c r="G35" t="s">
        <v>34</v>
      </c>
      <c r="H35" s="1">
        <v>8870000</v>
      </c>
      <c r="I35" s="1">
        <v>5045000</v>
      </c>
      <c r="J35" s="1">
        <v>5425000</v>
      </c>
      <c r="K35" s="1">
        <v>2680000</v>
      </c>
      <c r="L35" s="1">
        <v>8455000</v>
      </c>
      <c r="M35" s="1">
        <v>0</v>
      </c>
      <c r="N35" s="1">
        <v>5115000</v>
      </c>
      <c r="O35" s="1">
        <v>0</v>
      </c>
      <c r="P35" s="1">
        <v>420000</v>
      </c>
      <c r="Q35" s="1">
        <v>0</v>
      </c>
      <c r="R35" s="1">
        <v>36010000</v>
      </c>
      <c r="S35">
        <v>2032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270000</v>
      </c>
      <c r="AD35" s="1">
        <v>270000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>
        <v>0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>
        <v>0</v>
      </c>
      <c r="BC35" s="1"/>
      <c r="BE35">
        <v>1</v>
      </c>
      <c r="BH35">
        <v>2032</v>
      </c>
      <c r="BK35">
        <v>2</v>
      </c>
    </row>
    <row r="36" spans="1:63" x14ac:dyDescent="0.35">
      <c r="A36" t="s">
        <v>260</v>
      </c>
      <c r="B36" t="s">
        <v>261</v>
      </c>
      <c r="C36" t="s">
        <v>286</v>
      </c>
      <c r="D36" t="s">
        <v>261</v>
      </c>
      <c r="E36" t="s">
        <v>29</v>
      </c>
      <c r="F36" t="s">
        <v>33</v>
      </c>
      <c r="G36" t="s">
        <v>34</v>
      </c>
      <c r="H36" s="1">
        <v>8050000</v>
      </c>
      <c r="I36" s="1">
        <v>5120000</v>
      </c>
      <c r="J36" s="1">
        <v>7280000</v>
      </c>
      <c r="K36" s="1">
        <v>2930000</v>
      </c>
      <c r="L36" s="1">
        <v>7205000</v>
      </c>
      <c r="M36" s="1">
        <v>0</v>
      </c>
      <c r="N36" s="1">
        <v>3810000</v>
      </c>
      <c r="O36" s="1">
        <v>0</v>
      </c>
      <c r="P36" s="1">
        <v>395000</v>
      </c>
      <c r="Q36" s="1">
        <v>250000</v>
      </c>
      <c r="R36" s="1">
        <v>35040000</v>
      </c>
      <c r="S36">
        <v>2025</v>
      </c>
      <c r="T36" s="1">
        <v>28345000</v>
      </c>
      <c r="U36" s="1">
        <v>0</v>
      </c>
      <c r="V36" s="1">
        <v>2755000</v>
      </c>
      <c r="W36" s="1">
        <v>1770000</v>
      </c>
      <c r="X36" s="1">
        <v>6700000</v>
      </c>
      <c r="Y36" s="1">
        <v>0</v>
      </c>
      <c r="Z36" s="1">
        <v>8770000</v>
      </c>
      <c r="AA36" s="1">
        <v>0</v>
      </c>
      <c r="AB36" s="1">
        <v>7695000</v>
      </c>
      <c r="AC36" s="1">
        <v>30000</v>
      </c>
      <c r="AD36" s="1">
        <v>56065000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>
        <v>0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>
        <v>0</v>
      </c>
      <c r="BC36" s="1">
        <v>102326652.2</v>
      </c>
      <c r="BE36">
        <v>2</v>
      </c>
      <c r="BH36">
        <v>2025</v>
      </c>
      <c r="BK36">
        <v>3</v>
      </c>
    </row>
    <row r="37" spans="1:63" x14ac:dyDescent="0.35">
      <c r="A37" t="s">
        <v>262</v>
      </c>
      <c r="B37" t="s">
        <v>263</v>
      </c>
      <c r="C37" t="s">
        <v>287</v>
      </c>
      <c r="D37" t="s">
        <v>263</v>
      </c>
      <c r="E37" t="s">
        <v>31</v>
      </c>
      <c r="F37" t="s">
        <v>33</v>
      </c>
      <c r="G37" t="s">
        <v>34</v>
      </c>
      <c r="H37" s="1">
        <v>25850000</v>
      </c>
      <c r="I37" s="1">
        <v>5210000</v>
      </c>
      <c r="J37" s="1">
        <v>2240000</v>
      </c>
      <c r="K37" s="1">
        <v>1995000</v>
      </c>
      <c r="L37" s="1">
        <v>10155000</v>
      </c>
      <c r="M37" s="1">
        <v>0</v>
      </c>
      <c r="N37" s="1">
        <v>7265000</v>
      </c>
      <c r="O37" s="1">
        <v>0</v>
      </c>
      <c r="P37" s="1">
        <v>1065000</v>
      </c>
      <c r="Q37" s="1">
        <v>110000</v>
      </c>
      <c r="R37" s="1">
        <v>53890000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>
        <v>0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>
        <v>0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>
        <v>0</v>
      </c>
      <c r="BC37" s="1"/>
      <c r="BE37">
        <v>3</v>
      </c>
    </row>
    <row r="44" spans="1:63" x14ac:dyDescent="0.35">
      <c r="A44" s="63" t="s">
        <v>354</v>
      </c>
    </row>
  </sheetData>
  <autoFilter ref="A2:BK37" xr:uid="{DCA4A2D7-232A-42E1-8091-BBBF5BBCE65B}"/>
  <conditionalFormatting sqref="A3:A37">
    <cfRule type="duplicateValues" dxfId="9" priority="280"/>
  </conditionalFormatting>
  <conditionalFormatting sqref="C3:C37">
    <cfRule type="duplicateValues" dxfId="8" priority="282"/>
  </conditionalFormatting>
  <hyperlinks>
    <hyperlink ref="A44" location="Introdução!A1" display="Introdução!A1" xr:uid="{85EBC2BA-5FCF-42DB-BD42-CAF52664997C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C5F5-9000-40C8-B037-4301E37D2366}">
  <sheetPr>
    <tabColor rgb="FF92D050"/>
  </sheetPr>
  <dimension ref="A1:CV44"/>
  <sheetViews>
    <sheetView workbookViewId="0">
      <selection activeCell="A10" sqref="A10:XFD10"/>
    </sheetView>
  </sheetViews>
  <sheetFormatPr defaultRowHeight="14.5" x14ac:dyDescent="0.35"/>
  <cols>
    <col min="1" max="1" width="7" bestFit="1" customWidth="1"/>
    <col min="2" max="2" width="19.1796875" customWidth="1"/>
    <col min="3" max="3" width="7.453125" bestFit="1" customWidth="1"/>
    <col min="4" max="4" width="13.1796875" bestFit="1" customWidth="1"/>
    <col min="5" max="5" width="18.26953125" customWidth="1"/>
    <col min="6" max="6" width="3.81640625" bestFit="1" customWidth="1"/>
    <col min="7" max="7" width="10.1796875" customWidth="1"/>
    <col min="8" max="8" width="13" customWidth="1"/>
    <col min="9" max="9" width="12.26953125" customWidth="1"/>
    <col min="10" max="10" width="13.54296875" customWidth="1"/>
    <col min="11" max="11" width="15.81640625" bestFit="1" customWidth="1"/>
    <col min="12" max="12" width="18" bestFit="1" customWidth="1"/>
    <col min="13" max="13" width="16.81640625" bestFit="1" customWidth="1"/>
    <col min="14" max="14" width="15.81640625" bestFit="1" customWidth="1"/>
    <col min="15" max="15" width="18" bestFit="1" customWidth="1"/>
    <col min="16" max="16" width="16.81640625" bestFit="1" customWidth="1"/>
    <col min="17" max="17" width="15.81640625" bestFit="1" customWidth="1"/>
    <col min="18" max="18" width="18" bestFit="1" customWidth="1"/>
    <col min="19" max="19" width="16.81640625" bestFit="1" customWidth="1"/>
    <col min="20" max="20" width="15.81640625" bestFit="1" customWidth="1"/>
    <col min="21" max="21" width="18" bestFit="1" customWidth="1"/>
    <col min="22" max="22" width="16.81640625" bestFit="1" customWidth="1"/>
    <col min="23" max="23" width="15.81640625" bestFit="1" customWidth="1"/>
    <col min="24" max="24" width="18" bestFit="1" customWidth="1"/>
    <col min="25" max="25" width="16.81640625" bestFit="1" customWidth="1"/>
    <col min="26" max="26" width="15.81640625" bestFit="1" customWidth="1"/>
    <col min="27" max="27" width="18" bestFit="1" customWidth="1"/>
    <col min="28" max="28" width="16.81640625" bestFit="1" customWidth="1"/>
    <col min="29" max="29" width="15.81640625" bestFit="1" customWidth="1"/>
    <col min="30" max="30" width="18" bestFit="1" customWidth="1"/>
    <col min="31" max="31" width="16.81640625" bestFit="1" customWidth="1"/>
    <col min="32" max="32" width="15.81640625" bestFit="1" customWidth="1"/>
    <col min="33" max="33" width="18" bestFit="1" customWidth="1"/>
    <col min="34" max="34" width="16.81640625" bestFit="1" customWidth="1"/>
    <col min="35" max="35" width="15.81640625" bestFit="1" customWidth="1"/>
    <col min="36" max="36" width="18" bestFit="1" customWidth="1"/>
    <col min="37" max="37" width="16.81640625" bestFit="1" customWidth="1"/>
    <col min="38" max="38" width="15.81640625" bestFit="1" customWidth="1"/>
    <col min="39" max="39" width="18" bestFit="1" customWidth="1"/>
    <col min="40" max="40" width="16.81640625" bestFit="1" customWidth="1"/>
    <col min="41" max="41" width="15.81640625" bestFit="1" customWidth="1"/>
    <col min="42" max="42" width="18" bestFit="1" customWidth="1"/>
    <col min="43" max="43" width="16.81640625" bestFit="1" customWidth="1"/>
    <col min="44" max="44" width="15.81640625" bestFit="1" customWidth="1"/>
    <col min="45" max="45" width="18" bestFit="1" customWidth="1"/>
    <col min="46" max="46" width="16.81640625" bestFit="1" customWidth="1"/>
    <col min="47" max="47" width="15.81640625" bestFit="1" customWidth="1"/>
    <col min="48" max="48" width="18" bestFit="1" customWidth="1"/>
    <col min="49" max="49" width="16.81640625" bestFit="1" customWidth="1"/>
    <col min="50" max="50" width="15.81640625" bestFit="1" customWidth="1"/>
    <col min="51" max="51" width="18" bestFit="1" customWidth="1"/>
    <col min="52" max="52" width="16.81640625" bestFit="1" customWidth="1"/>
    <col min="53" max="53" width="15.81640625" bestFit="1" customWidth="1"/>
    <col min="54" max="54" width="18" bestFit="1" customWidth="1"/>
    <col min="55" max="55" width="16.81640625" bestFit="1" customWidth="1"/>
    <col min="56" max="56" width="15.81640625" bestFit="1" customWidth="1"/>
    <col min="57" max="57" width="18" bestFit="1" customWidth="1"/>
    <col min="58" max="58" width="16.81640625" bestFit="1" customWidth="1"/>
    <col min="59" max="59" width="15.81640625" bestFit="1" customWidth="1"/>
    <col min="60" max="60" width="18" bestFit="1" customWidth="1"/>
    <col min="61" max="61" width="16.81640625" bestFit="1" customWidth="1"/>
    <col min="62" max="62" width="15.81640625" bestFit="1" customWidth="1"/>
    <col min="63" max="63" width="18" bestFit="1" customWidth="1"/>
    <col min="64" max="64" width="16.81640625" bestFit="1" customWidth="1"/>
    <col min="65" max="65" width="15.81640625" bestFit="1" customWidth="1"/>
    <col min="66" max="66" width="18" bestFit="1" customWidth="1"/>
    <col min="67" max="67" width="16.81640625" bestFit="1" customWidth="1"/>
    <col min="68" max="68" width="15.81640625" bestFit="1" customWidth="1"/>
    <col min="69" max="69" width="18" bestFit="1" customWidth="1"/>
    <col min="70" max="70" width="16.81640625" bestFit="1" customWidth="1"/>
    <col min="71" max="71" width="15.81640625" bestFit="1" customWidth="1"/>
    <col min="72" max="72" width="18" bestFit="1" customWidth="1"/>
    <col min="73" max="73" width="16.81640625" bestFit="1" customWidth="1"/>
    <col min="74" max="74" width="15.81640625" bestFit="1" customWidth="1"/>
    <col min="75" max="75" width="18" bestFit="1" customWidth="1"/>
    <col min="76" max="76" width="16.81640625" bestFit="1" customWidth="1"/>
    <col min="77" max="77" width="15.81640625" bestFit="1" customWidth="1"/>
    <col min="78" max="78" width="18" bestFit="1" customWidth="1"/>
    <col min="79" max="79" width="16.81640625" bestFit="1" customWidth="1"/>
    <col min="80" max="80" width="15.81640625" bestFit="1" customWidth="1"/>
    <col min="81" max="81" width="18" bestFit="1" customWidth="1"/>
    <col min="82" max="82" width="16.81640625" bestFit="1" customWidth="1"/>
    <col min="83" max="83" width="15.81640625" bestFit="1" customWidth="1"/>
    <col min="84" max="84" width="18" bestFit="1" customWidth="1"/>
    <col min="85" max="85" width="16.81640625" bestFit="1" customWidth="1"/>
    <col min="86" max="86" width="15.81640625" bestFit="1" customWidth="1"/>
    <col min="87" max="87" width="18" bestFit="1" customWidth="1"/>
    <col min="88" max="88" width="16.81640625" bestFit="1" customWidth="1"/>
    <col min="89" max="89" width="15.81640625" bestFit="1" customWidth="1"/>
    <col min="90" max="90" width="18" bestFit="1" customWidth="1"/>
    <col min="91" max="91" width="16.81640625" bestFit="1" customWidth="1"/>
    <col min="92" max="92" width="15.81640625" bestFit="1" customWidth="1"/>
    <col min="93" max="93" width="18" bestFit="1" customWidth="1"/>
    <col min="94" max="94" width="16.81640625" bestFit="1" customWidth="1"/>
    <col min="95" max="95" width="15.81640625" bestFit="1" customWidth="1"/>
    <col min="96" max="96" width="18" bestFit="1" customWidth="1"/>
    <col min="97" max="97" width="16.81640625" bestFit="1" customWidth="1"/>
    <col min="98" max="98" width="15.81640625" bestFit="1" customWidth="1"/>
    <col min="99" max="99" width="18" bestFit="1" customWidth="1"/>
    <col min="100" max="100" width="16.81640625" bestFit="1" customWidth="1"/>
  </cols>
  <sheetData>
    <row r="1" spans="1:100" x14ac:dyDescent="0.35">
      <c r="A1" s="2" t="s">
        <v>0</v>
      </c>
      <c r="B1" s="2" t="s">
        <v>162</v>
      </c>
      <c r="C1" s="2" t="s">
        <v>163</v>
      </c>
      <c r="D1" s="2" t="s">
        <v>2</v>
      </c>
      <c r="E1" s="2" t="s">
        <v>3</v>
      </c>
      <c r="F1" s="2" t="s">
        <v>4</v>
      </c>
      <c r="G1" s="2" t="s">
        <v>164</v>
      </c>
      <c r="H1" s="2">
        <v>2022</v>
      </c>
      <c r="I1" s="2"/>
      <c r="J1" s="2"/>
      <c r="K1" s="2">
        <v>2023</v>
      </c>
      <c r="L1" s="2"/>
      <c r="M1" s="2"/>
      <c r="N1" s="2">
        <v>2024</v>
      </c>
      <c r="O1" s="2"/>
      <c r="P1" s="2"/>
      <c r="Q1" s="2">
        <v>2025</v>
      </c>
      <c r="R1" s="2"/>
      <c r="S1" s="2"/>
      <c r="T1" s="2">
        <v>2026</v>
      </c>
      <c r="U1" s="2"/>
      <c r="V1" s="2"/>
      <c r="W1" s="2">
        <v>2027</v>
      </c>
      <c r="X1" s="2"/>
      <c r="Y1" s="2"/>
      <c r="Z1" s="2">
        <v>2028</v>
      </c>
      <c r="AA1" s="2"/>
      <c r="AB1" s="2"/>
      <c r="AC1" s="2">
        <v>2029</v>
      </c>
      <c r="AD1" s="2"/>
      <c r="AE1" s="2"/>
      <c r="AF1" s="2">
        <v>2030</v>
      </c>
      <c r="AG1" s="2"/>
      <c r="AH1" s="2"/>
      <c r="AI1" s="2">
        <v>2031</v>
      </c>
      <c r="AJ1" s="2"/>
      <c r="AK1" s="2"/>
      <c r="AL1" s="2">
        <v>2032</v>
      </c>
      <c r="AM1" s="2"/>
      <c r="AN1" s="2"/>
      <c r="AO1" s="2">
        <v>2033</v>
      </c>
      <c r="AP1" s="2"/>
      <c r="AQ1" s="2"/>
      <c r="AR1" s="2">
        <v>2034</v>
      </c>
      <c r="AS1" s="2"/>
      <c r="AT1" s="2"/>
      <c r="AU1" s="2">
        <v>2035</v>
      </c>
      <c r="AV1" s="2"/>
      <c r="AW1" s="2"/>
      <c r="AX1" s="2">
        <v>2036</v>
      </c>
      <c r="AY1" s="2"/>
      <c r="AZ1" s="2"/>
      <c r="BA1" s="2">
        <v>2037</v>
      </c>
      <c r="BB1" s="2"/>
      <c r="BC1" s="2"/>
      <c r="BD1" s="2">
        <v>2038</v>
      </c>
      <c r="BE1" s="2"/>
      <c r="BF1" s="2"/>
      <c r="BG1" s="2">
        <v>2039</v>
      </c>
      <c r="BH1" s="2"/>
      <c r="BI1" s="2"/>
      <c r="BJ1" s="2">
        <v>2040</v>
      </c>
      <c r="BK1" s="2"/>
      <c r="BL1" s="2"/>
      <c r="BM1" s="2">
        <v>2041</v>
      </c>
      <c r="BN1" s="2"/>
      <c r="BO1" s="2"/>
      <c r="BP1" s="2">
        <v>2042</v>
      </c>
      <c r="BQ1" s="2"/>
      <c r="BR1" s="2"/>
      <c r="BS1" s="2">
        <v>2043</v>
      </c>
      <c r="BT1" s="2"/>
      <c r="BU1" s="2"/>
      <c r="BV1" s="2">
        <v>2044</v>
      </c>
      <c r="BW1" s="2"/>
      <c r="BX1" s="2"/>
      <c r="BY1" s="2">
        <v>2045</v>
      </c>
      <c r="BZ1" s="2"/>
      <c r="CA1" s="2"/>
      <c r="CB1" s="2">
        <v>2046</v>
      </c>
      <c r="CC1" s="2"/>
      <c r="CD1" s="2"/>
      <c r="CE1" s="2">
        <v>2047</v>
      </c>
      <c r="CF1" s="2"/>
      <c r="CG1" s="2"/>
      <c r="CH1" s="2">
        <v>2048</v>
      </c>
      <c r="CI1" s="2"/>
      <c r="CJ1" s="2"/>
      <c r="CK1" s="2">
        <v>2049</v>
      </c>
      <c r="CL1" s="2"/>
      <c r="CM1" s="2"/>
      <c r="CN1" s="2">
        <v>2050</v>
      </c>
      <c r="CO1" s="2"/>
      <c r="CP1" s="2"/>
      <c r="CQ1" s="2">
        <v>2051</v>
      </c>
      <c r="CR1" s="2"/>
      <c r="CS1" s="2"/>
      <c r="CT1" s="2">
        <v>2052</v>
      </c>
      <c r="CU1" s="2"/>
      <c r="CV1" s="2"/>
    </row>
    <row r="2" spans="1:100" x14ac:dyDescent="0.35">
      <c r="A2" s="2"/>
      <c r="B2" s="2"/>
      <c r="C2" s="2"/>
      <c r="D2" s="2"/>
      <c r="E2" s="2"/>
      <c r="F2" s="2"/>
      <c r="G2" s="2"/>
      <c r="H2" s="2" t="s">
        <v>165</v>
      </c>
      <c r="I2" s="2" t="s">
        <v>166</v>
      </c>
      <c r="J2" s="2" t="s">
        <v>167</v>
      </c>
      <c r="K2" s="2" t="s">
        <v>165</v>
      </c>
      <c r="L2" s="2" t="s">
        <v>166</v>
      </c>
      <c r="M2" s="2" t="s">
        <v>167</v>
      </c>
      <c r="N2" s="2" t="s">
        <v>165</v>
      </c>
      <c r="O2" s="2" t="s">
        <v>166</v>
      </c>
      <c r="P2" s="2" t="s">
        <v>167</v>
      </c>
      <c r="Q2" s="2" t="s">
        <v>165</v>
      </c>
      <c r="R2" s="2" t="s">
        <v>166</v>
      </c>
      <c r="S2" s="2" t="s">
        <v>167</v>
      </c>
      <c r="T2" s="2" t="s">
        <v>165</v>
      </c>
      <c r="U2" s="2" t="s">
        <v>166</v>
      </c>
      <c r="V2" s="2" t="s">
        <v>167</v>
      </c>
      <c r="W2" s="2" t="s">
        <v>165</v>
      </c>
      <c r="X2" s="2" t="s">
        <v>166</v>
      </c>
      <c r="Y2" s="2" t="s">
        <v>167</v>
      </c>
      <c r="Z2" s="2" t="s">
        <v>165</v>
      </c>
      <c r="AA2" s="2" t="s">
        <v>166</v>
      </c>
      <c r="AB2" s="2" t="s">
        <v>167</v>
      </c>
      <c r="AC2" s="2" t="s">
        <v>165</v>
      </c>
      <c r="AD2" s="2" t="s">
        <v>166</v>
      </c>
      <c r="AE2" s="2" t="s">
        <v>167</v>
      </c>
      <c r="AF2" s="2" t="s">
        <v>165</v>
      </c>
      <c r="AG2" s="2" t="s">
        <v>166</v>
      </c>
      <c r="AH2" s="2" t="s">
        <v>167</v>
      </c>
      <c r="AI2" s="2" t="s">
        <v>165</v>
      </c>
      <c r="AJ2" s="2" t="s">
        <v>166</v>
      </c>
      <c r="AK2" s="2" t="s">
        <v>167</v>
      </c>
      <c r="AL2" s="2" t="s">
        <v>165</v>
      </c>
      <c r="AM2" s="2" t="s">
        <v>166</v>
      </c>
      <c r="AN2" s="2" t="s">
        <v>167</v>
      </c>
      <c r="AO2" s="2" t="s">
        <v>165</v>
      </c>
      <c r="AP2" s="2" t="s">
        <v>166</v>
      </c>
      <c r="AQ2" s="2" t="s">
        <v>167</v>
      </c>
      <c r="AR2" s="2" t="s">
        <v>165</v>
      </c>
      <c r="AS2" s="2" t="s">
        <v>166</v>
      </c>
      <c r="AT2" s="2" t="s">
        <v>167</v>
      </c>
      <c r="AU2" s="2" t="s">
        <v>165</v>
      </c>
      <c r="AV2" s="2" t="s">
        <v>166</v>
      </c>
      <c r="AW2" s="2" t="s">
        <v>167</v>
      </c>
      <c r="AX2" s="2" t="s">
        <v>165</v>
      </c>
      <c r="AY2" s="2" t="s">
        <v>166</v>
      </c>
      <c r="AZ2" s="2" t="s">
        <v>167</v>
      </c>
      <c r="BA2" s="2" t="s">
        <v>165</v>
      </c>
      <c r="BB2" s="2" t="s">
        <v>166</v>
      </c>
      <c r="BC2" s="2" t="s">
        <v>167</v>
      </c>
      <c r="BD2" s="2" t="s">
        <v>165</v>
      </c>
      <c r="BE2" s="2" t="s">
        <v>166</v>
      </c>
      <c r="BF2" s="2" t="s">
        <v>167</v>
      </c>
      <c r="BG2" s="2" t="s">
        <v>165</v>
      </c>
      <c r="BH2" s="2" t="s">
        <v>166</v>
      </c>
      <c r="BI2" s="2" t="s">
        <v>167</v>
      </c>
      <c r="BJ2" s="2" t="s">
        <v>165</v>
      </c>
      <c r="BK2" s="2" t="s">
        <v>166</v>
      </c>
      <c r="BL2" s="2" t="s">
        <v>167</v>
      </c>
      <c r="BM2" s="2" t="s">
        <v>165</v>
      </c>
      <c r="BN2" s="2" t="s">
        <v>166</v>
      </c>
      <c r="BO2" s="2" t="s">
        <v>167</v>
      </c>
      <c r="BP2" s="2" t="s">
        <v>165</v>
      </c>
      <c r="BQ2" s="2" t="s">
        <v>166</v>
      </c>
      <c r="BR2" s="2" t="s">
        <v>167</v>
      </c>
      <c r="BS2" s="2" t="s">
        <v>165</v>
      </c>
      <c r="BT2" s="2" t="s">
        <v>166</v>
      </c>
      <c r="BU2" s="2" t="s">
        <v>167</v>
      </c>
      <c r="BV2" s="2" t="s">
        <v>165</v>
      </c>
      <c r="BW2" s="2" t="s">
        <v>166</v>
      </c>
      <c r="BX2" s="2" t="s">
        <v>167</v>
      </c>
      <c r="BY2" s="2" t="s">
        <v>165</v>
      </c>
      <c r="BZ2" s="2" t="s">
        <v>166</v>
      </c>
      <c r="CA2" s="2" t="s">
        <v>167</v>
      </c>
      <c r="CB2" s="2" t="s">
        <v>165</v>
      </c>
      <c r="CC2" s="2" t="s">
        <v>166</v>
      </c>
      <c r="CD2" s="2" t="s">
        <v>167</v>
      </c>
      <c r="CE2" s="2" t="s">
        <v>165</v>
      </c>
      <c r="CF2" s="2" t="s">
        <v>166</v>
      </c>
      <c r="CG2" s="2" t="s">
        <v>167</v>
      </c>
      <c r="CH2" s="2" t="s">
        <v>165</v>
      </c>
      <c r="CI2" s="2" t="s">
        <v>166</v>
      </c>
      <c r="CJ2" s="2" t="s">
        <v>167</v>
      </c>
      <c r="CK2" s="2" t="s">
        <v>165</v>
      </c>
      <c r="CL2" s="2" t="s">
        <v>166</v>
      </c>
      <c r="CM2" s="2" t="s">
        <v>167</v>
      </c>
      <c r="CN2" s="2" t="s">
        <v>165</v>
      </c>
      <c r="CO2" s="2" t="s">
        <v>166</v>
      </c>
      <c r="CP2" s="2" t="s">
        <v>167</v>
      </c>
      <c r="CQ2" s="2" t="s">
        <v>165</v>
      </c>
      <c r="CR2" s="2" t="s">
        <v>166</v>
      </c>
      <c r="CS2" s="2" t="s">
        <v>167</v>
      </c>
      <c r="CT2" s="2" t="s">
        <v>165</v>
      </c>
      <c r="CU2" s="2" t="s">
        <v>166</v>
      </c>
      <c r="CV2" s="2" t="s">
        <v>167</v>
      </c>
    </row>
    <row r="3" spans="1:100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33</v>
      </c>
      <c r="H3" s="1"/>
      <c r="I3" s="1"/>
      <c r="J3" s="1"/>
      <c r="K3" s="1">
        <v>206250.0257</v>
      </c>
      <c r="L3" s="1">
        <v>2212511.656</v>
      </c>
      <c r="M3" s="1">
        <v>604690.4203</v>
      </c>
      <c r="N3" s="1">
        <v>206641.35310000001</v>
      </c>
      <c r="O3" s="1">
        <v>2216709.5529999998</v>
      </c>
      <c r="P3" s="1">
        <v>605837.72660000005</v>
      </c>
      <c r="Q3" s="1">
        <v>206839.5865</v>
      </c>
      <c r="R3" s="1">
        <v>2363383.9530000002</v>
      </c>
      <c r="S3" s="1">
        <v>642555.88489999995</v>
      </c>
      <c r="T3" s="1">
        <v>207015.9602</v>
      </c>
      <c r="U3" s="1">
        <v>2365399.2289999998</v>
      </c>
      <c r="V3" s="1">
        <v>643103.79740000004</v>
      </c>
      <c r="W3" s="1">
        <v>207154.2084</v>
      </c>
      <c r="X3" s="1">
        <v>2366978.8760000002</v>
      </c>
      <c r="Y3" s="1">
        <v>643533.27110000001</v>
      </c>
      <c r="Z3" s="1">
        <v>207274.03539999999</v>
      </c>
      <c r="AA3" s="1">
        <v>2368348.0389999999</v>
      </c>
      <c r="AB3" s="1">
        <v>643905.51870000002</v>
      </c>
      <c r="AC3" s="1">
        <v>207382.86079999999</v>
      </c>
      <c r="AD3" s="1">
        <v>2369591.497</v>
      </c>
      <c r="AE3" s="1">
        <v>644243.5895</v>
      </c>
      <c r="AF3" s="1">
        <v>207484.01079999999</v>
      </c>
      <c r="AG3" s="1">
        <v>2370747.253</v>
      </c>
      <c r="AH3" s="1">
        <v>644557.81599999999</v>
      </c>
      <c r="AI3" s="1">
        <v>207575.69029999999</v>
      </c>
      <c r="AJ3" s="1">
        <v>2371794.7990000001</v>
      </c>
      <c r="AK3" s="1">
        <v>644842.62239999999</v>
      </c>
      <c r="AL3" s="1">
        <v>207658.1262</v>
      </c>
      <c r="AM3" s="1">
        <v>2372736.7259999998</v>
      </c>
      <c r="AN3" s="1">
        <v>645098.71299999999</v>
      </c>
      <c r="AO3" s="1">
        <v>207733.12909999999</v>
      </c>
      <c r="AP3" s="1">
        <v>2373593.7209999999</v>
      </c>
      <c r="AQ3" s="1">
        <v>645331.71250000002</v>
      </c>
      <c r="AR3" s="1">
        <v>207806.47270000001</v>
      </c>
      <c r="AS3" s="1">
        <v>2374431.7579999999</v>
      </c>
      <c r="AT3" s="1">
        <v>645559.55759999994</v>
      </c>
      <c r="AU3" s="1">
        <v>207878.37049999999</v>
      </c>
      <c r="AV3" s="1">
        <v>2375253.2740000002</v>
      </c>
      <c r="AW3" s="1">
        <v>645782.91099999996</v>
      </c>
      <c r="AX3" s="1">
        <v>207952.14449999999</v>
      </c>
      <c r="AY3" s="1">
        <v>2376096.2280000001</v>
      </c>
      <c r="AZ3" s="1">
        <v>646012.09310000006</v>
      </c>
      <c r="BA3" s="1">
        <v>208022.9296</v>
      </c>
      <c r="BB3" s="1">
        <v>2376905.031</v>
      </c>
      <c r="BC3" s="1">
        <v>646231.99010000005</v>
      </c>
      <c r="BD3" s="1">
        <v>208094.48620000001</v>
      </c>
      <c r="BE3" s="1">
        <v>2377722.6490000002</v>
      </c>
      <c r="BF3" s="1">
        <v>646454.28379999998</v>
      </c>
      <c r="BG3" s="1">
        <v>208165.10079999999</v>
      </c>
      <c r="BH3" s="1">
        <v>2378529.503</v>
      </c>
      <c r="BI3" s="1">
        <v>646673.65090000001</v>
      </c>
      <c r="BJ3" s="1">
        <v>208237.85140000001</v>
      </c>
      <c r="BK3" s="1">
        <v>2379360.7629999998</v>
      </c>
      <c r="BL3" s="1">
        <v>646899.65370000002</v>
      </c>
      <c r="BM3" s="1">
        <v>208310.8578</v>
      </c>
      <c r="BN3" s="1">
        <v>2380194.9479999999</v>
      </c>
      <c r="BO3" s="1">
        <v>647126.45129999996</v>
      </c>
      <c r="BP3" s="1">
        <v>208384.45730000001</v>
      </c>
      <c r="BQ3" s="1">
        <v>2381035.9079999998</v>
      </c>
      <c r="BR3" s="1">
        <v>647355.09120000002</v>
      </c>
      <c r="BS3" s="1">
        <v>208454.64939999999</v>
      </c>
      <c r="BT3" s="1">
        <v>2381837.9339999999</v>
      </c>
      <c r="BU3" s="1">
        <v>647573.1459</v>
      </c>
      <c r="BV3" s="1">
        <v>208525.17869999999</v>
      </c>
      <c r="BW3" s="1">
        <v>2382643.8139999998</v>
      </c>
      <c r="BX3" s="1">
        <v>647792.24809999997</v>
      </c>
      <c r="BY3" s="1">
        <v>383424.08289999998</v>
      </c>
      <c r="BZ3" s="1">
        <v>3106566.798</v>
      </c>
      <c r="CA3" s="1">
        <v>872497.72030000004</v>
      </c>
      <c r="CB3" s="1">
        <v>383516.86690000002</v>
      </c>
      <c r="CC3" s="1">
        <v>3107318.55</v>
      </c>
      <c r="CD3" s="1">
        <v>872708.85419999994</v>
      </c>
      <c r="CE3" s="1">
        <v>383605.23</v>
      </c>
      <c r="CF3" s="1">
        <v>3108034.483</v>
      </c>
      <c r="CG3" s="1">
        <v>872909.92810000002</v>
      </c>
      <c r="CH3" s="1">
        <v>383693.35470000003</v>
      </c>
      <c r="CI3" s="1">
        <v>3108748.4840000002</v>
      </c>
      <c r="CJ3" s="1">
        <v>873110.45970000001</v>
      </c>
      <c r="CK3" s="1">
        <v>383775.5502</v>
      </c>
      <c r="CL3" s="1">
        <v>3109414.446</v>
      </c>
      <c r="CM3" s="1">
        <v>873297.49899999995</v>
      </c>
      <c r="CN3" s="1">
        <v>383856.9154</v>
      </c>
      <c r="CO3" s="1">
        <v>3110073.68</v>
      </c>
      <c r="CP3" s="1">
        <v>873482.64899999998</v>
      </c>
      <c r="CQ3" s="1">
        <v>383941.21590000001</v>
      </c>
      <c r="CR3" s="1">
        <v>3110756.6970000002</v>
      </c>
      <c r="CS3" s="1">
        <v>873674.47820000001</v>
      </c>
      <c r="CT3" s="1">
        <v>384026.49400000001</v>
      </c>
      <c r="CU3" s="1">
        <v>3111447.6349999998</v>
      </c>
      <c r="CV3" s="1">
        <v>873868.53220000002</v>
      </c>
    </row>
    <row r="4" spans="1:100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33</v>
      </c>
      <c r="H4" s="1"/>
      <c r="I4" s="1"/>
      <c r="J4" s="1"/>
      <c r="K4" s="1">
        <v>246224.7641</v>
      </c>
      <c r="L4" s="1">
        <v>2155250.5189999999</v>
      </c>
      <c r="M4" s="1">
        <v>600368.82079999999</v>
      </c>
      <c r="N4" s="1">
        <v>246596.71799999999</v>
      </c>
      <c r="O4" s="1">
        <v>2158506.2990000001</v>
      </c>
      <c r="P4" s="1">
        <v>601275.75419999997</v>
      </c>
      <c r="Q4" s="1">
        <v>246758.0784</v>
      </c>
      <c r="R4" s="1">
        <v>2320068.6830000002</v>
      </c>
      <c r="S4" s="1">
        <v>641706.69030000002</v>
      </c>
      <c r="T4" s="1">
        <v>246962.14739999999</v>
      </c>
      <c r="U4" s="1">
        <v>2321987.3810000001</v>
      </c>
      <c r="V4" s="1">
        <v>642237.38199999998</v>
      </c>
      <c r="W4" s="1">
        <v>247135.34299999999</v>
      </c>
      <c r="X4" s="1">
        <v>2323615.7999999998</v>
      </c>
      <c r="Y4" s="1">
        <v>642687.78570000001</v>
      </c>
      <c r="Z4" s="1">
        <v>247293.8683</v>
      </c>
      <c r="AA4" s="1">
        <v>2325106.2859999998</v>
      </c>
      <c r="AB4" s="1">
        <v>643100.03859999997</v>
      </c>
      <c r="AC4" s="1">
        <v>247444.03959999999</v>
      </c>
      <c r="AD4" s="1">
        <v>2326518.2280000001</v>
      </c>
      <c r="AE4" s="1">
        <v>643490.56680000003</v>
      </c>
      <c r="AF4" s="1">
        <v>247589.88800000001</v>
      </c>
      <c r="AG4" s="1">
        <v>2327889.523</v>
      </c>
      <c r="AH4" s="1">
        <v>643869.85259999998</v>
      </c>
      <c r="AI4" s="1">
        <v>247727.67199999999</v>
      </c>
      <c r="AJ4" s="1">
        <v>2329184.9959999998</v>
      </c>
      <c r="AK4" s="1">
        <v>644228.16700000002</v>
      </c>
      <c r="AL4" s="1">
        <v>247853.59669999999</v>
      </c>
      <c r="AM4" s="1">
        <v>2330368.9649999999</v>
      </c>
      <c r="AN4" s="1">
        <v>644555.64029999997</v>
      </c>
      <c r="AO4" s="1">
        <v>247971.67679999999</v>
      </c>
      <c r="AP4" s="1">
        <v>2331479.1779999998</v>
      </c>
      <c r="AQ4" s="1">
        <v>644862.71360000002</v>
      </c>
      <c r="AR4" s="1">
        <v>248089.2476</v>
      </c>
      <c r="AS4" s="1">
        <v>2332584.6009999998</v>
      </c>
      <c r="AT4" s="1">
        <v>645168.46219999995</v>
      </c>
      <c r="AU4" s="1">
        <v>248205.99859999999</v>
      </c>
      <c r="AV4" s="1">
        <v>2333682.3169999998</v>
      </c>
      <c r="AW4" s="1">
        <v>645472.07900000003</v>
      </c>
      <c r="AX4" s="1">
        <v>248325.91250000001</v>
      </c>
      <c r="AY4" s="1">
        <v>2334809.7719999999</v>
      </c>
      <c r="AZ4" s="1">
        <v>645783.92110000004</v>
      </c>
      <c r="BA4" s="1">
        <v>248444.50200000001</v>
      </c>
      <c r="BB4" s="1">
        <v>2335924.7740000002</v>
      </c>
      <c r="BC4" s="1">
        <v>646092.31909999996</v>
      </c>
      <c r="BD4" s="1">
        <v>248564.82339999999</v>
      </c>
      <c r="BE4" s="1">
        <v>2337056.06</v>
      </c>
      <c r="BF4" s="1">
        <v>646405.22089999996</v>
      </c>
      <c r="BG4" s="1">
        <v>449727.73200000002</v>
      </c>
      <c r="BH4" s="1">
        <v>3031910.3629999999</v>
      </c>
      <c r="BI4" s="1">
        <v>870409.52370000002</v>
      </c>
      <c r="BJ4" s="1">
        <v>449898.73859999998</v>
      </c>
      <c r="BK4" s="1">
        <v>3033063.2310000001</v>
      </c>
      <c r="BL4" s="1">
        <v>870740.49230000004</v>
      </c>
      <c r="BM4" s="1">
        <v>450071.93699999998</v>
      </c>
      <c r="BN4" s="1">
        <v>3034230.875</v>
      </c>
      <c r="BO4" s="1">
        <v>871075.70290000003</v>
      </c>
      <c r="BP4" s="1">
        <v>450247.5074</v>
      </c>
      <c r="BQ4" s="1">
        <v>3035414.51</v>
      </c>
      <c r="BR4" s="1">
        <v>871415.50439999998</v>
      </c>
      <c r="BS4" s="1">
        <v>450421.22970000003</v>
      </c>
      <c r="BT4" s="1">
        <v>3036585.6860000002</v>
      </c>
      <c r="BU4" s="1">
        <v>871751.72900000005</v>
      </c>
      <c r="BV4" s="1">
        <v>450596.51980000001</v>
      </c>
      <c r="BW4" s="1">
        <v>3037767.4330000002</v>
      </c>
      <c r="BX4" s="1">
        <v>872090.98809999996</v>
      </c>
      <c r="BY4" s="1">
        <v>450770.97460000002</v>
      </c>
      <c r="BZ4" s="1">
        <v>3038943.5469999998</v>
      </c>
      <c r="CA4" s="1">
        <v>872428.63040000002</v>
      </c>
      <c r="CB4" s="1">
        <v>450948.91440000001</v>
      </c>
      <c r="CC4" s="1">
        <v>3040143.156</v>
      </c>
      <c r="CD4" s="1">
        <v>872773.01760000002</v>
      </c>
      <c r="CE4" s="1">
        <v>451128.84590000001</v>
      </c>
      <c r="CF4" s="1">
        <v>3041356.193</v>
      </c>
      <c r="CG4" s="1">
        <v>873121.25959999999</v>
      </c>
      <c r="CH4" s="1">
        <v>451310.27189999999</v>
      </c>
      <c r="CI4" s="1">
        <v>3042579.3050000002</v>
      </c>
      <c r="CJ4" s="1">
        <v>873472.39419999998</v>
      </c>
      <c r="CK4" s="1">
        <v>451487.3763</v>
      </c>
      <c r="CL4" s="1">
        <v>3043773.2820000001</v>
      </c>
      <c r="CM4" s="1">
        <v>873815.16460000002</v>
      </c>
      <c r="CN4" s="1">
        <v>451666.19780000002</v>
      </c>
      <c r="CO4" s="1">
        <v>3044978.835</v>
      </c>
      <c r="CP4" s="1">
        <v>874161.25829999999</v>
      </c>
      <c r="CQ4" s="1">
        <v>451848.04359999998</v>
      </c>
      <c r="CR4" s="1">
        <v>3046204.7769999998</v>
      </c>
      <c r="CS4" s="1">
        <v>874513.20519999997</v>
      </c>
      <c r="CT4" s="1">
        <v>452034.07160000002</v>
      </c>
      <c r="CU4" s="1">
        <v>3047458.9139999999</v>
      </c>
      <c r="CV4" s="1">
        <v>874873.24639999995</v>
      </c>
    </row>
    <row r="5" spans="1:100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33</v>
      </c>
      <c r="H5" s="1"/>
      <c r="I5" s="1"/>
      <c r="J5" s="1"/>
      <c r="K5" s="1">
        <v>172748.4761</v>
      </c>
      <c r="L5" s="1">
        <v>1106179.0870000001</v>
      </c>
      <c r="M5" s="1">
        <v>319731.89079999999</v>
      </c>
      <c r="N5" s="1">
        <v>172782.40160000001</v>
      </c>
      <c r="O5" s="1">
        <v>1106396.3259999999</v>
      </c>
      <c r="P5" s="1">
        <v>319794.68190000003</v>
      </c>
      <c r="Q5" s="1">
        <v>172807.98639999999</v>
      </c>
      <c r="R5" s="1">
        <v>1106560.156</v>
      </c>
      <c r="S5" s="1">
        <v>319842.0356</v>
      </c>
      <c r="T5" s="1">
        <v>227207.0539</v>
      </c>
      <c r="U5" s="1">
        <v>2072762.3089999999</v>
      </c>
      <c r="V5" s="1">
        <v>574992.3406</v>
      </c>
      <c r="W5" s="1">
        <v>227218.07709999999</v>
      </c>
      <c r="X5" s="1">
        <v>2072862.871</v>
      </c>
      <c r="Y5" s="1">
        <v>575020.23699999996</v>
      </c>
      <c r="Z5" s="1">
        <v>227228.2604</v>
      </c>
      <c r="AA5" s="1">
        <v>2072955.7709999999</v>
      </c>
      <c r="AB5" s="1">
        <v>575046.00789999997</v>
      </c>
      <c r="AC5" s="1">
        <v>227237.7089</v>
      </c>
      <c r="AD5" s="1">
        <v>2073041.9669999999</v>
      </c>
      <c r="AE5" s="1">
        <v>575069.91899999999</v>
      </c>
      <c r="AF5" s="1">
        <v>227246.73740000001</v>
      </c>
      <c r="AG5" s="1">
        <v>2073124.3319999999</v>
      </c>
      <c r="AH5" s="1">
        <v>575092.76740000001</v>
      </c>
      <c r="AI5" s="1">
        <v>227254.92600000001</v>
      </c>
      <c r="AJ5" s="1">
        <v>2073199.0360000001</v>
      </c>
      <c r="AK5" s="1">
        <v>575113.49040000001</v>
      </c>
      <c r="AL5" s="1">
        <v>227262.48480000001</v>
      </c>
      <c r="AM5" s="1">
        <v>2073267.9920000001</v>
      </c>
      <c r="AN5" s="1">
        <v>575132.61930000002</v>
      </c>
      <c r="AO5" s="1">
        <v>227269.51860000001</v>
      </c>
      <c r="AP5" s="1">
        <v>2073332.1610000001</v>
      </c>
      <c r="AQ5" s="1">
        <v>575150.41980000003</v>
      </c>
      <c r="AR5" s="1">
        <v>227276.69519999999</v>
      </c>
      <c r="AS5" s="1">
        <v>2073397.6310000001</v>
      </c>
      <c r="AT5" s="1">
        <v>575168.58160000003</v>
      </c>
      <c r="AU5" s="1">
        <v>227283.83799999999</v>
      </c>
      <c r="AV5" s="1">
        <v>2073462.7930000001</v>
      </c>
      <c r="AW5" s="1">
        <v>575186.65780000004</v>
      </c>
      <c r="AX5" s="1">
        <v>227290.76680000001</v>
      </c>
      <c r="AY5" s="1">
        <v>2073526.004</v>
      </c>
      <c r="AZ5" s="1">
        <v>575204.19259999995</v>
      </c>
      <c r="BA5" s="1">
        <v>227297.69570000001</v>
      </c>
      <c r="BB5" s="1">
        <v>2073589.2139999999</v>
      </c>
      <c r="BC5" s="1">
        <v>575221.72750000004</v>
      </c>
      <c r="BD5" s="1">
        <v>227304.62450000001</v>
      </c>
      <c r="BE5" s="1">
        <v>2073652.425</v>
      </c>
      <c r="BF5" s="1">
        <v>575239.26229999994</v>
      </c>
      <c r="BG5" s="1">
        <v>227311.34340000001</v>
      </c>
      <c r="BH5" s="1">
        <v>2073713.72</v>
      </c>
      <c r="BI5" s="1">
        <v>575256.26580000005</v>
      </c>
      <c r="BJ5" s="1">
        <v>227318.37729999999</v>
      </c>
      <c r="BK5" s="1">
        <v>2073777.888</v>
      </c>
      <c r="BL5" s="1">
        <v>575274.06629999995</v>
      </c>
      <c r="BM5" s="1">
        <v>227325.4111</v>
      </c>
      <c r="BN5" s="1">
        <v>2073842.0560000001</v>
      </c>
      <c r="BO5" s="1">
        <v>575291.86679999996</v>
      </c>
      <c r="BP5" s="1">
        <v>227332.65489999999</v>
      </c>
      <c r="BQ5" s="1">
        <v>2073908.14</v>
      </c>
      <c r="BR5" s="1">
        <v>575310.19869999995</v>
      </c>
      <c r="BS5" s="1">
        <v>227339.3738</v>
      </c>
      <c r="BT5" s="1">
        <v>2073969.4350000001</v>
      </c>
      <c r="BU5" s="1">
        <v>575327.20209999999</v>
      </c>
      <c r="BV5" s="1">
        <v>227346.19769999999</v>
      </c>
      <c r="BW5" s="1">
        <v>2074031.6880000001</v>
      </c>
      <c r="BX5" s="1">
        <v>575344.47129999998</v>
      </c>
      <c r="BY5" s="1">
        <v>227352.91649999999</v>
      </c>
      <c r="BZ5" s="1">
        <v>2074092.983</v>
      </c>
      <c r="CA5" s="1">
        <v>575361.47479999997</v>
      </c>
      <c r="CB5" s="1">
        <v>227359.3205</v>
      </c>
      <c r="CC5" s="1">
        <v>2074151.4040000001</v>
      </c>
      <c r="CD5" s="1">
        <v>575377.68119999999</v>
      </c>
      <c r="CE5" s="1">
        <v>227365.40950000001</v>
      </c>
      <c r="CF5" s="1">
        <v>2074206.953</v>
      </c>
      <c r="CG5" s="1">
        <v>575393.0906</v>
      </c>
      <c r="CH5" s="1">
        <v>227371.49849999999</v>
      </c>
      <c r="CI5" s="1">
        <v>2074262.5020000001</v>
      </c>
      <c r="CJ5" s="1">
        <v>575408.5</v>
      </c>
      <c r="CK5" s="1">
        <v>227377.27249999999</v>
      </c>
      <c r="CL5" s="1">
        <v>2074315.1769999999</v>
      </c>
      <c r="CM5" s="1">
        <v>575423.11239999998</v>
      </c>
      <c r="CN5" s="1">
        <v>227382.94159999999</v>
      </c>
      <c r="CO5" s="1">
        <v>2074366.895</v>
      </c>
      <c r="CP5" s="1">
        <v>575437.45900000003</v>
      </c>
      <c r="CQ5" s="1">
        <v>227388.61060000001</v>
      </c>
      <c r="CR5" s="1">
        <v>2074418.612</v>
      </c>
      <c r="CS5" s="1">
        <v>575451.80570000003</v>
      </c>
      <c r="CT5" s="1">
        <v>227394.3847</v>
      </c>
      <c r="CU5" s="1">
        <v>2074471.2879999999</v>
      </c>
      <c r="CV5" s="1">
        <v>575466.41810000001</v>
      </c>
    </row>
    <row r="6" spans="1:100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33</v>
      </c>
      <c r="H6" s="1"/>
      <c r="I6" s="1"/>
      <c r="J6" s="1"/>
      <c r="K6" s="1">
        <v>177314.5753</v>
      </c>
      <c r="L6" s="1">
        <v>2128554.1719999998</v>
      </c>
      <c r="M6" s="1">
        <v>576467.18689999997</v>
      </c>
      <c r="N6" s="1">
        <v>177475.77609999999</v>
      </c>
      <c r="O6" s="1">
        <v>2130489.29</v>
      </c>
      <c r="P6" s="1">
        <v>576991.26639999996</v>
      </c>
      <c r="Q6" s="1">
        <v>177608.81899999999</v>
      </c>
      <c r="R6" s="1">
        <v>2132086.39</v>
      </c>
      <c r="S6" s="1">
        <v>577423.80240000004</v>
      </c>
      <c r="T6" s="1">
        <v>177713.12599999999</v>
      </c>
      <c r="U6" s="1">
        <v>2133338.5329999998</v>
      </c>
      <c r="V6" s="1">
        <v>577762.91469999996</v>
      </c>
      <c r="W6" s="1">
        <v>177805.55119999999</v>
      </c>
      <c r="X6" s="1">
        <v>2134448.0410000002</v>
      </c>
      <c r="Y6" s="1">
        <v>578063.39800000004</v>
      </c>
      <c r="Z6" s="1">
        <v>177892.5042</v>
      </c>
      <c r="AA6" s="1">
        <v>2135491.8590000002</v>
      </c>
      <c r="AB6" s="1">
        <v>578346.09080000001</v>
      </c>
      <c r="AC6" s="1">
        <v>177976.4565</v>
      </c>
      <c r="AD6" s="1">
        <v>2136499.656</v>
      </c>
      <c r="AE6" s="1">
        <v>578619.02819999994</v>
      </c>
      <c r="AF6" s="1">
        <v>178058.91500000001</v>
      </c>
      <c r="AG6" s="1">
        <v>2137489.52</v>
      </c>
      <c r="AH6" s="1">
        <v>578887.10860000004</v>
      </c>
      <c r="AI6" s="1">
        <v>178135.761</v>
      </c>
      <c r="AJ6" s="1">
        <v>2138412.0099999998</v>
      </c>
      <c r="AK6" s="1">
        <v>579136.94270000001</v>
      </c>
      <c r="AL6" s="1">
        <v>178208.8216</v>
      </c>
      <c r="AM6" s="1">
        <v>2139289.0580000002</v>
      </c>
      <c r="AN6" s="1">
        <v>579374.47</v>
      </c>
      <c r="AO6" s="1">
        <v>178278.93340000001</v>
      </c>
      <c r="AP6" s="1">
        <v>2140130.7080000001</v>
      </c>
      <c r="AQ6" s="1">
        <v>579602.41029999999</v>
      </c>
      <c r="AR6" s="1">
        <v>178348.97039999999</v>
      </c>
      <c r="AS6" s="1">
        <v>2140971.46</v>
      </c>
      <c r="AT6" s="1">
        <v>579830.10750000004</v>
      </c>
      <c r="AU6" s="1">
        <v>178417.69680000001</v>
      </c>
      <c r="AV6" s="1">
        <v>2141796.4780000001</v>
      </c>
      <c r="AW6" s="1">
        <v>580053.54370000004</v>
      </c>
      <c r="AX6" s="1">
        <v>178489.53159999999</v>
      </c>
      <c r="AY6" s="1">
        <v>2142658.8119999999</v>
      </c>
      <c r="AZ6" s="1">
        <v>580287.08589999995</v>
      </c>
      <c r="BA6" s="1">
        <v>178560.13759999999</v>
      </c>
      <c r="BB6" s="1">
        <v>2143506.3939999999</v>
      </c>
      <c r="BC6" s="1">
        <v>580516.63280000002</v>
      </c>
      <c r="BD6" s="1">
        <v>178559.302</v>
      </c>
      <c r="BE6" s="1">
        <v>2284532.662</v>
      </c>
      <c r="BF6" s="1">
        <v>615772.99089999998</v>
      </c>
      <c r="BG6" s="1">
        <v>178627.21890000001</v>
      </c>
      <c r="BH6" s="1">
        <v>2285401.608</v>
      </c>
      <c r="BI6" s="1">
        <v>616007.20669999998</v>
      </c>
      <c r="BJ6" s="1">
        <v>178697.74789999999</v>
      </c>
      <c r="BK6" s="1">
        <v>2286303.9739999999</v>
      </c>
      <c r="BL6" s="1">
        <v>616250.43039999995</v>
      </c>
      <c r="BM6" s="1">
        <v>178769.73300000001</v>
      </c>
      <c r="BN6" s="1">
        <v>2287224.969</v>
      </c>
      <c r="BO6" s="1">
        <v>616498.67559999996</v>
      </c>
      <c r="BP6" s="1">
        <v>178841.87530000001</v>
      </c>
      <c r="BQ6" s="1">
        <v>2288147.9759999998</v>
      </c>
      <c r="BR6" s="1">
        <v>616747.46290000004</v>
      </c>
      <c r="BS6" s="1">
        <v>178913.94080000001</v>
      </c>
      <c r="BT6" s="1">
        <v>2289070</v>
      </c>
      <c r="BU6" s="1">
        <v>616995.98529999994</v>
      </c>
      <c r="BV6" s="1">
        <v>178987.1551</v>
      </c>
      <c r="BW6" s="1">
        <v>2290006.7230000002</v>
      </c>
      <c r="BX6" s="1">
        <v>617248.46939999994</v>
      </c>
      <c r="BY6" s="1">
        <v>179059.8352</v>
      </c>
      <c r="BZ6" s="1">
        <v>2290936.61</v>
      </c>
      <c r="CA6" s="1">
        <v>617499.11129999999</v>
      </c>
      <c r="CB6" s="1">
        <v>179128.52040000001</v>
      </c>
      <c r="CC6" s="1">
        <v>2291815.3859999999</v>
      </c>
      <c r="CD6" s="1">
        <v>617735.97649999999</v>
      </c>
      <c r="CE6" s="1">
        <v>179194.05220000001</v>
      </c>
      <c r="CF6" s="1">
        <v>2292653.8160000001</v>
      </c>
      <c r="CG6" s="1">
        <v>617961.96699999995</v>
      </c>
      <c r="CH6" s="1">
        <v>179259.5876</v>
      </c>
      <c r="CI6" s="1">
        <v>2293492.2919999999</v>
      </c>
      <c r="CJ6" s="1">
        <v>618187.96979999996</v>
      </c>
      <c r="CK6" s="1">
        <v>179323.5809</v>
      </c>
      <c r="CL6" s="1">
        <v>2294311.0389999999</v>
      </c>
      <c r="CM6" s="1">
        <v>618408.65500000003</v>
      </c>
      <c r="CN6" s="1">
        <v>179388.1176</v>
      </c>
      <c r="CO6" s="1">
        <v>2295136.7370000002</v>
      </c>
      <c r="CP6" s="1">
        <v>618631.21369999996</v>
      </c>
      <c r="CQ6" s="1">
        <v>179453.9602</v>
      </c>
      <c r="CR6" s="1">
        <v>2295979.145</v>
      </c>
      <c r="CS6" s="1">
        <v>618858.27619999996</v>
      </c>
      <c r="CT6" s="1">
        <v>179520.8749</v>
      </c>
      <c r="CU6" s="1">
        <v>2296835.2680000002</v>
      </c>
      <c r="CV6" s="1">
        <v>619089.03559999994</v>
      </c>
    </row>
    <row r="7" spans="1:100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33</v>
      </c>
      <c r="H7" s="1"/>
      <c r="I7" s="1"/>
      <c r="J7" s="1"/>
      <c r="K7" s="1">
        <v>398535.02799999999</v>
      </c>
      <c r="L7" s="1">
        <v>2967231.696</v>
      </c>
      <c r="M7" s="1">
        <v>841441.68090000004</v>
      </c>
      <c r="N7" s="1">
        <v>399706.74170000001</v>
      </c>
      <c r="O7" s="1">
        <v>2975955.51</v>
      </c>
      <c r="P7" s="1">
        <v>843915.56299999997</v>
      </c>
      <c r="Q7" s="1">
        <v>400800.67749999999</v>
      </c>
      <c r="R7" s="1">
        <v>2984100.2429999998</v>
      </c>
      <c r="S7" s="1">
        <v>846225.23</v>
      </c>
      <c r="T7" s="1">
        <v>401977.10159999999</v>
      </c>
      <c r="U7" s="1">
        <v>2992859.1290000002</v>
      </c>
      <c r="V7" s="1">
        <v>848709.05759999994</v>
      </c>
      <c r="W7" s="1">
        <v>402750.1372</v>
      </c>
      <c r="X7" s="1">
        <v>2998614.648</v>
      </c>
      <c r="Y7" s="1">
        <v>850341.19620000001</v>
      </c>
      <c r="Z7" s="1">
        <v>403375.33230000001</v>
      </c>
      <c r="AA7" s="1">
        <v>3003269.4419999998</v>
      </c>
      <c r="AB7" s="1">
        <v>851661.1936</v>
      </c>
      <c r="AC7" s="1">
        <v>403896.96470000001</v>
      </c>
      <c r="AD7" s="1">
        <v>3007153.1770000001</v>
      </c>
      <c r="AE7" s="1">
        <v>852762.53529999999</v>
      </c>
      <c r="AF7" s="1">
        <v>404445.109</v>
      </c>
      <c r="AG7" s="1">
        <v>3011234.301</v>
      </c>
      <c r="AH7" s="1">
        <v>853919.85250000004</v>
      </c>
      <c r="AI7" s="1">
        <v>404920.04119999998</v>
      </c>
      <c r="AJ7" s="1">
        <v>3014770.3360000001</v>
      </c>
      <c r="AK7" s="1">
        <v>854922.59439999994</v>
      </c>
      <c r="AL7" s="1">
        <v>405411.9068</v>
      </c>
      <c r="AM7" s="1">
        <v>3018432.446</v>
      </c>
      <c r="AN7" s="1">
        <v>855961.0882</v>
      </c>
      <c r="AO7" s="1">
        <v>405826.37410000002</v>
      </c>
      <c r="AP7" s="1">
        <v>3021518.2990000001</v>
      </c>
      <c r="AQ7" s="1">
        <v>856836.16839999997</v>
      </c>
      <c r="AR7" s="1">
        <v>406290.66129999998</v>
      </c>
      <c r="AS7" s="1">
        <v>3024975.0789999999</v>
      </c>
      <c r="AT7" s="1">
        <v>857816.4351</v>
      </c>
      <c r="AU7" s="1">
        <v>406699.88630000001</v>
      </c>
      <c r="AV7" s="1">
        <v>3028021.9010000001</v>
      </c>
      <c r="AW7" s="1">
        <v>858680.44669999997</v>
      </c>
      <c r="AX7" s="1">
        <v>407184.12310000003</v>
      </c>
      <c r="AY7" s="1">
        <v>3031627.2119999998</v>
      </c>
      <c r="AZ7" s="1">
        <v>859702.83380000002</v>
      </c>
      <c r="BA7" s="1">
        <v>407599.83390000003</v>
      </c>
      <c r="BB7" s="1">
        <v>3034722.3229999999</v>
      </c>
      <c r="BC7" s="1">
        <v>860580.53929999995</v>
      </c>
      <c r="BD7" s="1">
        <v>408081.1839</v>
      </c>
      <c r="BE7" s="1">
        <v>3038306.142</v>
      </c>
      <c r="BF7" s="1">
        <v>861596.83129999996</v>
      </c>
      <c r="BG7" s="1">
        <v>408497.1298</v>
      </c>
      <c r="BH7" s="1">
        <v>3041403.003</v>
      </c>
      <c r="BI7" s="1">
        <v>862475.03319999995</v>
      </c>
      <c r="BJ7" s="1">
        <v>408994.94410000002</v>
      </c>
      <c r="BK7" s="1">
        <v>3045109.4029999999</v>
      </c>
      <c r="BL7" s="1">
        <v>863526.08680000005</v>
      </c>
      <c r="BM7" s="1">
        <v>409409.21639999998</v>
      </c>
      <c r="BN7" s="1">
        <v>3048193.8050000002</v>
      </c>
      <c r="BO7" s="1">
        <v>864400.75520000001</v>
      </c>
      <c r="BP7" s="1">
        <v>409909.011</v>
      </c>
      <c r="BQ7" s="1">
        <v>3051914.949</v>
      </c>
      <c r="BR7" s="1">
        <v>865455.98990000004</v>
      </c>
      <c r="BS7" s="1">
        <v>410338.4411</v>
      </c>
      <c r="BT7" s="1">
        <v>3055112.2050000001</v>
      </c>
      <c r="BU7" s="1">
        <v>866362.66159999999</v>
      </c>
      <c r="BV7" s="1">
        <v>410842.77360000001</v>
      </c>
      <c r="BW7" s="1">
        <v>3058867.1359999999</v>
      </c>
      <c r="BX7" s="1">
        <v>867427.47739999997</v>
      </c>
      <c r="BY7" s="1">
        <v>411286.19050000003</v>
      </c>
      <c r="BZ7" s="1">
        <v>3062168.5290000001</v>
      </c>
      <c r="CA7" s="1">
        <v>868363.67989999999</v>
      </c>
      <c r="CB7" s="1">
        <v>411742.2035</v>
      </c>
      <c r="CC7" s="1">
        <v>3065563.7039999999</v>
      </c>
      <c r="CD7" s="1">
        <v>869326.47690000001</v>
      </c>
      <c r="CE7" s="1">
        <v>412133.37040000001</v>
      </c>
      <c r="CF7" s="1">
        <v>3068476.0780000002</v>
      </c>
      <c r="CG7" s="1">
        <v>870152.36199999996</v>
      </c>
      <c r="CH7" s="1">
        <v>412608.01209999999</v>
      </c>
      <c r="CI7" s="1">
        <v>3072009.95</v>
      </c>
      <c r="CJ7" s="1">
        <v>871154.49040000001</v>
      </c>
      <c r="CK7" s="1">
        <v>412990.64789999998</v>
      </c>
      <c r="CL7" s="1">
        <v>3074858.8059999999</v>
      </c>
      <c r="CM7" s="1">
        <v>871962.36340000003</v>
      </c>
      <c r="CN7" s="1">
        <v>413454.56050000002</v>
      </c>
      <c r="CO7" s="1">
        <v>3078312.7969999998</v>
      </c>
      <c r="CP7" s="1">
        <v>872941.83929999999</v>
      </c>
      <c r="CQ7" s="1">
        <v>413928.08659999998</v>
      </c>
      <c r="CR7" s="1">
        <v>3081838.3629999999</v>
      </c>
      <c r="CS7" s="1">
        <v>873941.61230000004</v>
      </c>
      <c r="CT7" s="1">
        <v>414411.41970000003</v>
      </c>
      <c r="CU7" s="1">
        <v>3085436.9449999998</v>
      </c>
      <c r="CV7" s="1">
        <v>874962.09120000002</v>
      </c>
    </row>
    <row r="8" spans="1:100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33</v>
      </c>
      <c r="H8" s="1"/>
      <c r="I8" s="1"/>
      <c r="J8" s="1"/>
      <c r="K8" s="1">
        <v>205927.11489999999</v>
      </c>
      <c r="L8" s="1">
        <v>2209047.6860000002</v>
      </c>
      <c r="M8" s="1">
        <v>603743.70019999996</v>
      </c>
      <c r="N8" s="1">
        <v>206159.73689999999</v>
      </c>
      <c r="O8" s="1">
        <v>2211543.0989999999</v>
      </c>
      <c r="P8" s="1">
        <v>604425.70900000003</v>
      </c>
      <c r="Q8" s="1">
        <v>206356.0497</v>
      </c>
      <c r="R8" s="1">
        <v>2213649.0109999999</v>
      </c>
      <c r="S8" s="1">
        <v>605001.26509999996</v>
      </c>
      <c r="T8" s="1">
        <v>206515.8425</v>
      </c>
      <c r="U8" s="1">
        <v>2215363.16</v>
      </c>
      <c r="V8" s="1">
        <v>605469.75069999998</v>
      </c>
      <c r="W8" s="1">
        <v>206659.7487</v>
      </c>
      <c r="X8" s="1">
        <v>2216906.889</v>
      </c>
      <c r="Y8" s="1">
        <v>605891.65949999995</v>
      </c>
      <c r="Z8" s="1">
        <v>206797.94589999999</v>
      </c>
      <c r="AA8" s="1">
        <v>2218389.3760000002</v>
      </c>
      <c r="AB8" s="1">
        <v>606296.83039999998</v>
      </c>
      <c r="AC8" s="1">
        <v>206856.22070000001</v>
      </c>
      <c r="AD8" s="1">
        <v>2363574.0180000002</v>
      </c>
      <c r="AE8" s="1">
        <v>642607.55969999998</v>
      </c>
      <c r="AF8" s="1">
        <v>206983.89369999999</v>
      </c>
      <c r="AG8" s="1">
        <v>2365032.8319999999</v>
      </c>
      <c r="AH8" s="1">
        <v>643004.1814</v>
      </c>
      <c r="AI8" s="1">
        <v>207109.60519999999</v>
      </c>
      <c r="AJ8" s="1">
        <v>2366469.233</v>
      </c>
      <c r="AK8" s="1">
        <v>643394.7095</v>
      </c>
      <c r="AL8" s="1">
        <v>207230.1145</v>
      </c>
      <c r="AM8" s="1">
        <v>2367846.1919999998</v>
      </c>
      <c r="AN8" s="1">
        <v>643769.07660000003</v>
      </c>
      <c r="AO8" s="1">
        <v>207347.46830000001</v>
      </c>
      <c r="AP8" s="1">
        <v>2369187.0959999999</v>
      </c>
      <c r="AQ8" s="1">
        <v>644133.64099999995</v>
      </c>
      <c r="AR8" s="1">
        <v>207468.2334</v>
      </c>
      <c r="AS8" s="1">
        <v>2370566.9780000001</v>
      </c>
      <c r="AT8" s="1">
        <v>644508.80290000001</v>
      </c>
      <c r="AU8" s="1">
        <v>207591.9834</v>
      </c>
      <c r="AV8" s="1">
        <v>2371980.9670000002</v>
      </c>
      <c r="AW8" s="1">
        <v>644893.23750000005</v>
      </c>
      <c r="AX8" s="1">
        <v>207721.44519999999</v>
      </c>
      <c r="AY8" s="1">
        <v>2373460.2200000002</v>
      </c>
      <c r="AZ8" s="1">
        <v>645295.41619999998</v>
      </c>
      <c r="BA8" s="1">
        <v>207851.33559999999</v>
      </c>
      <c r="BB8" s="1">
        <v>2374944.3689999999</v>
      </c>
      <c r="BC8" s="1">
        <v>645698.92630000005</v>
      </c>
      <c r="BD8" s="1">
        <v>207987.7929</v>
      </c>
      <c r="BE8" s="1">
        <v>2376503.5529999998</v>
      </c>
      <c r="BF8" s="1">
        <v>646122.83640000003</v>
      </c>
      <c r="BG8" s="1">
        <v>208125.87049999999</v>
      </c>
      <c r="BH8" s="1">
        <v>2378081.2510000002</v>
      </c>
      <c r="BI8" s="1">
        <v>646551.78029999998</v>
      </c>
      <c r="BJ8" s="1">
        <v>208272.47640000001</v>
      </c>
      <c r="BK8" s="1">
        <v>2379756.395</v>
      </c>
      <c r="BL8" s="1">
        <v>647007.21779999998</v>
      </c>
      <c r="BM8" s="1">
        <v>208423.00539999999</v>
      </c>
      <c r="BN8" s="1">
        <v>2381476.3640000001</v>
      </c>
      <c r="BO8" s="1">
        <v>647474.84239999996</v>
      </c>
      <c r="BP8" s="1">
        <v>383403.20789999998</v>
      </c>
      <c r="BQ8" s="1">
        <v>3106397.665</v>
      </c>
      <c r="BR8" s="1">
        <v>872450.21829999995</v>
      </c>
      <c r="BS8" s="1">
        <v>383624.3259</v>
      </c>
      <c r="BT8" s="1">
        <v>3108189.2009999999</v>
      </c>
      <c r="BU8" s="1">
        <v>872953.38170000003</v>
      </c>
      <c r="BV8" s="1">
        <v>383851.45939999999</v>
      </c>
      <c r="BW8" s="1">
        <v>3110029.4750000001</v>
      </c>
      <c r="BX8" s="1">
        <v>873470.23360000004</v>
      </c>
      <c r="BY8" s="1">
        <v>384085.9167</v>
      </c>
      <c r="BZ8" s="1">
        <v>3111929.088</v>
      </c>
      <c r="CA8" s="1">
        <v>874003.75100000005</v>
      </c>
      <c r="CB8" s="1">
        <v>384334.04389999999</v>
      </c>
      <c r="CC8" s="1">
        <v>3113939.4559999998</v>
      </c>
      <c r="CD8" s="1">
        <v>874568.37490000005</v>
      </c>
      <c r="CE8" s="1">
        <v>384593.1165</v>
      </c>
      <c r="CF8" s="1">
        <v>3116038.5060000001</v>
      </c>
      <c r="CG8" s="1">
        <v>875157.9057</v>
      </c>
      <c r="CH8" s="1">
        <v>384859.2721</v>
      </c>
      <c r="CI8" s="1">
        <v>3118194.9440000001</v>
      </c>
      <c r="CJ8" s="1">
        <v>875763.554</v>
      </c>
      <c r="CK8" s="1">
        <v>385128.19400000002</v>
      </c>
      <c r="CL8" s="1">
        <v>3120373.7949999999</v>
      </c>
      <c r="CM8" s="1">
        <v>876375.49719999998</v>
      </c>
      <c r="CN8" s="1">
        <v>385406.95449999999</v>
      </c>
      <c r="CO8" s="1">
        <v>3122632.3590000002</v>
      </c>
      <c r="CP8" s="1">
        <v>877009.8284</v>
      </c>
      <c r="CQ8" s="1">
        <v>385695.64569999999</v>
      </c>
      <c r="CR8" s="1">
        <v>3124971.3840000001</v>
      </c>
      <c r="CS8" s="1">
        <v>877666.7574</v>
      </c>
      <c r="CT8" s="1">
        <v>385996.52350000001</v>
      </c>
      <c r="CU8" s="1">
        <v>3127409.1469999999</v>
      </c>
      <c r="CV8" s="1">
        <v>878351.41760000004</v>
      </c>
    </row>
    <row r="9" spans="1:100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33</v>
      </c>
      <c r="H9" s="1"/>
      <c r="I9" s="1"/>
      <c r="J9" s="1"/>
      <c r="K9" s="1">
        <v>228156.1158</v>
      </c>
      <c r="L9" s="1">
        <v>2081420.4010000001</v>
      </c>
      <c r="M9" s="1">
        <v>577394.12919999997</v>
      </c>
      <c r="N9" s="1">
        <v>228310.96919999999</v>
      </c>
      <c r="O9" s="1">
        <v>2082833.0959999999</v>
      </c>
      <c r="P9" s="1">
        <v>577786.01619999995</v>
      </c>
      <c r="Q9" s="1">
        <v>228442.02919999999</v>
      </c>
      <c r="R9" s="1">
        <v>2084028.7290000001</v>
      </c>
      <c r="S9" s="1">
        <v>578117.68949999998</v>
      </c>
      <c r="T9" s="1">
        <v>228545.75200000001</v>
      </c>
      <c r="U9" s="1">
        <v>2084974.9709999999</v>
      </c>
      <c r="V9" s="1">
        <v>578380.18070000003</v>
      </c>
      <c r="W9" s="1">
        <v>228639.24979999999</v>
      </c>
      <c r="X9" s="1">
        <v>2085827.9310000001</v>
      </c>
      <c r="Y9" s="1">
        <v>578616.79520000005</v>
      </c>
      <c r="Z9" s="1">
        <v>228731.00459999999</v>
      </c>
      <c r="AA9" s="1">
        <v>2086664.9909999999</v>
      </c>
      <c r="AB9" s="1">
        <v>578848.99890000001</v>
      </c>
      <c r="AC9" s="1">
        <v>228814.46979999999</v>
      </c>
      <c r="AD9" s="1">
        <v>2087426.426</v>
      </c>
      <c r="AE9" s="1">
        <v>579060.22400000005</v>
      </c>
      <c r="AF9" s="1">
        <v>228903.07509999999</v>
      </c>
      <c r="AG9" s="1">
        <v>2088234.754</v>
      </c>
      <c r="AH9" s="1">
        <v>579284.45730000001</v>
      </c>
      <c r="AI9" s="1">
        <v>228989.8285</v>
      </c>
      <c r="AJ9" s="1">
        <v>2089026.1869999999</v>
      </c>
      <c r="AK9" s="1">
        <v>579504.00390000001</v>
      </c>
      <c r="AL9" s="1">
        <v>229067.30970000001</v>
      </c>
      <c r="AM9" s="1">
        <v>2089733.0319999999</v>
      </c>
      <c r="AN9" s="1">
        <v>579700.08530000004</v>
      </c>
      <c r="AO9" s="1">
        <v>229142.7922</v>
      </c>
      <c r="AP9" s="1">
        <v>2090421.6429999999</v>
      </c>
      <c r="AQ9" s="1">
        <v>579891.10869999998</v>
      </c>
      <c r="AR9" s="1">
        <v>229224.0527</v>
      </c>
      <c r="AS9" s="1">
        <v>2091162.9650000001</v>
      </c>
      <c r="AT9" s="1">
        <v>580096.75450000004</v>
      </c>
      <c r="AU9" s="1">
        <v>229300.58499999999</v>
      </c>
      <c r="AV9" s="1">
        <v>2091861.1540000001</v>
      </c>
      <c r="AW9" s="1">
        <v>580290.43469999998</v>
      </c>
      <c r="AX9" s="1">
        <v>229384.60860000001</v>
      </c>
      <c r="AY9" s="1">
        <v>2092627.683</v>
      </c>
      <c r="AZ9" s="1">
        <v>580503.07290000003</v>
      </c>
      <c r="BA9" s="1">
        <v>229471.2193</v>
      </c>
      <c r="BB9" s="1">
        <v>2093417.814</v>
      </c>
      <c r="BC9" s="1">
        <v>580722.25829999999</v>
      </c>
      <c r="BD9" s="1">
        <v>229554.50820000001</v>
      </c>
      <c r="BE9" s="1">
        <v>2094177.642</v>
      </c>
      <c r="BF9" s="1">
        <v>580933.03760000004</v>
      </c>
      <c r="BG9" s="1">
        <v>229643.78820000001</v>
      </c>
      <c r="BH9" s="1">
        <v>2094992.1240000001</v>
      </c>
      <c r="BI9" s="1">
        <v>581158.97820000001</v>
      </c>
      <c r="BJ9" s="1">
        <v>229734.0276</v>
      </c>
      <c r="BK9" s="1">
        <v>2095815.3589999999</v>
      </c>
      <c r="BL9" s="1">
        <v>581387.34660000005</v>
      </c>
      <c r="BM9" s="1">
        <v>229825.57639999999</v>
      </c>
      <c r="BN9" s="1">
        <v>2096650.54</v>
      </c>
      <c r="BO9" s="1">
        <v>581619.02899999998</v>
      </c>
      <c r="BP9" s="1">
        <v>229922.5803</v>
      </c>
      <c r="BQ9" s="1">
        <v>2097535.486</v>
      </c>
      <c r="BR9" s="1">
        <v>581864.51670000004</v>
      </c>
      <c r="BS9" s="1">
        <v>230018.53839999999</v>
      </c>
      <c r="BT9" s="1">
        <v>2098410.892</v>
      </c>
      <c r="BU9" s="1">
        <v>582107.35759999999</v>
      </c>
      <c r="BV9" s="1">
        <v>230120.51430000001</v>
      </c>
      <c r="BW9" s="1">
        <v>2099341.1970000002</v>
      </c>
      <c r="BX9" s="1">
        <v>582365.4277</v>
      </c>
      <c r="BY9" s="1">
        <v>230131.58360000001</v>
      </c>
      <c r="BZ9" s="1">
        <v>2234475.2080000001</v>
      </c>
      <c r="CA9" s="1">
        <v>616151.69779999997</v>
      </c>
      <c r="CB9" s="1">
        <v>230227.37030000001</v>
      </c>
      <c r="CC9" s="1">
        <v>2235405.2540000002</v>
      </c>
      <c r="CD9" s="1">
        <v>616408.15599999996</v>
      </c>
      <c r="CE9" s="1">
        <v>230332.56219999999</v>
      </c>
      <c r="CF9" s="1">
        <v>2236426.6189999999</v>
      </c>
      <c r="CG9" s="1">
        <v>616689.79539999994</v>
      </c>
      <c r="CH9" s="1">
        <v>230433.10320000001</v>
      </c>
      <c r="CI9" s="1">
        <v>2237402.8280000002</v>
      </c>
      <c r="CJ9" s="1">
        <v>616958.9828</v>
      </c>
      <c r="CK9" s="1">
        <v>230535.72219999999</v>
      </c>
      <c r="CL9" s="1">
        <v>2238399.213</v>
      </c>
      <c r="CM9" s="1">
        <v>617233.73380000005</v>
      </c>
      <c r="CN9" s="1">
        <v>230642.59169999999</v>
      </c>
      <c r="CO9" s="1">
        <v>2239436.8679999998</v>
      </c>
      <c r="CP9" s="1">
        <v>617519.86490000004</v>
      </c>
      <c r="CQ9" s="1">
        <v>230753.02799999999</v>
      </c>
      <c r="CR9" s="1">
        <v>2240509.156</v>
      </c>
      <c r="CS9" s="1">
        <v>617815.54590000003</v>
      </c>
      <c r="CT9" s="1">
        <v>230866.9277</v>
      </c>
      <c r="CU9" s="1">
        <v>2241615.071</v>
      </c>
      <c r="CV9" s="1">
        <v>618120.49970000004</v>
      </c>
    </row>
    <row r="10" spans="1:100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33</v>
      </c>
      <c r="H10" s="1"/>
      <c r="I10" s="1"/>
      <c r="J10" s="1"/>
      <c r="K10" s="1">
        <v>205585.4423</v>
      </c>
      <c r="L10" s="1">
        <v>2205382.452</v>
      </c>
      <c r="M10" s="1">
        <v>602741.97369999997</v>
      </c>
      <c r="N10" s="1">
        <v>205800.66560000001</v>
      </c>
      <c r="O10" s="1">
        <v>2207691.2230000002</v>
      </c>
      <c r="P10" s="1">
        <v>603372.97199999995</v>
      </c>
      <c r="Q10" s="1">
        <v>205975.86780000001</v>
      </c>
      <c r="R10" s="1">
        <v>2209570.6749999998</v>
      </c>
      <c r="S10" s="1">
        <v>603886.63560000004</v>
      </c>
      <c r="T10" s="1">
        <v>206113.1588</v>
      </c>
      <c r="U10" s="1">
        <v>2211043.44</v>
      </c>
      <c r="V10" s="1">
        <v>604289.14980000001</v>
      </c>
      <c r="W10" s="1">
        <v>206235.2548</v>
      </c>
      <c r="X10" s="1">
        <v>2212353.2039999999</v>
      </c>
      <c r="Y10" s="1">
        <v>604647.11459999997</v>
      </c>
      <c r="Z10" s="1">
        <v>206349.43460000001</v>
      </c>
      <c r="AA10" s="1">
        <v>2213578.048</v>
      </c>
      <c r="AB10" s="1">
        <v>604981.87049999996</v>
      </c>
      <c r="AC10" s="1">
        <v>206461.1482</v>
      </c>
      <c r="AD10" s="1">
        <v>2214776.4360000002</v>
      </c>
      <c r="AE10" s="1">
        <v>605309.39610000001</v>
      </c>
      <c r="AF10" s="1">
        <v>206570.6704</v>
      </c>
      <c r="AG10" s="1">
        <v>2215951.3169999998</v>
      </c>
      <c r="AH10" s="1">
        <v>605630.49670000002</v>
      </c>
      <c r="AI10" s="1">
        <v>206675.1539</v>
      </c>
      <c r="AJ10" s="1">
        <v>2217072.1460000002</v>
      </c>
      <c r="AK10" s="1">
        <v>605936.82490000001</v>
      </c>
      <c r="AL10" s="1">
        <v>206775.83489999999</v>
      </c>
      <c r="AM10" s="1">
        <v>2218152.1839999999</v>
      </c>
      <c r="AN10" s="1">
        <v>606232.00470000005</v>
      </c>
      <c r="AO10" s="1">
        <v>206873.01089999999</v>
      </c>
      <c r="AP10" s="1">
        <v>2219194.6230000001</v>
      </c>
      <c r="AQ10" s="1">
        <v>606516.90839999996</v>
      </c>
      <c r="AR10" s="1">
        <v>206891.10149999999</v>
      </c>
      <c r="AS10" s="1">
        <v>2363972.5729999999</v>
      </c>
      <c r="AT10" s="1">
        <v>642715.91859999998</v>
      </c>
      <c r="AU10" s="1">
        <v>206984.49069999999</v>
      </c>
      <c r="AV10" s="1">
        <v>2365039.6529999999</v>
      </c>
      <c r="AW10" s="1">
        <v>643006.03590000002</v>
      </c>
      <c r="AX10" s="1">
        <v>207081.3725</v>
      </c>
      <c r="AY10" s="1">
        <v>2366146.6409999998</v>
      </c>
      <c r="AZ10" s="1">
        <v>643307.00340000005</v>
      </c>
      <c r="BA10" s="1">
        <v>207179.19639999999</v>
      </c>
      <c r="BB10" s="1">
        <v>2367264.3930000002</v>
      </c>
      <c r="BC10" s="1">
        <v>643610.89740000002</v>
      </c>
      <c r="BD10" s="1">
        <v>207279.91990000001</v>
      </c>
      <c r="BE10" s="1">
        <v>2368415.2769999998</v>
      </c>
      <c r="BF10" s="1">
        <v>643923.79929999996</v>
      </c>
      <c r="BG10" s="1">
        <v>207381.9227</v>
      </c>
      <c r="BH10" s="1">
        <v>2369580.7779999999</v>
      </c>
      <c r="BI10" s="1">
        <v>644240.67520000006</v>
      </c>
      <c r="BJ10" s="1">
        <v>207488.3602</v>
      </c>
      <c r="BK10" s="1">
        <v>2370796.9509999999</v>
      </c>
      <c r="BL10" s="1">
        <v>644571.32779999997</v>
      </c>
      <c r="BM10" s="1">
        <v>207597.6973</v>
      </c>
      <c r="BN10" s="1">
        <v>2372046.2560000001</v>
      </c>
      <c r="BO10" s="1">
        <v>644910.98820000002</v>
      </c>
      <c r="BP10" s="1">
        <v>207710.8701</v>
      </c>
      <c r="BQ10" s="1">
        <v>2373339.3870000001</v>
      </c>
      <c r="BR10" s="1">
        <v>645262.56420000002</v>
      </c>
      <c r="BS10" s="1">
        <v>207823.53330000001</v>
      </c>
      <c r="BT10" s="1">
        <v>2374626.6949999998</v>
      </c>
      <c r="BU10" s="1">
        <v>645612.55709999998</v>
      </c>
      <c r="BV10" s="1">
        <v>207939.09220000001</v>
      </c>
      <c r="BW10" s="1">
        <v>2375947.09</v>
      </c>
      <c r="BX10" s="1">
        <v>645971.54559999995</v>
      </c>
      <c r="BY10" s="1">
        <v>208056.19010000001</v>
      </c>
      <c r="BZ10" s="1">
        <v>2377285.071</v>
      </c>
      <c r="CA10" s="1">
        <v>646335.31519999995</v>
      </c>
      <c r="CB10" s="1">
        <v>208175.07889999999</v>
      </c>
      <c r="CC10" s="1">
        <v>2378643.5150000001</v>
      </c>
      <c r="CD10" s="1">
        <v>646704.64839999995</v>
      </c>
      <c r="CE10" s="1">
        <v>208296.5263</v>
      </c>
      <c r="CF10" s="1">
        <v>2380031.193</v>
      </c>
      <c r="CG10" s="1">
        <v>647081.92980000004</v>
      </c>
      <c r="CH10" s="1">
        <v>208420.788</v>
      </c>
      <c r="CI10" s="1">
        <v>2381451.0279999999</v>
      </c>
      <c r="CJ10" s="1">
        <v>647467.95400000003</v>
      </c>
      <c r="CK10" s="1">
        <v>383356.95069999999</v>
      </c>
      <c r="CL10" s="1">
        <v>3106022.8820000002</v>
      </c>
      <c r="CM10" s="1">
        <v>872344.95810000005</v>
      </c>
      <c r="CN10" s="1">
        <v>383534.42090000003</v>
      </c>
      <c r="CO10" s="1">
        <v>3107460.7749999999</v>
      </c>
      <c r="CP10" s="1">
        <v>872748.79909999995</v>
      </c>
      <c r="CQ10" s="1">
        <v>383717.07640000002</v>
      </c>
      <c r="CR10" s="1">
        <v>3108940.6809999999</v>
      </c>
      <c r="CS10" s="1">
        <v>873164.43929999997</v>
      </c>
      <c r="CT10" s="1">
        <v>383905.66340000002</v>
      </c>
      <c r="CU10" s="1">
        <v>3110468.645</v>
      </c>
      <c r="CV10" s="1">
        <v>873593.57700000005</v>
      </c>
    </row>
    <row r="11" spans="1:100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33</v>
      </c>
      <c r="H11" s="1"/>
      <c r="I11" s="1"/>
      <c r="J11" s="1"/>
      <c r="K11" s="1">
        <v>183415.53080000001</v>
      </c>
      <c r="L11" s="1">
        <v>2066105.473</v>
      </c>
      <c r="M11" s="1">
        <v>562380.25080000004</v>
      </c>
      <c r="N11" s="1">
        <v>183477.62040000001</v>
      </c>
      <c r="O11" s="1">
        <v>2066804.888</v>
      </c>
      <c r="P11" s="1">
        <v>562570.62719999999</v>
      </c>
      <c r="Q11" s="1">
        <v>183528.3101</v>
      </c>
      <c r="R11" s="1">
        <v>2067375.888</v>
      </c>
      <c r="S11" s="1">
        <v>562726.04960000003</v>
      </c>
      <c r="T11" s="1">
        <v>183567.65210000001</v>
      </c>
      <c r="U11" s="1">
        <v>2067819.06</v>
      </c>
      <c r="V11" s="1">
        <v>562846.67799999996</v>
      </c>
      <c r="W11" s="1">
        <v>183601.70509999999</v>
      </c>
      <c r="X11" s="1">
        <v>2068202.655</v>
      </c>
      <c r="Y11" s="1">
        <v>562951.09</v>
      </c>
      <c r="Z11" s="1">
        <v>183635.09270000001</v>
      </c>
      <c r="AA11" s="1">
        <v>2068578.7520000001</v>
      </c>
      <c r="AB11" s="1">
        <v>563053.46129999997</v>
      </c>
      <c r="AC11" s="1">
        <v>183666.28630000001</v>
      </c>
      <c r="AD11" s="1">
        <v>2068930.1370000001</v>
      </c>
      <c r="AE11" s="1">
        <v>563149.10580000002</v>
      </c>
      <c r="AF11" s="1">
        <v>183696.47459999999</v>
      </c>
      <c r="AG11" s="1">
        <v>2069270.1969999999</v>
      </c>
      <c r="AH11" s="1">
        <v>563241.66780000005</v>
      </c>
      <c r="AI11" s="1">
        <v>183726.3155</v>
      </c>
      <c r="AJ11" s="1">
        <v>2069606.3430000001</v>
      </c>
      <c r="AK11" s="1">
        <v>563333.16460000002</v>
      </c>
      <c r="AL11" s="1">
        <v>183754.1299</v>
      </c>
      <c r="AM11" s="1">
        <v>2069919.6610000001</v>
      </c>
      <c r="AN11" s="1">
        <v>563418.44770000002</v>
      </c>
      <c r="AO11" s="1">
        <v>183778.9981</v>
      </c>
      <c r="AP11" s="1">
        <v>2070199.7919999999</v>
      </c>
      <c r="AQ11" s="1">
        <v>563494.69759999996</v>
      </c>
      <c r="AR11" s="1">
        <v>183805.946</v>
      </c>
      <c r="AS11" s="1">
        <v>2070503.35</v>
      </c>
      <c r="AT11" s="1">
        <v>563577.32389999996</v>
      </c>
      <c r="AU11" s="1">
        <v>183832.20060000001</v>
      </c>
      <c r="AV11" s="1">
        <v>2070799.098</v>
      </c>
      <c r="AW11" s="1">
        <v>563657.8247</v>
      </c>
      <c r="AX11" s="1">
        <v>183858.71849999999</v>
      </c>
      <c r="AY11" s="1">
        <v>2071097.8119999999</v>
      </c>
      <c r="AZ11" s="1">
        <v>563739.13260000001</v>
      </c>
      <c r="BA11" s="1">
        <v>183885.05979999999</v>
      </c>
      <c r="BB11" s="1">
        <v>2071394.537</v>
      </c>
      <c r="BC11" s="1">
        <v>563819.89910000004</v>
      </c>
      <c r="BD11" s="1">
        <v>183912.87419999999</v>
      </c>
      <c r="BE11" s="1">
        <v>2071707.8540000001</v>
      </c>
      <c r="BF11" s="1">
        <v>563905.18220000004</v>
      </c>
      <c r="BG11" s="1">
        <v>183941.2084</v>
      </c>
      <c r="BH11" s="1">
        <v>2072027.0290000001</v>
      </c>
      <c r="BI11" s="1">
        <v>563992.05929999996</v>
      </c>
      <c r="BJ11" s="1">
        <v>183969.36929999999</v>
      </c>
      <c r="BK11" s="1">
        <v>2072344.2509999999</v>
      </c>
      <c r="BL11" s="1">
        <v>564078.40500000003</v>
      </c>
      <c r="BM11" s="1">
        <v>183997.96350000001</v>
      </c>
      <c r="BN11" s="1">
        <v>2072666.3529999999</v>
      </c>
      <c r="BO11" s="1">
        <v>564166.07920000004</v>
      </c>
      <c r="BP11" s="1">
        <v>184028.29399999999</v>
      </c>
      <c r="BQ11" s="1">
        <v>2073008.014</v>
      </c>
      <c r="BR11" s="1">
        <v>564259.07700000005</v>
      </c>
      <c r="BS11" s="1">
        <v>184057.66800000001</v>
      </c>
      <c r="BT11" s="1">
        <v>2073338.9010000001</v>
      </c>
      <c r="BU11" s="1">
        <v>564349.14229999995</v>
      </c>
      <c r="BV11" s="1">
        <v>184086.17550000001</v>
      </c>
      <c r="BW11" s="1">
        <v>2073660.0279999999</v>
      </c>
      <c r="BX11" s="1">
        <v>564436.55079999997</v>
      </c>
      <c r="BY11" s="1">
        <v>184115.9828</v>
      </c>
      <c r="BZ11" s="1">
        <v>2073995.7949999999</v>
      </c>
      <c r="CA11" s="1">
        <v>564527.94440000004</v>
      </c>
      <c r="CB11" s="1">
        <v>184142.84400000001</v>
      </c>
      <c r="CC11" s="1">
        <v>2074298.3759999999</v>
      </c>
      <c r="CD11" s="1">
        <v>564610.30500000005</v>
      </c>
      <c r="CE11" s="1">
        <v>184171.03940000001</v>
      </c>
      <c r="CF11" s="1">
        <v>2074615.986</v>
      </c>
      <c r="CG11" s="1">
        <v>564696.75639999995</v>
      </c>
      <c r="CH11" s="1">
        <v>184197.29399999999</v>
      </c>
      <c r="CI11" s="1">
        <v>2074911.7350000001</v>
      </c>
      <c r="CJ11" s="1">
        <v>564777.25719999999</v>
      </c>
      <c r="CK11" s="1">
        <v>184222.76879999999</v>
      </c>
      <c r="CL11" s="1">
        <v>2075198.699</v>
      </c>
      <c r="CM11" s="1">
        <v>564855.36690000002</v>
      </c>
      <c r="CN11" s="1">
        <v>184248.5036</v>
      </c>
      <c r="CO11" s="1">
        <v>2075488.591</v>
      </c>
      <c r="CP11" s="1">
        <v>564934.27359999996</v>
      </c>
      <c r="CQ11" s="1">
        <v>184274.75829999999</v>
      </c>
      <c r="CR11" s="1">
        <v>2075784.34</v>
      </c>
      <c r="CS11" s="1">
        <v>565014.77450000006</v>
      </c>
      <c r="CT11" s="1">
        <v>184301.44620000001</v>
      </c>
      <c r="CU11" s="1">
        <v>2076084.969</v>
      </c>
      <c r="CV11" s="1">
        <v>565096.60369999998</v>
      </c>
    </row>
    <row r="12" spans="1:100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33</v>
      </c>
      <c r="H12" s="1"/>
      <c r="I12" s="1"/>
      <c r="J12" s="1"/>
      <c r="K12" s="1">
        <v>206310.1966</v>
      </c>
      <c r="L12" s="1">
        <v>2213157.1290000002</v>
      </c>
      <c r="M12" s="1">
        <v>604866.83140000002</v>
      </c>
      <c r="N12" s="1">
        <v>206569.1298</v>
      </c>
      <c r="O12" s="1">
        <v>2215934.7910000002</v>
      </c>
      <c r="P12" s="1">
        <v>605625.98019999999</v>
      </c>
      <c r="Q12" s="1">
        <v>206770.579</v>
      </c>
      <c r="R12" s="1">
        <v>2218095.8020000001</v>
      </c>
      <c r="S12" s="1">
        <v>606216.59530000004</v>
      </c>
      <c r="T12" s="1">
        <v>206827.90270000001</v>
      </c>
      <c r="U12" s="1">
        <v>2363250.452</v>
      </c>
      <c r="V12" s="1">
        <v>642519.58860000002</v>
      </c>
      <c r="W12" s="1">
        <v>206938.60430000001</v>
      </c>
      <c r="X12" s="1">
        <v>2364515.3480000002</v>
      </c>
      <c r="Y12" s="1">
        <v>642863.48800000001</v>
      </c>
      <c r="Z12" s="1">
        <v>207029.0086</v>
      </c>
      <c r="AA12" s="1">
        <v>2365548.3220000002</v>
      </c>
      <c r="AB12" s="1">
        <v>643144.33259999997</v>
      </c>
      <c r="AC12" s="1">
        <v>207122.9094</v>
      </c>
      <c r="AD12" s="1">
        <v>2366621.2489999998</v>
      </c>
      <c r="AE12" s="1">
        <v>643436.03960000002</v>
      </c>
      <c r="AF12" s="1">
        <v>207204.78140000001</v>
      </c>
      <c r="AG12" s="1">
        <v>2367556.7319999998</v>
      </c>
      <c r="AH12" s="1">
        <v>643690.37829999998</v>
      </c>
      <c r="AI12" s="1">
        <v>207292.11540000001</v>
      </c>
      <c r="AJ12" s="1">
        <v>2368554.625</v>
      </c>
      <c r="AK12" s="1">
        <v>643961.68519999995</v>
      </c>
      <c r="AL12" s="1">
        <v>207360.09020000001</v>
      </c>
      <c r="AM12" s="1">
        <v>2369331.3160000001</v>
      </c>
      <c r="AN12" s="1">
        <v>644172.85149999999</v>
      </c>
      <c r="AO12" s="1">
        <v>207433.34849999999</v>
      </c>
      <c r="AP12" s="1">
        <v>2370168.378</v>
      </c>
      <c r="AQ12" s="1">
        <v>644400.43169999996</v>
      </c>
      <c r="AR12" s="1">
        <v>207497.05910000001</v>
      </c>
      <c r="AS12" s="1">
        <v>2370896.3459999999</v>
      </c>
      <c r="AT12" s="1">
        <v>644598.35129999998</v>
      </c>
      <c r="AU12" s="1">
        <v>207569.8058</v>
      </c>
      <c r="AV12" s="1">
        <v>2371727.5619999999</v>
      </c>
      <c r="AW12" s="1">
        <v>644824.34180000005</v>
      </c>
      <c r="AX12" s="1">
        <v>207634.71030000001</v>
      </c>
      <c r="AY12" s="1">
        <v>2372469.1719999998</v>
      </c>
      <c r="AZ12" s="1">
        <v>645025.97050000005</v>
      </c>
      <c r="BA12" s="1">
        <v>207710.61429999999</v>
      </c>
      <c r="BB12" s="1">
        <v>2373336.463</v>
      </c>
      <c r="BC12" s="1">
        <v>645261.76930000004</v>
      </c>
      <c r="BD12" s="1">
        <v>207774.66200000001</v>
      </c>
      <c r="BE12" s="1">
        <v>2374068.284</v>
      </c>
      <c r="BF12" s="1">
        <v>645460.73640000005</v>
      </c>
      <c r="BG12" s="1">
        <v>207851.84729999999</v>
      </c>
      <c r="BH12" s="1">
        <v>2374950.216</v>
      </c>
      <c r="BI12" s="1">
        <v>645700.5159</v>
      </c>
      <c r="BJ12" s="1">
        <v>207916.4068</v>
      </c>
      <c r="BK12" s="1">
        <v>2375687.8829999999</v>
      </c>
      <c r="BL12" s="1">
        <v>645901.07250000001</v>
      </c>
      <c r="BM12" s="1">
        <v>207995.63889999999</v>
      </c>
      <c r="BN12" s="1">
        <v>2376593.2030000002</v>
      </c>
      <c r="BO12" s="1">
        <v>646147.21050000004</v>
      </c>
      <c r="BP12" s="1">
        <v>208063.69899999999</v>
      </c>
      <c r="BQ12" s="1">
        <v>2377370.8679999998</v>
      </c>
      <c r="BR12" s="1">
        <v>646358.64179999998</v>
      </c>
      <c r="BS12" s="1">
        <v>208141.4773</v>
      </c>
      <c r="BT12" s="1">
        <v>2378259.577</v>
      </c>
      <c r="BU12" s="1">
        <v>646600.26359999995</v>
      </c>
      <c r="BV12" s="1">
        <v>208208.76980000001</v>
      </c>
      <c r="BW12" s="1">
        <v>2379028.4720000001</v>
      </c>
      <c r="BX12" s="1">
        <v>646809.31050000002</v>
      </c>
      <c r="BY12" s="1">
        <v>208289.1067</v>
      </c>
      <c r="BZ12" s="1">
        <v>2379946.415</v>
      </c>
      <c r="CA12" s="1">
        <v>647058.88029999996</v>
      </c>
      <c r="CB12" s="1">
        <v>208361.68669999999</v>
      </c>
      <c r="CC12" s="1">
        <v>2380775.7259999998</v>
      </c>
      <c r="CD12" s="1">
        <v>647284.35329999996</v>
      </c>
      <c r="CE12" s="1">
        <v>208447.57089999999</v>
      </c>
      <c r="CF12" s="1">
        <v>2381757.054</v>
      </c>
      <c r="CG12" s="1">
        <v>647551.15619999997</v>
      </c>
      <c r="CH12" s="1">
        <v>208522.27910000001</v>
      </c>
      <c r="CI12" s="1">
        <v>2382610.682</v>
      </c>
      <c r="CJ12" s="1">
        <v>647783.24029999995</v>
      </c>
      <c r="CK12" s="1">
        <v>383443.53470000002</v>
      </c>
      <c r="CL12" s="1">
        <v>3106724.4</v>
      </c>
      <c r="CM12" s="1">
        <v>872541.98360000004</v>
      </c>
      <c r="CN12" s="1">
        <v>383541.06300000002</v>
      </c>
      <c r="CO12" s="1">
        <v>3107514.59</v>
      </c>
      <c r="CP12" s="1">
        <v>872763.91330000001</v>
      </c>
      <c r="CQ12" s="1">
        <v>383639.27059999999</v>
      </c>
      <c r="CR12" s="1">
        <v>3108310.2850000001</v>
      </c>
      <c r="CS12" s="1">
        <v>872987.38879999996</v>
      </c>
      <c r="CT12" s="1">
        <v>383739.61190000002</v>
      </c>
      <c r="CU12" s="1">
        <v>3109123.2680000002</v>
      </c>
      <c r="CV12" s="1">
        <v>873215.71990000003</v>
      </c>
    </row>
    <row r="13" spans="1:100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33</v>
      </c>
      <c r="H13" s="1"/>
      <c r="I13" s="1"/>
      <c r="J13" s="1"/>
      <c r="K13" s="1">
        <v>229633.24919999999</v>
      </c>
      <c r="L13" s="1">
        <v>2094895.9790000001</v>
      </c>
      <c r="M13" s="1">
        <v>581132.30709999998</v>
      </c>
      <c r="N13" s="1">
        <v>230089.62289999999</v>
      </c>
      <c r="O13" s="1">
        <v>2234067.787</v>
      </c>
      <c r="P13" s="1">
        <v>616039.35259999998</v>
      </c>
      <c r="Q13" s="1">
        <v>230427.7597</v>
      </c>
      <c r="R13" s="1">
        <v>2237350.9449999998</v>
      </c>
      <c r="S13" s="1">
        <v>616944.67619999999</v>
      </c>
      <c r="T13" s="1">
        <v>230636.15969999999</v>
      </c>
      <c r="U13" s="1">
        <v>2239374.4160000002</v>
      </c>
      <c r="V13" s="1">
        <v>617502.64399999997</v>
      </c>
      <c r="W13" s="1">
        <v>230779.2506</v>
      </c>
      <c r="X13" s="1">
        <v>2240763.7650000001</v>
      </c>
      <c r="Y13" s="1">
        <v>617885.75399999996</v>
      </c>
      <c r="Z13" s="1">
        <v>230903.3425</v>
      </c>
      <c r="AA13" s="1">
        <v>2241968.642</v>
      </c>
      <c r="AB13" s="1">
        <v>618217.99620000005</v>
      </c>
      <c r="AC13" s="1">
        <v>231006.85209999999</v>
      </c>
      <c r="AD13" s="1">
        <v>2242973.6749999998</v>
      </c>
      <c r="AE13" s="1">
        <v>618495.13170000003</v>
      </c>
      <c r="AF13" s="1">
        <v>231099.37549999999</v>
      </c>
      <c r="AG13" s="1">
        <v>2243872.0350000001</v>
      </c>
      <c r="AH13" s="1">
        <v>618742.85259999998</v>
      </c>
      <c r="AI13" s="1">
        <v>231172.1061</v>
      </c>
      <c r="AJ13" s="1">
        <v>2244578.2170000002</v>
      </c>
      <c r="AK13" s="1">
        <v>618937.58070000005</v>
      </c>
      <c r="AL13" s="1">
        <v>231237.51869999999</v>
      </c>
      <c r="AM13" s="1">
        <v>2245213.344</v>
      </c>
      <c r="AN13" s="1">
        <v>619112.71580000001</v>
      </c>
      <c r="AO13" s="1">
        <v>231292.23980000001</v>
      </c>
      <c r="AP13" s="1">
        <v>2245744.662</v>
      </c>
      <c r="AQ13" s="1">
        <v>619259.22549999994</v>
      </c>
      <c r="AR13" s="1">
        <v>231335.2844</v>
      </c>
      <c r="AS13" s="1">
        <v>2246162.6060000001</v>
      </c>
      <c r="AT13" s="1">
        <v>619374.47270000004</v>
      </c>
      <c r="AU13" s="1">
        <v>231384.76560000001</v>
      </c>
      <c r="AV13" s="1">
        <v>2246643.0469999998</v>
      </c>
      <c r="AW13" s="1">
        <v>619506.95299999998</v>
      </c>
      <c r="AX13" s="1">
        <v>231435.92439999999</v>
      </c>
      <c r="AY13" s="1">
        <v>2247139.7760000001</v>
      </c>
      <c r="AZ13" s="1">
        <v>619643.92500000005</v>
      </c>
      <c r="BA13" s="1">
        <v>231477.6827</v>
      </c>
      <c r="BB13" s="1">
        <v>2247545.23</v>
      </c>
      <c r="BC13" s="1">
        <v>619755.72809999995</v>
      </c>
      <c r="BD13" s="1">
        <v>231525.77849999999</v>
      </c>
      <c r="BE13" s="1">
        <v>2248012.219</v>
      </c>
      <c r="BF13" s="1">
        <v>619884.49930000002</v>
      </c>
      <c r="BG13" s="1">
        <v>231576.04670000001</v>
      </c>
      <c r="BH13" s="1">
        <v>2248500.301</v>
      </c>
      <c r="BI13" s="1">
        <v>620019.08689999999</v>
      </c>
      <c r="BJ13" s="1">
        <v>231618.59659999999</v>
      </c>
      <c r="BK13" s="1">
        <v>2248913.4410000001</v>
      </c>
      <c r="BL13" s="1">
        <v>620133.00939999998</v>
      </c>
      <c r="BM13" s="1">
        <v>231665.60389999999</v>
      </c>
      <c r="BN13" s="1">
        <v>2249369.8620000002</v>
      </c>
      <c r="BO13" s="1">
        <v>620258.86640000006</v>
      </c>
      <c r="BP13" s="1">
        <v>231715.67430000001</v>
      </c>
      <c r="BQ13" s="1">
        <v>2249856.0219999999</v>
      </c>
      <c r="BR13" s="1">
        <v>620392.92409999995</v>
      </c>
      <c r="BS13" s="1">
        <v>231751.7922</v>
      </c>
      <c r="BT13" s="1">
        <v>2250206.7110000001</v>
      </c>
      <c r="BU13" s="1">
        <v>620489.62580000004</v>
      </c>
      <c r="BV13" s="1">
        <v>231796.72150000001</v>
      </c>
      <c r="BW13" s="1">
        <v>2250642.9550000001</v>
      </c>
      <c r="BX13" s="1">
        <v>620609.91910000006</v>
      </c>
      <c r="BY13" s="1">
        <v>231832.74050000001</v>
      </c>
      <c r="BZ13" s="1">
        <v>2250992.6830000002</v>
      </c>
      <c r="CA13" s="1">
        <v>620706.35580000002</v>
      </c>
      <c r="CB13" s="1">
        <v>231871.9259</v>
      </c>
      <c r="CC13" s="1">
        <v>2251373.156</v>
      </c>
      <c r="CD13" s="1">
        <v>620811.27049999998</v>
      </c>
      <c r="CE13" s="1">
        <v>231913.48629999999</v>
      </c>
      <c r="CF13" s="1">
        <v>2251776.6889999998</v>
      </c>
      <c r="CG13" s="1">
        <v>620922.54370000004</v>
      </c>
      <c r="CH13" s="1">
        <v>231950.3014</v>
      </c>
      <c r="CI13" s="1">
        <v>2252134.148</v>
      </c>
      <c r="CJ13" s="1">
        <v>621021.11219999997</v>
      </c>
      <c r="CK13" s="1">
        <v>231984.44029999999</v>
      </c>
      <c r="CL13" s="1">
        <v>2252465.6209999998</v>
      </c>
      <c r="CM13" s="1">
        <v>621112.51520000002</v>
      </c>
      <c r="CN13" s="1">
        <v>232017.88649999999</v>
      </c>
      <c r="CO13" s="1">
        <v>2252790.3679999998</v>
      </c>
      <c r="CP13" s="1">
        <v>621202.06359999999</v>
      </c>
      <c r="CQ13" s="1">
        <v>232051.43160000001</v>
      </c>
      <c r="CR13" s="1">
        <v>2253116.0759999999</v>
      </c>
      <c r="CS13" s="1">
        <v>621291.87699999998</v>
      </c>
      <c r="CT13" s="1">
        <v>398383.63919999998</v>
      </c>
      <c r="CU13" s="1">
        <v>2966104.5529999998</v>
      </c>
      <c r="CV13" s="1">
        <v>841122.04810000001</v>
      </c>
    </row>
    <row r="14" spans="1:100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33</v>
      </c>
      <c r="H14" s="1"/>
      <c r="I14" s="1"/>
      <c r="J14" s="1"/>
      <c r="K14" s="1">
        <v>312040.47739999997</v>
      </c>
      <c r="L14" s="1">
        <v>2393821.0980000002</v>
      </c>
      <c r="M14" s="1">
        <v>676465.39379999996</v>
      </c>
      <c r="N14" s="1">
        <v>312302.78899999999</v>
      </c>
      <c r="O14" s="1">
        <v>2395833.423</v>
      </c>
      <c r="P14" s="1">
        <v>677034.05299999996</v>
      </c>
      <c r="Q14" s="1">
        <v>312526.82</v>
      </c>
      <c r="R14" s="1">
        <v>2397552.0789999999</v>
      </c>
      <c r="S14" s="1">
        <v>677519.72479999997</v>
      </c>
      <c r="T14" s="1">
        <v>312709.58990000002</v>
      </c>
      <c r="U14" s="1">
        <v>2398954.2000000002</v>
      </c>
      <c r="V14" s="1">
        <v>677915.94739999995</v>
      </c>
      <c r="W14" s="1">
        <v>312874.22690000001</v>
      </c>
      <c r="X14" s="1">
        <v>2400217.2140000002</v>
      </c>
      <c r="Y14" s="1">
        <v>678272.86029999994</v>
      </c>
      <c r="Z14" s="1">
        <v>313033.41710000002</v>
      </c>
      <c r="AA14" s="1">
        <v>2401438.443</v>
      </c>
      <c r="AB14" s="1">
        <v>678617.96510000003</v>
      </c>
      <c r="AC14" s="1">
        <v>313187.348</v>
      </c>
      <c r="AD14" s="1">
        <v>2402619.3250000002</v>
      </c>
      <c r="AE14" s="1">
        <v>678951.66830000002</v>
      </c>
      <c r="AF14" s="1">
        <v>313340.66609999997</v>
      </c>
      <c r="AG14" s="1">
        <v>2403795.5070000002</v>
      </c>
      <c r="AH14" s="1">
        <v>679284.04319999996</v>
      </c>
      <c r="AI14" s="1">
        <v>313488.09710000001</v>
      </c>
      <c r="AJ14" s="1">
        <v>2404926.5240000002</v>
      </c>
      <c r="AK14" s="1">
        <v>679603.65529999998</v>
      </c>
      <c r="AL14" s="1">
        <v>313474.02480000001</v>
      </c>
      <c r="AM14" s="1">
        <v>2595637.6129999999</v>
      </c>
      <c r="AN14" s="1">
        <v>727277.90949999995</v>
      </c>
      <c r="AO14" s="1">
        <v>313600.5515</v>
      </c>
      <c r="AP14" s="1">
        <v>2596685.284</v>
      </c>
      <c r="AQ14" s="1">
        <v>727571.45880000002</v>
      </c>
      <c r="AR14" s="1">
        <v>313728.45380000002</v>
      </c>
      <c r="AS14" s="1">
        <v>2597744.344</v>
      </c>
      <c r="AT14" s="1">
        <v>727868.19960000005</v>
      </c>
      <c r="AU14" s="1">
        <v>313857.95480000001</v>
      </c>
      <c r="AV14" s="1">
        <v>2598816.6430000002</v>
      </c>
      <c r="AW14" s="1">
        <v>728168.64939999999</v>
      </c>
      <c r="AX14" s="1">
        <v>313992.25199999998</v>
      </c>
      <c r="AY14" s="1">
        <v>2599928.6540000001</v>
      </c>
      <c r="AZ14" s="1">
        <v>728480.22660000005</v>
      </c>
      <c r="BA14" s="1">
        <v>314125.864</v>
      </c>
      <c r="BB14" s="1">
        <v>2601034.9929999998</v>
      </c>
      <c r="BC14" s="1">
        <v>728790.21420000005</v>
      </c>
      <c r="BD14" s="1">
        <v>314264.50050000002</v>
      </c>
      <c r="BE14" s="1">
        <v>2602182.9350000001</v>
      </c>
      <c r="BF14" s="1">
        <v>729111.85889999999</v>
      </c>
      <c r="BG14" s="1">
        <v>314404.15950000001</v>
      </c>
      <c r="BH14" s="1">
        <v>2603339.344</v>
      </c>
      <c r="BI14" s="1">
        <v>729435.87580000004</v>
      </c>
      <c r="BJ14" s="1">
        <v>314549.36969999998</v>
      </c>
      <c r="BK14" s="1">
        <v>2604541.7179999999</v>
      </c>
      <c r="BL14" s="1">
        <v>729772.77190000005</v>
      </c>
      <c r="BM14" s="1">
        <v>314698.55869999999</v>
      </c>
      <c r="BN14" s="1">
        <v>2605777.0380000002</v>
      </c>
      <c r="BO14" s="1">
        <v>730118.89919999999</v>
      </c>
      <c r="BP14" s="1">
        <v>314851.12689999997</v>
      </c>
      <c r="BQ14" s="1">
        <v>2607040.338</v>
      </c>
      <c r="BR14" s="1">
        <v>730472.86609999998</v>
      </c>
      <c r="BS14" s="1">
        <v>315002.3247</v>
      </c>
      <c r="BT14" s="1">
        <v>2608292.2910000002</v>
      </c>
      <c r="BU14" s="1">
        <v>730823.65390000003</v>
      </c>
      <c r="BV14" s="1">
        <v>315158.09029999998</v>
      </c>
      <c r="BW14" s="1">
        <v>2609582.0660000001</v>
      </c>
      <c r="BX14" s="1">
        <v>731185.03910000005</v>
      </c>
      <c r="BY14" s="1">
        <v>315313.85590000002</v>
      </c>
      <c r="BZ14" s="1">
        <v>2610871.841</v>
      </c>
      <c r="CA14" s="1">
        <v>731546.42420000001</v>
      </c>
      <c r="CB14" s="1">
        <v>315472.36210000003</v>
      </c>
      <c r="CC14" s="1">
        <v>2612184.31</v>
      </c>
      <c r="CD14" s="1">
        <v>731914.1679</v>
      </c>
      <c r="CE14" s="1">
        <v>315630.41159999999</v>
      </c>
      <c r="CF14" s="1">
        <v>2613492.9959999998</v>
      </c>
      <c r="CG14" s="1">
        <v>732280.85179999995</v>
      </c>
      <c r="CH14" s="1">
        <v>449771.93839999998</v>
      </c>
      <c r="CI14" s="1">
        <v>3032208.3870000001</v>
      </c>
      <c r="CJ14" s="1">
        <v>870495.08140000002</v>
      </c>
      <c r="CK14" s="1">
        <v>449966.23349999997</v>
      </c>
      <c r="CL14" s="1">
        <v>3033518.2579999999</v>
      </c>
      <c r="CM14" s="1">
        <v>870871.12289999996</v>
      </c>
      <c r="CN14" s="1">
        <v>450163.13880000002</v>
      </c>
      <c r="CO14" s="1">
        <v>3034845.7259999998</v>
      </c>
      <c r="CP14" s="1">
        <v>871252.21620000002</v>
      </c>
      <c r="CQ14" s="1">
        <v>450365.72769999999</v>
      </c>
      <c r="CR14" s="1">
        <v>3036211.5109999999</v>
      </c>
      <c r="CS14" s="1">
        <v>871644.30960000004</v>
      </c>
      <c r="CT14" s="1">
        <v>450573.37070000003</v>
      </c>
      <c r="CU14" s="1">
        <v>3037611.37</v>
      </c>
      <c r="CV14" s="1">
        <v>872046.1851</v>
      </c>
    </row>
    <row r="15" spans="1:100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33</v>
      </c>
      <c r="H15" s="1"/>
      <c r="I15" s="1"/>
      <c r="J15" s="1"/>
      <c r="K15" s="1">
        <v>179099.70740000001</v>
      </c>
      <c r="L15" s="1">
        <v>2291446.7450000001</v>
      </c>
      <c r="M15" s="1">
        <v>617636.61309999996</v>
      </c>
      <c r="N15" s="1">
        <v>179457.1869</v>
      </c>
      <c r="O15" s="1">
        <v>2296020.4270000001</v>
      </c>
      <c r="P15" s="1">
        <v>618869.40359999996</v>
      </c>
      <c r="Q15" s="1">
        <v>179749.43659999999</v>
      </c>
      <c r="R15" s="1">
        <v>2299759.5440000002</v>
      </c>
      <c r="S15" s="1">
        <v>619877.2452</v>
      </c>
      <c r="T15" s="1">
        <v>179977.15330000001</v>
      </c>
      <c r="U15" s="1">
        <v>2302673.0090000001</v>
      </c>
      <c r="V15" s="1">
        <v>620662.5405</v>
      </c>
      <c r="W15" s="1">
        <v>323147.63559999998</v>
      </c>
      <c r="X15" s="1">
        <v>3016241.5520000001</v>
      </c>
      <c r="Y15" s="1">
        <v>834847.29680000001</v>
      </c>
      <c r="Z15" s="1">
        <v>323404.55599999998</v>
      </c>
      <c r="AA15" s="1">
        <v>3018639.6320000002</v>
      </c>
      <c r="AB15" s="1">
        <v>835511.04689999996</v>
      </c>
      <c r="AC15" s="1">
        <v>323650.55650000001</v>
      </c>
      <c r="AD15" s="1">
        <v>3020935.7859999998</v>
      </c>
      <c r="AE15" s="1">
        <v>836146.58570000005</v>
      </c>
      <c r="AF15" s="1">
        <v>323887.2855</v>
      </c>
      <c r="AG15" s="1">
        <v>3023145.4019999998</v>
      </c>
      <c r="AH15" s="1">
        <v>836758.17180000001</v>
      </c>
      <c r="AI15" s="1">
        <v>324110.5674</v>
      </c>
      <c r="AJ15" s="1">
        <v>3025229.5019999999</v>
      </c>
      <c r="AK15" s="1">
        <v>837335.01729999995</v>
      </c>
      <c r="AL15" s="1">
        <v>324318.35820000002</v>
      </c>
      <c r="AM15" s="1">
        <v>3027169.0090000001</v>
      </c>
      <c r="AN15" s="1">
        <v>837871.84169999999</v>
      </c>
      <c r="AO15" s="1">
        <v>324515.42219999997</v>
      </c>
      <c r="AP15" s="1">
        <v>3029008.3930000002</v>
      </c>
      <c r="AQ15" s="1">
        <v>838380.95380000002</v>
      </c>
      <c r="AR15" s="1">
        <v>324711.72210000001</v>
      </c>
      <c r="AS15" s="1">
        <v>3030840.6460000002</v>
      </c>
      <c r="AT15" s="1">
        <v>838888.09199999995</v>
      </c>
      <c r="AU15" s="1">
        <v>324908.04960000003</v>
      </c>
      <c r="AV15" s="1">
        <v>3032673.1549999998</v>
      </c>
      <c r="AW15" s="1">
        <v>839395.30130000005</v>
      </c>
      <c r="AX15" s="1">
        <v>325109.99</v>
      </c>
      <c r="AY15" s="1">
        <v>3034558.0559999999</v>
      </c>
      <c r="AZ15" s="1">
        <v>839917.01139999996</v>
      </c>
      <c r="BA15" s="1">
        <v>325310.23249999998</v>
      </c>
      <c r="BB15" s="1">
        <v>3036427.1069999998</v>
      </c>
      <c r="BC15" s="1">
        <v>840434.33490000002</v>
      </c>
      <c r="BD15" s="1">
        <v>325513.94990000001</v>
      </c>
      <c r="BE15" s="1">
        <v>3038328.594</v>
      </c>
      <c r="BF15" s="1">
        <v>840960.63589999999</v>
      </c>
      <c r="BG15" s="1">
        <v>325718.63500000001</v>
      </c>
      <c r="BH15" s="1">
        <v>3040239.1129999999</v>
      </c>
      <c r="BI15" s="1">
        <v>841489.43700000003</v>
      </c>
      <c r="BJ15" s="1">
        <v>325930.27539999998</v>
      </c>
      <c r="BK15" s="1">
        <v>3042214.5520000001</v>
      </c>
      <c r="BL15" s="1">
        <v>842036.20680000004</v>
      </c>
      <c r="BM15" s="1">
        <v>326144.33529999998</v>
      </c>
      <c r="BN15" s="1">
        <v>3044212.5750000002</v>
      </c>
      <c r="BO15" s="1">
        <v>842589.22770000005</v>
      </c>
      <c r="BP15" s="1">
        <v>326364.13909999997</v>
      </c>
      <c r="BQ15" s="1">
        <v>3046264.2119999998</v>
      </c>
      <c r="BR15" s="1">
        <v>843157.08770000003</v>
      </c>
      <c r="BS15" s="1">
        <v>326579.58470000001</v>
      </c>
      <c r="BT15" s="1">
        <v>3048275.1680000001</v>
      </c>
      <c r="BU15" s="1">
        <v>843713.68819999998</v>
      </c>
      <c r="BV15" s="1">
        <v>326797.61359999998</v>
      </c>
      <c r="BW15" s="1">
        <v>3050310.2370000002</v>
      </c>
      <c r="BX15" s="1">
        <v>844276.96259999997</v>
      </c>
      <c r="BY15" s="1">
        <v>327015.7205</v>
      </c>
      <c r="BZ15" s="1">
        <v>3052346.034</v>
      </c>
      <c r="CA15" s="1">
        <v>844840.43870000006</v>
      </c>
      <c r="CB15" s="1">
        <v>327225.0085</v>
      </c>
      <c r="CC15" s="1">
        <v>3054299.517</v>
      </c>
      <c r="CD15" s="1">
        <v>845381.13139999995</v>
      </c>
      <c r="CE15" s="1">
        <v>327427.49979999999</v>
      </c>
      <c r="CF15" s="1">
        <v>3056189.5589999999</v>
      </c>
      <c r="CG15" s="1">
        <v>845904.26459999999</v>
      </c>
      <c r="CH15" s="1">
        <v>327629.44020000001</v>
      </c>
      <c r="CI15" s="1">
        <v>3058074.4589999998</v>
      </c>
      <c r="CJ15" s="1">
        <v>846425.97479999997</v>
      </c>
      <c r="CK15" s="1">
        <v>327824.17310000001</v>
      </c>
      <c r="CL15" s="1">
        <v>3059892.085</v>
      </c>
      <c r="CM15" s="1">
        <v>846929.06449999998</v>
      </c>
      <c r="CN15" s="1">
        <v>328020.3676</v>
      </c>
      <c r="CO15" s="1">
        <v>3061723.3530000001</v>
      </c>
      <c r="CP15" s="1">
        <v>847435.93030000001</v>
      </c>
      <c r="CQ15" s="1">
        <v>328220.87390000001</v>
      </c>
      <c r="CR15" s="1">
        <v>3063594.8679999998</v>
      </c>
      <c r="CS15" s="1">
        <v>847953.93539999996</v>
      </c>
      <c r="CT15" s="1">
        <v>328424.06900000002</v>
      </c>
      <c r="CU15" s="1">
        <v>3065491.4789999998</v>
      </c>
      <c r="CV15" s="1">
        <v>848478.88690000004</v>
      </c>
    </row>
    <row r="16" spans="1:100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33</v>
      </c>
      <c r="H16" s="1"/>
      <c r="I16" s="1"/>
      <c r="J16" s="1"/>
      <c r="K16" s="1">
        <v>205066.55189999999</v>
      </c>
      <c r="L16" s="1">
        <v>2199816.145</v>
      </c>
      <c r="M16" s="1">
        <v>601220.67409999995</v>
      </c>
      <c r="N16" s="1">
        <v>205177.9259</v>
      </c>
      <c r="O16" s="1">
        <v>2201010.89</v>
      </c>
      <c r="P16" s="1">
        <v>601547.20400000003</v>
      </c>
      <c r="Q16" s="1">
        <v>205266.5546</v>
      </c>
      <c r="R16" s="1">
        <v>2201961.639</v>
      </c>
      <c r="S16" s="1">
        <v>601807.04839999997</v>
      </c>
      <c r="T16" s="1">
        <v>205332.7064</v>
      </c>
      <c r="U16" s="1">
        <v>2202671.2710000002</v>
      </c>
      <c r="V16" s="1">
        <v>602000.99419999996</v>
      </c>
      <c r="W16" s="1">
        <v>205389.82879999999</v>
      </c>
      <c r="X16" s="1">
        <v>2203284.0419999999</v>
      </c>
      <c r="Y16" s="1">
        <v>602168.46770000004</v>
      </c>
      <c r="Z16" s="1">
        <v>205440.3976</v>
      </c>
      <c r="AA16" s="1">
        <v>2203826.5099999998</v>
      </c>
      <c r="AB16" s="1">
        <v>602316.72679999995</v>
      </c>
      <c r="AC16" s="1">
        <v>205492.2316</v>
      </c>
      <c r="AD16" s="1">
        <v>2204382.5499999998</v>
      </c>
      <c r="AE16" s="1">
        <v>602468.69539999997</v>
      </c>
      <c r="AF16" s="1">
        <v>205546.05919999999</v>
      </c>
      <c r="AG16" s="1">
        <v>2204959.9759999998</v>
      </c>
      <c r="AH16" s="1">
        <v>602626.50890000002</v>
      </c>
      <c r="AI16" s="1">
        <v>205598.03839999999</v>
      </c>
      <c r="AJ16" s="1">
        <v>2205517.574</v>
      </c>
      <c r="AK16" s="1">
        <v>602778.9031</v>
      </c>
      <c r="AL16" s="1">
        <v>205648.51310000001</v>
      </c>
      <c r="AM16" s="1">
        <v>2206059.0329999998</v>
      </c>
      <c r="AN16" s="1">
        <v>602926.88650000002</v>
      </c>
      <c r="AO16" s="1">
        <v>205695.7255</v>
      </c>
      <c r="AP16" s="1">
        <v>2206565.4959999998</v>
      </c>
      <c r="AQ16" s="1">
        <v>603065.30539999995</v>
      </c>
      <c r="AR16" s="1">
        <v>205745.5693</v>
      </c>
      <c r="AS16" s="1">
        <v>2207100.1869999999</v>
      </c>
      <c r="AT16" s="1">
        <v>603211.43900000001</v>
      </c>
      <c r="AU16" s="1">
        <v>205794.59409999999</v>
      </c>
      <c r="AV16" s="1">
        <v>2207626.0920000002</v>
      </c>
      <c r="AW16" s="1">
        <v>603355.17150000005</v>
      </c>
      <c r="AX16" s="1">
        <v>205845.4313</v>
      </c>
      <c r="AY16" s="1">
        <v>2208171.4389999998</v>
      </c>
      <c r="AZ16" s="1">
        <v>603504.21759999997</v>
      </c>
      <c r="BA16" s="1">
        <v>205896.66699999999</v>
      </c>
      <c r="BB16" s="1">
        <v>2208721.0610000002</v>
      </c>
      <c r="BC16" s="1">
        <v>603654.43200000003</v>
      </c>
      <c r="BD16" s="1">
        <v>205948.31969999999</v>
      </c>
      <c r="BE16" s="1">
        <v>2209275.1570000001</v>
      </c>
      <c r="BF16" s="1">
        <v>603805.86910000001</v>
      </c>
      <c r="BG16" s="1">
        <v>206002.14730000001</v>
      </c>
      <c r="BH16" s="1">
        <v>2209852.5830000001</v>
      </c>
      <c r="BI16" s="1">
        <v>603963.68259999994</v>
      </c>
      <c r="BJ16" s="1">
        <v>206056.51860000001</v>
      </c>
      <c r="BK16" s="1">
        <v>2210435.8420000002</v>
      </c>
      <c r="BL16" s="1">
        <v>604123.09019999998</v>
      </c>
      <c r="BM16" s="1">
        <v>206114.42749999999</v>
      </c>
      <c r="BN16" s="1">
        <v>2211057.0499999998</v>
      </c>
      <c r="BO16" s="1">
        <v>604292.86930000002</v>
      </c>
      <c r="BP16" s="1">
        <v>206171.9705</v>
      </c>
      <c r="BQ16" s="1">
        <v>2211674.3319999999</v>
      </c>
      <c r="BR16" s="1">
        <v>604461.57570000004</v>
      </c>
      <c r="BS16" s="1">
        <v>206231.99249999999</v>
      </c>
      <c r="BT16" s="1">
        <v>2212318.2080000001</v>
      </c>
      <c r="BU16" s="1">
        <v>604637.55020000006</v>
      </c>
      <c r="BV16" s="1">
        <v>206291.43849999999</v>
      </c>
      <c r="BW16" s="1">
        <v>2212955.9049999998</v>
      </c>
      <c r="BX16" s="1">
        <v>604811.8358</v>
      </c>
      <c r="BY16" s="1">
        <v>206352.9687</v>
      </c>
      <c r="BZ16" s="1">
        <v>2213615.9589999998</v>
      </c>
      <c r="CA16" s="1">
        <v>604992.23199999996</v>
      </c>
      <c r="CB16" s="1">
        <v>206415.07860000001</v>
      </c>
      <c r="CC16" s="1">
        <v>2214282.233</v>
      </c>
      <c r="CD16" s="1">
        <v>605174.32790000003</v>
      </c>
      <c r="CE16" s="1">
        <v>206477.82209999999</v>
      </c>
      <c r="CF16" s="1">
        <v>2214955.3020000001</v>
      </c>
      <c r="CG16" s="1">
        <v>605358.28110000002</v>
      </c>
      <c r="CH16" s="1">
        <v>206542.30319999999</v>
      </c>
      <c r="CI16" s="1">
        <v>2215647.0129999998</v>
      </c>
      <c r="CJ16" s="1">
        <v>605547.32909999997</v>
      </c>
      <c r="CK16" s="1">
        <v>206606.1023</v>
      </c>
      <c r="CL16" s="1">
        <v>2216331.4070000001</v>
      </c>
      <c r="CM16" s="1">
        <v>605734.37730000005</v>
      </c>
      <c r="CN16" s="1">
        <v>206668.08559999999</v>
      </c>
      <c r="CO16" s="1">
        <v>2216996.3220000002</v>
      </c>
      <c r="CP16" s="1">
        <v>605916.10190000001</v>
      </c>
      <c r="CQ16" s="1">
        <v>206731.9754</v>
      </c>
      <c r="CR16" s="1">
        <v>2217681.6880000001</v>
      </c>
      <c r="CS16" s="1">
        <v>606103.41590000002</v>
      </c>
      <c r="CT16" s="1">
        <v>206797.31159999999</v>
      </c>
      <c r="CU16" s="1">
        <v>2218382.571</v>
      </c>
      <c r="CV16" s="1">
        <v>606294.9706</v>
      </c>
    </row>
    <row r="17" spans="1:100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33</v>
      </c>
      <c r="H17" s="1"/>
      <c r="I17" s="1"/>
      <c r="J17" s="1"/>
      <c r="K17" s="1">
        <v>205418.8303</v>
      </c>
      <c r="L17" s="1">
        <v>2203595.15</v>
      </c>
      <c r="M17" s="1">
        <v>602253.49509999994</v>
      </c>
      <c r="N17" s="1">
        <v>205620.8743</v>
      </c>
      <c r="O17" s="1">
        <v>2205762.5430000001</v>
      </c>
      <c r="P17" s="1">
        <v>602845.85430000001</v>
      </c>
      <c r="Q17" s="1">
        <v>205797.76579999999</v>
      </c>
      <c r="R17" s="1">
        <v>2207660.1150000002</v>
      </c>
      <c r="S17" s="1">
        <v>603364.47030000004</v>
      </c>
      <c r="T17" s="1">
        <v>205934.63630000001</v>
      </c>
      <c r="U17" s="1">
        <v>2209128.37</v>
      </c>
      <c r="V17" s="1">
        <v>603765.75159999996</v>
      </c>
      <c r="W17" s="1">
        <v>206066.94320000001</v>
      </c>
      <c r="X17" s="1">
        <v>2210547.67</v>
      </c>
      <c r="Y17" s="1">
        <v>604153.65339999995</v>
      </c>
      <c r="Z17" s="1">
        <v>206186.13589999999</v>
      </c>
      <c r="AA17" s="1">
        <v>2211826.29</v>
      </c>
      <c r="AB17" s="1">
        <v>604503.10640000005</v>
      </c>
      <c r="AC17" s="1">
        <v>206313.73069999999</v>
      </c>
      <c r="AD17" s="1">
        <v>2213195.0410000002</v>
      </c>
      <c r="AE17" s="1">
        <v>604877.19290000002</v>
      </c>
      <c r="AF17" s="1">
        <v>206433.20240000001</v>
      </c>
      <c r="AG17" s="1">
        <v>2214476.6529999999</v>
      </c>
      <c r="AH17" s="1">
        <v>605227.46380000003</v>
      </c>
      <c r="AI17" s="1">
        <v>206562.15220000001</v>
      </c>
      <c r="AJ17" s="1">
        <v>2215859.9389999998</v>
      </c>
      <c r="AK17" s="1">
        <v>605605.52289999998</v>
      </c>
      <c r="AL17" s="1">
        <v>206676.24129999999</v>
      </c>
      <c r="AM17" s="1">
        <v>2217083.8110000002</v>
      </c>
      <c r="AN17" s="1">
        <v>605940.01309999998</v>
      </c>
      <c r="AO17" s="1">
        <v>206797.94589999999</v>
      </c>
      <c r="AP17" s="1">
        <v>2218389.3760000002</v>
      </c>
      <c r="AQ17" s="1">
        <v>606296.83039999998</v>
      </c>
      <c r="AR17" s="1">
        <v>206833.61660000001</v>
      </c>
      <c r="AS17" s="1">
        <v>2363315.7409999999</v>
      </c>
      <c r="AT17" s="1">
        <v>642537.33929999999</v>
      </c>
      <c r="AU17" s="1">
        <v>206951.82320000001</v>
      </c>
      <c r="AV17" s="1">
        <v>2364666.389</v>
      </c>
      <c r="AW17" s="1">
        <v>642904.55310000002</v>
      </c>
      <c r="AX17" s="1">
        <v>207060.98980000001</v>
      </c>
      <c r="AY17" s="1">
        <v>2365913.7450000001</v>
      </c>
      <c r="AZ17" s="1">
        <v>643243.68359999999</v>
      </c>
      <c r="BA17" s="1">
        <v>207183.03419999999</v>
      </c>
      <c r="BB17" s="1">
        <v>2367308.2439999999</v>
      </c>
      <c r="BC17" s="1">
        <v>643622.81960000005</v>
      </c>
      <c r="BD17" s="1">
        <v>207295.95319999999</v>
      </c>
      <c r="BE17" s="1">
        <v>2368598.4759999998</v>
      </c>
      <c r="BF17" s="1">
        <v>643973.60730000003</v>
      </c>
      <c r="BG17" s="1">
        <v>207421.49419999999</v>
      </c>
      <c r="BH17" s="1">
        <v>2370032.9279999998</v>
      </c>
      <c r="BI17" s="1">
        <v>644363.60560000001</v>
      </c>
      <c r="BJ17" s="1">
        <v>207535.6072</v>
      </c>
      <c r="BK17" s="1">
        <v>2371336.8029999998</v>
      </c>
      <c r="BL17" s="1">
        <v>644718.10239999997</v>
      </c>
      <c r="BM17" s="1">
        <v>207666.484</v>
      </c>
      <c r="BN17" s="1">
        <v>2372832.2230000002</v>
      </c>
      <c r="BO17" s="1">
        <v>645124.67669999995</v>
      </c>
      <c r="BP17" s="1">
        <v>207784.12849999999</v>
      </c>
      <c r="BQ17" s="1">
        <v>2374176.449</v>
      </c>
      <c r="BR17" s="1">
        <v>645490.14430000004</v>
      </c>
      <c r="BS17" s="1">
        <v>207916.9185</v>
      </c>
      <c r="BT17" s="1">
        <v>2375693.73</v>
      </c>
      <c r="BU17" s="1">
        <v>645902.66220000002</v>
      </c>
      <c r="BV17" s="1">
        <v>208036.57490000001</v>
      </c>
      <c r="BW17" s="1">
        <v>2377060.9449999998</v>
      </c>
      <c r="BX17" s="1">
        <v>646274.3798</v>
      </c>
      <c r="BY17" s="1">
        <v>208174.05549999999</v>
      </c>
      <c r="BZ17" s="1">
        <v>2378631.821</v>
      </c>
      <c r="CA17" s="1">
        <v>646701.46920000005</v>
      </c>
      <c r="CB17" s="1">
        <v>208270.77069999999</v>
      </c>
      <c r="CC17" s="1">
        <v>2379736.906</v>
      </c>
      <c r="CD17" s="1">
        <v>647001.91910000006</v>
      </c>
      <c r="CE17" s="1">
        <v>208384.2868</v>
      </c>
      <c r="CF17" s="1">
        <v>2381033.9589999998</v>
      </c>
      <c r="CG17" s="1">
        <v>647354.56129999994</v>
      </c>
      <c r="CH17" s="1">
        <v>208484.6692</v>
      </c>
      <c r="CI17" s="1">
        <v>2382180.9449999998</v>
      </c>
      <c r="CJ17" s="1">
        <v>647666.40350000001</v>
      </c>
      <c r="CK17" s="1">
        <v>383434.04599999997</v>
      </c>
      <c r="CL17" s="1">
        <v>3106647.5210000002</v>
      </c>
      <c r="CM17" s="1">
        <v>872520.39179999998</v>
      </c>
      <c r="CN17" s="1">
        <v>383574.03600000002</v>
      </c>
      <c r="CO17" s="1">
        <v>3107781.7439999999</v>
      </c>
      <c r="CP17" s="1">
        <v>872838.94499999995</v>
      </c>
      <c r="CQ17" s="1">
        <v>383716.7206</v>
      </c>
      <c r="CR17" s="1">
        <v>3108937.798</v>
      </c>
      <c r="CS17" s="1">
        <v>873163.62959999999</v>
      </c>
      <c r="CT17" s="1">
        <v>383862.3714</v>
      </c>
      <c r="CU17" s="1">
        <v>3110117.8859999999</v>
      </c>
      <c r="CV17" s="1">
        <v>873495.06429999997</v>
      </c>
    </row>
    <row r="18" spans="1:100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33</v>
      </c>
      <c r="H18" s="1"/>
      <c r="I18" s="1"/>
      <c r="J18" s="1"/>
      <c r="K18" s="1">
        <v>204789.0674</v>
      </c>
      <c r="L18" s="1">
        <v>2196839.4780000001</v>
      </c>
      <c r="M18" s="1">
        <v>600407.13630000001</v>
      </c>
      <c r="N18" s="1">
        <v>204867.75349999999</v>
      </c>
      <c r="O18" s="1">
        <v>2197683.5690000001</v>
      </c>
      <c r="P18" s="1">
        <v>600637.83070000005</v>
      </c>
      <c r="Q18" s="1">
        <v>204930.40719999999</v>
      </c>
      <c r="R18" s="1">
        <v>2198355.676</v>
      </c>
      <c r="S18" s="1">
        <v>600821.52069999999</v>
      </c>
      <c r="T18" s="1">
        <v>204976.83919999999</v>
      </c>
      <c r="U18" s="1">
        <v>2198853.767</v>
      </c>
      <c r="V18" s="1">
        <v>600957.65159999998</v>
      </c>
      <c r="W18" s="1">
        <v>205015.80530000001</v>
      </c>
      <c r="X18" s="1">
        <v>2199271.77</v>
      </c>
      <c r="Y18" s="1">
        <v>601071.89370000002</v>
      </c>
      <c r="Z18" s="1">
        <v>205051.23730000001</v>
      </c>
      <c r="AA18" s="1">
        <v>2199651.86</v>
      </c>
      <c r="AB18" s="1">
        <v>601175.77430000005</v>
      </c>
      <c r="AC18" s="1">
        <v>205086.40090000001</v>
      </c>
      <c r="AD18" s="1">
        <v>2200029.071</v>
      </c>
      <c r="AE18" s="1">
        <v>601278.86789999995</v>
      </c>
      <c r="AF18" s="1">
        <v>205122.37650000001</v>
      </c>
      <c r="AG18" s="1">
        <v>2200414.9939999999</v>
      </c>
      <c r="AH18" s="1">
        <v>601384.34259999997</v>
      </c>
      <c r="AI18" s="1">
        <v>205157.5367</v>
      </c>
      <c r="AJ18" s="1">
        <v>2200792.1680000001</v>
      </c>
      <c r="AK18" s="1">
        <v>601487.42610000004</v>
      </c>
      <c r="AL18" s="1">
        <v>205190.4313</v>
      </c>
      <c r="AM18" s="1">
        <v>2201145.04</v>
      </c>
      <c r="AN18" s="1">
        <v>601583.86769999994</v>
      </c>
      <c r="AO18" s="1">
        <v>205222.14790000001</v>
      </c>
      <c r="AP18" s="1">
        <v>2201485.2740000002</v>
      </c>
      <c r="AQ18" s="1">
        <v>601676.85549999995</v>
      </c>
      <c r="AR18" s="1">
        <v>205254.50229999999</v>
      </c>
      <c r="AS18" s="1">
        <v>2201832.35</v>
      </c>
      <c r="AT18" s="1">
        <v>601771.71299999999</v>
      </c>
      <c r="AU18" s="1">
        <v>205286.5814</v>
      </c>
      <c r="AV18" s="1">
        <v>2202176.4730000002</v>
      </c>
      <c r="AW18" s="1">
        <v>601865.7635</v>
      </c>
      <c r="AX18" s="1">
        <v>205320.0197</v>
      </c>
      <c r="AY18" s="1">
        <v>2202535.1770000001</v>
      </c>
      <c r="AZ18" s="1">
        <v>601963.79909999995</v>
      </c>
      <c r="BA18" s="1">
        <v>205353.1862</v>
      </c>
      <c r="BB18" s="1">
        <v>2202890.9649999999</v>
      </c>
      <c r="BC18" s="1">
        <v>602061.03780000005</v>
      </c>
      <c r="BD18" s="1">
        <v>205387.65400000001</v>
      </c>
      <c r="BE18" s="1">
        <v>2203260.7119999998</v>
      </c>
      <c r="BF18" s="1">
        <v>602162.09140000003</v>
      </c>
      <c r="BG18" s="1">
        <v>205422.36439999999</v>
      </c>
      <c r="BH18" s="1">
        <v>2203633.0619999999</v>
      </c>
      <c r="BI18" s="1">
        <v>602263.85660000006</v>
      </c>
      <c r="BJ18" s="1">
        <v>205458.24950000001</v>
      </c>
      <c r="BK18" s="1">
        <v>2204018.0129999998</v>
      </c>
      <c r="BL18" s="1">
        <v>602369.06559999997</v>
      </c>
      <c r="BM18" s="1">
        <v>205495.13140000001</v>
      </c>
      <c r="BN18" s="1">
        <v>2204413.6570000001</v>
      </c>
      <c r="BO18" s="1">
        <v>602477.19709999999</v>
      </c>
      <c r="BP18" s="1">
        <v>205533.01010000001</v>
      </c>
      <c r="BQ18" s="1">
        <v>2204819.9939999999</v>
      </c>
      <c r="BR18" s="1">
        <v>602588.25100000005</v>
      </c>
      <c r="BS18" s="1">
        <v>205570.76209999999</v>
      </c>
      <c r="BT18" s="1">
        <v>2205224.9730000002</v>
      </c>
      <c r="BU18" s="1">
        <v>602698.93359999999</v>
      </c>
      <c r="BV18" s="1">
        <v>205609.72820000001</v>
      </c>
      <c r="BW18" s="1">
        <v>2205642.9750000001</v>
      </c>
      <c r="BX18" s="1">
        <v>602813.17570000002</v>
      </c>
      <c r="BY18" s="1">
        <v>205648.6943</v>
      </c>
      <c r="BZ18" s="1">
        <v>2206060.977</v>
      </c>
      <c r="CA18" s="1">
        <v>602927.41780000005</v>
      </c>
      <c r="CB18" s="1">
        <v>205688.65719999999</v>
      </c>
      <c r="CC18" s="1">
        <v>2206489.6719999998</v>
      </c>
      <c r="CD18" s="1">
        <v>603044.58239999996</v>
      </c>
      <c r="CE18" s="1">
        <v>205728.986</v>
      </c>
      <c r="CF18" s="1">
        <v>2206922.2930000001</v>
      </c>
      <c r="CG18" s="1">
        <v>603162.81969999999</v>
      </c>
      <c r="CH18" s="1">
        <v>205770.67069999999</v>
      </c>
      <c r="CI18" s="1">
        <v>2207369.4580000001</v>
      </c>
      <c r="CJ18" s="1">
        <v>603285.03220000002</v>
      </c>
      <c r="CK18" s="1">
        <v>205811.4492</v>
      </c>
      <c r="CL18" s="1">
        <v>2207806.9019999998</v>
      </c>
      <c r="CM18" s="1">
        <v>603404.58779999998</v>
      </c>
      <c r="CN18" s="1">
        <v>205851.2309</v>
      </c>
      <c r="CO18" s="1">
        <v>2208233.6529999999</v>
      </c>
      <c r="CP18" s="1">
        <v>603521.22100000002</v>
      </c>
      <c r="CQ18" s="1">
        <v>205892.3138</v>
      </c>
      <c r="CR18" s="1">
        <v>2208674.3629999999</v>
      </c>
      <c r="CS18" s="1">
        <v>603641.66929999995</v>
      </c>
      <c r="CT18" s="1">
        <v>205934.54560000001</v>
      </c>
      <c r="CU18" s="1">
        <v>2209127.398</v>
      </c>
      <c r="CV18" s="1">
        <v>603765.48589999997</v>
      </c>
    </row>
    <row r="19" spans="1:100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33</v>
      </c>
      <c r="H19" s="1"/>
      <c r="I19" s="1"/>
      <c r="J19" s="1"/>
      <c r="K19" s="1">
        <v>247387.5998</v>
      </c>
      <c r="L19" s="1">
        <v>2325987.5690000001</v>
      </c>
      <c r="M19" s="1">
        <v>643343.79220000003</v>
      </c>
      <c r="N19" s="1">
        <v>247868.67449999999</v>
      </c>
      <c r="O19" s="1">
        <v>2330510.7289999998</v>
      </c>
      <c r="P19" s="1">
        <v>644594.85089999996</v>
      </c>
      <c r="Q19" s="1">
        <v>248261.11869999999</v>
      </c>
      <c r="R19" s="1">
        <v>2334200.568</v>
      </c>
      <c r="S19" s="1">
        <v>645615.42169999995</v>
      </c>
      <c r="T19" s="1">
        <v>248579.08619999999</v>
      </c>
      <c r="U19" s="1">
        <v>2337190.162</v>
      </c>
      <c r="V19" s="1">
        <v>646442.31200000003</v>
      </c>
      <c r="W19" s="1">
        <v>449934.43839999998</v>
      </c>
      <c r="X19" s="1">
        <v>3033303.906</v>
      </c>
      <c r="Y19" s="1">
        <v>870809.58609999996</v>
      </c>
      <c r="Z19" s="1">
        <v>450267.58850000001</v>
      </c>
      <c r="AA19" s="1">
        <v>3035549.89</v>
      </c>
      <c r="AB19" s="1">
        <v>871454.36970000004</v>
      </c>
      <c r="AC19" s="1">
        <v>450611.30180000002</v>
      </c>
      <c r="AD19" s="1">
        <v>3037867.0869999998</v>
      </c>
      <c r="AE19" s="1">
        <v>872119.59730000002</v>
      </c>
      <c r="AF19" s="1">
        <v>450935.10859999998</v>
      </c>
      <c r="AG19" s="1">
        <v>3040050.0819999999</v>
      </c>
      <c r="AH19" s="1">
        <v>872746.2977</v>
      </c>
      <c r="AI19" s="1">
        <v>451222.97480000003</v>
      </c>
      <c r="AJ19" s="1">
        <v>3041990.7779999999</v>
      </c>
      <c r="AK19" s="1">
        <v>873303.43810000003</v>
      </c>
      <c r="AL19" s="1">
        <v>451509.40980000002</v>
      </c>
      <c r="AM19" s="1">
        <v>3043921.824</v>
      </c>
      <c r="AN19" s="1">
        <v>873857.80850000004</v>
      </c>
      <c r="AO19" s="1">
        <v>451778.17800000001</v>
      </c>
      <c r="AP19" s="1">
        <v>3045733.767</v>
      </c>
      <c r="AQ19" s="1">
        <v>874377.98629999999</v>
      </c>
      <c r="AR19" s="1">
        <v>452037.41840000002</v>
      </c>
      <c r="AS19" s="1">
        <v>3047481.4780000001</v>
      </c>
      <c r="AT19" s="1">
        <v>874879.72400000005</v>
      </c>
      <c r="AU19" s="1">
        <v>452297.11660000001</v>
      </c>
      <c r="AV19" s="1">
        <v>3049232.2740000002</v>
      </c>
      <c r="AW19" s="1">
        <v>875382.34759999998</v>
      </c>
      <c r="AX19" s="1">
        <v>452556.35700000002</v>
      </c>
      <c r="AY19" s="1">
        <v>3050979.9840000002</v>
      </c>
      <c r="AZ19" s="1">
        <v>875884.08530000004</v>
      </c>
      <c r="BA19" s="1">
        <v>452826.02110000001</v>
      </c>
      <c r="BB19" s="1">
        <v>3052797.9670000002</v>
      </c>
      <c r="BC19" s="1">
        <v>876405.99699999997</v>
      </c>
      <c r="BD19" s="1">
        <v>453103.66930000001</v>
      </c>
      <c r="BE19" s="1">
        <v>3054669.7760000001</v>
      </c>
      <c r="BF19" s="1">
        <v>876943.36120000004</v>
      </c>
      <c r="BG19" s="1">
        <v>453381.91460000002</v>
      </c>
      <c r="BH19" s="1">
        <v>3056545.611</v>
      </c>
      <c r="BI19" s="1">
        <v>877481.88130000001</v>
      </c>
      <c r="BJ19" s="1">
        <v>453670.41889999999</v>
      </c>
      <c r="BK19" s="1">
        <v>3058490.608</v>
      </c>
      <c r="BL19" s="1">
        <v>878040.25670000003</v>
      </c>
      <c r="BM19" s="1">
        <v>453957.2709</v>
      </c>
      <c r="BN19" s="1">
        <v>3060424.466</v>
      </c>
      <c r="BO19" s="1">
        <v>878595.43409999995</v>
      </c>
      <c r="BP19" s="1">
        <v>454254.85930000001</v>
      </c>
      <c r="BQ19" s="1">
        <v>3062430.7050000001</v>
      </c>
      <c r="BR19" s="1">
        <v>879171.39110000001</v>
      </c>
      <c r="BS19" s="1">
        <v>454542.44799999997</v>
      </c>
      <c r="BT19" s="1">
        <v>3064369.5290000001</v>
      </c>
      <c r="BU19" s="1">
        <v>879727.99430000002</v>
      </c>
      <c r="BV19" s="1">
        <v>454839.86310000002</v>
      </c>
      <c r="BW19" s="1">
        <v>3066374.6</v>
      </c>
      <c r="BX19" s="1">
        <v>880303.61569999997</v>
      </c>
      <c r="BY19" s="1">
        <v>455145.2622</v>
      </c>
      <c r="BZ19" s="1">
        <v>3068433.4959999998</v>
      </c>
      <c r="CA19" s="1">
        <v>880894.68960000004</v>
      </c>
      <c r="CB19" s="1">
        <v>455451.99949999998</v>
      </c>
      <c r="CC19" s="1">
        <v>3070501.4139999999</v>
      </c>
      <c r="CD19" s="1">
        <v>881488.35329999996</v>
      </c>
      <c r="CE19" s="1">
        <v>455738.43449999997</v>
      </c>
      <c r="CF19" s="1">
        <v>3072432.46</v>
      </c>
      <c r="CG19" s="1">
        <v>882042.72369999997</v>
      </c>
      <c r="CH19" s="1">
        <v>456053.03749999998</v>
      </c>
      <c r="CI19" s="1">
        <v>3074553.406</v>
      </c>
      <c r="CJ19" s="1">
        <v>882651.61089999997</v>
      </c>
      <c r="CK19" s="1">
        <v>456339.88939999999</v>
      </c>
      <c r="CL19" s="1">
        <v>3076487.264</v>
      </c>
      <c r="CM19" s="1">
        <v>883206.78830000001</v>
      </c>
      <c r="CN19" s="1">
        <v>456664.85</v>
      </c>
      <c r="CO19" s="1">
        <v>3078678.0359999998</v>
      </c>
      <c r="CP19" s="1">
        <v>883835.72160000005</v>
      </c>
      <c r="CQ19" s="1">
        <v>456990.01610000001</v>
      </c>
      <c r="CR19" s="1">
        <v>3080870.1949999998</v>
      </c>
      <c r="CS19" s="1">
        <v>884465.0527</v>
      </c>
      <c r="CT19" s="1">
        <v>457332.3701</v>
      </c>
      <c r="CU19" s="1">
        <v>3083178.2280000001</v>
      </c>
      <c r="CV19" s="1">
        <v>885127.6496</v>
      </c>
    </row>
    <row r="20" spans="1:100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33</v>
      </c>
      <c r="H20" s="1"/>
      <c r="I20" s="1"/>
      <c r="J20" s="1"/>
      <c r="K20" s="1">
        <v>368462.44459999999</v>
      </c>
      <c r="L20" s="1">
        <v>2339088.1669999999</v>
      </c>
      <c r="M20" s="1">
        <v>676887.65280000004</v>
      </c>
      <c r="N20" s="1">
        <v>368538.95510000002</v>
      </c>
      <c r="O20" s="1">
        <v>2339573.8739999998</v>
      </c>
      <c r="P20" s="1">
        <v>677028.20719999995</v>
      </c>
      <c r="Q20" s="1">
        <v>368599.11780000001</v>
      </c>
      <c r="R20" s="1">
        <v>2339955.801</v>
      </c>
      <c r="S20" s="1">
        <v>677138.72979999997</v>
      </c>
      <c r="T20" s="1">
        <v>368644.46610000002</v>
      </c>
      <c r="U20" s="1">
        <v>2340243.6830000002</v>
      </c>
      <c r="V20" s="1">
        <v>677222.03740000003</v>
      </c>
      <c r="W20" s="1">
        <v>368682.93560000003</v>
      </c>
      <c r="X20" s="1">
        <v>2340487.8969999999</v>
      </c>
      <c r="Y20" s="1">
        <v>677292.70810000005</v>
      </c>
      <c r="Z20" s="1">
        <v>368718.36790000001</v>
      </c>
      <c r="AA20" s="1">
        <v>2340712.83</v>
      </c>
      <c r="AB20" s="1">
        <v>677357.79949999996</v>
      </c>
      <c r="AC20" s="1">
        <v>368752.3541</v>
      </c>
      <c r="AD20" s="1">
        <v>2340928.5819999999</v>
      </c>
      <c r="AE20" s="1">
        <v>677420.2341</v>
      </c>
      <c r="AF20" s="1">
        <v>368784.89409999998</v>
      </c>
      <c r="AG20" s="1">
        <v>2341135.1540000001</v>
      </c>
      <c r="AH20" s="1">
        <v>677480.01199999999</v>
      </c>
      <c r="AI20" s="1">
        <v>368816.28249999997</v>
      </c>
      <c r="AJ20" s="1">
        <v>2341334.415</v>
      </c>
      <c r="AK20" s="1">
        <v>677537.67440000002</v>
      </c>
      <c r="AL20" s="1">
        <v>368845.49609999999</v>
      </c>
      <c r="AM20" s="1">
        <v>2341519.87</v>
      </c>
      <c r="AN20" s="1">
        <v>677591.34160000004</v>
      </c>
      <c r="AO20" s="1">
        <v>368871.6727</v>
      </c>
      <c r="AP20" s="1">
        <v>2341686.0460000001</v>
      </c>
      <c r="AQ20" s="1">
        <v>677639.42960000003</v>
      </c>
      <c r="AR20" s="1">
        <v>368897.8493</v>
      </c>
      <c r="AS20" s="1">
        <v>2341852.2209999999</v>
      </c>
      <c r="AT20" s="1">
        <v>677687.51749999996</v>
      </c>
      <c r="AU20" s="1">
        <v>368924.17050000001</v>
      </c>
      <c r="AV20" s="1">
        <v>2342019.3139999998</v>
      </c>
      <c r="AW20" s="1">
        <v>677735.87120000005</v>
      </c>
      <c r="AX20" s="1">
        <v>368952.1287</v>
      </c>
      <c r="AY20" s="1">
        <v>2342196.7990000001</v>
      </c>
      <c r="AZ20" s="1">
        <v>677787.23199999996</v>
      </c>
      <c r="BA20" s="1">
        <v>368978.30530000001</v>
      </c>
      <c r="BB20" s="1">
        <v>2342362.9750000001</v>
      </c>
      <c r="BC20" s="1">
        <v>677835.32</v>
      </c>
      <c r="BD20" s="1">
        <v>369004.77110000001</v>
      </c>
      <c r="BE20" s="1">
        <v>2342530.986</v>
      </c>
      <c r="BF20" s="1">
        <v>677883.93929999997</v>
      </c>
      <c r="BG20" s="1">
        <v>369031.67080000002</v>
      </c>
      <c r="BH20" s="1">
        <v>2342701.7519999999</v>
      </c>
      <c r="BI20" s="1">
        <v>677933.35560000001</v>
      </c>
      <c r="BJ20" s="1">
        <v>369059.64030000003</v>
      </c>
      <c r="BK20" s="1">
        <v>2342879.3089999999</v>
      </c>
      <c r="BL20" s="1">
        <v>677984.73730000004</v>
      </c>
      <c r="BM20" s="1">
        <v>369085.96149999998</v>
      </c>
      <c r="BN20" s="1">
        <v>2343046.4019999998</v>
      </c>
      <c r="BO20" s="1">
        <v>678033.09100000001</v>
      </c>
      <c r="BP20" s="1">
        <v>369114.50819999998</v>
      </c>
      <c r="BQ20" s="1">
        <v>2343227.6239999998</v>
      </c>
      <c r="BR20" s="1">
        <v>678085.53289999999</v>
      </c>
      <c r="BS20" s="1">
        <v>369141.40789999999</v>
      </c>
      <c r="BT20" s="1">
        <v>2343398.389</v>
      </c>
      <c r="BU20" s="1">
        <v>678134.94929999998</v>
      </c>
      <c r="BV20" s="1">
        <v>369168.4522</v>
      </c>
      <c r="BW20" s="1">
        <v>2343570.0729999999</v>
      </c>
      <c r="BX20" s="1">
        <v>678184.63130000001</v>
      </c>
      <c r="BY20" s="1">
        <v>369195.49650000001</v>
      </c>
      <c r="BZ20" s="1">
        <v>2343741.7570000002</v>
      </c>
      <c r="CA20" s="1">
        <v>678234.31330000004</v>
      </c>
      <c r="CB20" s="1">
        <v>369222.25160000002</v>
      </c>
      <c r="CC20" s="1">
        <v>2343911.6039999998</v>
      </c>
      <c r="CD20" s="1">
        <v>678283.46400000004</v>
      </c>
      <c r="CE20" s="1">
        <v>369248.42820000002</v>
      </c>
      <c r="CF20" s="1">
        <v>2344077.7799999998</v>
      </c>
      <c r="CG20" s="1">
        <v>678331.55200000003</v>
      </c>
      <c r="CH20" s="1">
        <v>369275.18320000003</v>
      </c>
      <c r="CI20" s="1">
        <v>2344247.6269999999</v>
      </c>
      <c r="CJ20" s="1">
        <v>678380.70259999996</v>
      </c>
      <c r="CK20" s="1">
        <v>369300.78129999997</v>
      </c>
      <c r="CL20" s="1">
        <v>2344410.13</v>
      </c>
      <c r="CM20" s="1">
        <v>678427.72779999999</v>
      </c>
      <c r="CN20" s="1">
        <v>369326.6741</v>
      </c>
      <c r="CO20" s="1">
        <v>2344574.5040000002</v>
      </c>
      <c r="CP20" s="1">
        <v>678475.29449999996</v>
      </c>
      <c r="CQ20" s="1">
        <v>369352.85070000001</v>
      </c>
      <c r="CR20" s="1">
        <v>2344740.679</v>
      </c>
      <c r="CS20" s="1">
        <v>678523.3824</v>
      </c>
      <c r="CT20" s="1">
        <v>369379.31650000002</v>
      </c>
      <c r="CU20" s="1">
        <v>2344908.6910000001</v>
      </c>
      <c r="CV20" s="1">
        <v>678572.00170000002</v>
      </c>
    </row>
    <row r="21" spans="1:100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33</v>
      </c>
      <c r="H21" s="1"/>
      <c r="I21" s="1"/>
      <c r="J21" s="1"/>
      <c r="K21" s="1">
        <v>205827.9418</v>
      </c>
      <c r="L21" s="1">
        <v>2207983.824</v>
      </c>
      <c r="M21" s="1">
        <v>603452.94149999996</v>
      </c>
      <c r="N21" s="1">
        <v>206050.80960000001</v>
      </c>
      <c r="O21" s="1">
        <v>2210374.6</v>
      </c>
      <c r="P21" s="1">
        <v>604106.35239999997</v>
      </c>
      <c r="Q21" s="1">
        <v>206229.2739</v>
      </c>
      <c r="R21" s="1">
        <v>2212289.0449999999</v>
      </c>
      <c r="S21" s="1">
        <v>604629.57979999995</v>
      </c>
      <c r="T21" s="1">
        <v>206364.32860000001</v>
      </c>
      <c r="U21" s="1">
        <v>2213737.821</v>
      </c>
      <c r="V21" s="1">
        <v>605025.53749999998</v>
      </c>
      <c r="W21" s="1">
        <v>206483.71230000001</v>
      </c>
      <c r="X21" s="1">
        <v>2215018.4890000001</v>
      </c>
      <c r="Y21" s="1">
        <v>605375.5503</v>
      </c>
      <c r="Z21" s="1">
        <v>206591.3315</v>
      </c>
      <c r="AA21" s="1">
        <v>2216172.9550000001</v>
      </c>
      <c r="AB21" s="1">
        <v>605691.07160000002</v>
      </c>
      <c r="AC21" s="1">
        <v>206696.08689999999</v>
      </c>
      <c r="AD21" s="1">
        <v>2217296.7009999999</v>
      </c>
      <c r="AE21" s="1">
        <v>605998.19680000003</v>
      </c>
      <c r="AF21" s="1">
        <v>206795.86170000001</v>
      </c>
      <c r="AG21" s="1">
        <v>2218367.017</v>
      </c>
      <c r="AH21" s="1">
        <v>606290.71979999996</v>
      </c>
      <c r="AI21" s="1">
        <v>206891.3193</v>
      </c>
      <c r="AJ21" s="1">
        <v>2219391.023</v>
      </c>
      <c r="AK21" s="1">
        <v>606570.58570000005</v>
      </c>
      <c r="AL21" s="1">
        <v>206896.9008</v>
      </c>
      <c r="AM21" s="1">
        <v>2364038.8360000001</v>
      </c>
      <c r="AN21" s="1">
        <v>642733.93420000002</v>
      </c>
      <c r="AO21" s="1">
        <v>206977.1563</v>
      </c>
      <c r="AP21" s="1">
        <v>2364955.8489999999</v>
      </c>
      <c r="AQ21" s="1">
        <v>642983.25139999995</v>
      </c>
      <c r="AR21" s="1">
        <v>207052.4615</v>
      </c>
      <c r="AS21" s="1">
        <v>2365816.2990000001</v>
      </c>
      <c r="AT21" s="1">
        <v>643217.18999999994</v>
      </c>
      <c r="AU21" s="1">
        <v>207131.35250000001</v>
      </c>
      <c r="AV21" s="1">
        <v>2366717.7209999999</v>
      </c>
      <c r="AW21" s="1">
        <v>643462.26820000005</v>
      </c>
      <c r="AX21" s="1">
        <v>207206.82819999999</v>
      </c>
      <c r="AY21" s="1">
        <v>2367580.1189999999</v>
      </c>
      <c r="AZ21" s="1">
        <v>643696.73670000001</v>
      </c>
      <c r="BA21" s="1">
        <v>207285.8898</v>
      </c>
      <c r="BB21" s="1">
        <v>2368483.4900000002</v>
      </c>
      <c r="BC21" s="1">
        <v>643942.34479999996</v>
      </c>
      <c r="BD21" s="1">
        <v>207364.09849999999</v>
      </c>
      <c r="BE21" s="1">
        <v>2369377.1159999999</v>
      </c>
      <c r="BF21" s="1">
        <v>644185.30350000004</v>
      </c>
      <c r="BG21" s="1">
        <v>207443.7531</v>
      </c>
      <c r="BH21" s="1">
        <v>2370287.2629999998</v>
      </c>
      <c r="BI21" s="1">
        <v>644432.75390000001</v>
      </c>
      <c r="BJ21" s="1">
        <v>207522.9852</v>
      </c>
      <c r="BK21" s="1">
        <v>2371192.5819999999</v>
      </c>
      <c r="BL21" s="1">
        <v>644678.89190000005</v>
      </c>
      <c r="BM21" s="1">
        <v>207605.79930000001</v>
      </c>
      <c r="BN21" s="1">
        <v>2372138.8289999999</v>
      </c>
      <c r="BO21" s="1">
        <v>644936.15709999995</v>
      </c>
      <c r="BP21" s="1">
        <v>207687.49849999999</v>
      </c>
      <c r="BQ21" s="1">
        <v>2373072.3390000002</v>
      </c>
      <c r="BR21" s="1">
        <v>645189.95940000005</v>
      </c>
      <c r="BS21" s="1">
        <v>207770.3126</v>
      </c>
      <c r="BT21" s="1">
        <v>2374018.5860000001</v>
      </c>
      <c r="BU21" s="1">
        <v>645447.22459999996</v>
      </c>
      <c r="BV21" s="1">
        <v>207851.25039999999</v>
      </c>
      <c r="BW21" s="1">
        <v>2374943.395</v>
      </c>
      <c r="BX21" s="1">
        <v>645698.66130000004</v>
      </c>
      <c r="BY21" s="1">
        <v>207933.7193</v>
      </c>
      <c r="BZ21" s="1">
        <v>2375885.699</v>
      </c>
      <c r="CA21" s="1">
        <v>645954.85459999996</v>
      </c>
      <c r="CB21" s="1">
        <v>208005.95819999999</v>
      </c>
      <c r="CC21" s="1">
        <v>2376711.1129999999</v>
      </c>
      <c r="CD21" s="1">
        <v>646179.26780000003</v>
      </c>
      <c r="CE21" s="1">
        <v>208084.4228</v>
      </c>
      <c r="CF21" s="1">
        <v>2377607.662</v>
      </c>
      <c r="CG21" s="1">
        <v>646423.02130000002</v>
      </c>
      <c r="CH21" s="1">
        <v>208158.3634</v>
      </c>
      <c r="CI21" s="1">
        <v>2378452.52</v>
      </c>
      <c r="CJ21" s="1">
        <v>646652.72089999996</v>
      </c>
      <c r="CK21" s="1">
        <v>208235.54870000001</v>
      </c>
      <c r="CL21" s="1">
        <v>2379334.4530000002</v>
      </c>
      <c r="CM21" s="1">
        <v>646892.50040000002</v>
      </c>
      <c r="CN21" s="1">
        <v>208307.78769999999</v>
      </c>
      <c r="CO21" s="1">
        <v>2380159.8670000001</v>
      </c>
      <c r="CP21" s="1">
        <v>647116.91359999997</v>
      </c>
      <c r="CQ21" s="1">
        <v>208381.046</v>
      </c>
      <c r="CR21" s="1">
        <v>2380996.929</v>
      </c>
      <c r="CS21" s="1">
        <v>647344.49380000005</v>
      </c>
      <c r="CT21" s="1">
        <v>208455.92869999999</v>
      </c>
      <c r="CU21" s="1">
        <v>2381852.551</v>
      </c>
      <c r="CV21" s="1">
        <v>647577.12</v>
      </c>
    </row>
    <row r="22" spans="1:100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33</v>
      </c>
      <c r="H22" s="1"/>
      <c r="I22" s="1"/>
      <c r="J22" s="1"/>
      <c r="K22" s="1">
        <v>179399.41089999999</v>
      </c>
      <c r="L22" s="1">
        <v>2295281.2259999998</v>
      </c>
      <c r="M22" s="1">
        <v>618670.15930000006</v>
      </c>
      <c r="N22" s="1">
        <v>179822.0399</v>
      </c>
      <c r="O22" s="1">
        <v>2300688.449</v>
      </c>
      <c r="P22" s="1">
        <v>620127.62210000004</v>
      </c>
      <c r="Q22" s="1">
        <v>323120.05540000001</v>
      </c>
      <c r="R22" s="1">
        <v>3015984.12</v>
      </c>
      <c r="S22" s="1">
        <v>834776.04370000004</v>
      </c>
      <c r="T22" s="1">
        <v>323467.02929999999</v>
      </c>
      <c r="U22" s="1">
        <v>3019222.7540000002</v>
      </c>
      <c r="V22" s="1">
        <v>835672.44579999999</v>
      </c>
      <c r="W22" s="1">
        <v>323768.0857</v>
      </c>
      <c r="X22" s="1">
        <v>3022032.798</v>
      </c>
      <c r="Y22" s="1">
        <v>836450.22089999996</v>
      </c>
      <c r="Z22" s="1">
        <v>324047.7807</v>
      </c>
      <c r="AA22" s="1">
        <v>3024643.4539999999</v>
      </c>
      <c r="AB22" s="1">
        <v>837172.80870000005</v>
      </c>
      <c r="AC22" s="1">
        <v>324312.82120000001</v>
      </c>
      <c r="AD22" s="1">
        <v>3027117.327</v>
      </c>
      <c r="AE22" s="1">
        <v>837857.53720000002</v>
      </c>
      <c r="AF22" s="1">
        <v>324567.23950000003</v>
      </c>
      <c r="AG22" s="1">
        <v>3029492.0529999998</v>
      </c>
      <c r="AH22" s="1">
        <v>838514.82310000004</v>
      </c>
      <c r="AI22" s="1">
        <v>324806.16239999997</v>
      </c>
      <c r="AJ22" s="1">
        <v>3031722.1460000002</v>
      </c>
      <c r="AK22" s="1">
        <v>839132.07709999999</v>
      </c>
      <c r="AL22" s="1">
        <v>325028.50309999997</v>
      </c>
      <c r="AM22" s="1">
        <v>3033797.4610000001</v>
      </c>
      <c r="AN22" s="1">
        <v>839706.49100000004</v>
      </c>
      <c r="AO22" s="1">
        <v>325236.99969999999</v>
      </c>
      <c r="AP22" s="1">
        <v>3035743.557</v>
      </c>
      <c r="AQ22" s="1">
        <v>840245.13899999997</v>
      </c>
      <c r="AR22" s="1">
        <v>325444.47700000001</v>
      </c>
      <c r="AS22" s="1">
        <v>3037680.1379999998</v>
      </c>
      <c r="AT22" s="1">
        <v>840781.15379999997</v>
      </c>
      <c r="AU22" s="1">
        <v>325651.9829</v>
      </c>
      <c r="AV22" s="1">
        <v>3039616.986</v>
      </c>
      <c r="AW22" s="1">
        <v>841317.24210000003</v>
      </c>
      <c r="AX22" s="1">
        <v>325865.40019999997</v>
      </c>
      <c r="AY22" s="1">
        <v>3041609.0109999999</v>
      </c>
      <c r="AZ22" s="1">
        <v>841868.60279999999</v>
      </c>
      <c r="BA22" s="1">
        <v>326074.86249999999</v>
      </c>
      <c r="BB22" s="1">
        <v>3043564.12</v>
      </c>
      <c r="BC22" s="1">
        <v>842409.74549999996</v>
      </c>
      <c r="BD22" s="1">
        <v>326288.81699999998</v>
      </c>
      <c r="BE22" s="1">
        <v>3045561.159</v>
      </c>
      <c r="BF22" s="1">
        <v>842962.4939</v>
      </c>
      <c r="BG22" s="1">
        <v>326503.53019999998</v>
      </c>
      <c r="BH22" s="1">
        <v>3047565.28</v>
      </c>
      <c r="BI22" s="1">
        <v>843517.20250000001</v>
      </c>
      <c r="BJ22" s="1">
        <v>326723.96189999999</v>
      </c>
      <c r="BK22" s="1">
        <v>3049622.7769999998</v>
      </c>
      <c r="BL22" s="1">
        <v>844086.68460000004</v>
      </c>
      <c r="BM22" s="1">
        <v>326948.65139999997</v>
      </c>
      <c r="BN22" s="1">
        <v>3051720.0159999998</v>
      </c>
      <c r="BO22" s="1">
        <v>844667.16680000001</v>
      </c>
      <c r="BP22" s="1">
        <v>327175.76919999998</v>
      </c>
      <c r="BQ22" s="1">
        <v>3053839.92</v>
      </c>
      <c r="BR22" s="1">
        <v>845253.92240000004</v>
      </c>
      <c r="BS22" s="1">
        <v>327398.35249999998</v>
      </c>
      <c r="BT22" s="1">
        <v>3055917.5</v>
      </c>
      <c r="BU22" s="1">
        <v>845828.96310000005</v>
      </c>
      <c r="BV22" s="1">
        <v>327623.4853</v>
      </c>
      <c r="BW22" s="1">
        <v>3058018.8769999999</v>
      </c>
      <c r="BX22" s="1">
        <v>846410.5906</v>
      </c>
      <c r="BY22" s="1">
        <v>327846.94770000002</v>
      </c>
      <c r="BZ22" s="1">
        <v>3060104.6609999998</v>
      </c>
      <c r="CA22" s="1">
        <v>846987.90229999996</v>
      </c>
      <c r="CB22" s="1">
        <v>328055.15629999997</v>
      </c>
      <c r="CC22" s="1">
        <v>3062048.0690000001</v>
      </c>
      <c r="CD22" s="1">
        <v>847525.80630000005</v>
      </c>
      <c r="CE22" s="1">
        <v>328254.9313</v>
      </c>
      <c r="CF22" s="1">
        <v>3063912.7570000002</v>
      </c>
      <c r="CG22" s="1">
        <v>848041.92220000003</v>
      </c>
      <c r="CH22" s="1">
        <v>328452.48389999999</v>
      </c>
      <c r="CI22" s="1">
        <v>3065756.702</v>
      </c>
      <c r="CJ22" s="1">
        <v>848552.2966</v>
      </c>
      <c r="CK22" s="1">
        <v>328642.3848</v>
      </c>
      <c r="CL22" s="1">
        <v>3067529.2259999998</v>
      </c>
      <c r="CM22" s="1">
        <v>849042.90280000004</v>
      </c>
      <c r="CN22" s="1">
        <v>328832.31109999999</v>
      </c>
      <c r="CO22" s="1">
        <v>3069301.9879999999</v>
      </c>
      <c r="CP22" s="1">
        <v>849533.57460000005</v>
      </c>
      <c r="CQ22" s="1">
        <v>329026.65370000002</v>
      </c>
      <c r="CR22" s="1">
        <v>3071115.97</v>
      </c>
      <c r="CS22" s="1">
        <v>850035.65590000001</v>
      </c>
      <c r="CT22" s="1">
        <v>329223.2671</v>
      </c>
      <c r="CU22" s="1">
        <v>3072951.148</v>
      </c>
      <c r="CV22" s="1">
        <v>850543.60380000004</v>
      </c>
    </row>
    <row r="23" spans="1:100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33</v>
      </c>
      <c r="H23" s="1"/>
      <c r="I23" s="1"/>
      <c r="J23" s="1"/>
      <c r="K23" s="1">
        <v>237905.5894</v>
      </c>
      <c r="L23" s="1">
        <v>2771632.4819999998</v>
      </c>
      <c r="M23" s="1">
        <v>752384.51780000003</v>
      </c>
      <c r="N23" s="1">
        <v>237933.76560000001</v>
      </c>
      <c r="O23" s="1">
        <v>2771960.7379999999</v>
      </c>
      <c r="P23" s="1">
        <v>752473.62600000005</v>
      </c>
      <c r="Q23" s="1">
        <v>237956.27979999999</v>
      </c>
      <c r="R23" s="1">
        <v>2772223.0320000001</v>
      </c>
      <c r="S23" s="1">
        <v>752544.82799999998</v>
      </c>
      <c r="T23" s="1">
        <v>237973.8376</v>
      </c>
      <c r="U23" s="1">
        <v>2772427.5819999999</v>
      </c>
      <c r="V23" s="1">
        <v>752600.35499999998</v>
      </c>
      <c r="W23" s="1">
        <v>237989.12710000001</v>
      </c>
      <c r="X23" s="1">
        <v>2772605.7069999999</v>
      </c>
      <c r="Y23" s="1">
        <v>752648.70860000001</v>
      </c>
      <c r="Z23" s="1">
        <v>238003.49249999999</v>
      </c>
      <c r="AA23" s="1">
        <v>2772773.0669999998</v>
      </c>
      <c r="AB23" s="1">
        <v>752694.1398</v>
      </c>
      <c r="AC23" s="1">
        <v>238017.18590000001</v>
      </c>
      <c r="AD23" s="1">
        <v>2772932.5959999999</v>
      </c>
      <c r="AE23" s="1">
        <v>752737.44550000003</v>
      </c>
      <c r="AF23" s="1">
        <v>238030.37520000001</v>
      </c>
      <c r="AG23" s="1">
        <v>2773086.253</v>
      </c>
      <c r="AH23" s="1">
        <v>752779.15720000002</v>
      </c>
      <c r="AI23" s="1">
        <v>238042.80850000001</v>
      </c>
      <c r="AJ23" s="1">
        <v>2773231.102</v>
      </c>
      <c r="AK23" s="1">
        <v>752818.47770000005</v>
      </c>
      <c r="AL23" s="1">
        <v>238054.31760000001</v>
      </c>
      <c r="AM23" s="1">
        <v>2773365.1850000001</v>
      </c>
      <c r="AN23" s="1">
        <v>752854.87580000004</v>
      </c>
      <c r="AO23" s="1">
        <v>238064.98670000001</v>
      </c>
      <c r="AP23" s="1">
        <v>2773489.4810000001</v>
      </c>
      <c r="AQ23" s="1">
        <v>752888.61699999997</v>
      </c>
      <c r="AR23" s="1">
        <v>238075.99489999999</v>
      </c>
      <c r="AS23" s="1">
        <v>2773617.7289999998</v>
      </c>
      <c r="AT23" s="1">
        <v>752923.43110000005</v>
      </c>
      <c r="AU23" s="1">
        <v>238086.58</v>
      </c>
      <c r="AV23" s="1">
        <v>2773741.0469999998</v>
      </c>
      <c r="AW23" s="1">
        <v>752956.90659999999</v>
      </c>
      <c r="AX23" s="1">
        <v>238097.5851</v>
      </c>
      <c r="AY23" s="1">
        <v>2773869.2579999999</v>
      </c>
      <c r="AZ23" s="1">
        <v>752991.71059999999</v>
      </c>
      <c r="BA23" s="1">
        <v>238108.17009999999</v>
      </c>
      <c r="BB23" s="1">
        <v>2773992.5750000002</v>
      </c>
      <c r="BC23" s="1">
        <v>753025.1862</v>
      </c>
      <c r="BD23" s="1">
        <v>238119.1752</v>
      </c>
      <c r="BE23" s="1">
        <v>2774120.7859999998</v>
      </c>
      <c r="BF23" s="1">
        <v>753059.9902</v>
      </c>
      <c r="BG23" s="1">
        <v>238130.05970000001</v>
      </c>
      <c r="BH23" s="1">
        <v>2774247.5920000002</v>
      </c>
      <c r="BI23" s="1">
        <v>753094.41280000005</v>
      </c>
      <c r="BJ23" s="1">
        <v>238141.2328</v>
      </c>
      <c r="BK23" s="1">
        <v>2774377.76</v>
      </c>
      <c r="BL23" s="1">
        <v>753129.74809999997</v>
      </c>
      <c r="BM23" s="1">
        <v>238152.57399999999</v>
      </c>
      <c r="BN23" s="1">
        <v>2774509.8849999998</v>
      </c>
      <c r="BO23" s="1">
        <v>753165.61479999998</v>
      </c>
      <c r="BP23" s="1">
        <v>238164.08309999999</v>
      </c>
      <c r="BQ23" s="1">
        <v>2774643.969</v>
      </c>
      <c r="BR23" s="1">
        <v>753202.01289999997</v>
      </c>
      <c r="BS23" s="1">
        <v>238175.2562</v>
      </c>
      <c r="BT23" s="1">
        <v>2774774.1370000001</v>
      </c>
      <c r="BU23" s="1">
        <v>753237.34829999995</v>
      </c>
      <c r="BV23" s="1">
        <v>238186.6814</v>
      </c>
      <c r="BW23" s="1">
        <v>2774907.2409999999</v>
      </c>
      <c r="BX23" s="1">
        <v>753273.48060000001</v>
      </c>
      <c r="BY23" s="1">
        <v>238197.85449999999</v>
      </c>
      <c r="BZ23" s="1">
        <v>2775037.409</v>
      </c>
      <c r="CA23" s="1">
        <v>753308.81599999999</v>
      </c>
      <c r="CB23" s="1">
        <v>238209.0276</v>
      </c>
      <c r="CC23" s="1">
        <v>2775167.5780000002</v>
      </c>
      <c r="CD23" s="1">
        <v>753344.15130000003</v>
      </c>
      <c r="CE23" s="1">
        <v>238219.7806</v>
      </c>
      <c r="CF23" s="1">
        <v>2775292.852</v>
      </c>
      <c r="CG23" s="1">
        <v>753378.15830000001</v>
      </c>
      <c r="CH23" s="1">
        <v>238230.87289999999</v>
      </c>
      <c r="CI23" s="1">
        <v>2775422.0789999999</v>
      </c>
      <c r="CJ23" s="1">
        <v>753413.23800000001</v>
      </c>
      <c r="CK23" s="1">
        <v>238241.20600000001</v>
      </c>
      <c r="CL23" s="1">
        <v>2775542.46</v>
      </c>
      <c r="CM23" s="1">
        <v>753445.91650000005</v>
      </c>
      <c r="CN23" s="1">
        <v>238251.62299999999</v>
      </c>
      <c r="CO23" s="1">
        <v>2775663.82</v>
      </c>
      <c r="CP23" s="1">
        <v>753478.86080000002</v>
      </c>
      <c r="CQ23" s="1">
        <v>238262.20800000001</v>
      </c>
      <c r="CR23" s="1">
        <v>2775787.1370000001</v>
      </c>
      <c r="CS23" s="1">
        <v>753512.33640000003</v>
      </c>
      <c r="CT23" s="1">
        <v>238272.96109999999</v>
      </c>
      <c r="CU23" s="1">
        <v>2775912.412</v>
      </c>
      <c r="CV23" s="1">
        <v>753546.34329999995</v>
      </c>
    </row>
    <row r="24" spans="1:100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33</v>
      </c>
      <c r="H24" s="1"/>
      <c r="I24" s="1"/>
      <c r="J24" s="1"/>
      <c r="K24" s="1">
        <v>227489.2929</v>
      </c>
      <c r="L24" s="1">
        <v>2075337.1159999999</v>
      </c>
      <c r="M24" s="1">
        <v>575706.60219999996</v>
      </c>
      <c r="N24" s="1">
        <v>227579.3223</v>
      </c>
      <c r="O24" s="1">
        <v>2076158.4350000001</v>
      </c>
      <c r="P24" s="1">
        <v>575934.43929999997</v>
      </c>
      <c r="Q24" s="1">
        <v>227663.7323</v>
      </c>
      <c r="R24" s="1">
        <v>2076928.49</v>
      </c>
      <c r="S24" s="1">
        <v>576148.05550000002</v>
      </c>
      <c r="T24" s="1">
        <v>227753.38750000001</v>
      </c>
      <c r="U24" s="1">
        <v>2077746.395</v>
      </c>
      <c r="V24" s="1">
        <v>576374.94559999998</v>
      </c>
      <c r="W24" s="1">
        <v>227815.04579999999</v>
      </c>
      <c r="X24" s="1">
        <v>2078308.8910000001</v>
      </c>
      <c r="Y24" s="1">
        <v>576530.9841</v>
      </c>
      <c r="Z24" s="1">
        <v>227866.52900000001</v>
      </c>
      <c r="AA24" s="1">
        <v>2078778.561</v>
      </c>
      <c r="AB24" s="1">
        <v>576661.27249999996</v>
      </c>
      <c r="AC24" s="1">
        <v>227910.13759999999</v>
      </c>
      <c r="AD24" s="1">
        <v>2079176.3929999999</v>
      </c>
      <c r="AE24" s="1">
        <v>576771.63260000001</v>
      </c>
      <c r="AF24" s="1">
        <v>227955.07010000001</v>
      </c>
      <c r="AG24" s="1">
        <v>2079586.3030000001</v>
      </c>
      <c r="AH24" s="1">
        <v>576885.34329999995</v>
      </c>
      <c r="AI24" s="1">
        <v>227995.38339999999</v>
      </c>
      <c r="AJ24" s="1">
        <v>2079954.0730000001</v>
      </c>
      <c r="AK24" s="1">
        <v>576987.36419999995</v>
      </c>
      <c r="AL24" s="1">
        <v>228036.0117</v>
      </c>
      <c r="AM24" s="1">
        <v>2080324.7169999999</v>
      </c>
      <c r="AN24" s="1">
        <v>577090.18209999998</v>
      </c>
      <c r="AO24" s="1">
        <v>228072.02470000001</v>
      </c>
      <c r="AP24" s="1">
        <v>2080653.2560000001</v>
      </c>
      <c r="AQ24" s="1">
        <v>577181.32010000001</v>
      </c>
      <c r="AR24" s="1">
        <v>228111.60320000001</v>
      </c>
      <c r="AS24" s="1">
        <v>2081014.3219999999</v>
      </c>
      <c r="AT24" s="1">
        <v>577281.48120000004</v>
      </c>
      <c r="AU24" s="1">
        <v>228146.87729999999</v>
      </c>
      <c r="AV24" s="1">
        <v>2081336.12</v>
      </c>
      <c r="AW24" s="1">
        <v>577370.74939999997</v>
      </c>
      <c r="AX24" s="1">
        <v>228187.92550000001</v>
      </c>
      <c r="AY24" s="1">
        <v>2081710.595</v>
      </c>
      <c r="AZ24" s="1">
        <v>577474.63</v>
      </c>
      <c r="BA24" s="1">
        <v>228223.93460000001</v>
      </c>
      <c r="BB24" s="1">
        <v>2082039.098</v>
      </c>
      <c r="BC24" s="1">
        <v>577565.75800000003</v>
      </c>
      <c r="BD24" s="1">
        <v>228265.1967</v>
      </c>
      <c r="BE24" s="1">
        <v>2082415.523</v>
      </c>
      <c r="BF24" s="1">
        <v>577670.18000000005</v>
      </c>
      <c r="BG24" s="1">
        <v>228302.04560000001</v>
      </c>
      <c r="BH24" s="1">
        <v>2082751.6880000001</v>
      </c>
      <c r="BI24" s="1">
        <v>577763.43350000004</v>
      </c>
      <c r="BJ24" s="1">
        <v>228345.08850000001</v>
      </c>
      <c r="BK24" s="1">
        <v>2083144.3589999999</v>
      </c>
      <c r="BL24" s="1">
        <v>577872.36199999996</v>
      </c>
      <c r="BM24" s="1">
        <v>228381.3075</v>
      </c>
      <c r="BN24" s="1">
        <v>2083474.7779999999</v>
      </c>
      <c r="BO24" s="1">
        <v>577964.02130000002</v>
      </c>
      <c r="BP24" s="1">
        <v>228425.44190000001</v>
      </c>
      <c r="BQ24" s="1">
        <v>2083877.4069999999</v>
      </c>
      <c r="BR24" s="1">
        <v>578075.71219999995</v>
      </c>
      <c r="BS24" s="1">
        <v>228462.50080000001</v>
      </c>
      <c r="BT24" s="1">
        <v>2084215.487</v>
      </c>
      <c r="BU24" s="1">
        <v>578169.49699999997</v>
      </c>
      <c r="BV24" s="1">
        <v>228507.0134</v>
      </c>
      <c r="BW24" s="1">
        <v>2084621.567</v>
      </c>
      <c r="BX24" s="1">
        <v>578282.14500000002</v>
      </c>
      <c r="BY24" s="1">
        <v>228546.17199999999</v>
      </c>
      <c r="BZ24" s="1">
        <v>2084978.8019999999</v>
      </c>
      <c r="CA24" s="1">
        <v>578381.24340000004</v>
      </c>
      <c r="CB24" s="1">
        <v>228584.49059999999</v>
      </c>
      <c r="CC24" s="1">
        <v>2085328.375</v>
      </c>
      <c r="CD24" s="1">
        <v>578478.21629999997</v>
      </c>
      <c r="CE24" s="1">
        <v>228617.5184</v>
      </c>
      <c r="CF24" s="1">
        <v>2085629.68</v>
      </c>
      <c r="CG24" s="1">
        <v>578561.79960000003</v>
      </c>
      <c r="CH24" s="1">
        <v>228657.4118</v>
      </c>
      <c r="CI24" s="1">
        <v>2085993.6189999999</v>
      </c>
      <c r="CJ24" s="1">
        <v>578662.75769999996</v>
      </c>
      <c r="CK24" s="1">
        <v>228690.69130000001</v>
      </c>
      <c r="CL24" s="1">
        <v>2086297.2209999999</v>
      </c>
      <c r="CM24" s="1">
        <v>578746.97809999995</v>
      </c>
      <c r="CN24" s="1">
        <v>228729.42989999999</v>
      </c>
      <c r="CO24" s="1">
        <v>2086650.625</v>
      </c>
      <c r="CP24" s="1">
        <v>578845.01370000001</v>
      </c>
      <c r="CQ24" s="1">
        <v>228769.00829999999</v>
      </c>
      <c r="CR24" s="1">
        <v>2087011.6910000001</v>
      </c>
      <c r="CS24" s="1">
        <v>578945.17480000004</v>
      </c>
      <c r="CT24" s="1">
        <v>228809.8505</v>
      </c>
      <c r="CU24" s="1">
        <v>2087384.2860000001</v>
      </c>
      <c r="CV24" s="1">
        <v>579048.53410000005</v>
      </c>
    </row>
    <row r="25" spans="1:100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33</v>
      </c>
      <c r="H25" s="1"/>
      <c r="I25" s="1"/>
      <c r="J25" s="1"/>
      <c r="K25" s="1">
        <v>229263.52619999999</v>
      </c>
      <c r="L25" s="1">
        <v>2091523.074</v>
      </c>
      <c r="M25" s="1">
        <v>580196.64989999996</v>
      </c>
      <c r="N25" s="1">
        <v>229530.46720000001</v>
      </c>
      <c r="O25" s="1">
        <v>2093958.321</v>
      </c>
      <c r="P25" s="1">
        <v>580872.19700000004</v>
      </c>
      <c r="Q25" s="1">
        <v>229734.76240000001</v>
      </c>
      <c r="R25" s="1">
        <v>2095822.0630000001</v>
      </c>
      <c r="S25" s="1">
        <v>581389.20640000002</v>
      </c>
      <c r="T25" s="1">
        <v>229879.8524</v>
      </c>
      <c r="U25" s="1">
        <v>2097145.6880000001</v>
      </c>
      <c r="V25" s="1">
        <v>581756.38520000002</v>
      </c>
      <c r="W25" s="1">
        <v>229998.6967</v>
      </c>
      <c r="X25" s="1">
        <v>2098229.88</v>
      </c>
      <c r="Y25" s="1">
        <v>582057.14419999998</v>
      </c>
      <c r="Z25" s="1">
        <v>230106.23670000001</v>
      </c>
      <c r="AA25" s="1">
        <v>2099210.9449999998</v>
      </c>
      <c r="AB25" s="1">
        <v>582329.2953</v>
      </c>
      <c r="AC25" s="1">
        <v>230119.2145</v>
      </c>
      <c r="AD25" s="1">
        <v>2234355.1090000002</v>
      </c>
      <c r="AE25" s="1">
        <v>616118.5808</v>
      </c>
      <c r="AF25" s="1">
        <v>230203.62160000001</v>
      </c>
      <c r="AG25" s="1">
        <v>2235174.6639999999</v>
      </c>
      <c r="AH25" s="1">
        <v>616344.57129999995</v>
      </c>
      <c r="AI25" s="1">
        <v>230280.41380000001</v>
      </c>
      <c r="AJ25" s="1">
        <v>2235920.2820000001</v>
      </c>
      <c r="AK25" s="1">
        <v>616550.174</v>
      </c>
      <c r="AL25" s="1">
        <v>230345.42610000001</v>
      </c>
      <c r="AM25" s="1">
        <v>2236551.5219999999</v>
      </c>
      <c r="AN25" s="1">
        <v>616724.23710000003</v>
      </c>
      <c r="AO25" s="1">
        <v>230405.4952</v>
      </c>
      <c r="AP25" s="1">
        <v>2237134.767</v>
      </c>
      <c r="AQ25" s="1">
        <v>616885.06559999997</v>
      </c>
      <c r="AR25" s="1">
        <v>230462.1954</v>
      </c>
      <c r="AS25" s="1">
        <v>2237685.301</v>
      </c>
      <c r="AT25" s="1">
        <v>617036.87399999995</v>
      </c>
      <c r="AU25" s="1">
        <v>230517.01550000001</v>
      </c>
      <c r="AV25" s="1">
        <v>2238217.5789999999</v>
      </c>
      <c r="AW25" s="1">
        <v>617183.64859999996</v>
      </c>
      <c r="AX25" s="1">
        <v>230574.31400000001</v>
      </c>
      <c r="AY25" s="1">
        <v>2238773.9219999998</v>
      </c>
      <c r="AZ25" s="1">
        <v>617337.05889999995</v>
      </c>
      <c r="BA25" s="1">
        <v>230629.43090000001</v>
      </c>
      <c r="BB25" s="1">
        <v>2239309.0830000001</v>
      </c>
      <c r="BC25" s="1">
        <v>617484.62840000005</v>
      </c>
      <c r="BD25" s="1">
        <v>230681.97959999999</v>
      </c>
      <c r="BE25" s="1">
        <v>2239819.307</v>
      </c>
      <c r="BF25" s="1">
        <v>617625.32169999997</v>
      </c>
      <c r="BG25" s="1">
        <v>230734.3259</v>
      </c>
      <c r="BH25" s="1">
        <v>2240327.5660000001</v>
      </c>
      <c r="BI25" s="1">
        <v>617765.473</v>
      </c>
      <c r="BJ25" s="1">
        <v>230788.45329999999</v>
      </c>
      <c r="BK25" s="1">
        <v>2240853.1189999999</v>
      </c>
      <c r="BL25" s="1">
        <v>617910.39300000004</v>
      </c>
      <c r="BM25" s="1">
        <v>230843.87160000001</v>
      </c>
      <c r="BN25" s="1">
        <v>2241391.2069999999</v>
      </c>
      <c r="BO25" s="1">
        <v>618058.7696</v>
      </c>
      <c r="BP25" s="1">
        <v>230896.1189</v>
      </c>
      <c r="BQ25" s="1">
        <v>2241898.5049999999</v>
      </c>
      <c r="BR25" s="1">
        <v>618198.65579999995</v>
      </c>
      <c r="BS25" s="1">
        <v>230946.68400000001</v>
      </c>
      <c r="BT25" s="1">
        <v>2242389.469</v>
      </c>
      <c r="BU25" s="1">
        <v>618334.03819999995</v>
      </c>
      <c r="BV25" s="1">
        <v>230996.95680000001</v>
      </c>
      <c r="BW25" s="1">
        <v>2242877.5950000002</v>
      </c>
      <c r="BX25" s="1">
        <v>618468.63809999998</v>
      </c>
      <c r="BY25" s="1">
        <v>231044.70819999999</v>
      </c>
      <c r="BZ25" s="1">
        <v>2243341.2409999999</v>
      </c>
      <c r="CA25" s="1">
        <v>618596.48719999997</v>
      </c>
      <c r="CB25" s="1">
        <v>231090.2672</v>
      </c>
      <c r="CC25" s="1">
        <v>2243783.5980000002</v>
      </c>
      <c r="CD25" s="1">
        <v>618718.46620000002</v>
      </c>
      <c r="CE25" s="1">
        <v>231133.71220000001</v>
      </c>
      <c r="CF25" s="1">
        <v>2244205.4300000002</v>
      </c>
      <c r="CG25" s="1">
        <v>618834.7855</v>
      </c>
      <c r="CH25" s="1">
        <v>231177.05369999999</v>
      </c>
      <c r="CI25" s="1">
        <v>2244626.2560000001</v>
      </c>
      <c r="CJ25" s="1">
        <v>618950.82750000001</v>
      </c>
      <c r="CK25" s="1">
        <v>231214.3591</v>
      </c>
      <c r="CL25" s="1">
        <v>2244988.4750000001</v>
      </c>
      <c r="CM25" s="1">
        <v>619050.7084</v>
      </c>
      <c r="CN25" s="1">
        <v>231250.97630000001</v>
      </c>
      <c r="CO25" s="1">
        <v>2245344.0120000001</v>
      </c>
      <c r="CP25" s="1">
        <v>619148.74710000004</v>
      </c>
      <c r="CQ25" s="1">
        <v>231287.4901</v>
      </c>
      <c r="CR25" s="1">
        <v>2245698.5440000002</v>
      </c>
      <c r="CS25" s="1">
        <v>619246.5085</v>
      </c>
      <c r="CT25" s="1">
        <v>231324.3996</v>
      </c>
      <c r="CU25" s="1">
        <v>2246056.9190000002</v>
      </c>
      <c r="CV25" s="1">
        <v>619345.3297</v>
      </c>
    </row>
    <row r="26" spans="1:100" x14ac:dyDescent="0.35">
      <c r="A26" t="s">
        <v>126</v>
      </c>
      <c r="B26" t="s">
        <v>175</v>
      </c>
      <c r="C26">
        <v>130140</v>
      </c>
      <c r="D26" t="s">
        <v>128</v>
      </c>
      <c r="E26" t="s">
        <v>127</v>
      </c>
      <c r="F26" t="s">
        <v>35</v>
      </c>
      <c r="G26" t="s">
        <v>33</v>
      </c>
      <c r="H26" s="1"/>
      <c r="I26" s="1"/>
      <c r="J26" s="1"/>
      <c r="K26" s="1">
        <v>228443.28899999999</v>
      </c>
      <c r="L26" s="1">
        <v>2084040.2220000001</v>
      </c>
      <c r="M26" s="1">
        <v>578120.87769999995</v>
      </c>
      <c r="N26" s="1">
        <v>228658.46160000001</v>
      </c>
      <c r="O26" s="1">
        <v>2086003.1969999999</v>
      </c>
      <c r="P26" s="1">
        <v>578665.41449999996</v>
      </c>
      <c r="Q26" s="1">
        <v>228817.30429999999</v>
      </c>
      <c r="R26" s="1">
        <v>2087452.2849999999</v>
      </c>
      <c r="S26" s="1">
        <v>579067.39729999995</v>
      </c>
      <c r="T26" s="1">
        <v>228928.69089999999</v>
      </c>
      <c r="U26" s="1">
        <v>2088468.4410000001</v>
      </c>
      <c r="V26" s="1">
        <v>579349.28300000005</v>
      </c>
      <c r="W26" s="1">
        <v>229019.33259999999</v>
      </c>
      <c r="X26" s="1">
        <v>2089295.3470000001</v>
      </c>
      <c r="Y26" s="1">
        <v>579578.66989999998</v>
      </c>
      <c r="Z26" s="1">
        <v>229098.9094</v>
      </c>
      <c r="AA26" s="1">
        <v>2090021.31</v>
      </c>
      <c r="AB26" s="1">
        <v>579780.05469999998</v>
      </c>
      <c r="AC26" s="1">
        <v>229171.45240000001</v>
      </c>
      <c r="AD26" s="1">
        <v>2090683.1040000001</v>
      </c>
      <c r="AE26" s="1">
        <v>579963.63910000003</v>
      </c>
      <c r="AF26" s="1">
        <v>229239.48509999999</v>
      </c>
      <c r="AG26" s="1">
        <v>2091303.7520000001</v>
      </c>
      <c r="AH26" s="1">
        <v>580135.80940000003</v>
      </c>
      <c r="AI26" s="1">
        <v>229300.69</v>
      </c>
      <c r="AJ26" s="1">
        <v>2091862.112</v>
      </c>
      <c r="AK26" s="1">
        <v>580290.70039999997</v>
      </c>
      <c r="AL26" s="1">
        <v>229355.10449999999</v>
      </c>
      <c r="AM26" s="1">
        <v>2092358.524</v>
      </c>
      <c r="AN26" s="1">
        <v>580428.40700000001</v>
      </c>
      <c r="AO26" s="1">
        <v>229403.61050000001</v>
      </c>
      <c r="AP26" s="1">
        <v>2092801.0330000001</v>
      </c>
      <c r="AQ26" s="1">
        <v>580551.16090000002</v>
      </c>
      <c r="AR26" s="1">
        <v>229450.74770000001</v>
      </c>
      <c r="AS26" s="1">
        <v>2093231.0560000001</v>
      </c>
      <c r="AT26" s="1">
        <v>580670.45090000005</v>
      </c>
      <c r="AU26" s="1">
        <v>229496.41510000001</v>
      </c>
      <c r="AV26" s="1">
        <v>2093647.67</v>
      </c>
      <c r="AW26" s="1">
        <v>580786.02139999997</v>
      </c>
      <c r="AX26" s="1">
        <v>229542.54019999999</v>
      </c>
      <c r="AY26" s="1">
        <v>2094068.46</v>
      </c>
      <c r="AZ26" s="1">
        <v>580902.75009999995</v>
      </c>
      <c r="BA26" s="1">
        <v>229588.7366</v>
      </c>
      <c r="BB26" s="1">
        <v>2094489.9</v>
      </c>
      <c r="BC26" s="1">
        <v>581019.65899999999</v>
      </c>
      <c r="BD26" s="1">
        <v>229632.61929999999</v>
      </c>
      <c r="BE26" s="1">
        <v>2094890.233</v>
      </c>
      <c r="BF26" s="1">
        <v>581130.71299999999</v>
      </c>
      <c r="BG26" s="1">
        <v>229678.11749999999</v>
      </c>
      <c r="BH26" s="1">
        <v>2095305.304</v>
      </c>
      <c r="BI26" s="1">
        <v>581245.85530000005</v>
      </c>
      <c r="BJ26" s="1">
        <v>229723.3193</v>
      </c>
      <c r="BK26" s="1">
        <v>2095717.67</v>
      </c>
      <c r="BL26" s="1">
        <v>581360.24730000005</v>
      </c>
      <c r="BM26" s="1">
        <v>229770.25049999999</v>
      </c>
      <c r="BN26" s="1">
        <v>2096145.814</v>
      </c>
      <c r="BO26" s="1">
        <v>581479.01599999995</v>
      </c>
      <c r="BP26" s="1">
        <v>229814.3432</v>
      </c>
      <c r="BQ26" s="1">
        <v>2096548.0619999999</v>
      </c>
      <c r="BR26" s="1">
        <v>581590.60129999998</v>
      </c>
      <c r="BS26" s="1">
        <v>229857.28109999999</v>
      </c>
      <c r="BT26" s="1">
        <v>2096939.7760000001</v>
      </c>
      <c r="BU26" s="1">
        <v>581699.26410000003</v>
      </c>
      <c r="BV26" s="1">
        <v>229901.26879999999</v>
      </c>
      <c r="BW26" s="1">
        <v>2097341.0660000001</v>
      </c>
      <c r="BX26" s="1">
        <v>581810.58380000002</v>
      </c>
      <c r="BY26" s="1">
        <v>229943.16089999999</v>
      </c>
      <c r="BZ26" s="1">
        <v>2097723.2390000001</v>
      </c>
      <c r="CA26" s="1">
        <v>581916.59979999997</v>
      </c>
      <c r="CB26" s="1">
        <v>229987.46359999999</v>
      </c>
      <c r="CC26" s="1">
        <v>2098127.4029999999</v>
      </c>
      <c r="CD26" s="1">
        <v>582028.71649999998</v>
      </c>
      <c r="CE26" s="1">
        <v>230029.6666</v>
      </c>
      <c r="CF26" s="1">
        <v>2098512.412</v>
      </c>
      <c r="CG26" s="1">
        <v>582135.5196</v>
      </c>
      <c r="CH26" s="1">
        <v>230071.97459999999</v>
      </c>
      <c r="CI26" s="1">
        <v>2098898.3790000002</v>
      </c>
      <c r="CJ26" s="1">
        <v>582242.58829999994</v>
      </c>
      <c r="CK26" s="1">
        <v>230112.22070000001</v>
      </c>
      <c r="CL26" s="1">
        <v>2099265.5350000001</v>
      </c>
      <c r="CM26" s="1">
        <v>582344.43900000001</v>
      </c>
      <c r="CN26" s="1">
        <v>230150.22839999999</v>
      </c>
      <c r="CO26" s="1">
        <v>2099612.2719999999</v>
      </c>
      <c r="CP26" s="1">
        <v>582440.625</v>
      </c>
      <c r="CQ26" s="1">
        <v>230104.56479999999</v>
      </c>
      <c r="CR26" s="1">
        <v>2234212.8670000001</v>
      </c>
      <c r="CS26" s="1">
        <v>616079.35789999994</v>
      </c>
      <c r="CT26" s="1">
        <v>230141.18210000001</v>
      </c>
      <c r="CU26" s="1">
        <v>2234568.4040000001</v>
      </c>
      <c r="CV26" s="1">
        <v>616177.39659999998</v>
      </c>
    </row>
    <row r="27" spans="1:100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33</v>
      </c>
      <c r="H27" s="1"/>
      <c r="I27" s="1"/>
      <c r="J27" s="1"/>
      <c r="K27" s="1">
        <v>239393.51629999999</v>
      </c>
      <c r="L27" s="1">
        <v>2788967.0320000001</v>
      </c>
      <c r="M27" s="1">
        <v>757090.13699999999</v>
      </c>
      <c r="N27" s="1">
        <v>239597.60569999999</v>
      </c>
      <c r="O27" s="1">
        <v>2791344.702</v>
      </c>
      <c r="P27" s="1">
        <v>757735.57689999999</v>
      </c>
      <c r="Q27" s="1">
        <v>239758.011</v>
      </c>
      <c r="R27" s="1">
        <v>2793213.446</v>
      </c>
      <c r="S27" s="1">
        <v>758242.86419999995</v>
      </c>
      <c r="T27" s="1">
        <v>239876.96290000001</v>
      </c>
      <c r="U27" s="1">
        <v>2794599.2510000002</v>
      </c>
      <c r="V27" s="1">
        <v>758619.05350000004</v>
      </c>
      <c r="W27" s="1">
        <v>239977.02</v>
      </c>
      <c r="X27" s="1">
        <v>2795764.93</v>
      </c>
      <c r="Y27" s="1">
        <v>758935.48759999999</v>
      </c>
      <c r="Z27" s="1">
        <v>240068.0883</v>
      </c>
      <c r="AA27" s="1">
        <v>2796825.8879999998</v>
      </c>
      <c r="AB27" s="1">
        <v>759223.49399999995</v>
      </c>
      <c r="AC27" s="1">
        <v>240155.87700000001</v>
      </c>
      <c r="AD27" s="1">
        <v>2797848.6379999998</v>
      </c>
      <c r="AE27" s="1">
        <v>759501.12879999995</v>
      </c>
      <c r="AF27" s="1">
        <v>240210.17050000001</v>
      </c>
      <c r="AG27" s="1">
        <v>2944330.0490000001</v>
      </c>
      <c r="AH27" s="1">
        <v>796135.05500000005</v>
      </c>
      <c r="AI27" s="1">
        <v>240290.9902</v>
      </c>
      <c r="AJ27" s="1">
        <v>2945320.6809999999</v>
      </c>
      <c r="AK27" s="1">
        <v>796402.91769999999</v>
      </c>
      <c r="AL27" s="1">
        <v>240365.97450000001</v>
      </c>
      <c r="AM27" s="1">
        <v>2946239.7859999998</v>
      </c>
      <c r="AN27" s="1">
        <v>796651.44010000001</v>
      </c>
      <c r="AO27" s="1">
        <v>240435.7591</v>
      </c>
      <c r="AP27" s="1">
        <v>2947095.1579999998</v>
      </c>
      <c r="AQ27" s="1">
        <v>796882.72930000001</v>
      </c>
      <c r="AR27" s="1">
        <v>240505.38759999999</v>
      </c>
      <c r="AS27" s="1">
        <v>2947948.6159999999</v>
      </c>
      <c r="AT27" s="1">
        <v>797113.50100000005</v>
      </c>
      <c r="AU27" s="1">
        <v>240574.21679999999</v>
      </c>
      <c r="AV27" s="1">
        <v>2948792.2760000001</v>
      </c>
      <c r="AW27" s="1">
        <v>797341.62329999998</v>
      </c>
      <c r="AX27" s="1">
        <v>240644.4811</v>
      </c>
      <c r="AY27" s="1">
        <v>2949653.5279999999</v>
      </c>
      <c r="AZ27" s="1">
        <v>797574.50219999999</v>
      </c>
      <c r="BA27" s="1">
        <v>240713.55009999999</v>
      </c>
      <c r="BB27" s="1">
        <v>2950500.1269999999</v>
      </c>
      <c r="BC27" s="1">
        <v>797803.41929999995</v>
      </c>
      <c r="BD27" s="1">
        <v>240783.57829999999</v>
      </c>
      <c r="BE27" s="1">
        <v>2951358.4840000002</v>
      </c>
      <c r="BF27" s="1">
        <v>798035.51560000004</v>
      </c>
      <c r="BG27" s="1">
        <v>240853.04319999999</v>
      </c>
      <c r="BH27" s="1">
        <v>2952209.9369999999</v>
      </c>
      <c r="BI27" s="1">
        <v>798265.74509999994</v>
      </c>
      <c r="BJ27" s="1">
        <v>240924.83</v>
      </c>
      <c r="BK27" s="1">
        <v>2953089.85</v>
      </c>
      <c r="BL27" s="1">
        <v>798503.67009999999</v>
      </c>
      <c r="BM27" s="1">
        <v>240997.65030000001</v>
      </c>
      <c r="BN27" s="1">
        <v>2953982.4309999999</v>
      </c>
      <c r="BO27" s="1">
        <v>798745.02029999997</v>
      </c>
      <c r="BP27" s="1">
        <v>241071.27559999999</v>
      </c>
      <c r="BQ27" s="1">
        <v>2954884.88</v>
      </c>
      <c r="BR27" s="1">
        <v>798989.03879999998</v>
      </c>
      <c r="BS27" s="1">
        <v>241142.66269999999</v>
      </c>
      <c r="BT27" s="1">
        <v>2955759.8930000002</v>
      </c>
      <c r="BU27" s="1">
        <v>799225.63899999997</v>
      </c>
      <c r="BV27" s="1">
        <v>241214.76560000001</v>
      </c>
      <c r="BW27" s="1">
        <v>2956643.68</v>
      </c>
      <c r="BX27" s="1">
        <v>799464.61140000005</v>
      </c>
      <c r="BY27" s="1">
        <v>241286.3126</v>
      </c>
      <c r="BZ27" s="1">
        <v>2957520.6540000001</v>
      </c>
      <c r="CA27" s="1">
        <v>799701.74159999995</v>
      </c>
      <c r="CB27" s="1">
        <v>241357.93950000001</v>
      </c>
      <c r="CC27" s="1">
        <v>2958398.6069999998</v>
      </c>
      <c r="CD27" s="1">
        <v>799939.13659999997</v>
      </c>
      <c r="CE27" s="1">
        <v>241428.4436</v>
      </c>
      <c r="CF27" s="1">
        <v>2959262.798</v>
      </c>
      <c r="CG27" s="1">
        <v>800172.81030000001</v>
      </c>
      <c r="CH27" s="1">
        <v>241499.83069999999</v>
      </c>
      <c r="CI27" s="1">
        <v>2960137.8119999999</v>
      </c>
      <c r="CJ27" s="1">
        <v>800409.41059999994</v>
      </c>
      <c r="CK27" s="1">
        <v>241568.41639999999</v>
      </c>
      <c r="CL27" s="1">
        <v>2960978.4870000002</v>
      </c>
      <c r="CM27" s="1">
        <v>800636.72580000001</v>
      </c>
      <c r="CN27" s="1">
        <v>241637.8051</v>
      </c>
      <c r="CO27" s="1">
        <v>2961829.0049999999</v>
      </c>
      <c r="CP27" s="1">
        <v>800866.70259999996</v>
      </c>
      <c r="CQ27" s="1">
        <v>241708.3928</v>
      </c>
      <c r="CR27" s="1">
        <v>2962694.2209999999</v>
      </c>
      <c r="CS27" s="1">
        <v>801100.65350000001</v>
      </c>
      <c r="CT27" s="1">
        <v>241780.09599999999</v>
      </c>
      <c r="CU27" s="1">
        <v>2963573.1090000002</v>
      </c>
      <c r="CV27" s="1">
        <v>801338.30119999999</v>
      </c>
    </row>
    <row r="28" spans="1:100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33</v>
      </c>
      <c r="H28" s="1"/>
      <c r="I28" s="1"/>
      <c r="J28" s="1"/>
      <c r="K28" s="1">
        <v>222367.42670000001</v>
      </c>
      <c r="L28" s="1">
        <v>2489908.44</v>
      </c>
      <c r="M28" s="1">
        <v>678068.96660000004</v>
      </c>
      <c r="N28" s="1">
        <v>222687.31589999999</v>
      </c>
      <c r="O28" s="1">
        <v>2666934.5860000001</v>
      </c>
      <c r="P28" s="1">
        <v>722405.47549999994</v>
      </c>
      <c r="Q28" s="1">
        <v>222958.8719</v>
      </c>
      <c r="R28" s="1">
        <v>2670186.7790000001</v>
      </c>
      <c r="S28" s="1">
        <v>723286.41280000005</v>
      </c>
      <c r="T28" s="1">
        <v>223143.61410000001</v>
      </c>
      <c r="U28" s="1">
        <v>2672399.2779999999</v>
      </c>
      <c r="V28" s="1">
        <v>723885.72290000005</v>
      </c>
      <c r="W28" s="1">
        <v>223288.08979999999</v>
      </c>
      <c r="X28" s="1">
        <v>2674129.5389999999</v>
      </c>
      <c r="Y28" s="1">
        <v>724354.40720000002</v>
      </c>
      <c r="Z28" s="1">
        <v>223413.5367</v>
      </c>
      <c r="AA28" s="1">
        <v>2675631.909</v>
      </c>
      <c r="AB28" s="1">
        <v>724761.36140000005</v>
      </c>
      <c r="AC28" s="1">
        <v>223529.01800000001</v>
      </c>
      <c r="AD28" s="1">
        <v>2677014.929</v>
      </c>
      <c r="AE28" s="1">
        <v>725135.98679999996</v>
      </c>
      <c r="AF28" s="1">
        <v>223637.4779</v>
      </c>
      <c r="AG28" s="1">
        <v>2678313.8590000002</v>
      </c>
      <c r="AH28" s="1">
        <v>725487.83429999999</v>
      </c>
      <c r="AI28" s="1">
        <v>223737.1991</v>
      </c>
      <c r="AJ28" s="1">
        <v>2679508.1349999998</v>
      </c>
      <c r="AK28" s="1">
        <v>725811.33360000001</v>
      </c>
      <c r="AL28" s="1">
        <v>223826.21799999999</v>
      </c>
      <c r="AM28" s="1">
        <v>2680574.2379999999</v>
      </c>
      <c r="AN28" s="1">
        <v>726100.11399999994</v>
      </c>
      <c r="AO28" s="1">
        <v>223908.05379999999</v>
      </c>
      <c r="AP28" s="1">
        <v>2681554.3149999999</v>
      </c>
      <c r="AQ28" s="1">
        <v>726365.59230000002</v>
      </c>
      <c r="AR28" s="1">
        <v>223989.073</v>
      </c>
      <c r="AS28" s="1">
        <v>2682524.6120000002</v>
      </c>
      <c r="AT28" s="1">
        <v>726628.42119999998</v>
      </c>
      <c r="AU28" s="1">
        <v>224068.78539999999</v>
      </c>
      <c r="AV28" s="1">
        <v>2683479.2590000001</v>
      </c>
      <c r="AW28" s="1">
        <v>726887.01119999995</v>
      </c>
      <c r="AX28" s="1">
        <v>224150.6991</v>
      </c>
      <c r="AY28" s="1">
        <v>2684460.2689999999</v>
      </c>
      <c r="AZ28" s="1">
        <v>727152.74210000003</v>
      </c>
      <c r="BA28" s="1">
        <v>224229.9216</v>
      </c>
      <c r="BB28" s="1">
        <v>2685409.048</v>
      </c>
      <c r="BC28" s="1">
        <v>727409.74250000005</v>
      </c>
      <c r="BD28" s="1">
        <v>319756.99119999999</v>
      </c>
      <c r="BE28" s="1">
        <v>3116936.2880000002</v>
      </c>
      <c r="BF28" s="1">
        <v>859173.31980000006</v>
      </c>
      <c r="BG28" s="1">
        <v>319854.2243</v>
      </c>
      <c r="BH28" s="1">
        <v>3117884.1</v>
      </c>
      <c r="BI28" s="1">
        <v>859434.58100000001</v>
      </c>
      <c r="BJ28" s="1">
        <v>319955.40230000002</v>
      </c>
      <c r="BK28" s="1">
        <v>3118870.3650000002</v>
      </c>
      <c r="BL28" s="1">
        <v>859706.44189999998</v>
      </c>
      <c r="BM28" s="1">
        <v>320056.55180000002</v>
      </c>
      <c r="BN28" s="1">
        <v>3119856.3539999998</v>
      </c>
      <c r="BO28" s="1">
        <v>859978.22649999999</v>
      </c>
      <c r="BP28" s="1">
        <v>320159.61090000003</v>
      </c>
      <c r="BQ28" s="1">
        <v>3120860.9559999998</v>
      </c>
      <c r="BR28" s="1">
        <v>860255.14179999998</v>
      </c>
      <c r="BS28" s="1">
        <v>320258.62670000002</v>
      </c>
      <c r="BT28" s="1">
        <v>3121826.145</v>
      </c>
      <c r="BU28" s="1">
        <v>860521.19290000002</v>
      </c>
      <c r="BV28" s="1">
        <v>320358.67139999999</v>
      </c>
      <c r="BW28" s="1">
        <v>3122801.3629999999</v>
      </c>
      <c r="BX28" s="1">
        <v>860790.00870000001</v>
      </c>
      <c r="BY28" s="1">
        <v>320456.0049</v>
      </c>
      <c r="BZ28" s="1">
        <v>3123750.1540000001</v>
      </c>
      <c r="CA28" s="1">
        <v>861051.53980000003</v>
      </c>
      <c r="CB28" s="1">
        <v>320548.51699999999</v>
      </c>
      <c r="CC28" s="1">
        <v>3124651.946</v>
      </c>
      <c r="CD28" s="1">
        <v>861300.11580000003</v>
      </c>
      <c r="CE28" s="1">
        <v>320637.51250000001</v>
      </c>
      <c r="CF28" s="1">
        <v>3125519.4589999998</v>
      </c>
      <c r="CG28" s="1">
        <v>861539.24280000001</v>
      </c>
      <c r="CH28" s="1">
        <v>320728.2439</v>
      </c>
      <c r="CI28" s="1">
        <v>3126403.8930000002</v>
      </c>
      <c r="CJ28" s="1">
        <v>861783.03419999999</v>
      </c>
      <c r="CK28" s="1">
        <v>320812.21799999999</v>
      </c>
      <c r="CL28" s="1">
        <v>3127222.4580000001</v>
      </c>
      <c r="CM28" s="1">
        <v>862008.66890000005</v>
      </c>
      <c r="CN28" s="1">
        <v>320894.68430000002</v>
      </c>
      <c r="CO28" s="1">
        <v>3128026.3259999999</v>
      </c>
      <c r="CP28" s="1">
        <v>862230.25249999994</v>
      </c>
      <c r="CQ28" s="1">
        <v>320978.15610000002</v>
      </c>
      <c r="CR28" s="1">
        <v>3128839.9950000001</v>
      </c>
      <c r="CS28" s="1">
        <v>862454.53769999999</v>
      </c>
      <c r="CT28" s="1">
        <v>321062.9338</v>
      </c>
      <c r="CU28" s="1">
        <v>3129666.3930000002</v>
      </c>
      <c r="CV28" s="1">
        <v>862682.33160000003</v>
      </c>
    </row>
    <row r="29" spans="1:100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33</v>
      </c>
      <c r="H29" s="1"/>
      <c r="I29" s="1"/>
      <c r="J29" s="1"/>
      <c r="K29" s="1">
        <v>176398.62469999999</v>
      </c>
      <c r="L29" s="1">
        <v>1536004.334</v>
      </c>
      <c r="M29" s="1">
        <v>428100.73969999998</v>
      </c>
      <c r="N29" s="1">
        <v>176408.63269999999</v>
      </c>
      <c r="O29" s="1">
        <v>1536091.4790000001</v>
      </c>
      <c r="P29" s="1">
        <v>428125.02789999999</v>
      </c>
      <c r="Q29" s="1">
        <v>176416.70009999999</v>
      </c>
      <c r="R29" s="1">
        <v>1536161.727</v>
      </c>
      <c r="S29" s="1">
        <v>428144.6067</v>
      </c>
      <c r="T29" s="1">
        <v>176422.8401</v>
      </c>
      <c r="U29" s="1">
        <v>1536215.1910000001</v>
      </c>
      <c r="V29" s="1">
        <v>428159.50780000002</v>
      </c>
      <c r="W29" s="1">
        <v>176428.03419999999</v>
      </c>
      <c r="X29" s="1">
        <v>1536260.419</v>
      </c>
      <c r="Y29" s="1">
        <v>428172.11330000003</v>
      </c>
      <c r="Z29" s="1">
        <v>176433.11780000001</v>
      </c>
      <c r="AA29" s="1">
        <v>1536304.6850000001</v>
      </c>
      <c r="AB29" s="1">
        <v>428184.45069999999</v>
      </c>
      <c r="AC29" s="1">
        <v>176437.75930000001</v>
      </c>
      <c r="AD29" s="1">
        <v>1536345.101</v>
      </c>
      <c r="AE29" s="1">
        <v>428195.71519999998</v>
      </c>
      <c r="AF29" s="1">
        <v>176442.35209999999</v>
      </c>
      <c r="AG29" s="1">
        <v>1536385.094</v>
      </c>
      <c r="AH29" s="1">
        <v>428206.8615</v>
      </c>
      <c r="AI29" s="1">
        <v>176446.66209999999</v>
      </c>
      <c r="AJ29" s="1">
        <v>1536422.6229999999</v>
      </c>
      <c r="AK29" s="1">
        <v>428217.32140000002</v>
      </c>
      <c r="AL29" s="1">
        <v>176450.75109999999</v>
      </c>
      <c r="AM29" s="1">
        <v>1536458.2279999999</v>
      </c>
      <c r="AN29" s="1">
        <v>428227.24489999999</v>
      </c>
      <c r="AO29" s="1">
        <v>176454.39799999999</v>
      </c>
      <c r="AP29" s="1">
        <v>1536489.9839999999</v>
      </c>
      <c r="AQ29" s="1">
        <v>428236.0956</v>
      </c>
      <c r="AR29" s="1">
        <v>176458.15549999999</v>
      </c>
      <c r="AS29" s="1">
        <v>1536522.702</v>
      </c>
      <c r="AT29" s="1">
        <v>428245.2145</v>
      </c>
      <c r="AU29" s="1">
        <v>176461.86420000001</v>
      </c>
      <c r="AV29" s="1">
        <v>1536554.996</v>
      </c>
      <c r="AW29" s="1">
        <v>428254.21509999997</v>
      </c>
      <c r="AX29" s="1">
        <v>176465.73209999999</v>
      </c>
      <c r="AY29" s="1">
        <v>1536588.6769999999</v>
      </c>
      <c r="AZ29" s="1">
        <v>428263.60220000002</v>
      </c>
      <c r="BA29" s="1">
        <v>176469.37899999999</v>
      </c>
      <c r="BB29" s="1">
        <v>1536620.433</v>
      </c>
      <c r="BC29" s="1">
        <v>428272.45289999997</v>
      </c>
      <c r="BD29" s="1">
        <v>176473.13649999999</v>
      </c>
      <c r="BE29" s="1">
        <v>1536653.1510000001</v>
      </c>
      <c r="BF29" s="1">
        <v>428281.57179999998</v>
      </c>
      <c r="BG29" s="1">
        <v>176476.8939</v>
      </c>
      <c r="BH29" s="1">
        <v>1536685.8689999999</v>
      </c>
      <c r="BI29" s="1">
        <v>428290.69069999998</v>
      </c>
      <c r="BJ29" s="1">
        <v>176480.82370000001</v>
      </c>
      <c r="BK29" s="1">
        <v>1536720.0870000001</v>
      </c>
      <c r="BL29" s="1">
        <v>428300.22769999999</v>
      </c>
      <c r="BM29" s="1">
        <v>176484.58110000001</v>
      </c>
      <c r="BN29" s="1">
        <v>1536752.8060000001</v>
      </c>
      <c r="BO29" s="1">
        <v>428309.34659999999</v>
      </c>
      <c r="BP29" s="1">
        <v>176488.55960000001</v>
      </c>
      <c r="BQ29" s="1">
        <v>1536787.4480000001</v>
      </c>
      <c r="BR29" s="1">
        <v>428319.00189999997</v>
      </c>
      <c r="BS29" s="1">
        <v>176492.31700000001</v>
      </c>
      <c r="BT29" s="1">
        <v>1536820.166</v>
      </c>
      <c r="BU29" s="1">
        <v>428328.12079999998</v>
      </c>
      <c r="BV29" s="1">
        <v>176496.40599999999</v>
      </c>
      <c r="BW29" s="1">
        <v>1536855.7709999999</v>
      </c>
      <c r="BX29" s="1">
        <v>428338.04430000001</v>
      </c>
      <c r="BY29" s="1">
        <v>176500.22519999999</v>
      </c>
      <c r="BZ29" s="1">
        <v>1536889.0279999999</v>
      </c>
      <c r="CA29" s="1">
        <v>428347.31319999998</v>
      </c>
      <c r="CB29" s="1">
        <v>176504.0931</v>
      </c>
      <c r="CC29" s="1">
        <v>1536922.7080000001</v>
      </c>
      <c r="CD29" s="1">
        <v>428356.70030000003</v>
      </c>
      <c r="CE29" s="1">
        <v>176507.85060000001</v>
      </c>
      <c r="CF29" s="1">
        <v>1536955.426</v>
      </c>
      <c r="CG29" s="1">
        <v>428365.81920000003</v>
      </c>
      <c r="CH29" s="1">
        <v>176511.38699999999</v>
      </c>
      <c r="CI29" s="1">
        <v>1536986.22</v>
      </c>
      <c r="CJ29" s="1">
        <v>428374.40169999999</v>
      </c>
      <c r="CK29" s="1">
        <v>176514.9234</v>
      </c>
      <c r="CL29" s="1">
        <v>1537017.013</v>
      </c>
      <c r="CM29" s="1">
        <v>428382.98420000001</v>
      </c>
      <c r="CN29" s="1">
        <v>176518.3493</v>
      </c>
      <c r="CO29" s="1">
        <v>1537046.845</v>
      </c>
      <c r="CP29" s="1">
        <v>428391.29840000003</v>
      </c>
      <c r="CQ29" s="1">
        <v>176521.94750000001</v>
      </c>
      <c r="CR29" s="1">
        <v>1537078.176</v>
      </c>
      <c r="CS29" s="1">
        <v>428400.03090000001</v>
      </c>
      <c r="CT29" s="1">
        <v>176525.5944</v>
      </c>
      <c r="CU29" s="1">
        <v>1537109.932</v>
      </c>
      <c r="CV29" s="1">
        <v>428408.88160000002</v>
      </c>
    </row>
    <row r="30" spans="1:100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33</v>
      </c>
      <c r="H30" s="1"/>
      <c r="I30" s="1"/>
      <c r="J30" s="1"/>
      <c r="K30" s="1">
        <v>238491.9797</v>
      </c>
      <c r="L30" s="1">
        <v>2778464.0079999999</v>
      </c>
      <c r="M30" s="1">
        <v>754238.99699999997</v>
      </c>
      <c r="N30" s="1">
        <v>238596.48929999999</v>
      </c>
      <c r="O30" s="1">
        <v>2779681.5589999999</v>
      </c>
      <c r="P30" s="1">
        <v>754569.51210000005</v>
      </c>
      <c r="Q30" s="1">
        <v>238678.22940000001</v>
      </c>
      <c r="R30" s="1">
        <v>2780633.8429999999</v>
      </c>
      <c r="S30" s="1">
        <v>754828.01800000004</v>
      </c>
      <c r="T30" s="1">
        <v>238739.47469999999</v>
      </c>
      <c r="U30" s="1">
        <v>2781347.3590000002</v>
      </c>
      <c r="V30" s="1">
        <v>755021.70830000006</v>
      </c>
      <c r="W30" s="1">
        <v>238790.9718</v>
      </c>
      <c r="X30" s="1">
        <v>2781947.307</v>
      </c>
      <c r="Y30" s="1">
        <v>755184.56969999999</v>
      </c>
      <c r="Z30" s="1">
        <v>238838.88990000001</v>
      </c>
      <c r="AA30" s="1">
        <v>2782505.56</v>
      </c>
      <c r="AB30" s="1">
        <v>755336.11250000005</v>
      </c>
      <c r="AC30" s="1">
        <v>238882.91029999999</v>
      </c>
      <c r="AD30" s="1">
        <v>2783018.4029999999</v>
      </c>
      <c r="AE30" s="1">
        <v>755475.3284</v>
      </c>
      <c r="AF30" s="1">
        <v>238925.16649999999</v>
      </c>
      <c r="AG30" s="1">
        <v>2783510.6940000001</v>
      </c>
      <c r="AH30" s="1">
        <v>755608.96510000003</v>
      </c>
      <c r="AI30" s="1">
        <v>238963.81039999999</v>
      </c>
      <c r="AJ30" s="1">
        <v>2783960.9</v>
      </c>
      <c r="AK30" s="1">
        <v>755731.17760000005</v>
      </c>
      <c r="AL30" s="1">
        <v>238999.3125</v>
      </c>
      <c r="AM30" s="1">
        <v>2784374.5040000002</v>
      </c>
      <c r="AN30" s="1">
        <v>755843.45420000004</v>
      </c>
      <c r="AO30" s="1">
        <v>239031.82370000001</v>
      </c>
      <c r="AP30" s="1">
        <v>2784753.2650000001</v>
      </c>
      <c r="AQ30" s="1">
        <v>755946.27209999994</v>
      </c>
      <c r="AR30" s="1">
        <v>239064.08290000001</v>
      </c>
      <c r="AS30" s="1">
        <v>2785129.0890000002</v>
      </c>
      <c r="AT30" s="1">
        <v>756048.2929</v>
      </c>
      <c r="AU30" s="1">
        <v>239095.50210000001</v>
      </c>
      <c r="AV30" s="1">
        <v>2785495.1260000002</v>
      </c>
      <c r="AW30" s="1">
        <v>756147.65700000001</v>
      </c>
      <c r="AX30" s="1">
        <v>239127.76130000001</v>
      </c>
      <c r="AY30" s="1">
        <v>2785870.95</v>
      </c>
      <c r="AZ30" s="1">
        <v>756249.67779999995</v>
      </c>
      <c r="BA30" s="1">
        <v>239159.77160000001</v>
      </c>
      <c r="BB30" s="1">
        <v>2786243.875</v>
      </c>
      <c r="BC30" s="1">
        <v>756350.91170000006</v>
      </c>
      <c r="BD30" s="1">
        <v>239191.52679999999</v>
      </c>
      <c r="BE30" s="1">
        <v>2786613.827</v>
      </c>
      <c r="BF30" s="1">
        <v>756451.33849999995</v>
      </c>
      <c r="BG30" s="1">
        <v>239223.61799999999</v>
      </c>
      <c r="BH30" s="1">
        <v>2786987.6940000001</v>
      </c>
      <c r="BI30" s="1">
        <v>756552.82790000003</v>
      </c>
      <c r="BJ30" s="1">
        <v>239256.1292</v>
      </c>
      <c r="BK30" s="1">
        <v>2787366.4539999999</v>
      </c>
      <c r="BL30" s="1">
        <v>756655.64580000006</v>
      </c>
      <c r="BM30" s="1">
        <v>239289.34589999999</v>
      </c>
      <c r="BN30" s="1">
        <v>2787753.4330000002</v>
      </c>
      <c r="BO30" s="1">
        <v>756760.69469999999</v>
      </c>
      <c r="BP30" s="1">
        <v>239322.9492</v>
      </c>
      <c r="BQ30" s="1">
        <v>2788144.9169999999</v>
      </c>
      <c r="BR30" s="1">
        <v>756866.96640000003</v>
      </c>
      <c r="BS30" s="1">
        <v>239355.0404</v>
      </c>
      <c r="BT30" s="1">
        <v>2788518.7829999998</v>
      </c>
      <c r="BU30" s="1">
        <v>756968.45589999994</v>
      </c>
      <c r="BV30" s="1">
        <v>239387.97169999999</v>
      </c>
      <c r="BW30" s="1">
        <v>2788902.4369999999</v>
      </c>
      <c r="BX30" s="1">
        <v>757072.60219999996</v>
      </c>
      <c r="BY30" s="1">
        <v>239419.97889999999</v>
      </c>
      <c r="BZ30" s="1">
        <v>2789275.3250000002</v>
      </c>
      <c r="CA30" s="1">
        <v>757173.826</v>
      </c>
      <c r="CB30" s="1">
        <v>239454.0895</v>
      </c>
      <c r="CC30" s="1">
        <v>2789672.7179999999</v>
      </c>
      <c r="CD30" s="1">
        <v>757281.70189999999</v>
      </c>
      <c r="CE30" s="1">
        <v>239486.85269999999</v>
      </c>
      <c r="CF30" s="1">
        <v>2790054.4139999999</v>
      </c>
      <c r="CG30" s="1">
        <v>757385.31680000003</v>
      </c>
      <c r="CH30" s="1">
        <v>239520.288</v>
      </c>
      <c r="CI30" s="1">
        <v>2790443.94</v>
      </c>
      <c r="CJ30" s="1">
        <v>757491.05709999998</v>
      </c>
      <c r="CK30" s="1">
        <v>239551.79120000001</v>
      </c>
      <c r="CL30" s="1">
        <v>2790810.9559999998</v>
      </c>
      <c r="CM30" s="1">
        <v>757590.68680000002</v>
      </c>
      <c r="CN30" s="1">
        <v>239583.90919999999</v>
      </c>
      <c r="CO30" s="1">
        <v>2791185.1349999998</v>
      </c>
      <c r="CP30" s="1">
        <v>757692.2611</v>
      </c>
      <c r="CQ30" s="1">
        <v>239616.33960000001</v>
      </c>
      <c r="CR30" s="1">
        <v>2791562.9539999999</v>
      </c>
      <c r="CS30" s="1">
        <v>757794.82339999999</v>
      </c>
      <c r="CT30" s="1">
        <v>239648.93479999999</v>
      </c>
      <c r="CU30" s="1">
        <v>2791942.693</v>
      </c>
      <c r="CV30" s="1">
        <v>757897.90689999994</v>
      </c>
    </row>
    <row r="31" spans="1:100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33</v>
      </c>
      <c r="H31" s="1"/>
      <c r="I31" s="1"/>
      <c r="J31" s="1"/>
      <c r="K31" s="1">
        <v>407958.18060000002</v>
      </c>
      <c r="L31" s="1">
        <v>2693357.7779999999</v>
      </c>
      <c r="M31" s="1">
        <v>775328.98970000003</v>
      </c>
      <c r="N31" s="1">
        <v>408406.6937</v>
      </c>
      <c r="O31" s="1">
        <v>2696318.8810000001</v>
      </c>
      <c r="P31" s="1">
        <v>776181.39370000002</v>
      </c>
      <c r="Q31" s="1">
        <v>408680.32539999997</v>
      </c>
      <c r="R31" s="1">
        <v>2698125.409</v>
      </c>
      <c r="S31" s="1">
        <v>776701.43359999999</v>
      </c>
      <c r="T31" s="1">
        <v>408897.98269999999</v>
      </c>
      <c r="U31" s="1">
        <v>2699562.392</v>
      </c>
      <c r="V31" s="1">
        <v>777115.09369999997</v>
      </c>
      <c r="W31" s="1">
        <v>409087.6826</v>
      </c>
      <c r="X31" s="1">
        <v>2700814.8</v>
      </c>
      <c r="Y31" s="1">
        <v>777475.62049999996</v>
      </c>
      <c r="Z31" s="1">
        <v>409264.38699999999</v>
      </c>
      <c r="AA31" s="1">
        <v>2701981.41</v>
      </c>
      <c r="AB31" s="1">
        <v>777811.44920000003</v>
      </c>
      <c r="AC31" s="1">
        <v>409189.50339999999</v>
      </c>
      <c r="AD31" s="1">
        <v>2972378.571</v>
      </c>
      <c r="AE31" s="1">
        <v>845392.01870000002</v>
      </c>
      <c r="AF31" s="1">
        <v>409241.82939999999</v>
      </c>
      <c r="AG31" s="1">
        <v>2972758.67</v>
      </c>
      <c r="AH31" s="1">
        <v>845500.12490000005</v>
      </c>
      <c r="AI31" s="1">
        <v>409435.8553</v>
      </c>
      <c r="AJ31" s="1">
        <v>2974168.0869999998</v>
      </c>
      <c r="AK31" s="1">
        <v>845900.98560000001</v>
      </c>
      <c r="AL31" s="1">
        <v>409628.8554</v>
      </c>
      <c r="AM31" s="1">
        <v>2975570.0520000001</v>
      </c>
      <c r="AN31" s="1">
        <v>846299.7267</v>
      </c>
      <c r="AO31" s="1">
        <v>409675.40480000002</v>
      </c>
      <c r="AP31" s="1">
        <v>2975908.19</v>
      </c>
      <c r="AQ31" s="1">
        <v>846395.89859999996</v>
      </c>
      <c r="AR31" s="1">
        <v>409866.86599999998</v>
      </c>
      <c r="AS31" s="1">
        <v>2977298.9759999998</v>
      </c>
      <c r="AT31" s="1">
        <v>846791.46050000004</v>
      </c>
      <c r="AU31" s="1">
        <v>409912.38949999999</v>
      </c>
      <c r="AV31" s="1">
        <v>2977629.662</v>
      </c>
      <c r="AW31" s="1">
        <v>846885.51280000003</v>
      </c>
      <c r="AX31" s="1">
        <v>410107.69780000002</v>
      </c>
      <c r="AY31" s="1">
        <v>2979048.3939999999</v>
      </c>
      <c r="AZ31" s="1">
        <v>847289.02289999998</v>
      </c>
      <c r="BA31" s="1">
        <v>410152.07319999998</v>
      </c>
      <c r="BB31" s="1">
        <v>2979370.7390000001</v>
      </c>
      <c r="BC31" s="1">
        <v>847380.70299999998</v>
      </c>
      <c r="BD31" s="1">
        <v>410196.31430000003</v>
      </c>
      <c r="BE31" s="1">
        <v>2979692.11</v>
      </c>
      <c r="BF31" s="1">
        <v>847472.10600000003</v>
      </c>
      <c r="BG31" s="1">
        <v>410391.23790000001</v>
      </c>
      <c r="BH31" s="1">
        <v>2981108.0469999998</v>
      </c>
      <c r="BI31" s="1">
        <v>847874.82120000001</v>
      </c>
      <c r="BJ31" s="1">
        <v>410437.47519999999</v>
      </c>
      <c r="BK31" s="1">
        <v>2981443.9180000001</v>
      </c>
      <c r="BL31" s="1">
        <v>847970.34820000001</v>
      </c>
      <c r="BM31" s="1">
        <v>410638.99129999999</v>
      </c>
      <c r="BN31" s="1">
        <v>2982907.7429999998</v>
      </c>
      <c r="BO31" s="1">
        <v>848386.68350000004</v>
      </c>
      <c r="BP31" s="1">
        <v>410685.80310000002</v>
      </c>
      <c r="BQ31" s="1">
        <v>2983247.787</v>
      </c>
      <c r="BR31" s="1">
        <v>848483.39749999996</v>
      </c>
      <c r="BS31" s="1">
        <v>410885.08669999999</v>
      </c>
      <c r="BT31" s="1">
        <v>2984695.3960000002</v>
      </c>
      <c r="BU31" s="1">
        <v>848895.12060000002</v>
      </c>
      <c r="BV31" s="1">
        <v>410928.30200000003</v>
      </c>
      <c r="BW31" s="1">
        <v>2985009.3139999998</v>
      </c>
      <c r="BX31" s="1">
        <v>848984.40410000004</v>
      </c>
      <c r="BY31" s="1">
        <v>411127.71380000003</v>
      </c>
      <c r="BZ31" s="1">
        <v>2986457.8539999998</v>
      </c>
      <c r="CA31" s="1">
        <v>849396.39199999999</v>
      </c>
      <c r="CB31" s="1">
        <v>411167.85139999999</v>
      </c>
      <c r="CC31" s="1">
        <v>2986749.4169999999</v>
      </c>
      <c r="CD31" s="1">
        <v>849479.31700000004</v>
      </c>
      <c r="CE31" s="1">
        <v>411367.13500000001</v>
      </c>
      <c r="CF31" s="1">
        <v>2988197.0249999999</v>
      </c>
      <c r="CG31" s="1">
        <v>849891.04009999998</v>
      </c>
      <c r="CH31" s="1">
        <v>411404.45740000001</v>
      </c>
      <c r="CI31" s="1">
        <v>2988468.1379999998</v>
      </c>
      <c r="CJ31" s="1">
        <v>849968.14879999997</v>
      </c>
      <c r="CK31" s="1">
        <v>411598.48330000002</v>
      </c>
      <c r="CL31" s="1">
        <v>2989877.5550000002</v>
      </c>
      <c r="CM31" s="1">
        <v>850369.00950000004</v>
      </c>
      <c r="CN31" s="1">
        <v>411627.8492</v>
      </c>
      <c r="CO31" s="1">
        <v>2990090.87</v>
      </c>
      <c r="CP31" s="1">
        <v>850429.67980000004</v>
      </c>
      <c r="CQ31" s="1">
        <v>411657.34330000001</v>
      </c>
      <c r="CR31" s="1">
        <v>2990305.1170000001</v>
      </c>
      <c r="CS31" s="1">
        <v>850490.61510000005</v>
      </c>
      <c r="CT31" s="1">
        <v>411686.9657</v>
      </c>
      <c r="CU31" s="1">
        <v>2990520.2960000001</v>
      </c>
      <c r="CV31" s="1">
        <v>850551.81539999996</v>
      </c>
    </row>
    <row r="32" spans="1:100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33</v>
      </c>
      <c r="H32" s="1"/>
      <c r="I32" s="1"/>
      <c r="J32" s="1"/>
      <c r="K32" s="1">
        <v>227614.7015</v>
      </c>
      <c r="L32" s="1">
        <v>2076481.1910000001</v>
      </c>
      <c r="M32" s="1">
        <v>576023.97320000001</v>
      </c>
      <c r="N32" s="1">
        <v>227702.26089999999</v>
      </c>
      <c r="O32" s="1">
        <v>2077279.9779999999</v>
      </c>
      <c r="P32" s="1">
        <v>576245.55980000005</v>
      </c>
      <c r="Q32" s="1">
        <v>227769.23989999999</v>
      </c>
      <c r="R32" s="1">
        <v>2077891.013</v>
      </c>
      <c r="S32" s="1">
        <v>576415.06319999998</v>
      </c>
      <c r="T32" s="1">
        <v>227821.4497</v>
      </c>
      <c r="U32" s="1">
        <v>2078367.3119999999</v>
      </c>
      <c r="V32" s="1">
        <v>576547.19050000003</v>
      </c>
      <c r="W32" s="1">
        <v>227864.95430000001</v>
      </c>
      <c r="X32" s="1">
        <v>2078764.1950000001</v>
      </c>
      <c r="Y32" s="1">
        <v>576657.28740000003</v>
      </c>
      <c r="Z32" s="1">
        <v>227906.88310000001</v>
      </c>
      <c r="AA32" s="1">
        <v>2079146.703</v>
      </c>
      <c r="AB32" s="1">
        <v>576763.39659999998</v>
      </c>
      <c r="AC32" s="1">
        <v>227946.3566</v>
      </c>
      <c r="AD32" s="1">
        <v>2079506.811</v>
      </c>
      <c r="AE32" s="1">
        <v>576863.29200000002</v>
      </c>
      <c r="AF32" s="1">
        <v>227982.89050000001</v>
      </c>
      <c r="AG32" s="1">
        <v>2079840.1029999999</v>
      </c>
      <c r="AH32" s="1">
        <v>576955.74840000004</v>
      </c>
      <c r="AI32" s="1">
        <v>228019.31950000001</v>
      </c>
      <c r="AJ32" s="1">
        <v>2080172.4369999999</v>
      </c>
      <c r="AK32" s="1">
        <v>577047.93909999996</v>
      </c>
      <c r="AL32" s="1">
        <v>228053.65280000001</v>
      </c>
      <c r="AM32" s="1">
        <v>2080485.652</v>
      </c>
      <c r="AN32" s="1">
        <v>577134.82620000001</v>
      </c>
      <c r="AO32" s="1">
        <v>228085.98740000001</v>
      </c>
      <c r="AP32" s="1">
        <v>2080780.6340000001</v>
      </c>
      <c r="AQ32" s="1">
        <v>577216.65549999999</v>
      </c>
      <c r="AR32" s="1">
        <v>228118.63699999999</v>
      </c>
      <c r="AS32" s="1">
        <v>2081078.49</v>
      </c>
      <c r="AT32" s="1">
        <v>577299.28170000005</v>
      </c>
      <c r="AU32" s="1">
        <v>228151.3916</v>
      </c>
      <c r="AV32" s="1">
        <v>2081377.3030000001</v>
      </c>
      <c r="AW32" s="1">
        <v>577382.17359999998</v>
      </c>
      <c r="AX32" s="1">
        <v>228185.196</v>
      </c>
      <c r="AY32" s="1">
        <v>2081685.6939999999</v>
      </c>
      <c r="AZ32" s="1">
        <v>577467.72239999997</v>
      </c>
      <c r="BA32" s="1">
        <v>228220.3652</v>
      </c>
      <c r="BB32" s="1">
        <v>2082006.5349999999</v>
      </c>
      <c r="BC32" s="1">
        <v>577556.72490000003</v>
      </c>
      <c r="BD32" s="1">
        <v>228255.0134</v>
      </c>
      <c r="BE32" s="1">
        <v>2082322.6229999999</v>
      </c>
      <c r="BF32" s="1">
        <v>577644.40910000005</v>
      </c>
      <c r="BG32" s="1">
        <v>228291.33739999999</v>
      </c>
      <c r="BH32" s="1">
        <v>2082653.9990000001</v>
      </c>
      <c r="BI32" s="1">
        <v>577736.33420000004</v>
      </c>
      <c r="BJ32" s="1">
        <v>228327.13649999999</v>
      </c>
      <c r="BK32" s="1">
        <v>2082980.5870000001</v>
      </c>
      <c r="BL32" s="1">
        <v>577826.93079999997</v>
      </c>
      <c r="BM32" s="1">
        <v>228365.35019999999</v>
      </c>
      <c r="BN32" s="1">
        <v>2083329.202</v>
      </c>
      <c r="BO32" s="1">
        <v>577923.63809999998</v>
      </c>
      <c r="BP32" s="1">
        <v>228404.54639999999</v>
      </c>
      <c r="BQ32" s="1">
        <v>2083686.7819999999</v>
      </c>
      <c r="BR32" s="1">
        <v>578022.83200000005</v>
      </c>
      <c r="BS32" s="1">
        <v>228442.86910000001</v>
      </c>
      <c r="BT32" s="1">
        <v>2084036.3910000001</v>
      </c>
      <c r="BU32" s="1">
        <v>578119.81499999994</v>
      </c>
      <c r="BV32" s="1">
        <v>228483.70730000001</v>
      </c>
      <c r="BW32" s="1">
        <v>2084408.95</v>
      </c>
      <c r="BX32" s="1">
        <v>578223.1642</v>
      </c>
      <c r="BY32" s="1">
        <v>228522.65590000001</v>
      </c>
      <c r="BZ32" s="1">
        <v>2084764.2690000001</v>
      </c>
      <c r="CA32" s="1">
        <v>578321.73120000004</v>
      </c>
      <c r="CB32" s="1">
        <v>228567.90340000001</v>
      </c>
      <c r="CC32" s="1">
        <v>2085177.0530000001</v>
      </c>
      <c r="CD32" s="1">
        <v>578436.23899999994</v>
      </c>
      <c r="CE32" s="1">
        <v>228612.7942</v>
      </c>
      <c r="CF32" s="1">
        <v>2085586.5819999999</v>
      </c>
      <c r="CG32" s="1">
        <v>578549.84409999999</v>
      </c>
      <c r="CH32" s="1">
        <v>228659.51149999999</v>
      </c>
      <c r="CI32" s="1">
        <v>2086012.774</v>
      </c>
      <c r="CJ32" s="1">
        <v>578668.07129999995</v>
      </c>
      <c r="CK32" s="1">
        <v>228703.18419999999</v>
      </c>
      <c r="CL32" s="1">
        <v>2086411.1910000001</v>
      </c>
      <c r="CM32" s="1">
        <v>578778.59389999998</v>
      </c>
      <c r="CN32" s="1">
        <v>228749.06159999999</v>
      </c>
      <c r="CO32" s="1">
        <v>2086829.7209999999</v>
      </c>
      <c r="CP32" s="1">
        <v>578894.69579999999</v>
      </c>
      <c r="CQ32" s="1">
        <v>228795.9889</v>
      </c>
      <c r="CR32" s="1">
        <v>2087257.8289999999</v>
      </c>
      <c r="CS32" s="1">
        <v>579013.45440000005</v>
      </c>
      <c r="CT32" s="1">
        <v>228844.49479999999</v>
      </c>
      <c r="CU32" s="1">
        <v>2087700.338</v>
      </c>
      <c r="CV32" s="1">
        <v>579136.20830000006</v>
      </c>
    </row>
    <row r="33" spans="1:100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33</v>
      </c>
      <c r="H33" s="1"/>
      <c r="I33" s="1"/>
      <c r="J33" s="1"/>
      <c r="K33" s="1">
        <v>172588.01180000001</v>
      </c>
      <c r="L33" s="1">
        <v>1105151.5689999999</v>
      </c>
      <c r="M33" s="1">
        <v>319434.89510000002</v>
      </c>
      <c r="N33" s="1">
        <v>172596.7873</v>
      </c>
      <c r="O33" s="1">
        <v>1105207.7620000001</v>
      </c>
      <c r="P33" s="1">
        <v>319451.1373</v>
      </c>
      <c r="Q33" s="1">
        <v>172603.45310000001</v>
      </c>
      <c r="R33" s="1">
        <v>1105250.4450000001</v>
      </c>
      <c r="S33" s="1">
        <v>319463.47460000002</v>
      </c>
      <c r="T33" s="1">
        <v>172608.3799</v>
      </c>
      <c r="U33" s="1">
        <v>1105281.9939999999</v>
      </c>
      <c r="V33" s="1">
        <v>319472.59350000002</v>
      </c>
      <c r="W33" s="1">
        <v>172612.14749999999</v>
      </c>
      <c r="X33" s="1">
        <v>1105306.1200000001</v>
      </c>
      <c r="Y33" s="1">
        <v>319479.56670000002</v>
      </c>
      <c r="Z33" s="1">
        <v>172615.4804</v>
      </c>
      <c r="AA33" s="1">
        <v>1105327.4609999999</v>
      </c>
      <c r="AB33" s="1">
        <v>319485.73540000001</v>
      </c>
      <c r="AC33" s="1">
        <v>172618.6684</v>
      </c>
      <c r="AD33" s="1">
        <v>1105347.875</v>
      </c>
      <c r="AE33" s="1">
        <v>319491.63589999999</v>
      </c>
      <c r="AF33" s="1">
        <v>172621.56649999999</v>
      </c>
      <c r="AG33" s="1">
        <v>1105366.433</v>
      </c>
      <c r="AH33" s="1">
        <v>319496.9999</v>
      </c>
      <c r="AI33" s="1">
        <v>172624.54569999999</v>
      </c>
      <c r="AJ33" s="1">
        <v>1105385.51</v>
      </c>
      <c r="AK33" s="1">
        <v>319502.51390000002</v>
      </c>
      <c r="AL33" s="1">
        <v>172627.44390000001</v>
      </c>
      <c r="AM33" s="1">
        <v>1105404.068</v>
      </c>
      <c r="AN33" s="1">
        <v>319507.87800000003</v>
      </c>
      <c r="AO33" s="1">
        <v>172629.90729999999</v>
      </c>
      <c r="AP33" s="1">
        <v>1105419.8430000001</v>
      </c>
      <c r="AQ33" s="1">
        <v>319512.4375</v>
      </c>
      <c r="AR33" s="1">
        <v>172632.51560000001</v>
      </c>
      <c r="AS33" s="1">
        <v>1105436.5449999999</v>
      </c>
      <c r="AT33" s="1">
        <v>319517.26510000002</v>
      </c>
      <c r="AU33" s="1">
        <v>172634.9791</v>
      </c>
      <c r="AV33" s="1">
        <v>1105452.3189999999</v>
      </c>
      <c r="AW33" s="1">
        <v>319521.82449999999</v>
      </c>
      <c r="AX33" s="1">
        <v>172637.4425</v>
      </c>
      <c r="AY33" s="1">
        <v>1105468.094</v>
      </c>
      <c r="AZ33" s="1">
        <v>319526.38400000002</v>
      </c>
      <c r="BA33" s="1">
        <v>172639.90590000001</v>
      </c>
      <c r="BB33" s="1">
        <v>1105483.868</v>
      </c>
      <c r="BC33" s="1">
        <v>319530.94339999999</v>
      </c>
      <c r="BD33" s="1">
        <v>172642.3694</v>
      </c>
      <c r="BE33" s="1">
        <v>1105499.642</v>
      </c>
      <c r="BF33" s="1">
        <v>319535.50290000002</v>
      </c>
      <c r="BG33" s="1">
        <v>172644.8328</v>
      </c>
      <c r="BH33" s="1">
        <v>1105515.4169999999</v>
      </c>
      <c r="BI33" s="1">
        <v>319540.06229999999</v>
      </c>
      <c r="BJ33" s="1">
        <v>172647.29620000001</v>
      </c>
      <c r="BK33" s="1">
        <v>1105531.1910000001</v>
      </c>
      <c r="BL33" s="1">
        <v>319544.62180000002</v>
      </c>
      <c r="BM33" s="1">
        <v>172649.98560000001</v>
      </c>
      <c r="BN33" s="1">
        <v>1105548.412</v>
      </c>
      <c r="BO33" s="1">
        <v>319549.59940000001</v>
      </c>
      <c r="BP33" s="1">
        <v>172652.88380000001</v>
      </c>
      <c r="BQ33" s="1">
        <v>1105566.97</v>
      </c>
      <c r="BR33" s="1">
        <v>319554.96350000001</v>
      </c>
      <c r="BS33" s="1">
        <v>172655.34719999999</v>
      </c>
      <c r="BT33" s="1">
        <v>1105582.7439999999</v>
      </c>
      <c r="BU33" s="1">
        <v>319559.52289999998</v>
      </c>
      <c r="BV33" s="1">
        <v>172657.8106</v>
      </c>
      <c r="BW33" s="1">
        <v>1105598.5190000001</v>
      </c>
      <c r="BX33" s="1">
        <v>319564.08230000001</v>
      </c>
      <c r="BY33" s="1">
        <v>172660.274</v>
      </c>
      <c r="BZ33" s="1">
        <v>1105614.2930000001</v>
      </c>
      <c r="CA33" s="1">
        <v>319568.64179999998</v>
      </c>
      <c r="CB33" s="1">
        <v>172662.73749999999</v>
      </c>
      <c r="CC33" s="1">
        <v>1105630.068</v>
      </c>
      <c r="CD33" s="1">
        <v>319573.20120000001</v>
      </c>
      <c r="CE33" s="1">
        <v>172665.2009</v>
      </c>
      <c r="CF33" s="1">
        <v>1105645.8419999999</v>
      </c>
      <c r="CG33" s="1">
        <v>319577.76069999998</v>
      </c>
      <c r="CH33" s="1">
        <v>172668.09909999999</v>
      </c>
      <c r="CI33" s="1">
        <v>1105664.3999999999</v>
      </c>
      <c r="CJ33" s="1">
        <v>319583.12469999999</v>
      </c>
      <c r="CK33" s="1">
        <v>172670.5625</v>
      </c>
      <c r="CL33" s="1">
        <v>1105680.1740000001</v>
      </c>
      <c r="CM33" s="1">
        <v>319587.68420000002</v>
      </c>
      <c r="CN33" s="1">
        <v>172672.73610000001</v>
      </c>
      <c r="CO33" s="1">
        <v>1105694.0930000001</v>
      </c>
      <c r="CP33" s="1">
        <v>319591.7072</v>
      </c>
      <c r="CQ33" s="1">
        <v>172675.71530000001</v>
      </c>
      <c r="CR33" s="1">
        <v>1105713.17</v>
      </c>
      <c r="CS33" s="1">
        <v>319597.22120000003</v>
      </c>
      <c r="CT33" s="1">
        <v>172678.17869999999</v>
      </c>
      <c r="CU33" s="1">
        <v>1105728.9439999999</v>
      </c>
      <c r="CV33" s="1">
        <v>319601.7807</v>
      </c>
    </row>
    <row r="34" spans="1:100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33</v>
      </c>
      <c r="H34" s="1"/>
      <c r="I34" s="1"/>
      <c r="J34" s="1"/>
      <c r="K34" s="1">
        <v>399458.967</v>
      </c>
      <c r="L34" s="1">
        <v>2974110.7420000001</v>
      </c>
      <c r="M34" s="1">
        <v>843392.42720000003</v>
      </c>
      <c r="N34" s="1">
        <v>400727.04710000003</v>
      </c>
      <c r="O34" s="1">
        <v>2983552.0389999999</v>
      </c>
      <c r="P34" s="1">
        <v>846069.77139999997</v>
      </c>
      <c r="Q34" s="1">
        <v>401731.0442</v>
      </c>
      <c r="R34" s="1">
        <v>2991027.1460000002</v>
      </c>
      <c r="S34" s="1">
        <v>848189.54749999999</v>
      </c>
      <c r="T34" s="1">
        <v>402524.35100000002</v>
      </c>
      <c r="U34" s="1">
        <v>2996933.591</v>
      </c>
      <c r="V34" s="1">
        <v>849864.48540000001</v>
      </c>
      <c r="W34" s="1">
        <v>403180.7721</v>
      </c>
      <c r="X34" s="1">
        <v>3001820.8739999998</v>
      </c>
      <c r="Y34" s="1">
        <v>851250.41150000005</v>
      </c>
      <c r="Z34" s="1">
        <v>403779.74209999997</v>
      </c>
      <c r="AA34" s="1">
        <v>3006280.4139999999</v>
      </c>
      <c r="AB34" s="1">
        <v>852515.03890000004</v>
      </c>
      <c r="AC34" s="1">
        <v>404341.82010000001</v>
      </c>
      <c r="AD34" s="1">
        <v>3010465.28</v>
      </c>
      <c r="AE34" s="1">
        <v>853701.77489999996</v>
      </c>
      <c r="AF34" s="1">
        <v>404889.61700000003</v>
      </c>
      <c r="AG34" s="1">
        <v>3014543.818</v>
      </c>
      <c r="AH34" s="1">
        <v>854858.35860000004</v>
      </c>
      <c r="AI34" s="1">
        <v>405408.07179999998</v>
      </c>
      <c r="AJ34" s="1">
        <v>3018403.8930000002</v>
      </c>
      <c r="AK34" s="1">
        <v>855952.99129999999</v>
      </c>
      <c r="AL34" s="1">
        <v>405899.23869999999</v>
      </c>
      <c r="AM34" s="1">
        <v>3022060.8020000001</v>
      </c>
      <c r="AN34" s="1">
        <v>856990.01020000002</v>
      </c>
      <c r="AO34" s="1">
        <v>406360.32890000002</v>
      </c>
      <c r="AP34" s="1">
        <v>3025493.7790000001</v>
      </c>
      <c r="AQ34" s="1">
        <v>857963.52690000006</v>
      </c>
      <c r="AR34" s="1">
        <v>406833.63929999998</v>
      </c>
      <c r="AS34" s="1">
        <v>3029017.7390000001</v>
      </c>
      <c r="AT34" s="1">
        <v>858962.84450000001</v>
      </c>
      <c r="AU34" s="1">
        <v>407299.30040000001</v>
      </c>
      <c r="AV34" s="1">
        <v>3032484.747</v>
      </c>
      <c r="AW34" s="1">
        <v>859946.01190000004</v>
      </c>
      <c r="AX34" s="1">
        <v>407786.88679999998</v>
      </c>
      <c r="AY34" s="1">
        <v>3036114.997</v>
      </c>
      <c r="AZ34" s="1">
        <v>860975.47100000002</v>
      </c>
      <c r="BA34" s="1">
        <v>408263.47210000001</v>
      </c>
      <c r="BB34" s="1">
        <v>3039663.341</v>
      </c>
      <c r="BC34" s="1">
        <v>861981.70319999999</v>
      </c>
      <c r="BD34" s="1">
        <v>408758.07130000001</v>
      </c>
      <c r="BE34" s="1">
        <v>3043345.8029999998</v>
      </c>
      <c r="BF34" s="1">
        <v>863025.96860000002</v>
      </c>
      <c r="BG34" s="1">
        <v>409251.47080000001</v>
      </c>
      <c r="BH34" s="1">
        <v>3047019.3339999998</v>
      </c>
      <c r="BI34" s="1">
        <v>864067.70120000001</v>
      </c>
      <c r="BJ34" s="1">
        <v>409766.6703</v>
      </c>
      <c r="BK34" s="1">
        <v>3050855.173</v>
      </c>
      <c r="BL34" s="1">
        <v>865155.46089999995</v>
      </c>
      <c r="BM34" s="1">
        <v>410283.34519999998</v>
      </c>
      <c r="BN34" s="1">
        <v>3054701.997</v>
      </c>
      <c r="BO34" s="1">
        <v>866246.33559999999</v>
      </c>
      <c r="BP34" s="1">
        <v>410823.34299999999</v>
      </c>
      <c r="BQ34" s="1">
        <v>3058722.469</v>
      </c>
      <c r="BR34" s="1">
        <v>867386.45290000003</v>
      </c>
      <c r="BS34" s="1">
        <v>411347.16680000001</v>
      </c>
      <c r="BT34" s="1">
        <v>3062622.5180000002</v>
      </c>
      <c r="BU34" s="1">
        <v>868492.42119999998</v>
      </c>
      <c r="BV34" s="1">
        <v>411891.38429999998</v>
      </c>
      <c r="BW34" s="1">
        <v>3066674.4070000001</v>
      </c>
      <c r="BX34" s="1">
        <v>869641.44779999997</v>
      </c>
      <c r="BY34" s="1">
        <v>412427.12880000001</v>
      </c>
      <c r="BZ34" s="1">
        <v>3070663.2110000001</v>
      </c>
      <c r="CA34" s="1">
        <v>870772.58479999995</v>
      </c>
      <c r="CB34" s="1">
        <v>412970.45030000003</v>
      </c>
      <c r="CC34" s="1">
        <v>3074708.4279999998</v>
      </c>
      <c r="CD34" s="1">
        <v>871919.71950000001</v>
      </c>
      <c r="CE34" s="1">
        <v>413510.67910000001</v>
      </c>
      <c r="CF34" s="1">
        <v>3078730.6189999999</v>
      </c>
      <c r="CG34" s="1">
        <v>873060.32449999999</v>
      </c>
      <c r="CH34" s="1">
        <v>414073.55900000001</v>
      </c>
      <c r="CI34" s="1">
        <v>3082921.4550000001</v>
      </c>
      <c r="CJ34" s="1">
        <v>874248.75360000005</v>
      </c>
      <c r="CK34" s="1">
        <v>414617.74170000001</v>
      </c>
      <c r="CL34" s="1">
        <v>3086973.0839999998</v>
      </c>
      <c r="CM34" s="1">
        <v>875397.70649999997</v>
      </c>
      <c r="CN34" s="1">
        <v>415183.76449999999</v>
      </c>
      <c r="CO34" s="1">
        <v>3091187.321</v>
      </c>
      <c r="CP34" s="1">
        <v>876592.77130000002</v>
      </c>
      <c r="CQ34" s="1">
        <v>415760.32250000001</v>
      </c>
      <c r="CR34" s="1">
        <v>3095479.9950000001</v>
      </c>
      <c r="CS34" s="1">
        <v>877810.07940000005</v>
      </c>
      <c r="CT34" s="1">
        <v>416350.65279999998</v>
      </c>
      <c r="CU34" s="1">
        <v>3099875.2089999998</v>
      </c>
      <c r="CV34" s="1">
        <v>879056.46550000005</v>
      </c>
    </row>
    <row r="35" spans="1:100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33</v>
      </c>
      <c r="H35" s="1"/>
      <c r="I35" s="1"/>
      <c r="J35" s="1"/>
      <c r="K35" s="1">
        <v>239232.10279999999</v>
      </c>
      <c r="L35" s="1">
        <v>2787086.5430000001</v>
      </c>
      <c r="M35" s="1">
        <v>756579.66159999999</v>
      </c>
      <c r="N35" s="1">
        <v>239432.24410000001</v>
      </c>
      <c r="O35" s="1">
        <v>2789418.2170000002</v>
      </c>
      <c r="P35" s="1">
        <v>757212.6152</v>
      </c>
      <c r="Q35" s="1">
        <v>239591.4699</v>
      </c>
      <c r="R35" s="1">
        <v>2791273.219</v>
      </c>
      <c r="S35" s="1">
        <v>757716.17220000003</v>
      </c>
      <c r="T35" s="1">
        <v>239712.27710000001</v>
      </c>
      <c r="U35" s="1">
        <v>2792680.639</v>
      </c>
      <c r="V35" s="1">
        <v>758098.2291</v>
      </c>
      <c r="W35" s="1">
        <v>239816.17739999999</v>
      </c>
      <c r="X35" s="1">
        <v>2793891.0920000002</v>
      </c>
      <c r="Y35" s="1">
        <v>758426.81740000006</v>
      </c>
      <c r="Z35" s="1">
        <v>239911.57750000001</v>
      </c>
      <c r="AA35" s="1">
        <v>2795002.5159999998</v>
      </c>
      <c r="AB35" s="1">
        <v>758728.52339999995</v>
      </c>
      <c r="AC35" s="1">
        <v>240001.63449999999</v>
      </c>
      <c r="AD35" s="1">
        <v>2796051.6919999998</v>
      </c>
      <c r="AE35" s="1">
        <v>759013.33160000003</v>
      </c>
      <c r="AF35" s="1">
        <v>240089.25839999999</v>
      </c>
      <c r="AG35" s="1">
        <v>2797072.5219999999</v>
      </c>
      <c r="AH35" s="1">
        <v>759290.44519999996</v>
      </c>
      <c r="AI35" s="1">
        <v>240169.5704</v>
      </c>
      <c r="AJ35" s="1">
        <v>2798008.1680000001</v>
      </c>
      <c r="AK35" s="1">
        <v>759544.43460000004</v>
      </c>
      <c r="AL35" s="1">
        <v>240209.69089999999</v>
      </c>
      <c r="AM35" s="1">
        <v>2944324.1710000001</v>
      </c>
      <c r="AN35" s="1">
        <v>796133.46539999999</v>
      </c>
      <c r="AO35" s="1">
        <v>240275.72229999999</v>
      </c>
      <c r="AP35" s="1">
        <v>2945133.537</v>
      </c>
      <c r="AQ35" s="1">
        <v>796352.3149</v>
      </c>
      <c r="AR35" s="1">
        <v>240341.35399999999</v>
      </c>
      <c r="AS35" s="1">
        <v>2945938.0049999999</v>
      </c>
      <c r="AT35" s="1">
        <v>796569.83979999996</v>
      </c>
      <c r="AU35" s="1">
        <v>240406.58230000001</v>
      </c>
      <c r="AV35" s="1">
        <v>2946737.5279999999</v>
      </c>
      <c r="AW35" s="1">
        <v>796786.02769999998</v>
      </c>
      <c r="AX35" s="1">
        <v>240473.0932</v>
      </c>
      <c r="AY35" s="1">
        <v>2947552.7740000002</v>
      </c>
      <c r="AZ35" s="1">
        <v>797006.46680000005</v>
      </c>
      <c r="BA35" s="1">
        <v>240538.0018</v>
      </c>
      <c r="BB35" s="1">
        <v>2948348.378</v>
      </c>
      <c r="BC35" s="1">
        <v>797221.59499999997</v>
      </c>
      <c r="BD35" s="1">
        <v>240604.3529</v>
      </c>
      <c r="BE35" s="1">
        <v>2949161.6639999999</v>
      </c>
      <c r="BF35" s="1">
        <v>797441.50419999997</v>
      </c>
      <c r="BG35" s="1">
        <v>240670.38430000001</v>
      </c>
      <c r="BH35" s="1">
        <v>2949971.031</v>
      </c>
      <c r="BI35" s="1">
        <v>797660.35380000004</v>
      </c>
      <c r="BJ35" s="1">
        <v>240738.6502</v>
      </c>
      <c r="BK35" s="1">
        <v>2950807.787</v>
      </c>
      <c r="BL35" s="1">
        <v>797886.60919999995</v>
      </c>
      <c r="BM35" s="1">
        <v>240806.7599</v>
      </c>
      <c r="BN35" s="1">
        <v>2951642.6290000002</v>
      </c>
      <c r="BO35" s="1">
        <v>798112.34710000001</v>
      </c>
      <c r="BP35" s="1">
        <v>240876.46460000001</v>
      </c>
      <c r="BQ35" s="1">
        <v>2952497.0210000002</v>
      </c>
      <c r="BR35" s="1">
        <v>798343.37139999995</v>
      </c>
      <c r="BS35" s="1">
        <v>240944.1747</v>
      </c>
      <c r="BT35" s="1">
        <v>2953326.9640000002</v>
      </c>
      <c r="BU35" s="1">
        <v>798567.78460000001</v>
      </c>
      <c r="BV35" s="1">
        <v>241013.24160000001</v>
      </c>
      <c r="BW35" s="1">
        <v>2954173.5389999999</v>
      </c>
      <c r="BX35" s="1">
        <v>798796.69510000001</v>
      </c>
      <c r="BY35" s="1">
        <v>241081.18780000001</v>
      </c>
      <c r="BZ35" s="1">
        <v>2955006.3760000002</v>
      </c>
      <c r="CA35" s="1">
        <v>799021.8909</v>
      </c>
      <c r="CB35" s="1">
        <v>241148.4981</v>
      </c>
      <c r="CC35" s="1">
        <v>2955831.4190000002</v>
      </c>
      <c r="CD35" s="1">
        <v>799244.97939999995</v>
      </c>
      <c r="CE35" s="1">
        <v>241214.04610000001</v>
      </c>
      <c r="CF35" s="1">
        <v>2956634.8620000002</v>
      </c>
      <c r="CG35" s="1">
        <v>799462.22699999996</v>
      </c>
      <c r="CH35" s="1">
        <v>241279.9976</v>
      </c>
      <c r="CI35" s="1">
        <v>2957443.2489999998</v>
      </c>
      <c r="CJ35" s="1">
        <v>799680.81160000002</v>
      </c>
      <c r="CK35" s="1">
        <v>241343.86689999999</v>
      </c>
      <c r="CL35" s="1">
        <v>2958226.1150000002</v>
      </c>
      <c r="CM35" s="1">
        <v>799892.49560000002</v>
      </c>
      <c r="CN35" s="1">
        <v>241407.74</v>
      </c>
      <c r="CO35" s="1">
        <v>2959009.0269999998</v>
      </c>
      <c r="CP35" s="1">
        <v>800104.19180000003</v>
      </c>
      <c r="CQ35" s="1">
        <v>241472.7322</v>
      </c>
      <c r="CR35" s="1">
        <v>2959805.6570000001</v>
      </c>
      <c r="CS35" s="1">
        <v>800319.59719999996</v>
      </c>
      <c r="CT35" s="1">
        <v>241538.6</v>
      </c>
      <c r="CU35" s="1">
        <v>2960613.0180000002</v>
      </c>
      <c r="CV35" s="1">
        <v>800537.90460000001</v>
      </c>
    </row>
    <row r="36" spans="1:100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33</v>
      </c>
      <c r="K36" s="1">
        <v>207647.07639999999</v>
      </c>
      <c r="L36" s="1">
        <v>2372610.469</v>
      </c>
      <c r="M36" s="1">
        <v>645064.38619999995</v>
      </c>
      <c r="N36" s="1">
        <v>208188.38709999999</v>
      </c>
      <c r="O36" s="1">
        <v>2378795.5759999999</v>
      </c>
      <c r="P36" s="1">
        <v>646745.99069999997</v>
      </c>
      <c r="Q36" s="1">
        <v>383511.17369999998</v>
      </c>
      <c r="R36" s="1">
        <v>3107272.423</v>
      </c>
      <c r="S36" s="1">
        <v>872695.89910000004</v>
      </c>
      <c r="T36" s="1">
        <v>383990.55690000003</v>
      </c>
      <c r="U36" s="1">
        <v>3111156.466</v>
      </c>
      <c r="V36" s="1">
        <v>873786.75569999998</v>
      </c>
      <c r="W36" s="1">
        <v>384462.52889999998</v>
      </c>
      <c r="X36" s="1">
        <v>3114980.463</v>
      </c>
      <c r="Y36" s="1">
        <v>874860.74800000002</v>
      </c>
      <c r="Z36" s="1">
        <v>384863.30479999998</v>
      </c>
      <c r="AA36" s="1">
        <v>3118227.6179999998</v>
      </c>
      <c r="AB36" s="1">
        <v>875772.73060000001</v>
      </c>
      <c r="AC36" s="1">
        <v>385304.08880000003</v>
      </c>
      <c r="AD36" s="1">
        <v>3121798.9240000001</v>
      </c>
      <c r="AE36" s="1">
        <v>876775.75320000004</v>
      </c>
      <c r="AF36" s="1">
        <v>385692.7991</v>
      </c>
      <c r="AG36" s="1">
        <v>3124948.32</v>
      </c>
      <c r="AH36" s="1">
        <v>877660.27980000002</v>
      </c>
      <c r="AI36" s="1">
        <v>386129.1274</v>
      </c>
      <c r="AJ36" s="1">
        <v>3128483.5269999998</v>
      </c>
      <c r="AK36" s="1">
        <v>878653.16350000002</v>
      </c>
      <c r="AL36" s="1">
        <v>386487.59259999997</v>
      </c>
      <c r="AM36" s="1">
        <v>3131387.872</v>
      </c>
      <c r="AN36" s="1">
        <v>879468.86609999998</v>
      </c>
      <c r="AO36" s="1">
        <v>386868.89880000002</v>
      </c>
      <c r="AP36" s="1">
        <v>3134477.28</v>
      </c>
      <c r="AQ36" s="1">
        <v>880336.54460000002</v>
      </c>
      <c r="AR36" s="1">
        <v>387220.68839999998</v>
      </c>
      <c r="AS36" s="1">
        <v>3137327.5380000002</v>
      </c>
      <c r="AT36" s="1">
        <v>881137.05660000001</v>
      </c>
      <c r="AU36" s="1">
        <v>387607.49969999999</v>
      </c>
      <c r="AV36" s="1">
        <v>3140461.5490000001</v>
      </c>
      <c r="AW36" s="1">
        <v>882017.2622</v>
      </c>
      <c r="AX36" s="1">
        <v>387962.22570000001</v>
      </c>
      <c r="AY36" s="1">
        <v>3143335.5989999999</v>
      </c>
      <c r="AZ36" s="1">
        <v>882824.45609999995</v>
      </c>
      <c r="BA36" s="1">
        <v>388359.27679999999</v>
      </c>
      <c r="BB36" s="1">
        <v>3146552.574</v>
      </c>
      <c r="BC36" s="1">
        <v>883727.96270000003</v>
      </c>
      <c r="BD36" s="1">
        <v>388713.67690000002</v>
      </c>
      <c r="BE36" s="1">
        <v>3149423.9840000002</v>
      </c>
      <c r="BF36" s="1">
        <v>884534.41509999998</v>
      </c>
      <c r="BG36" s="1">
        <v>389111.48759999999</v>
      </c>
      <c r="BH36" s="1">
        <v>3152647.1129999999</v>
      </c>
      <c r="BI36" s="1">
        <v>885439.65020000003</v>
      </c>
      <c r="BJ36" s="1">
        <v>389465.08980000002</v>
      </c>
      <c r="BK36" s="1">
        <v>3155512.0580000002</v>
      </c>
      <c r="BL36" s="1">
        <v>886244.28700000001</v>
      </c>
      <c r="BM36" s="1">
        <v>389871.76500000001</v>
      </c>
      <c r="BN36" s="1">
        <v>3158807.0090000001</v>
      </c>
      <c r="BO36" s="1">
        <v>887169.6936</v>
      </c>
      <c r="BP36" s="1">
        <v>390220.50429999997</v>
      </c>
      <c r="BQ36" s="1">
        <v>3161632.554</v>
      </c>
      <c r="BR36" s="1">
        <v>887963.26459999999</v>
      </c>
      <c r="BS36" s="1">
        <v>390623.53370000003</v>
      </c>
      <c r="BT36" s="1">
        <v>3164897.9670000002</v>
      </c>
      <c r="BU36" s="1">
        <v>888880.37520000001</v>
      </c>
      <c r="BV36" s="1">
        <v>390970.57900000003</v>
      </c>
      <c r="BW36" s="1">
        <v>3167709.7859999998</v>
      </c>
      <c r="BX36" s="1">
        <v>889670.09129999997</v>
      </c>
      <c r="BY36" s="1">
        <v>391386.9632</v>
      </c>
      <c r="BZ36" s="1">
        <v>3171083.4019999998</v>
      </c>
      <c r="CA36" s="1">
        <v>890617.59120000002</v>
      </c>
      <c r="CB36" s="1">
        <v>391666.37300000002</v>
      </c>
      <c r="CC36" s="1">
        <v>3173347.227</v>
      </c>
      <c r="CD36" s="1">
        <v>891253.39989999996</v>
      </c>
      <c r="CE36" s="1">
        <v>392016.77269999997</v>
      </c>
      <c r="CF36" s="1">
        <v>3176186.2250000001</v>
      </c>
      <c r="CG36" s="1">
        <v>892050.74950000003</v>
      </c>
      <c r="CH36" s="1">
        <v>393056.28899999999</v>
      </c>
      <c r="CI36" s="1">
        <v>3184608.5619999999</v>
      </c>
      <c r="CJ36" s="1">
        <v>894416.21270000003</v>
      </c>
      <c r="CK36" s="1">
        <v>393436.87150000001</v>
      </c>
      <c r="CL36" s="1">
        <v>3187692.1060000001</v>
      </c>
      <c r="CM36" s="1">
        <v>895282.24430000002</v>
      </c>
      <c r="CN36" s="1">
        <v>393720.46260000003</v>
      </c>
      <c r="CO36" s="1">
        <v>3189989.8080000002</v>
      </c>
      <c r="CP36" s="1">
        <v>895927.56770000001</v>
      </c>
      <c r="CQ36" s="1">
        <v>394009.77909999999</v>
      </c>
      <c r="CR36" s="1">
        <v>3192333.9</v>
      </c>
      <c r="CS36" s="1">
        <v>896585.91980000003</v>
      </c>
      <c r="CT36" s="1">
        <v>394304.73680000001</v>
      </c>
      <c r="CU36" s="1">
        <v>3194723.6970000002</v>
      </c>
      <c r="CV36" s="1">
        <v>897257.10840000003</v>
      </c>
    </row>
    <row r="37" spans="1:100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33</v>
      </c>
      <c r="K37" s="1">
        <v>397276.79580000002</v>
      </c>
      <c r="L37" s="1">
        <v>3548742.943</v>
      </c>
      <c r="M37" s="1">
        <v>986504.93469999998</v>
      </c>
      <c r="N37" s="1">
        <v>398298.60869999998</v>
      </c>
      <c r="O37" s="1">
        <v>3557870.4619999998</v>
      </c>
      <c r="P37" s="1">
        <v>989042.26760000002</v>
      </c>
      <c r="Q37" s="1">
        <v>399115.52909999999</v>
      </c>
      <c r="R37" s="1">
        <v>3565167.7429999998</v>
      </c>
      <c r="S37" s="1">
        <v>991070.81810000003</v>
      </c>
      <c r="T37" s="1">
        <v>399733.93479999999</v>
      </c>
      <c r="U37" s="1">
        <v>3570691.7570000002</v>
      </c>
      <c r="V37" s="1">
        <v>992606.42299999995</v>
      </c>
      <c r="W37" s="1">
        <v>400268.0698</v>
      </c>
      <c r="X37" s="1">
        <v>3575463.01</v>
      </c>
      <c r="Y37" s="1">
        <v>993932.76989999996</v>
      </c>
      <c r="Z37" s="1">
        <v>400763.67109999998</v>
      </c>
      <c r="AA37" s="1">
        <v>3579890.0529999998</v>
      </c>
      <c r="AB37" s="1">
        <v>995163.43110000005</v>
      </c>
      <c r="AC37" s="1">
        <v>401232.15779999999</v>
      </c>
      <c r="AD37" s="1">
        <v>3584074.8909999998</v>
      </c>
      <c r="AE37" s="1">
        <v>996326.76229999994</v>
      </c>
      <c r="AF37" s="1">
        <v>401708.65700000001</v>
      </c>
      <c r="AG37" s="1">
        <v>3588331.3020000001</v>
      </c>
      <c r="AH37" s="1">
        <v>997509.98959999997</v>
      </c>
      <c r="AI37" s="1">
        <v>402155.43949999998</v>
      </c>
      <c r="AJ37" s="1">
        <v>3592322.2629999998</v>
      </c>
      <c r="AK37" s="1">
        <v>998619.42559999996</v>
      </c>
      <c r="AL37" s="1">
        <v>402562.56640000001</v>
      </c>
      <c r="AM37" s="1">
        <v>3595958.9929999998</v>
      </c>
      <c r="AN37" s="1">
        <v>999630.38989999995</v>
      </c>
      <c r="AO37" s="1">
        <v>402958.2524</v>
      </c>
      <c r="AP37" s="1">
        <v>3599493.5260000001</v>
      </c>
      <c r="AQ37" s="1">
        <v>1000612.9449999999</v>
      </c>
      <c r="AR37" s="1">
        <v>403333.77870000002</v>
      </c>
      <c r="AS37" s="1">
        <v>3602847.9789999998</v>
      </c>
      <c r="AT37" s="1">
        <v>1001545.44</v>
      </c>
      <c r="AU37" s="1">
        <v>403721.05579999997</v>
      </c>
      <c r="AV37" s="1">
        <v>3606307.398</v>
      </c>
      <c r="AW37" s="1">
        <v>1002507.113</v>
      </c>
      <c r="AX37" s="1">
        <v>404116.33630000002</v>
      </c>
      <c r="AY37" s="1">
        <v>3609838.3089999999</v>
      </c>
      <c r="AZ37" s="1">
        <v>1003488.661</v>
      </c>
      <c r="BA37" s="1">
        <v>404513.84789999999</v>
      </c>
      <c r="BB37" s="1">
        <v>3613389.1490000002</v>
      </c>
      <c r="BC37" s="1">
        <v>1004475.749</v>
      </c>
      <c r="BD37" s="1">
        <v>404906.63579999999</v>
      </c>
      <c r="BE37" s="1">
        <v>3616897.7949999999</v>
      </c>
      <c r="BF37" s="1">
        <v>1005451.108</v>
      </c>
      <c r="BG37" s="1">
        <v>405297.84330000001</v>
      </c>
      <c r="BH37" s="1">
        <v>3620392.3220000002</v>
      </c>
      <c r="BI37" s="1">
        <v>1006422.541</v>
      </c>
      <c r="BJ37" s="1">
        <v>405701.2746</v>
      </c>
      <c r="BK37" s="1">
        <v>3623996.0410000002</v>
      </c>
      <c r="BL37" s="1">
        <v>1007424.329</v>
      </c>
      <c r="BM37" s="1">
        <v>406093.42959999997</v>
      </c>
      <c r="BN37" s="1">
        <v>3627499.0329999998</v>
      </c>
      <c r="BO37" s="1">
        <v>1008398.116</v>
      </c>
      <c r="BP37" s="1">
        <v>406512.57059999998</v>
      </c>
      <c r="BQ37" s="1">
        <v>3631243.0819999999</v>
      </c>
      <c r="BR37" s="1">
        <v>1009438.9129999999</v>
      </c>
      <c r="BS37" s="1">
        <v>406909.72639999999</v>
      </c>
      <c r="BT37" s="1">
        <v>3634790.7439999999</v>
      </c>
      <c r="BU37" s="1">
        <v>1010425.118</v>
      </c>
      <c r="BV37" s="1">
        <v>407311.9106</v>
      </c>
      <c r="BW37" s="1">
        <v>3638383.3229999999</v>
      </c>
      <c r="BX37" s="1">
        <v>1011423.808</v>
      </c>
      <c r="BY37" s="1">
        <v>407730.92090000003</v>
      </c>
      <c r="BZ37" s="1">
        <v>3642126.2039999999</v>
      </c>
      <c r="CA37" s="1">
        <v>1012464.281</v>
      </c>
      <c r="CB37" s="1">
        <v>408102.78129999997</v>
      </c>
      <c r="CC37" s="1">
        <v>3645447.9109999998</v>
      </c>
      <c r="CD37" s="1">
        <v>1013387.673</v>
      </c>
      <c r="CE37" s="1">
        <v>408492.43640000001</v>
      </c>
      <c r="CF37" s="1">
        <v>3648928.5720000002</v>
      </c>
      <c r="CG37" s="1">
        <v>1014355.252</v>
      </c>
      <c r="CH37" s="1">
        <v>408869.40529999998</v>
      </c>
      <c r="CI37" s="1">
        <v>3652295.9109999998</v>
      </c>
      <c r="CJ37" s="1">
        <v>1015291.329</v>
      </c>
      <c r="CK37" s="1">
        <v>409243.69099999999</v>
      </c>
      <c r="CL37" s="1">
        <v>3655639.2820000001</v>
      </c>
      <c r="CM37" s="1">
        <v>1016220.743</v>
      </c>
      <c r="CN37" s="1">
        <v>409623.81089999998</v>
      </c>
      <c r="CO37" s="1">
        <v>3659034.7680000002</v>
      </c>
      <c r="CP37" s="1">
        <v>1017164.645</v>
      </c>
      <c r="CQ37" s="1">
        <v>410010.09759999998</v>
      </c>
      <c r="CR37" s="1">
        <v>3662485.34</v>
      </c>
      <c r="CS37" s="1">
        <v>1018123.8590000001</v>
      </c>
      <c r="CT37" s="1">
        <v>410404.02779999998</v>
      </c>
      <c r="CU37" s="1">
        <v>3666004.1889999998</v>
      </c>
      <c r="CV37" s="1">
        <v>1019102.054</v>
      </c>
    </row>
    <row r="44" spans="1:100" x14ac:dyDescent="0.35">
      <c r="A44" s="63" t="s">
        <v>354</v>
      </c>
    </row>
  </sheetData>
  <autoFilter ref="A2:CV37" xr:uid="{ADA4C5F5-9000-40C8-B037-4301E37D2366}"/>
  <conditionalFormatting sqref="D3:D37">
    <cfRule type="duplicateValues" dxfId="7" priority="279"/>
  </conditionalFormatting>
  <hyperlinks>
    <hyperlink ref="A44" location="Introdução!A1" display="Introdução!A1" xr:uid="{9CACFB7C-4F98-4918-841E-F6CF0738D9B3}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0FB-AE0C-4146-821A-E9515BFD14AE}">
  <sheetPr>
    <tabColor rgb="FF92D050"/>
  </sheetPr>
  <dimension ref="A1:CV44"/>
  <sheetViews>
    <sheetView workbookViewId="0">
      <selection activeCell="A10" sqref="A10:XFD10"/>
    </sheetView>
  </sheetViews>
  <sheetFormatPr defaultRowHeight="14.5" x14ac:dyDescent="0.35"/>
  <cols>
    <col min="1" max="1" width="7" bestFit="1" customWidth="1"/>
    <col min="2" max="2" width="20.81640625" customWidth="1"/>
    <col min="3" max="3" width="7.453125" bestFit="1" customWidth="1"/>
    <col min="4" max="4" width="13.1796875" bestFit="1" customWidth="1"/>
    <col min="5" max="5" width="18.7265625" customWidth="1"/>
    <col min="6" max="6" width="3.81640625" bestFit="1" customWidth="1"/>
    <col min="7" max="7" width="10.453125" customWidth="1"/>
    <col min="8" max="8" width="8.81640625" bestFit="1" customWidth="1"/>
    <col min="9" max="9" width="7.453125" bestFit="1" customWidth="1"/>
    <col min="10" max="10" width="10.1796875" bestFit="1" customWidth="1"/>
    <col min="11" max="11" width="19.54296875" bestFit="1" customWidth="1"/>
    <col min="12" max="12" width="18" bestFit="1" customWidth="1"/>
    <col min="13" max="14" width="19.54296875" bestFit="1" customWidth="1"/>
    <col min="15" max="15" width="18" bestFit="1" customWidth="1"/>
    <col min="16" max="17" width="19.54296875" bestFit="1" customWidth="1"/>
    <col min="18" max="18" width="18" bestFit="1" customWidth="1"/>
    <col min="19" max="20" width="19.54296875" bestFit="1" customWidth="1"/>
    <col min="21" max="21" width="18" bestFit="1" customWidth="1"/>
    <col min="22" max="23" width="19.54296875" bestFit="1" customWidth="1"/>
    <col min="24" max="24" width="18" bestFit="1" customWidth="1"/>
    <col min="25" max="26" width="19.54296875" bestFit="1" customWidth="1"/>
    <col min="27" max="27" width="18" bestFit="1" customWidth="1"/>
    <col min="28" max="29" width="19.54296875" bestFit="1" customWidth="1"/>
    <col min="30" max="30" width="18" bestFit="1" customWidth="1"/>
    <col min="31" max="32" width="19.54296875" bestFit="1" customWidth="1"/>
    <col min="33" max="33" width="18" bestFit="1" customWidth="1"/>
    <col min="34" max="35" width="19.54296875" bestFit="1" customWidth="1"/>
    <col min="36" max="36" width="18" bestFit="1" customWidth="1"/>
    <col min="37" max="38" width="19.54296875" bestFit="1" customWidth="1"/>
    <col min="39" max="39" width="18" bestFit="1" customWidth="1"/>
    <col min="40" max="41" width="19.54296875" bestFit="1" customWidth="1"/>
    <col min="42" max="42" width="18" bestFit="1" customWidth="1"/>
    <col min="43" max="44" width="19.54296875" bestFit="1" customWidth="1"/>
    <col min="45" max="45" width="18" bestFit="1" customWidth="1"/>
    <col min="46" max="47" width="19.54296875" bestFit="1" customWidth="1"/>
    <col min="48" max="48" width="18" bestFit="1" customWidth="1"/>
    <col min="49" max="50" width="19.54296875" bestFit="1" customWidth="1"/>
    <col min="51" max="51" width="18" bestFit="1" customWidth="1"/>
    <col min="52" max="53" width="19.54296875" bestFit="1" customWidth="1"/>
    <col min="54" max="54" width="18" bestFit="1" customWidth="1"/>
    <col min="55" max="56" width="19.54296875" bestFit="1" customWidth="1"/>
    <col min="57" max="57" width="18" bestFit="1" customWidth="1"/>
    <col min="58" max="59" width="19.54296875" bestFit="1" customWidth="1"/>
    <col min="60" max="60" width="18" bestFit="1" customWidth="1"/>
    <col min="61" max="62" width="19.54296875" bestFit="1" customWidth="1"/>
    <col min="63" max="63" width="18" bestFit="1" customWidth="1"/>
    <col min="64" max="65" width="19.54296875" bestFit="1" customWidth="1"/>
    <col min="66" max="66" width="18" bestFit="1" customWidth="1"/>
    <col min="67" max="68" width="19.54296875" bestFit="1" customWidth="1"/>
    <col min="69" max="69" width="18" bestFit="1" customWidth="1"/>
    <col min="70" max="71" width="19.54296875" bestFit="1" customWidth="1"/>
    <col min="72" max="72" width="18" bestFit="1" customWidth="1"/>
    <col min="73" max="74" width="19.54296875" bestFit="1" customWidth="1"/>
    <col min="75" max="75" width="18" bestFit="1" customWidth="1"/>
    <col min="76" max="77" width="19.54296875" bestFit="1" customWidth="1"/>
    <col min="78" max="78" width="18" bestFit="1" customWidth="1"/>
    <col min="79" max="80" width="19.54296875" bestFit="1" customWidth="1"/>
    <col min="81" max="81" width="18" bestFit="1" customWidth="1"/>
    <col min="82" max="83" width="19.54296875" bestFit="1" customWidth="1"/>
    <col min="84" max="84" width="18" bestFit="1" customWidth="1"/>
    <col min="85" max="86" width="19.54296875" bestFit="1" customWidth="1"/>
    <col min="87" max="87" width="18" bestFit="1" customWidth="1"/>
    <col min="88" max="89" width="19.54296875" bestFit="1" customWidth="1"/>
    <col min="90" max="90" width="18" bestFit="1" customWidth="1"/>
    <col min="91" max="92" width="19.54296875" bestFit="1" customWidth="1"/>
    <col min="93" max="93" width="18" bestFit="1" customWidth="1"/>
    <col min="94" max="95" width="19.54296875" bestFit="1" customWidth="1"/>
    <col min="96" max="96" width="18" bestFit="1" customWidth="1"/>
    <col min="97" max="98" width="19.54296875" bestFit="1" customWidth="1"/>
    <col min="99" max="99" width="18" bestFit="1" customWidth="1"/>
    <col min="100" max="100" width="19.54296875" bestFit="1" customWidth="1"/>
  </cols>
  <sheetData>
    <row r="1" spans="1:100" x14ac:dyDescent="0.35">
      <c r="A1" s="2" t="s">
        <v>0</v>
      </c>
      <c r="B1" s="2" t="s">
        <v>162</v>
      </c>
      <c r="C1" s="2" t="s">
        <v>163</v>
      </c>
      <c r="D1" s="2" t="s">
        <v>2</v>
      </c>
      <c r="E1" s="2" t="s">
        <v>3</v>
      </c>
      <c r="F1" s="2" t="s">
        <v>4</v>
      </c>
      <c r="G1" s="2" t="s">
        <v>164</v>
      </c>
      <c r="H1" s="2">
        <v>2022</v>
      </c>
      <c r="I1" s="2"/>
      <c r="J1" s="2"/>
      <c r="K1" s="2">
        <v>2023</v>
      </c>
      <c r="L1" s="2"/>
      <c r="M1" s="2"/>
      <c r="N1" s="2">
        <v>2024</v>
      </c>
      <c r="O1" s="2"/>
      <c r="P1" s="2"/>
      <c r="Q1" s="2">
        <v>2025</v>
      </c>
      <c r="R1" s="2"/>
      <c r="S1" s="2"/>
      <c r="T1" s="2">
        <v>2026</v>
      </c>
      <c r="U1" s="2"/>
      <c r="V1" s="2"/>
      <c r="W1" s="2">
        <v>2027</v>
      </c>
      <c r="X1" s="2"/>
      <c r="Y1" s="2"/>
      <c r="Z1" s="2">
        <v>2028</v>
      </c>
      <c r="AA1" s="2"/>
      <c r="AB1" s="2"/>
      <c r="AC1" s="2">
        <v>2029</v>
      </c>
      <c r="AD1" s="2"/>
      <c r="AE1" s="2"/>
      <c r="AF1" s="2">
        <v>2030</v>
      </c>
      <c r="AG1" s="2"/>
      <c r="AH1" s="2"/>
      <c r="AI1" s="2">
        <v>2031</v>
      </c>
      <c r="AJ1" s="2"/>
      <c r="AK1" s="2"/>
      <c r="AL1" s="2">
        <v>2032</v>
      </c>
      <c r="AM1" s="2"/>
      <c r="AN1" s="2"/>
      <c r="AO1" s="2">
        <v>2033</v>
      </c>
      <c r="AP1" s="2"/>
      <c r="AQ1" s="2"/>
      <c r="AR1" s="2">
        <v>2034</v>
      </c>
      <c r="AS1" s="2"/>
      <c r="AT1" s="2"/>
      <c r="AU1" s="2">
        <v>2035</v>
      </c>
      <c r="AV1" s="2"/>
      <c r="AW1" s="2"/>
      <c r="AX1" s="2">
        <v>2036</v>
      </c>
      <c r="AY1" s="2"/>
      <c r="AZ1" s="2"/>
      <c r="BA1" s="2">
        <v>2037</v>
      </c>
      <c r="BB1" s="2"/>
      <c r="BC1" s="2"/>
      <c r="BD1" s="2">
        <v>2038</v>
      </c>
      <c r="BE1" s="2"/>
      <c r="BF1" s="2"/>
      <c r="BG1" s="2">
        <v>2039</v>
      </c>
      <c r="BH1" s="2"/>
      <c r="BI1" s="2"/>
      <c r="BJ1" s="2">
        <v>2040</v>
      </c>
      <c r="BK1" s="2"/>
      <c r="BL1" s="2"/>
      <c r="BM1" s="2">
        <v>2041</v>
      </c>
      <c r="BN1" s="2"/>
      <c r="BO1" s="2"/>
      <c r="BP1" s="2">
        <v>2042</v>
      </c>
      <c r="BQ1" s="2"/>
      <c r="BR1" s="2"/>
      <c r="BS1" s="2">
        <v>2043</v>
      </c>
      <c r="BT1" s="2"/>
      <c r="BU1" s="2"/>
      <c r="BV1" s="2">
        <v>2044</v>
      </c>
      <c r="BW1" s="2"/>
      <c r="BX1" s="2"/>
      <c r="BY1" s="2">
        <v>2045</v>
      </c>
      <c r="BZ1" s="2"/>
      <c r="CA1" s="2"/>
      <c r="CB1" s="2">
        <v>2046</v>
      </c>
      <c r="CC1" s="2"/>
      <c r="CD1" s="2"/>
      <c r="CE1" s="2">
        <v>2047</v>
      </c>
      <c r="CF1" s="2"/>
      <c r="CG1" s="2"/>
      <c r="CH1" s="2">
        <v>2048</v>
      </c>
      <c r="CI1" s="2"/>
      <c r="CJ1" s="2"/>
      <c r="CK1" s="2">
        <v>2049</v>
      </c>
      <c r="CL1" s="2"/>
      <c r="CM1" s="2"/>
      <c r="CN1" s="2">
        <v>2050</v>
      </c>
      <c r="CO1" s="2"/>
      <c r="CP1" s="2"/>
      <c r="CQ1" s="2">
        <v>2051</v>
      </c>
      <c r="CR1" s="2"/>
      <c r="CS1" s="2"/>
      <c r="CT1" s="2">
        <v>2052</v>
      </c>
      <c r="CU1" s="2"/>
      <c r="CV1" s="2"/>
    </row>
    <row r="2" spans="1:100" x14ac:dyDescent="0.35">
      <c r="A2" s="2"/>
      <c r="B2" s="2"/>
      <c r="C2" s="2"/>
      <c r="D2" s="2"/>
      <c r="E2" s="2"/>
      <c r="F2" s="2"/>
      <c r="G2" s="2"/>
      <c r="H2" s="2" t="s">
        <v>180</v>
      </c>
      <c r="I2" s="2" t="s">
        <v>181</v>
      </c>
      <c r="J2" s="2" t="s">
        <v>182</v>
      </c>
      <c r="K2" s="2" t="s">
        <v>180</v>
      </c>
      <c r="L2" s="2" t="s">
        <v>181</v>
      </c>
      <c r="M2" s="2" t="s">
        <v>182</v>
      </c>
      <c r="N2" s="2" t="s">
        <v>180</v>
      </c>
      <c r="O2" s="2" t="s">
        <v>181</v>
      </c>
      <c r="P2" s="2" t="s">
        <v>182</v>
      </c>
      <c r="Q2" s="2" t="s">
        <v>180</v>
      </c>
      <c r="R2" s="2" t="s">
        <v>181</v>
      </c>
      <c r="S2" s="2" t="s">
        <v>182</v>
      </c>
      <c r="T2" s="2" t="s">
        <v>180</v>
      </c>
      <c r="U2" s="2" t="s">
        <v>181</v>
      </c>
      <c r="V2" s="2" t="s">
        <v>182</v>
      </c>
      <c r="W2" s="2" t="s">
        <v>180</v>
      </c>
      <c r="X2" s="2" t="s">
        <v>181</v>
      </c>
      <c r="Y2" s="2" t="s">
        <v>182</v>
      </c>
      <c r="Z2" s="2" t="s">
        <v>180</v>
      </c>
      <c r="AA2" s="2" t="s">
        <v>181</v>
      </c>
      <c r="AB2" s="2" t="s">
        <v>182</v>
      </c>
      <c r="AC2" s="2" t="s">
        <v>180</v>
      </c>
      <c r="AD2" s="2" t="s">
        <v>181</v>
      </c>
      <c r="AE2" s="2" t="s">
        <v>182</v>
      </c>
      <c r="AF2" s="2" t="s">
        <v>180</v>
      </c>
      <c r="AG2" s="2" t="s">
        <v>181</v>
      </c>
      <c r="AH2" s="2" t="s">
        <v>182</v>
      </c>
      <c r="AI2" s="2" t="s">
        <v>180</v>
      </c>
      <c r="AJ2" s="2" t="s">
        <v>181</v>
      </c>
      <c r="AK2" s="2" t="s">
        <v>182</v>
      </c>
      <c r="AL2" s="2" t="s">
        <v>180</v>
      </c>
      <c r="AM2" s="2" t="s">
        <v>181</v>
      </c>
      <c r="AN2" s="2" t="s">
        <v>182</v>
      </c>
      <c r="AO2" s="2" t="s">
        <v>180</v>
      </c>
      <c r="AP2" s="2" t="s">
        <v>181</v>
      </c>
      <c r="AQ2" s="2" t="s">
        <v>182</v>
      </c>
      <c r="AR2" s="2" t="s">
        <v>180</v>
      </c>
      <c r="AS2" s="2" t="s">
        <v>181</v>
      </c>
      <c r="AT2" s="2" t="s">
        <v>182</v>
      </c>
      <c r="AU2" s="2" t="s">
        <v>180</v>
      </c>
      <c r="AV2" s="2" t="s">
        <v>181</v>
      </c>
      <c r="AW2" s="2" t="s">
        <v>182</v>
      </c>
      <c r="AX2" s="2" t="s">
        <v>180</v>
      </c>
      <c r="AY2" s="2" t="s">
        <v>181</v>
      </c>
      <c r="AZ2" s="2" t="s">
        <v>182</v>
      </c>
      <c r="BA2" s="2" t="s">
        <v>180</v>
      </c>
      <c r="BB2" s="2" t="s">
        <v>181</v>
      </c>
      <c r="BC2" s="2" t="s">
        <v>182</v>
      </c>
      <c r="BD2" s="2" t="s">
        <v>180</v>
      </c>
      <c r="BE2" s="2" t="s">
        <v>181</v>
      </c>
      <c r="BF2" s="2" t="s">
        <v>182</v>
      </c>
      <c r="BG2" s="2" t="s">
        <v>180</v>
      </c>
      <c r="BH2" s="2" t="s">
        <v>181</v>
      </c>
      <c r="BI2" s="2" t="s">
        <v>182</v>
      </c>
      <c r="BJ2" s="2" t="s">
        <v>180</v>
      </c>
      <c r="BK2" s="2" t="s">
        <v>181</v>
      </c>
      <c r="BL2" s="2" t="s">
        <v>182</v>
      </c>
      <c r="BM2" s="2" t="s">
        <v>180</v>
      </c>
      <c r="BN2" s="2" t="s">
        <v>181</v>
      </c>
      <c r="BO2" s="2" t="s">
        <v>182</v>
      </c>
      <c r="BP2" s="2" t="s">
        <v>180</v>
      </c>
      <c r="BQ2" s="2" t="s">
        <v>181</v>
      </c>
      <c r="BR2" s="2" t="s">
        <v>182</v>
      </c>
      <c r="BS2" s="2" t="s">
        <v>180</v>
      </c>
      <c r="BT2" s="2" t="s">
        <v>181</v>
      </c>
      <c r="BU2" s="2" t="s">
        <v>182</v>
      </c>
      <c r="BV2" s="2" t="s">
        <v>180</v>
      </c>
      <c r="BW2" s="2" t="s">
        <v>181</v>
      </c>
      <c r="BX2" s="2" t="s">
        <v>182</v>
      </c>
      <c r="BY2" s="2" t="s">
        <v>180</v>
      </c>
      <c r="BZ2" s="2" t="s">
        <v>181</v>
      </c>
      <c r="CA2" s="2" t="s">
        <v>182</v>
      </c>
      <c r="CB2" s="2" t="s">
        <v>180</v>
      </c>
      <c r="CC2" s="2" t="s">
        <v>181</v>
      </c>
      <c r="CD2" s="2" t="s">
        <v>182</v>
      </c>
      <c r="CE2" s="2" t="s">
        <v>180</v>
      </c>
      <c r="CF2" s="2" t="s">
        <v>181</v>
      </c>
      <c r="CG2" s="2" t="s">
        <v>182</v>
      </c>
      <c r="CH2" s="2" t="s">
        <v>180</v>
      </c>
      <c r="CI2" s="2" t="s">
        <v>181</v>
      </c>
      <c r="CJ2" s="2" t="s">
        <v>182</v>
      </c>
      <c r="CK2" s="2" t="s">
        <v>180</v>
      </c>
      <c r="CL2" s="2" t="s">
        <v>181</v>
      </c>
      <c r="CM2" s="2" t="s">
        <v>182</v>
      </c>
      <c r="CN2" s="2" t="s">
        <v>180</v>
      </c>
      <c r="CO2" s="2" t="s">
        <v>181</v>
      </c>
      <c r="CP2" s="2" t="s">
        <v>182</v>
      </c>
      <c r="CQ2" s="2" t="s">
        <v>180</v>
      </c>
      <c r="CR2" s="2" t="s">
        <v>181</v>
      </c>
      <c r="CS2" s="2" t="s">
        <v>182</v>
      </c>
      <c r="CT2" s="2" t="s">
        <v>180</v>
      </c>
      <c r="CU2" s="2" t="s">
        <v>181</v>
      </c>
      <c r="CV2" s="2" t="s">
        <v>182</v>
      </c>
    </row>
    <row r="3" spans="1:100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33</v>
      </c>
      <c r="H3" s="1"/>
      <c r="I3" s="1"/>
      <c r="J3" s="1"/>
      <c r="K3" s="1">
        <v>521591.71649999998</v>
      </c>
      <c r="L3" s="1">
        <v>3023452.102</v>
      </c>
      <c r="M3" s="1">
        <v>-2501860.3849999998</v>
      </c>
      <c r="N3" s="1">
        <v>589080.31770000001</v>
      </c>
      <c r="O3" s="1">
        <v>3029188.6329999999</v>
      </c>
      <c r="P3" s="1">
        <v>-2440108.3149999999</v>
      </c>
      <c r="Q3" s="1">
        <v>660408.7977</v>
      </c>
      <c r="R3" s="1">
        <v>3212779.4240000001</v>
      </c>
      <c r="S3" s="1">
        <v>-2552370.6269999999</v>
      </c>
      <c r="T3" s="1">
        <v>692638.94519999996</v>
      </c>
      <c r="U3" s="1">
        <v>3215518.9870000002</v>
      </c>
      <c r="V3" s="1">
        <v>-2522880.0419999999</v>
      </c>
      <c r="W3" s="1">
        <v>717902.10809999995</v>
      </c>
      <c r="X3" s="1">
        <v>3217666.3560000001</v>
      </c>
      <c r="Y3" s="1">
        <v>-2499764.2480000001</v>
      </c>
      <c r="Z3" s="1">
        <v>739799.02350000001</v>
      </c>
      <c r="AA3" s="1">
        <v>3219527.594</v>
      </c>
      <c r="AB3" s="1">
        <v>-2479728.5699999998</v>
      </c>
      <c r="AC3" s="1">
        <v>759685.54119999998</v>
      </c>
      <c r="AD3" s="1">
        <v>3221217.9479999999</v>
      </c>
      <c r="AE3" s="1">
        <v>-2461532.406</v>
      </c>
      <c r="AF3" s="1">
        <v>778169.45570000005</v>
      </c>
      <c r="AG3" s="1">
        <v>3222789.08</v>
      </c>
      <c r="AH3" s="1">
        <v>-2444619.625</v>
      </c>
      <c r="AI3" s="1">
        <v>794922.77049999998</v>
      </c>
      <c r="AJ3" s="1">
        <v>3224213.1120000002</v>
      </c>
      <c r="AK3" s="1">
        <v>-2429290.341</v>
      </c>
      <c r="AL3" s="1">
        <v>809986.92150000005</v>
      </c>
      <c r="AM3" s="1">
        <v>3225493.5649999999</v>
      </c>
      <c r="AN3" s="1">
        <v>-2415506.6430000002</v>
      </c>
      <c r="AO3" s="1">
        <v>823692.77579999994</v>
      </c>
      <c r="AP3" s="1">
        <v>3226658.5619999999</v>
      </c>
      <c r="AQ3" s="1">
        <v>-2402965.787</v>
      </c>
      <c r="AR3" s="1">
        <v>837095.42760000005</v>
      </c>
      <c r="AS3" s="1">
        <v>3227797.7880000002</v>
      </c>
      <c r="AT3" s="1">
        <v>-2390702.36</v>
      </c>
      <c r="AU3" s="1">
        <v>850233.86600000004</v>
      </c>
      <c r="AV3" s="1">
        <v>3228914.5550000002</v>
      </c>
      <c r="AW3" s="1">
        <v>-2378680.6889999998</v>
      </c>
      <c r="AX3" s="1">
        <v>863715.16280000005</v>
      </c>
      <c r="AY3" s="1">
        <v>3230060.4649999999</v>
      </c>
      <c r="AZ3" s="1">
        <v>-2366345.3029999998</v>
      </c>
      <c r="BA3" s="1">
        <v>876650.28029999998</v>
      </c>
      <c r="BB3" s="1">
        <v>3231159.95</v>
      </c>
      <c r="BC3" s="1">
        <v>-2354509.67</v>
      </c>
      <c r="BD3" s="1">
        <v>889726.38060000003</v>
      </c>
      <c r="BE3" s="1">
        <v>3232271.4190000002</v>
      </c>
      <c r="BF3" s="1">
        <v>-2342545.0380000002</v>
      </c>
      <c r="BG3" s="1">
        <v>902630.32920000004</v>
      </c>
      <c r="BH3" s="1">
        <v>3233368.2549999999</v>
      </c>
      <c r="BI3" s="1">
        <v>-2330737.9249999998</v>
      </c>
      <c r="BJ3" s="1">
        <v>915924.61230000004</v>
      </c>
      <c r="BK3" s="1">
        <v>3234498.2689999999</v>
      </c>
      <c r="BL3" s="1">
        <v>-2318573.656</v>
      </c>
      <c r="BM3" s="1">
        <v>929265.64879999997</v>
      </c>
      <c r="BN3" s="1">
        <v>3235632.2570000002</v>
      </c>
      <c r="BO3" s="1">
        <v>-2306366.608</v>
      </c>
      <c r="BP3" s="1">
        <v>942715.05409999995</v>
      </c>
      <c r="BQ3" s="1">
        <v>3236775.4559999998</v>
      </c>
      <c r="BR3" s="1">
        <v>-2294060.4019999998</v>
      </c>
      <c r="BS3" s="1">
        <v>955541.80279999995</v>
      </c>
      <c r="BT3" s="1">
        <v>3237865.73</v>
      </c>
      <c r="BU3" s="1">
        <v>-2282323.9270000001</v>
      </c>
      <c r="BV3" s="1">
        <v>968430.16680000001</v>
      </c>
      <c r="BW3" s="1">
        <v>3238961.2409999999</v>
      </c>
      <c r="BX3" s="1">
        <v>-2270531.074</v>
      </c>
      <c r="BY3" s="1">
        <v>1036986.192</v>
      </c>
      <c r="BZ3" s="1">
        <v>4362488.602</v>
      </c>
      <c r="CA3" s="1">
        <v>-3325502.41</v>
      </c>
      <c r="CB3" s="1">
        <v>1050182.0560000001</v>
      </c>
      <c r="CC3" s="1">
        <v>4363544.2709999997</v>
      </c>
      <c r="CD3" s="1">
        <v>-3313362.2149999999</v>
      </c>
      <c r="CE3" s="1">
        <v>1062749.179</v>
      </c>
      <c r="CF3" s="1">
        <v>4364549.6409999998</v>
      </c>
      <c r="CG3" s="1">
        <v>-3301800.4619999998</v>
      </c>
      <c r="CH3" s="1">
        <v>1075282.402</v>
      </c>
      <c r="CI3" s="1">
        <v>4365552.2989999996</v>
      </c>
      <c r="CJ3" s="1">
        <v>-3290269.8960000002</v>
      </c>
      <c r="CK3" s="1">
        <v>1086972.3570000001</v>
      </c>
      <c r="CL3" s="1">
        <v>4366487.4950000001</v>
      </c>
      <c r="CM3" s="1">
        <v>-3279515.1379999998</v>
      </c>
      <c r="CN3" s="1">
        <v>1098544.2309999999</v>
      </c>
      <c r="CO3" s="1">
        <v>4367413.2450000001</v>
      </c>
      <c r="CP3" s="1">
        <v>-3268869.014</v>
      </c>
      <c r="CQ3" s="1">
        <v>1110533.5560000001</v>
      </c>
      <c r="CR3" s="1">
        <v>4368372.3909999998</v>
      </c>
      <c r="CS3" s="1">
        <v>-3257838.835</v>
      </c>
      <c r="CT3" s="1">
        <v>1122661.932</v>
      </c>
      <c r="CU3" s="1">
        <v>4369342.6610000003</v>
      </c>
      <c r="CV3" s="1">
        <v>-3246680.7289999998</v>
      </c>
    </row>
    <row r="4" spans="1:100" x14ac:dyDescent="0.35">
      <c r="A4" t="s">
        <v>46</v>
      </c>
      <c r="B4" t="s">
        <v>47</v>
      </c>
      <c r="C4">
        <v>291930</v>
      </c>
      <c r="D4" t="s">
        <v>48</v>
      </c>
      <c r="E4" t="s">
        <v>49</v>
      </c>
      <c r="F4" t="s">
        <v>40</v>
      </c>
      <c r="G4" t="s">
        <v>33</v>
      </c>
      <c r="H4" s="1"/>
      <c r="I4" s="1"/>
      <c r="J4" s="1"/>
      <c r="K4" s="1">
        <v>562862.42559999996</v>
      </c>
      <c r="L4" s="1">
        <v>3001844.1039999998</v>
      </c>
      <c r="M4" s="1">
        <v>-2438981.6779999998</v>
      </c>
      <c r="N4" s="1">
        <v>616211.45160000003</v>
      </c>
      <c r="O4" s="1">
        <v>3006378.7710000002</v>
      </c>
      <c r="P4" s="1">
        <v>-2390167.3199999998</v>
      </c>
      <c r="Q4" s="1">
        <v>681900.51670000004</v>
      </c>
      <c r="R4" s="1">
        <v>3208533.452</v>
      </c>
      <c r="S4" s="1">
        <v>-2526632.9350000001</v>
      </c>
      <c r="T4" s="1">
        <v>713117.67310000001</v>
      </c>
      <c r="U4" s="1">
        <v>3211186.91</v>
      </c>
      <c r="V4" s="1">
        <v>-2498069.2370000002</v>
      </c>
      <c r="W4" s="1">
        <v>739612.0098</v>
      </c>
      <c r="X4" s="1">
        <v>3213438.929</v>
      </c>
      <c r="Y4" s="1">
        <v>-2473826.9190000002</v>
      </c>
      <c r="Z4" s="1">
        <v>763862.18149999995</v>
      </c>
      <c r="AA4" s="1">
        <v>3215500.193</v>
      </c>
      <c r="AB4" s="1">
        <v>-2451638.0120000001</v>
      </c>
      <c r="AC4" s="1">
        <v>786834.42599999998</v>
      </c>
      <c r="AD4" s="1">
        <v>3217452.8339999998</v>
      </c>
      <c r="AE4" s="1">
        <v>-2430618.4079999998</v>
      </c>
      <c r="AF4" s="1">
        <v>809145.35959999997</v>
      </c>
      <c r="AG4" s="1">
        <v>3219349.2629999998</v>
      </c>
      <c r="AH4" s="1">
        <v>-2410203.9040000001</v>
      </c>
      <c r="AI4" s="1">
        <v>830222.67249999999</v>
      </c>
      <c r="AJ4" s="1">
        <v>3221140.835</v>
      </c>
      <c r="AK4" s="1">
        <v>-2390918.162</v>
      </c>
      <c r="AL4" s="1">
        <v>849485.81099999999</v>
      </c>
      <c r="AM4" s="1">
        <v>3222778.202</v>
      </c>
      <c r="AN4" s="1">
        <v>-2373292.3909999998</v>
      </c>
      <c r="AO4" s="1">
        <v>867548.94460000005</v>
      </c>
      <c r="AP4" s="1">
        <v>3224313.568</v>
      </c>
      <c r="AQ4" s="1">
        <v>-2356764.6230000001</v>
      </c>
      <c r="AR4" s="1">
        <v>885534.15579999995</v>
      </c>
      <c r="AS4" s="1">
        <v>3225842.3110000002</v>
      </c>
      <c r="AT4" s="1">
        <v>-2340308.1549999998</v>
      </c>
      <c r="AU4" s="1">
        <v>903393.96860000002</v>
      </c>
      <c r="AV4" s="1">
        <v>3227360.395</v>
      </c>
      <c r="AW4" s="1">
        <v>-2323966.426</v>
      </c>
      <c r="AX4" s="1">
        <v>921737.62289999996</v>
      </c>
      <c r="AY4" s="1">
        <v>3228919.6060000001</v>
      </c>
      <c r="AZ4" s="1">
        <v>-2307181.983</v>
      </c>
      <c r="BA4" s="1">
        <v>939878.67890000006</v>
      </c>
      <c r="BB4" s="1">
        <v>3230461.5950000002</v>
      </c>
      <c r="BC4" s="1">
        <v>-2290582.9169999999</v>
      </c>
      <c r="BD4" s="1">
        <v>958284.67110000004</v>
      </c>
      <c r="BE4" s="1">
        <v>3232026.105</v>
      </c>
      <c r="BF4" s="1">
        <v>-2273741.4339999999</v>
      </c>
      <c r="BG4" s="1">
        <v>1032397.927</v>
      </c>
      <c r="BH4" s="1">
        <v>4352047.6189999999</v>
      </c>
      <c r="BI4" s="1">
        <v>-3319649.6919999998</v>
      </c>
      <c r="BJ4" s="1">
        <v>1053083.459</v>
      </c>
      <c r="BK4" s="1">
        <v>4353702.4610000001</v>
      </c>
      <c r="BL4" s="1">
        <v>-3300619.0019999999</v>
      </c>
      <c r="BM4" s="1">
        <v>1074034.1240000001</v>
      </c>
      <c r="BN4" s="1">
        <v>4355378.5149999997</v>
      </c>
      <c r="BO4" s="1">
        <v>-3281344.39</v>
      </c>
      <c r="BP4" s="1">
        <v>1095271.7180000001</v>
      </c>
      <c r="BQ4" s="1">
        <v>4357077.5219999999</v>
      </c>
      <c r="BR4" s="1">
        <v>-3261805.804</v>
      </c>
      <c r="BS4" s="1">
        <v>1116285.7560000001</v>
      </c>
      <c r="BT4" s="1">
        <v>4358758.6449999996</v>
      </c>
      <c r="BU4" s="1">
        <v>-3242472.889</v>
      </c>
      <c r="BV4" s="1">
        <v>1137489.45</v>
      </c>
      <c r="BW4" s="1">
        <v>4360454.9409999996</v>
      </c>
      <c r="BX4" s="1">
        <v>-3222965.49</v>
      </c>
      <c r="BY4" s="1">
        <v>1158592.095</v>
      </c>
      <c r="BZ4" s="1">
        <v>4362143.1519999998</v>
      </c>
      <c r="CA4" s="1">
        <v>-3203551.057</v>
      </c>
      <c r="CB4" s="1">
        <v>1180116.294</v>
      </c>
      <c r="CC4" s="1">
        <v>4363865.0880000005</v>
      </c>
      <c r="CD4" s="1">
        <v>-3183748.7949999999</v>
      </c>
      <c r="CE4" s="1">
        <v>1201881.4169999999</v>
      </c>
      <c r="CF4" s="1">
        <v>4365606.2980000004</v>
      </c>
      <c r="CG4" s="1">
        <v>-3163724.8810000001</v>
      </c>
      <c r="CH4" s="1">
        <v>1223827.331</v>
      </c>
      <c r="CI4" s="1">
        <v>4367361.9709999999</v>
      </c>
      <c r="CJ4" s="1">
        <v>-3143534.64</v>
      </c>
      <c r="CK4" s="1">
        <v>1245250.48</v>
      </c>
      <c r="CL4" s="1">
        <v>4369075.8229999999</v>
      </c>
      <c r="CM4" s="1">
        <v>-3123825.3429999999</v>
      </c>
      <c r="CN4" s="1">
        <v>1266881.334</v>
      </c>
      <c r="CO4" s="1">
        <v>4370806.2910000002</v>
      </c>
      <c r="CP4" s="1">
        <v>-3103924.9569999999</v>
      </c>
      <c r="CQ4" s="1">
        <v>1288878.017</v>
      </c>
      <c r="CR4" s="1">
        <v>4372566.0259999996</v>
      </c>
      <c r="CS4" s="1">
        <v>-3083688.0090000001</v>
      </c>
      <c r="CT4" s="1">
        <v>1311380.595</v>
      </c>
      <c r="CU4" s="1">
        <v>4374366.2319999998</v>
      </c>
      <c r="CV4" s="1">
        <v>-3062985.6379999998</v>
      </c>
    </row>
    <row r="5" spans="1:100" x14ac:dyDescent="0.35">
      <c r="A5" t="s">
        <v>50</v>
      </c>
      <c r="B5" t="s">
        <v>51</v>
      </c>
      <c r="C5">
        <v>130040</v>
      </c>
      <c r="D5" t="s">
        <v>52</v>
      </c>
      <c r="E5" t="s">
        <v>51</v>
      </c>
      <c r="F5" t="s">
        <v>35</v>
      </c>
      <c r="G5" t="s">
        <v>33</v>
      </c>
      <c r="H5" s="1"/>
      <c r="I5" s="1"/>
      <c r="J5" s="1"/>
      <c r="K5" s="1">
        <v>179110.3322</v>
      </c>
      <c r="L5" s="1">
        <v>1598659.4539999999</v>
      </c>
      <c r="M5" s="1">
        <v>-1419549.122</v>
      </c>
      <c r="N5" s="1">
        <v>182598.73079999999</v>
      </c>
      <c r="O5" s="1">
        <v>1598973.41</v>
      </c>
      <c r="P5" s="1">
        <v>-1416374.679</v>
      </c>
      <c r="Q5" s="1">
        <v>185229.48920000001</v>
      </c>
      <c r="R5" s="1">
        <v>1599210.1780000001</v>
      </c>
      <c r="S5" s="1">
        <v>-1413980.689</v>
      </c>
      <c r="T5" s="1">
        <v>194524.1496</v>
      </c>
      <c r="U5" s="1">
        <v>2874961.7030000002</v>
      </c>
      <c r="V5" s="1">
        <v>-2680437.554</v>
      </c>
      <c r="W5" s="1">
        <v>196165.10980000001</v>
      </c>
      <c r="X5" s="1">
        <v>2875101.1850000001</v>
      </c>
      <c r="Y5" s="1">
        <v>-2678936.0750000002</v>
      </c>
      <c r="Z5" s="1">
        <v>197681.04449999999</v>
      </c>
      <c r="AA5" s="1">
        <v>2875230.0389999999</v>
      </c>
      <c r="AB5" s="1">
        <v>-2677548.9950000001</v>
      </c>
      <c r="AC5" s="1">
        <v>199087.58189999999</v>
      </c>
      <c r="AD5" s="1">
        <v>2875349.5950000002</v>
      </c>
      <c r="AE5" s="1">
        <v>-2676262.0129999998</v>
      </c>
      <c r="AF5" s="1">
        <v>200431.60639999999</v>
      </c>
      <c r="AG5" s="1">
        <v>2875463.8369999998</v>
      </c>
      <c r="AH5" s="1">
        <v>-2675032.2310000001</v>
      </c>
      <c r="AI5" s="1">
        <v>201650.6054</v>
      </c>
      <c r="AJ5" s="1">
        <v>2875567.452</v>
      </c>
      <c r="AK5" s="1">
        <v>-2673916.8470000001</v>
      </c>
      <c r="AL5" s="1">
        <v>202775.83530000001</v>
      </c>
      <c r="AM5" s="1">
        <v>2875663.0970000001</v>
      </c>
      <c r="AN5" s="1">
        <v>-2672887.2609999999</v>
      </c>
      <c r="AO5" s="1">
        <v>203822.92420000001</v>
      </c>
      <c r="AP5" s="1">
        <v>2875752.0989999999</v>
      </c>
      <c r="AQ5" s="1">
        <v>-2671929.1749999998</v>
      </c>
      <c r="AR5" s="1">
        <v>204891.2617</v>
      </c>
      <c r="AS5" s="1">
        <v>2875842.9079999998</v>
      </c>
      <c r="AT5" s="1">
        <v>-2670951.6460000002</v>
      </c>
      <c r="AU5" s="1">
        <v>205954.57019999999</v>
      </c>
      <c r="AV5" s="1">
        <v>2875933.2889999999</v>
      </c>
      <c r="AW5" s="1">
        <v>-2669978.719</v>
      </c>
      <c r="AX5" s="1">
        <v>206986.03099999999</v>
      </c>
      <c r="AY5" s="1">
        <v>2876020.963</v>
      </c>
      <c r="AZ5" s="1">
        <v>-2669034.932</v>
      </c>
      <c r="BA5" s="1">
        <v>208017.49170000001</v>
      </c>
      <c r="BB5" s="1">
        <v>2876108.6370000001</v>
      </c>
      <c r="BC5" s="1">
        <v>-2668091.1460000002</v>
      </c>
      <c r="BD5" s="1">
        <v>209048.95240000001</v>
      </c>
      <c r="BE5" s="1">
        <v>2876196.3119999999</v>
      </c>
      <c r="BF5" s="1">
        <v>-2667147.3590000002</v>
      </c>
      <c r="BG5" s="1">
        <v>210049.15669999999</v>
      </c>
      <c r="BH5" s="1">
        <v>2876281.3289999999</v>
      </c>
      <c r="BI5" s="1">
        <v>-2666232.1719999998</v>
      </c>
      <c r="BJ5" s="1">
        <v>211096.24559999999</v>
      </c>
      <c r="BK5" s="1">
        <v>2876370.3309999998</v>
      </c>
      <c r="BL5" s="1">
        <v>-2665274.0860000001</v>
      </c>
      <c r="BM5" s="1">
        <v>212143.3345</v>
      </c>
      <c r="BN5" s="1">
        <v>2876459.3339999998</v>
      </c>
      <c r="BO5" s="1">
        <v>-2664315.9989999998</v>
      </c>
      <c r="BP5" s="1">
        <v>213221.67980000001</v>
      </c>
      <c r="BQ5" s="1">
        <v>2876550.9929999998</v>
      </c>
      <c r="BR5" s="1">
        <v>-2663329.3139999998</v>
      </c>
      <c r="BS5" s="1">
        <v>214221.8841</v>
      </c>
      <c r="BT5" s="1">
        <v>2876636.0109999999</v>
      </c>
      <c r="BU5" s="1">
        <v>-2662414.1269999999</v>
      </c>
      <c r="BV5" s="1">
        <v>215237.71660000001</v>
      </c>
      <c r="BW5" s="1">
        <v>2876722.3560000001</v>
      </c>
      <c r="BX5" s="1">
        <v>-2661484.64</v>
      </c>
      <c r="BY5" s="1">
        <v>216237.921</v>
      </c>
      <c r="BZ5" s="1">
        <v>2876807.3739999998</v>
      </c>
      <c r="CA5" s="1">
        <v>-2660569.4530000002</v>
      </c>
      <c r="CB5" s="1">
        <v>217191.24069999999</v>
      </c>
      <c r="CC5" s="1">
        <v>2876888.406</v>
      </c>
      <c r="CD5" s="1">
        <v>-2659697.165</v>
      </c>
      <c r="CE5" s="1">
        <v>218097.6759</v>
      </c>
      <c r="CF5" s="1">
        <v>2876965.4530000002</v>
      </c>
      <c r="CG5" s="1">
        <v>-2658867.7769999998</v>
      </c>
      <c r="CH5" s="1">
        <v>219004.11110000001</v>
      </c>
      <c r="CI5" s="1">
        <v>2877042.5</v>
      </c>
      <c r="CJ5" s="1">
        <v>-2658038.389</v>
      </c>
      <c r="CK5" s="1">
        <v>219863.6617</v>
      </c>
      <c r="CL5" s="1">
        <v>2877115.5619999999</v>
      </c>
      <c r="CM5" s="1">
        <v>-2657251.9</v>
      </c>
      <c r="CN5" s="1">
        <v>220707.58410000001</v>
      </c>
      <c r="CO5" s="1">
        <v>2877187.2949999999</v>
      </c>
      <c r="CP5" s="1">
        <v>-2656479.7110000001</v>
      </c>
      <c r="CQ5" s="1">
        <v>221551.50649999999</v>
      </c>
      <c r="CR5" s="1">
        <v>2877259.0290000001</v>
      </c>
      <c r="CS5" s="1">
        <v>-2655707.5219999999</v>
      </c>
      <c r="CT5" s="1">
        <v>222411.057</v>
      </c>
      <c r="CU5" s="1">
        <v>2877332.09</v>
      </c>
      <c r="CV5" s="1">
        <v>-2654921.0329999998</v>
      </c>
    </row>
    <row r="6" spans="1:100" x14ac:dyDescent="0.35">
      <c r="A6" t="s">
        <v>54</v>
      </c>
      <c r="B6" t="s">
        <v>168</v>
      </c>
      <c r="C6">
        <v>110010</v>
      </c>
      <c r="D6" t="s">
        <v>56</v>
      </c>
      <c r="E6" t="s">
        <v>55</v>
      </c>
      <c r="F6" t="s">
        <v>30</v>
      </c>
      <c r="G6" t="s">
        <v>33</v>
      </c>
      <c r="H6" s="1"/>
      <c r="I6" s="1"/>
      <c r="J6" s="1"/>
      <c r="K6" s="1">
        <v>384947.67060000001</v>
      </c>
      <c r="L6" s="1">
        <v>2882335.9350000001</v>
      </c>
      <c r="M6" s="1">
        <v>-2497388.264</v>
      </c>
      <c r="N6" s="1">
        <v>415775.87949999998</v>
      </c>
      <c r="O6" s="1">
        <v>2884956.3319999999</v>
      </c>
      <c r="P6" s="1">
        <v>-2469180.4530000002</v>
      </c>
      <c r="Q6" s="1">
        <v>441219.16859999998</v>
      </c>
      <c r="R6" s="1">
        <v>2887119.0120000001</v>
      </c>
      <c r="S6" s="1">
        <v>-2445899.8429999999</v>
      </c>
      <c r="T6" s="1">
        <v>461166.95409999997</v>
      </c>
      <c r="U6" s="1">
        <v>2888814.574</v>
      </c>
      <c r="V6" s="1">
        <v>-2427647.6189999999</v>
      </c>
      <c r="W6" s="1">
        <v>478842.44</v>
      </c>
      <c r="X6" s="1">
        <v>2890316.99</v>
      </c>
      <c r="Y6" s="1">
        <v>-2411474.5499999998</v>
      </c>
      <c r="Z6" s="1">
        <v>495471.42839999998</v>
      </c>
      <c r="AA6" s="1">
        <v>2891730.4539999999</v>
      </c>
      <c r="AB6" s="1">
        <v>-2396259.0260000001</v>
      </c>
      <c r="AC6" s="1">
        <v>511526.56900000002</v>
      </c>
      <c r="AD6" s="1">
        <v>2893095.1409999998</v>
      </c>
      <c r="AE6" s="1">
        <v>-2381568.5720000002</v>
      </c>
      <c r="AF6" s="1">
        <v>527296.00679999997</v>
      </c>
      <c r="AG6" s="1">
        <v>2894435.5430000001</v>
      </c>
      <c r="AH6" s="1">
        <v>-2367139.5359999998</v>
      </c>
      <c r="AI6" s="1">
        <v>541992.12820000004</v>
      </c>
      <c r="AJ6" s="1">
        <v>2895684.713</v>
      </c>
      <c r="AK6" s="1">
        <v>-2353692.585</v>
      </c>
      <c r="AL6" s="1">
        <v>555964.32380000001</v>
      </c>
      <c r="AM6" s="1">
        <v>2896872.35</v>
      </c>
      <c r="AN6" s="1">
        <v>-2340908.0260000001</v>
      </c>
      <c r="AO6" s="1">
        <v>569372.57539999997</v>
      </c>
      <c r="AP6" s="1">
        <v>2898012.051</v>
      </c>
      <c r="AQ6" s="1">
        <v>-2328639.4759999998</v>
      </c>
      <c r="AR6" s="1">
        <v>582766.52789999999</v>
      </c>
      <c r="AS6" s="1">
        <v>2899150.537</v>
      </c>
      <c r="AT6" s="1">
        <v>-2316384.0090000001</v>
      </c>
      <c r="AU6" s="1">
        <v>595909.83790000004</v>
      </c>
      <c r="AV6" s="1">
        <v>2900267.719</v>
      </c>
      <c r="AW6" s="1">
        <v>-2304357.8810000001</v>
      </c>
      <c r="AX6" s="1">
        <v>609647.61069999996</v>
      </c>
      <c r="AY6" s="1">
        <v>2901435.429</v>
      </c>
      <c r="AZ6" s="1">
        <v>-2291787.8190000001</v>
      </c>
      <c r="BA6" s="1">
        <v>623150.36910000001</v>
      </c>
      <c r="BB6" s="1">
        <v>2902583.1639999999</v>
      </c>
      <c r="BC6" s="1">
        <v>-2279432.7949999999</v>
      </c>
      <c r="BD6" s="1">
        <v>660829.57860000001</v>
      </c>
      <c r="BE6" s="1">
        <v>3078864.9550000001</v>
      </c>
      <c r="BF6" s="1">
        <v>-2418035.3760000002</v>
      </c>
      <c r="BG6" s="1">
        <v>674606.98049999995</v>
      </c>
      <c r="BH6" s="1">
        <v>3080036.034</v>
      </c>
      <c r="BI6" s="1">
        <v>-2405429.0529999998</v>
      </c>
      <c r="BJ6" s="1">
        <v>688914.2548</v>
      </c>
      <c r="BK6" s="1">
        <v>3081252.1519999998</v>
      </c>
      <c r="BL6" s="1">
        <v>-2392337.8969999999</v>
      </c>
      <c r="BM6" s="1">
        <v>703516.91150000005</v>
      </c>
      <c r="BN6" s="1">
        <v>3082493.378</v>
      </c>
      <c r="BO6" s="1">
        <v>-2378976.466</v>
      </c>
      <c r="BP6" s="1">
        <v>718151.45979999995</v>
      </c>
      <c r="BQ6" s="1">
        <v>3083737.3139999998</v>
      </c>
      <c r="BR6" s="1">
        <v>-2365585.855</v>
      </c>
      <c r="BS6" s="1">
        <v>732770.42359999998</v>
      </c>
      <c r="BT6" s="1">
        <v>3084979.926</v>
      </c>
      <c r="BU6" s="1">
        <v>-2352209.503</v>
      </c>
      <c r="BV6" s="1">
        <v>747622.43189999997</v>
      </c>
      <c r="BW6" s="1">
        <v>3086242.3470000001</v>
      </c>
      <c r="BX6" s="1">
        <v>-2338619.915</v>
      </c>
      <c r="BY6" s="1">
        <v>762366.07160000002</v>
      </c>
      <c r="BZ6" s="1">
        <v>3087495.557</v>
      </c>
      <c r="CA6" s="1">
        <v>-2325129.4849999999</v>
      </c>
      <c r="CB6" s="1">
        <v>776299.31830000004</v>
      </c>
      <c r="CC6" s="1">
        <v>3088679.8820000002</v>
      </c>
      <c r="CD6" s="1">
        <v>-2312380.5639999998</v>
      </c>
      <c r="CE6" s="1">
        <v>789592.87879999995</v>
      </c>
      <c r="CF6" s="1">
        <v>3089809.835</v>
      </c>
      <c r="CG6" s="1">
        <v>-2300216.9559999998</v>
      </c>
      <c r="CH6" s="1">
        <v>802887.16189999995</v>
      </c>
      <c r="CI6" s="1">
        <v>3090939.8489999999</v>
      </c>
      <c r="CJ6" s="1">
        <v>-2288052.6869999999</v>
      </c>
      <c r="CK6" s="1">
        <v>815868.64480000001</v>
      </c>
      <c r="CL6" s="1">
        <v>3092043.2749999999</v>
      </c>
      <c r="CM6" s="1">
        <v>-2276174.63</v>
      </c>
      <c r="CN6" s="1">
        <v>828960.3297</v>
      </c>
      <c r="CO6" s="1">
        <v>3093156.068</v>
      </c>
      <c r="CP6" s="1">
        <v>-2264195.7390000001</v>
      </c>
      <c r="CQ6" s="1">
        <v>842316.95070000004</v>
      </c>
      <c r="CR6" s="1">
        <v>3094291.3810000001</v>
      </c>
      <c r="CS6" s="1">
        <v>-2251974.4309999999</v>
      </c>
      <c r="CT6" s="1">
        <v>855891.0318</v>
      </c>
      <c r="CU6" s="1">
        <v>3095445.1779999998</v>
      </c>
      <c r="CV6" s="1">
        <v>-2239554.1460000002</v>
      </c>
    </row>
    <row r="7" spans="1:100" x14ac:dyDescent="0.35">
      <c r="A7" t="s">
        <v>57</v>
      </c>
      <c r="B7" t="s">
        <v>58</v>
      </c>
      <c r="C7">
        <v>130190</v>
      </c>
      <c r="D7" t="s">
        <v>59</v>
      </c>
      <c r="E7" t="s">
        <v>58</v>
      </c>
      <c r="F7" t="s">
        <v>35</v>
      </c>
      <c r="G7" t="s">
        <v>33</v>
      </c>
      <c r="H7" s="1"/>
      <c r="I7" s="1"/>
      <c r="J7" s="1"/>
      <c r="K7" s="1">
        <v>1049524.18</v>
      </c>
      <c r="L7" s="1">
        <v>4207208.4050000003</v>
      </c>
      <c r="M7" s="1">
        <v>-3157684.2250000001</v>
      </c>
      <c r="N7" s="1">
        <v>1204141.8130000001</v>
      </c>
      <c r="O7" s="1">
        <v>4219577.8150000004</v>
      </c>
      <c r="P7" s="1">
        <v>-3015436.0019999999</v>
      </c>
      <c r="Q7" s="1">
        <v>1348496.0009999999</v>
      </c>
      <c r="R7" s="1">
        <v>4231126.1500000004</v>
      </c>
      <c r="S7" s="1">
        <v>-2882630.1490000002</v>
      </c>
      <c r="T7" s="1">
        <v>1503735.2220000001</v>
      </c>
      <c r="U7" s="1">
        <v>4243545.2879999997</v>
      </c>
      <c r="V7" s="1">
        <v>-2739810.0660000001</v>
      </c>
      <c r="W7" s="1">
        <v>1605743.8840000001</v>
      </c>
      <c r="X7" s="1">
        <v>4251705.9809999997</v>
      </c>
      <c r="Y7" s="1">
        <v>-2645962.0970000001</v>
      </c>
      <c r="Z7" s="1">
        <v>1688243.7209999999</v>
      </c>
      <c r="AA7" s="1">
        <v>4258305.9680000003</v>
      </c>
      <c r="AB7" s="1">
        <v>-2570062.247</v>
      </c>
      <c r="AC7" s="1">
        <v>1757077.58</v>
      </c>
      <c r="AD7" s="1">
        <v>4263812.6770000001</v>
      </c>
      <c r="AE7" s="1">
        <v>-2506735.0959999999</v>
      </c>
      <c r="AF7" s="1">
        <v>1829409.9029999999</v>
      </c>
      <c r="AG7" s="1">
        <v>4269599.2620000001</v>
      </c>
      <c r="AH7" s="1">
        <v>-2440189.3590000002</v>
      </c>
      <c r="AI7" s="1">
        <v>1892081.2709999999</v>
      </c>
      <c r="AJ7" s="1">
        <v>4274612.9720000001</v>
      </c>
      <c r="AK7" s="1">
        <v>-2382531.7009999999</v>
      </c>
      <c r="AL7" s="1">
        <v>1956987.1359999999</v>
      </c>
      <c r="AM7" s="1">
        <v>4279805.4409999996</v>
      </c>
      <c r="AN7" s="1">
        <v>-2322818.3050000002</v>
      </c>
      <c r="AO7" s="1">
        <v>2011679.6459999999</v>
      </c>
      <c r="AP7" s="1">
        <v>4284180.8420000002</v>
      </c>
      <c r="AQ7" s="1">
        <v>-2272501.196</v>
      </c>
      <c r="AR7" s="1">
        <v>2072946.3160000001</v>
      </c>
      <c r="AS7" s="1">
        <v>4289082.1749999998</v>
      </c>
      <c r="AT7" s="1">
        <v>-2216135.86</v>
      </c>
      <c r="AU7" s="1">
        <v>2126947.0449999999</v>
      </c>
      <c r="AV7" s="1">
        <v>4293402.2340000002</v>
      </c>
      <c r="AW7" s="1">
        <v>-2166455.1889999998</v>
      </c>
      <c r="AX7" s="1">
        <v>2190846.2370000002</v>
      </c>
      <c r="AY7" s="1">
        <v>4298514.1689999998</v>
      </c>
      <c r="AZ7" s="1">
        <v>-2107667.932</v>
      </c>
      <c r="BA7" s="1">
        <v>2245702.8309999998</v>
      </c>
      <c r="BB7" s="1">
        <v>4302902.6969999997</v>
      </c>
      <c r="BC7" s="1">
        <v>-2057199.8659999999</v>
      </c>
      <c r="BD7" s="1">
        <v>2309221.0830000001</v>
      </c>
      <c r="BE7" s="1">
        <v>4307984.1569999997</v>
      </c>
      <c r="BF7" s="1">
        <v>-1998763.074</v>
      </c>
      <c r="BG7" s="1">
        <v>2364108.7000000002</v>
      </c>
      <c r="BH7" s="1">
        <v>4312375.1660000002</v>
      </c>
      <c r="BI7" s="1">
        <v>-1948266.466</v>
      </c>
      <c r="BJ7" s="1">
        <v>2429799.551</v>
      </c>
      <c r="BK7" s="1">
        <v>4317630.4340000004</v>
      </c>
      <c r="BL7" s="1">
        <v>-1887830.8829999999</v>
      </c>
      <c r="BM7" s="1">
        <v>2484466.3250000002</v>
      </c>
      <c r="BN7" s="1">
        <v>4322003.7759999996</v>
      </c>
      <c r="BO7" s="1">
        <v>-1837537.4509999999</v>
      </c>
      <c r="BP7" s="1">
        <v>2550418.4950000001</v>
      </c>
      <c r="BQ7" s="1">
        <v>4327279.95</v>
      </c>
      <c r="BR7" s="1">
        <v>-1776861.4550000001</v>
      </c>
      <c r="BS7" s="1">
        <v>2607085.4759999998</v>
      </c>
      <c r="BT7" s="1">
        <v>4331813.3080000002</v>
      </c>
      <c r="BU7" s="1">
        <v>-1724727.8330000001</v>
      </c>
      <c r="BV7" s="1">
        <v>2673636.4589999998</v>
      </c>
      <c r="BW7" s="1">
        <v>4337137.3870000001</v>
      </c>
      <c r="BX7" s="1">
        <v>-1663500.9280000001</v>
      </c>
      <c r="BY7" s="1">
        <v>2732149.1159999999</v>
      </c>
      <c r="BZ7" s="1">
        <v>4341818.3990000002</v>
      </c>
      <c r="CA7" s="1">
        <v>-1609669.2830000001</v>
      </c>
      <c r="CB7" s="1">
        <v>2792323.9279999998</v>
      </c>
      <c r="CC7" s="1">
        <v>4346632.3839999996</v>
      </c>
      <c r="CD7" s="1">
        <v>-1554308.456</v>
      </c>
      <c r="CE7" s="1">
        <v>2843941.747</v>
      </c>
      <c r="CF7" s="1">
        <v>4350761.8099999996</v>
      </c>
      <c r="CG7" s="1">
        <v>-1506820.0630000001</v>
      </c>
      <c r="CH7" s="1">
        <v>2906574.7749999999</v>
      </c>
      <c r="CI7" s="1">
        <v>4355772.4519999996</v>
      </c>
      <c r="CJ7" s="1">
        <v>-1449197.6769999999</v>
      </c>
      <c r="CK7" s="1">
        <v>2957066.8360000001</v>
      </c>
      <c r="CL7" s="1">
        <v>4359811.8169999998</v>
      </c>
      <c r="CM7" s="1">
        <v>-1402744.9809999999</v>
      </c>
      <c r="CN7" s="1">
        <v>3018284.0789999999</v>
      </c>
      <c r="CO7" s="1">
        <v>4364709.1969999997</v>
      </c>
      <c r="CP7" s="1">
        <v>-1346425.1170000001</v>
      </c>
      <c r="CQ7" s="1">
        <v>3080769.8930000002</v>
      </c>
      <c r="CR7" s="1">
        <v>4369708.0619999999</v>
      </c>
      <c r="CS7" s="1">
        <v>-1288938.169</v>
      </c>
      <c r="CT7" s="1">
        <v>3144549.824</v>
      </c>
      <c r="CU7" s="1">
        <v>4374810.4560000002</v>
      </c>
      <c r="CV7" s="1">
        <v>-1230260.632</v>
      </c>
    </row>
    <row r="8" spans="1:100" x14ac:dyDescent="0.35">
      <c r="A8" t="s">
        <v>60</v>
      </c>
      <c r="B8" t="s">
        <v>61</v>
      </c>
      <c r="C8">
        <v>150050</v>
      </c>
      <c r="D8" t="s">
        <v>62</v>
      </c>
      <c r="E8" t="s">
        <v>63</v>
      </c>
      <c r="F8" t="s">
        <v>29</v>
      </c>
      <c r="G8" t="s">
        <v>33</v>
      </c>
      <c r="H8" s="1"/>
      <c r="I8" s="1"/>
      <c r="J8" s="1"/>
      <c r="K8" s="1">
        <v>465902.2965</v>
      </c>
      <c r="L8" s="1">
        <v>3018718.5010000002</v>
      </c>
      <c r="M8" s="1">
        <v>-2552816.2050000001</v>
      </c>
      <c r="N8" s="1">
        <v>506020.4584</v>
      </c>
      <c r="O8" s="1">
        <v>3022128.5449999999</v>
      </c>
      <c r="P8" s="1">
        <v>-2516108.0860000001</v>
      </c>
      <c r="Q8" s="1">
        <v>539876.70180000004</v>
      </c>
      <c r="R8" s="1">
        <v>3025006.3259999999</v>
      </c>
      <c r="S8" s="1">
        <v>-2485129.6239999998</v>
      </c>
      <c r="T8" s="1">
        <v>567434.67949999997</v>
      </c>
      <c r="U8" s="1">
        <v>3027348.7540000002</v>
      </c>
      <c r="V8" s="1">
        <v>-2459914.074</v>
      </c>
      <c r="W8" s="1">
        <v>592252.84080000001</v>
      </c>
      <c r="X8" s="1">
        <v>3029458.2969999998</v>
      </c>
      <c r="Y8" s="1">
        <v>-2437205.4559999998</v>
      </c>
      <c r="Z8" s="1">
        <v>616086.42599999998</v>
      </c>
      <c r="AA8" s="1">
        <v>3031484.1519999998</v>
      </c>
      <c r="AB8" s="1">
        <v>-2415397.7259999998</v>
      </c>
      <c r="AC8" s="1">
        <v>663448.49369999999</v>
      </c>
      <c r="AD8" s="1">
        <v>3213037.7990000001</v>
      </c>
      <c r="AE8" s="1">
        <v>-2549589.3050000002</v>
      </c>
      <c r="AF8" s="1">
        <v>686779.18119999999</v>
      </c>
      <c r="AG8" s="1">
        <v>3215020.9070000001</v>
      </c>
      <c r="AH8" s="1">
        <v>-2528241.7259999998</v>
      </c>
      <c r="AI8" s="1">
        <v>709751.42559999996</v>
      </c>
      <c r="AJ8" s="1">
        <v>3216973.548</v>
      </c>
      <c r="AK8" s="1">
        <v>-2507222.122</v>
      </c>
      <c r="AL8" s="1">
        <v>731773.01690000005</v>
      </c>
      <c r="AM8" s="1">
        <v>3218845.3829999999</v>
      </c>
      <c r="AN8" s="1">
        <v>-2487072.3659999999</v>
      </c>
      <c r="AO8" s="1">
        <v>753217.98239999998</v>
      </c>
      <c r="AP8" s="1">
        <v>3220668.2050000001</v>
      </c>
      <c r="AQ8" s="1">
        <v>-2467450.2230000002</v>
      </c>
      <c r="AR8" s="1">
        <v>775286.32720000006</v>
      </c>
      <c r="AS8" s="1">
        <v>3222544.014</v>
      </c>
      <c r="AT8" s="1">
        <v>-2447257.6869999999</v>
      </c>
      <c r="AU8" s="1">
        <v>797900.12860000005</v>
      </c>
      <c r="AV8" s="1">
        <v>3224466.1869999999</v>
      </c>
      <c r="AW8" s="1">
        <v>-2426566.0589999999</v>
      </c>
      <c r="AX8" s="1">
        <v>821557.70220000006</v>
      </c>
      <c r="AY8" s="1">
        <v>3226477.0809999998</v>
      </c>
      <c r="AZ8" s="1">
        <v>-2404919.3790000002</v>
      </c>
      <c r="BA8" s="1">
        <v>845293.58609999996</v>
      </c>
      <c r="BB8" s="1">
        <v>3228494.6310000001</v>
      </c>
      <c r="BC8" s="1">
        <v>-2383201.0449999999</v>
      </c>
      <c r="BD8" s="1">
        <v>870229.47499999998</v>
      </c>
      <c r="BE8" s="1">
        <v>3230614.182</v>
      </c>
      <c r="BF8" s="1">
        <v>-2360384.7069999999</v>
      </c>
      <c r="BG8" s="1">
        <v>895461.46889999998</v>
      </c>
      <c r="BH8" s="1">
        <v>3232758.9010000001</v>
      </c>
      <c r="BI8" s="1">
        <v>-2337297.4330000002</v>
      </c>
      <c r="BJ8" s="1">
        <v>922251.91070000001</v>
      </c>
      <c r="BK8" s="1">
        <v>3235036.0890000002</v>
      </c>
      <c r="BL8" s="1">
        <v>-2312784.1779999998</v>
      </c>
      <c r="BM8" s="1">
        <v>949759.23849999998</v>
      </c>
      <c r="BN8" s="1">
        <v>3237374.2119999998</v>
      </c>
      <c r="BO8" s="1">
        <v>-2287614.9730000002</v>
      </c>
      <c r="BP8" s="1">
        <v>1034017.3149999999</v>
      </c>
      <c r="BQ8" s="1">
        <v>4362251.0920000002</v>
      </c>
      <c r="BR8" s="1">
        <v>-3328233.7769999998</v>
      </c>
      <c r="BS8" s="1">
        <v>1065465.027</v>
      </c>
      <c r="BT8" s="1">
        <v>4364766.909</v>
      </c>
      <c r="BU8" s="1">
        <v>-3299301.8810000001</v>
      </c>
      <c r="BV8" s="1">
        <v>1097768.274</v>
      </c>
      <c r="BW8" s="1">
        <v>4367351.1679999996</v>
      </c>
      <c r="BX8" s="1">
        <v>-3269582.8939999999</v>
      </c>
      <c r="BY8" s="1">
        <v>1131113.111</v>
      </c>
      <c r="BZ8" s="1">
        <v>4370018.7549999999</v>
      </c>
      <c r="CA8" s="1">
        <v>-3238905.6439999999</v>
      </c>
      <c r="CB8" s="1">
        <v>1166402.105</v>
      </c>
      <c r="CC8" s="1">
        <v>4372841.875</v>
      </c>
      <c r="CD8" s="1">
        <v>-3206439.77</v>
      </c>
      <c r="CE8" s="1">
        <v>1203247.7760000001</v>
      </c>
      <c r="CF8" s="1">
        <v>4375789.5279999999</v>
      </c>
      <c r="CG8" s="1">
        <v>-3172541.753</v>
      </c>
      <c r="CH8" s="1">
        <v>1241100.7990000001</v>
      </c>
      <c r="CI8" s="1">
        <v>4378817.7699999996</v>
      </c>
      <c r="CJ8" s="1">
        <v>-3137716.9709999999</v>
      </c>
      <c r="CK8" s="1">
        <v>1279347.2450000001</v>
      </c>
      <c r="CL8" s="1">
        <v>4381877.4859999996</v>
      </c>
      <c r="CM8" s="1">
        <v>-3102530.2409999999</v>
      </c>
      <c r="CN8" s="1">
        <v>1318992.9450000001</v>
      </c>
      <c r="CO8" s="1">
        <v>4385049.142</v>
      </c>
      <c r="CP8" s="1">
        <v>-3066056.1970000002</v>
      </c>
      <c r="CQ8" s="1">
        <v>1360051.007</v>
      </c>
      <c r="CR8" s="1">
        <v>4388333.7869999995</v>
      </c>
      <c r="CS8" s="1">
        <v>-3028282.78</v>
      </c>
      <c r="CT8" s="1">
        <v>1402842.2720000001</v>
      </c>
      <c r="CU8" s="1">
        <v>4391757.0880000005</v>
      </c>
      <c r="CV8" s="1">
        <v>-2988914.8160000001</v>
      </c>
    </row>
    <row r="9" spans="1:100" x14ac:dyDescent="0.35">
      <c r="A9" t="s">
        <v>64</v>
      </c>
      <c r="B9" t="s">
        <v>65</v>
      </c>
      <c r="C9">
        <v>130270</v>
      </c>
      <c r="D9" t="s">
        <v>66</v>
      </c>
      <c r="E9" t="s">
        <v>65</v>
      </c>
      <c r="F9" t="s">
        <v>35</v>
      </c>
      <c r="G9" t="s">
        <v>33</v>
      </c>
      <c r="H9" s="1"/>
      <c r="I9" s="1"/>
      <c r="J9" s="1"/>
      <c r="K9" s="1">
        <v>335805.8297</v>
      </c>
      <c r="L9" s="1">
        <v>2886970.6460000002</v>
      </c>
      <c r="M9" s="1">
        <v>-2551164.8160000001</v>
      </c>
      <c r="N9" s="1">
        <v>358858.00530000002</v>
      </c>
      <c r="O9" s="1">
        <v>2888930.0809999998</v>
      </c>
      <c r="P9" s="1">
        <v>-2530072.0759999999</v>
      </c>
      <c r="Q9" s="1">
        <v>378368.20150000002</v>
      </c>
      <c r="R9" s="1">
        <v>2890588.4479999999</v>
      </c>
      <c r="S9" s="1">
        <v>-2512220.2459999998</v>
      </c>
      <c r="T9" s="1">
        <v>393808.85580000002</v>
      </c>
      <c r="U9" s="1">
        <v>2891900.9029999999</v>
      </c>
      <c r="V9" s="1">
        <v>-2498092.048</v>
      </c>
      <c r="W9" s="1">
        <v>407727.36040000001</v>
      </c>
      <c r="X9" s="1">
        <v>2893083.9759999998</v>
      </c>
      <c r="Y9" s="1">
        <v>-2485356.6159999999</v>
      </c>
      <c r="Z9" s="1">
        <v>421386.4007</v>
      </c>
      <c r="AA9" s="1">
        <v>2894244.9950000001</v>
      </c>
      <c r="AB9" s="1">
        <v>-2472858.594</v>
      </c>
      <c r="AC9" s="1">
        <v>433811.40529999998</v>
      </c>
      <c r="AD9" s="1">
        <v>2895301.12</v>
      </c>
      <c r="AE9" s="1">
        <v>-2461489.7149999999</v>
      </c>
      <c r="AF9" s="1">
        <v>447001.59980000003</v>
      </c>
      <c r="AG9" s="1">
        <v>2896422.287</v>
      </c>
      <c r="AH9" s="1">
        <v>-2449420.6869999999</v>
      </c>
      <c r="AI9" s="1">
        <v>459916.10729999997</v>
      </c>
      <c r="AJ9" s="1">
        <v>2897520.02</v>
      </c>
      <c r="AK9" s="1">
        <v>-2437603.912</v>
      </c>
      <c r="AL9" s="1">
        <v>471450.30489999999</v>
      </c>
      <c r="AM9" s="1">
        <v>2898500.426</v>
      </c>
      <c r="AN9" s="1">
        <v>-2427050.122</v>
      </c>
      <c r="AO9" s="1">
        <v>482686.9754</v>
      </c>
      <c r="AP9" s="1">
        <v>2899455.5430000001</v>
      </c>
      <c r="AQ9" s="1">
        <v>-2416768.568</v>
      </c>
      <c r="AR9" s="1">
        <v>494783.7879</v>
      </c>
      <c r="AS9" s="1">
        <v>2900483.773</v>
      </c>
      <c r="AT9" s="1">
        <v>-2405699.9849999999</v>
      </c>
      <c r="AU9" s="1">
        <v>506176.7403</v>
      </c>
      <c r="AV9" s="1">
        <v>2901452.173</v>
      </c>
      <c r="AW9" s="1">
        <v>-2395275.4330000002</v>
      </c>
      <c r="AX9" s="1">
        <v>518684.87270000001</v>
      </c>
      <c r="AY9" s="1">
        <v>2902515.3650000002</v>
      </c>
      <c r="AZ9" s="1">
        <v>-2383830.4920000001</v>
      </c>
      <c r="BA9" s="1">
        <v>531578.13150000002</v>
      </c>
      <c r="BB9" s="1">
        <v>2903611.2919999999</v>
      </c>
      <c r="BC9" s="1">
        <v>-2372033.16</v>
      </c>
      <c r="BD9" s="1">
        <v>543976.90859999997</v>
      </c>
      <c r="BE9" s="1">
        <v>2904665.1880000001</v>
      </c>
      <c r="BF9" s="1">
        <v>-2360688.2790000001</v>
      </c>
      <c r="BG9" s="1">
        <v>557267.53260000004</v>
      </c>
      <c r="BH9" s="1">
        <v>2905794.8909999998</v>
      </c>
      <c r="BI9" s="1">
        <v>-2348527.358</v>
      </c>
      <c r="BJ9" s="1">
        <v>570700.97180000006</v>
      </c>
      <c r="BK9" s="1">
        <v>2906936.733</v>
      </c>
      <c r="BL9" s="1">
        <v>-2336235.7609999999</v>
      </c>
      <c r="BM9" s="1">
        <v>584329.34719999996</v>
      </c>
      <c r="BN9" s="1">
        <v>2908095.145</v>
      </c>
      <c r="BO9" s="1">
        <v>-2323765.798</v>
      </c>
      <c r="BP9" s="1">
        <v>598769.79720000003</v>
      </c>
      <c r="BQ9" s="1">
        <v>2909322.5830000001</v>
      </c>
      <c r="BR9" s="1">
        <v>-2310552.7859999998</v>
      </c>
      <c r="BS9" s="1">
        <v>613054.55669999996</v>
      </c>
      <c r="BT9" s="1">
        <v>2910536.7880000002</v>
      </c>
      <c r="BU9" s="1">
        <v>-2297482.2310000001</v>
      </c>
      <c r="BV9" s="1">
        <v>628235.152</v>
      </c>
      <c r="BW9" s="1">
        <v>2911827.1379999998</v>
      </c>
      <c r="BX9" s="1">
        <v>-2283591.986</v>
      </c>
      <c r="BY9" s="1">
        <v>666393.96019999997</v>
      </c>
      <c r="BZ9" s="1">
        <v>3080758.4890000001</v>
      </c>
      <c r="CA9" s="1">
        <v>-2414364.5290000001</v>
      </c>
      <c r="CB9" s="1">
        <v>681479.73569999996</v>
      </c>
      <c r="CC9" s="1">
        <v>3082040.78</v>
      </c>
      <c r="CD9" s="1">
        <v>-2400561.0440000002</v>
      </c>
      <c r="CE9" s="1">
        <v>698046.75939999998</v>
      </c>
      <c r="CF9" s="1">
        <v>3083448.977</v>
      </c>
      <c r="CG9" s="1">
        <v>-2385402.2179999999</v>
      </c>
      <c r="CH9" s="1">
        <v>713881.3125</v>
      </c>
      <c r="CI9" s="1">
        <v>3084794.9139999999</v>
      </c>
      <c r="CJ9" s="1">
        <v>-2370913.6009999998</v>
      </c>
      <c r="CK9" s="1">
        <v>730043.13970000006</v>
      </c>
      <c r="CL9" s="1">
        <v>3086168.6690000002</v>
      </c>
      <c r="CM9" s="1">
        <v>-2356125.5299999998</v>
      </c>
      <c r="CN9" s="1">
        <v>746874.37690000003</v>
      </c>
      <c r="CO9" s="1">
        <v>3087599.324</v>
      </c>
      <c r="CP9" s="1">
        <v>-2340724.9479999999</v>
      </c>
      <c r="CQ9" s="1">
        <v>764267.37800000003</v>
      </c>
      <c r="CR9" s="1">
        <v>3089077.73</v>
      </c>
      <c r="CS9" s="1">
        <v>-2324810.352</v>
      </c>
      <c r="CT9" s="1">
        <v>782205.8358</v>
      </c>
      <c r="CU9" s="1">
        <v>3090602.4980000001</v>
      </c>
      <c r="CV9" s="1">
        <v>-2308396.6630000002</v>
      </c>
    </row>
    <row r="10" spans="1:100" x14ac:dyDescent="0.35">
      <c r="A10" t="s">
        <v>67</v>
      </c>
      <c r="B10" t="s">
        <v>68</v>
      </c>
      <c r="C10">
        <v>150530</v>
      </c>
      <c r="D10" t="s">
        <v>69</v>
      </c>
      <c r="E10" t="s">
        <v>70</v>
      </c>
      <c r="F10" t="s">
        <v>29</v>
      </c>
      <c r="G10" t="s">
        <v>33</v>
      </c>
      <c r="H10" s="1"/>
      <c r="I10" s="1"/>
      <c r="J10" s="1"/>
      <c r="K10" s="1">
        <v>406977.2071</v>
      </c>
      <c r="L10" s="1">
        <v>3013709.8679999998</v>
      </c>
      <c r="M10" s="1">
        <v>-2606732.6609999998</v>
      </c>
      <c r="N10" s="1">
        <v>444094.75599999999</v>
      </c>
      <c r="O10" s="1">
        <v>3016864.86</v>
      </c>
      <c r="P10" s="1">
        <v>-2572770.1039999998</v>
      </c>
      <c r="Q10" s="1">
        <v>474310.26409999997</v>
      </c>
      <c r="R10" s="1">
        <v>3019433.1779999998</v>
      </c>
      <c r="S10" s="1">
        <v>-2545122.9139999999</v>
      </c>
      <c r="T10" s="1">
        <v>497987.5674</v>
      </c>
      <c r="U10" s="1">
        <v>3021445.7489999998</v>
      </c>
      <c r="V10" s="1">
        <v>-2523458.182</v>
      </c>
      <c r="W10" s="1">
        <v>519044.3211</v>
      </c>
      <c r="X10" s="1">
        <v>3023235.5729999999</v>
      </c>
      <c r="Y10" s="1">
        <v>-2504191.2519999999</v>
      </c>
      <c r="Z10" s="1">
        <v>538735.84380000003</v>
      </c>
      <c r="AA10" s="1">
        <v>3024909.3530000001</v>
      </c>
      <c r="AB10" s="1">
        <v>-2486173.5090000001</v>
      </c>
      <c r="AC10" s="1">
        <v>558002.0577</v>
      </c>
      <c r="AD10" s="1">
        <v>3026546.9810000001</v>
      </c>
      <c r="AE10" s="1">
        <v>-2468544.923</v>
      </c>
      <c r="AF10" s="1">
        <v>576890.32750000001</v>
      </c>
      <c r="AG10" s="1">
        <v>3028152.4840000002</v>
      </c>
      <c r="AH10" s="1">
        <v>-2451262.156</v>
      </c>
      <c r="AI10" s="1">
        <v>594909.63359999994</v>
      </c>
      <c r="AJ10" s="1">
        <v>3029684.125</v>
      </c>
      <c r="AK10" s="1">
        <v>-2434774.4909999999</v>
      </c>
      <c r="AL10" s="1">
        <v>612273.147</v>
      </c>
      <c r="AM10" s="1">
        <v>3031160.023</v>
      </c>
      <c r="AN10" s="1">
        <v>-2418886.8760000002</v>
      </c>
      <c r="AO10" s="1">
        <v>629032.1899</v>
      </c>
      <c r="AP10" s="1">
        <v>3032584.5419999999</v>
      </c>
      <c r="AQ10" s="1">
        <v>-2403552.352</v>
      </c>
      <c r="AR10" s="1">
        <v>669822.54550000001</v>
      </c>
      <c r="AS10" s="1">
        <v>3213579.5929999999</v>
      </c>
      <c r="AT10" s="1">
        <v>-2543757.0469999998</v>
      </c>
      <c r="AU10" s="1">
        <v>686888.27249999996</v>
      </c>
      <c r="AV10" s="1">
        <v>3215030.18</v>
      </c>
      <c r="AW10" s="1">
        <v>-2528141.9070000001</v>
      </c>
      <c r="AX10" s="1">
        <v>704592.24049999996</v>
      </c>
      <c r="AY10" s="1">
        <v>3216535.017</v>
      </c>
      <c r="AZ10" s="1">
        <v>-2511942.7760000001</v>
      </c>
      <c r="BA10" s="1">
        <v>722468.36040000001</v>
      </c>
      <c r="BB10" s="1">
        <v>3218054.4870000002</v>
      </c>
      <c r="BC10" s="1">
        <v>-2495586.1269999999</v>
      </c>
      <c r="BD10" s="1">
        <v>740874.35259999998</v>
      </c>
      <c r="BE10" s="1">
        <v>3219618.997</v>
      </c>
      <c r="BF10" s="1">
        <v>-2478744.6439999999</v>
      </c>
      <c r="BG10" s="1">
        <v>759514.11190000002</v>
      </c>
      <c r="BH10" s="1">
        <v>3221203.3760000002</v>
      </c>
      <c r="BI10" s="1">
        <v>-2461689.264</v>
      </c>
      <c r="BJ10" s="1">
        <v>778964.26419999998</v>
      </c>
      <c r="BK10" s="1">
        <v>3222856.639</v>
      </c>
      <c r="BL10" s="1">
        <v>-2443892.375</v>
      </c>
      <c r="BM10" s="1">
        <v>798944.28870000003</v>
      </c>
      <c r="BN10" s="1">
        <v>3224554.9410000001</v>
      </c>
      <c r="BO10" s="1">
        <v>-2425610.6519999998</v>
      </c>
      <c r="BP10" s="1">
        <v>819625.22679999995</v>
      </c>
      <c r="BQ10" s="1">
        <v>3226312.821</v>
      </c>
      <c r="BR10" s="1">
        <v>-2406687.594</v>
      </c>
      <c r="BS10" s="1">
        <v>840213.04599999997</v>
      </c>
      <c r="BT10" s="1">
        <v>3228062.7850000001</v>
      </c>
      <c r="BU10" s="1">
        <v>-2387849.7390000001</v>
      </c>
      <c r="BV10" s="1">
        <v>861330.01489999995</v>
      </c>
      <c r="BW10" s="1">
        <v>3229857.7280000001</v>
      </c>
      <c r="BX10" s="1">
        <v>-2368527.713</v>
      </c>
      <c r="BY10" s="1">
        <v>882728.22699999996</v>
      </c>
      <c r="BZ10" s="1">
        <v>3231676.5759999999</v>
      </c>
      <c r="CA10" s="1">
        <v>-2348948.3489999999</v>
      </c>
      <c r="CB10" s="1">
        <v>904453.7132</v>
      </c>
      <c r="CC10" s="1">
        <v>3233523.2420000001</v>
      </c>
      <c r="CD10" s="1">
        <v>-2329069.5290000001</v>
      </c>
      <c r="CE10" s="1">
        <v>926646.73369999998</v>
      </c>
      <c r="CF10" s="1">
        <v>3235409.6490000002</v>
      </c>
      <c r="CG10" s="1">
        <v>-2308762.915</v>
      </c>
      <c r="CH10" s="1">
        <v>949354.04209999996</v>
      </c>
      <c r="CI10" s="1">
        <v>3237339.77</v>
      </c>
      <c r="CJ10" s="1">
        <v>-2287985.7280000001</v>
      </c>
      <c r="CK10" s="1">
        <v>1027438.552</v>
      </c>
      <c r="CL10" s="1">
        <v>4361724.7910000002</v>
      </c>
      <c r="CM10" s="1">
        <v>-3334286.2379999999</v>
      </c>
      <c r="CN10" s="1">
        <v>1052678.612</v>
      </c>
      <c r="CO10" s="1">
        <v>4363743.9950000001</v>
      </c>
      <c r="CP10" s="1">
        <v>-3311065.3829999999</v>
      </c>
      <c r="CQ10" s="1">
        <v>1078656.1259999999</v>
      </c>
      <c r="CR10" s="1">
        <v>4365822.1960000005</v>
      </c>
      <c r="CS10" s="1">
        <v>-3287166.07</v>
      </c>
      <c r="CT10" s="1">
        <v>1105477.2339999999</v>
      </c>
      <c r="CU10" s="1">
        <v>4367967.8849999998</v>
      </c>
      <c r="CV10" s="1">
        <v>-3262490.6510000001</v>
      </c>
    </row>
    <row r="11" spans="1:100" x14ac:dyDescent="0.35">
      <c r="A11" t="s">
        <v>71</v>
      </c>
      <c r="B11" t="s">
        <v>169</v>
      </c>
      <c r="C11">
        <v>120060</v>
      </c>
      <c r="D11" t="s">
        <v>73</v>
      </c>
      <c r="E11" t="s">
        <v>72</v>
      </c>
      <c r="F11" t="s">
        <v>41</v>
      </c>
      <c r="G11" t="s">
        <v>33</v>
      </c>
      <c r="H11" s="1"/>
      <c r="I11" s="1"/>
      <c r="J11" s="1"/>
      <c r="K11" s="1">
        <v>240337.18539999999</v>
      </c>
      <c r="L11" s="1">
        <v>2811901.2540000002</v>
      </c>
      <c r="M11" s="1">
        <v>-2571564.0690000001</v>
      </c>
      <c r="N11" s="1">
        <v>251535.79300000001</v>
      </c>
      <c r="O11" s="1">
        <v>2812853.1359999999</v>
      </c>
      <c r="P11" s="1">
        <v>-2561317.3429999999</v>
      </c>
      <c r="Q11" s="1">
        <v>260678.28570000001</v>
      </c>
      <c r="R11" s="1">
        <v>2813630.2480000001</v>
      </c>
      <c r="S11" s="1">
        <v>-2552951.9619999998</v>
      </c>
      <c r="T11" s="1">
        <v>267774.07659999997</v>
      </c>
      <c r="U11" s="1">
        <v>2814233.39</v>
      </c>
      <c r="V11" s="1">
        <v>-2546459.3130000001</v>
      </c>
      <c r="W11" s="1">
        <v>273915.95630000002</v>
      </c>
      <c r="X11" s="1">
        <v>2814755.45</v>
      </c>
      <c r="Y11" s="1">
        <v>-2540839.4939999999</v>
      </c>
      <c r="Z11" s="1">
        <v>279937.79729999998</v>
      </c>
      <c r="AA11" s="1">
        <v>2815267.3059999999</v>
      </c>
      <c r="AB11" s="1">
        <v>-2535329.5090000001</v>
      </c>
      <c r="AC11" s="1">
        <v>285563.94660000002</v>
      </c>
      <c r="AD11" s="1">
        <v>2815745.5290000001</v>
      </c>
      <c r="AE11" s="1">
        <v>-2530181.5819999999</v>
      </c>
      <c r="AF11" s="1">
        <v>291008.76949999999</v>
      </c>
      <c r="AG11" s="1">
        <v>2816208.3390000002</v>
      </c>
      <c r="AH11" s="1">
        <v>-2525199.5690000001</v>
      </c>
      <c r="AI11" s="1">
        <v>296390.93650000001</v>
      </c>
      <c r="AJ11" s="1">
        <v>2816665.8229999999</v>
      </c>
      <c r="AK11" s="1">
        <v>-2520274.8870000001</v>
      </c>
      <c r="AL11" s="1">
        <v>301407.58630000002</v>
      </c>
      <c r="AM11" s="1">
        <v>2817092.2379999999</v>
      </c>
      <c r="AN11" s="1">
        <v>-2515684.6519999998</v>
      </c>
      <c r="AO11" s="1">
        <v>305892.87760000001</v>
      </c>
      <c r="AP11" s="1">
        <v>2817473.4879999999</v>
      </c>
      <c r="AQ11" s="1">
        <v>-2511580.611</v>
      </c>
      <c r="AR11" s="1">
        <v>310753.24550000002</v>
      </c>
      <c r="AS11" s="1">
        <v>2817886.6189999999</v>
      </c>
      <c r="AT11" s="1">
        <v>-2507133.3739999998</v>
      </c>
      <c r="AU11" s="1">
        <v>315488.58789999998</v>
      </c>
      <c r="AV11" s="1">
        <v>2818289.1239999998</v>
      </c>
      <c r="AW11" s="1">
        <v>-2502800.5359999998</v>
      </c>
      <c r="AX11" s="1">
        <v>320271.40629999997</v>
      </c>
      <c r="AY11" s="1">
        <v>2818695.6630000002</v>
      </c>
      <c r="AZ11" s="1">
        <v>-2498424.2570000002</v>
      </c>
      <c r="BA11" s="1">
        <v>325022.37680000003</v>
      </c>
      <c r="BB11" s="1">
        <v>2819099.4959999998</v>
      </c>
      <c r="BC11" s="1">
        <v>-2494077.1189999999</v>
      </c>
      <c r="BD11" s="1">
        <v>330039.02669999999</v>
      </c>
      <c r="BE11" s="1">
        <v>2819525.9109999998</v>
      </c>
      <c r="BF11" s="1">
        <v>-2489486.8840000001</v>
      </c>
      <c r="BG11" s="1">
        <v>335149.44559999998</v>
      </c>
      <c r="BH11" s="1">
        <v>2819960.2960000001</v>
      </c>
      <c r="BI11" s="1">
        <v>-2484810.8509999998</v>
      </c>
      <c r="BJ11" s="1">
        <v>340228.60820000002</v>
      </c>
      <c r="BK11" s="1">
        <v>2820392.0249999999</v>
      </c>
      <c r="BL11" s="1">
        <v>-2480163.4169999999</v>
      </c>
      <c r="BM11" s="1">
        <v>345385.9118</v>
      </c>
      <c r="BN11" s="1">
        <v>2820830.3960000002</v>
      </c>
      <c r="BO11" s="1">
        <v>-2475444.4840000002</v>
      </c>
      <c r="BP11" s="1">
        <v>350856.37070000003</v>
      </c>
      <c r="BQ11" s="1">
        <v>2821295.3849999998</v>
      </c>
      <c r="BR11" s="1">
        <v>-2470439.014</v>
      </c>
      <c r="BS11" s="1">
        <v>356154.32799999998</v>
      </c>
      <c r="BT11" s="1">
        <v>2821745.7110000001</v>
      </c>
      <c r="BU11" s="1">
        <v>-2465591.3829999999</v>
      </c>
      <c r="BV11" s="1">
        <v>361296.00329999998</v>
      </c>
      <c r="BW11" s="1">
        <v>2822182.7540000002</v>
      </c>
      <c r="BX11" s="1">
        <v>-2460886.75</v>
      </c>
      <c r="BY11" s="1">
        <v>366672.10159999999</v>
      </c>
      <c r="BZ11" s="1">
        <v>2822639.7220000001</v>
      </c>
      <c r="CA11" s="1">
        <v>-2455967.6209999998</v>
      </c>
      <c r="CB11" s="1">
        <v>371516.84129999997</v>
      </c>
      <c r="CC11" s="1">
        <v>2823051.5249999999</v>
      </c>
      <c r="CD11" s="1">
        <v>-2451534.6839999999</v>
      </c>
      <c r="CE11" s="1">
        <v>376602.2157</v>
      </c>
      <c r="CF11" s="1">
        <v>2823483.7820000001</v>
      </c>
      <c r="CG11" s="1">
        <v>-2446881.5660000001</v>
      </c>
      <c r="CH11" s="1">
        <v>381337.55810000002</v>
      </c>
      <c r="CI11" s="1">
        <v>2823886.2859999998</v>
      </c>
      <c r="CJ11" s="1">
        <v>-2442548.7280000001</v>
      </c>
      <c r="CK11" s="1">
        <v>385932.24670000002</v>
      </c>
      <c r="CL11" s="1">
        <v>2824276.835</v>
      </c>
      <c r="CM11" s="1">
        <v>-2438344.588</v>
      </c>
      <c r="CN11" s="1">
        <v>390573.8199</v>
      </c>
      <c r="CO11" s="1">
        <v>2824671.3679999998</v>
      </c>
      <c r="CP11" s="1">
        <v>-2434097.548</v>
      </c>
      <c r="CQ11" s="1">
        <v>395309.16220000002</v>
      </c>
      <c r="CR11" s="1">
        <v>2825073.872</v>
      </c>
      <c r="CS11" s="1">
        <v>-2429764.71</v>
      </c>
      <c r="CT11" s="1">
        <v>400122.64559999999</v>
      </c>
      <c r="CU11" s="1">
        <v>2825483.0180000002</v>
      </c>
      <c r="CV11" s="1">
        <v>-2425360.3730000001</v>
      </c>
    </row>
    <row r="12" spans="1:100" x14ac:dyDescent="0.35">
      <c r="A12" t="s">
        <v>74</v>
      </c>
      <c r="B12" t="s">
        <v>75</v>
      </c>
      <c r="C12">
        <v>150810</v>
      </c>
      <c r="D12" t="s">
        <v>76</v>
      </c>
      <c r="E12" t="s">
        <v>75</v>
      </c>
      <c r="F12" t="s">
        <v>29</v>
      </c>
      <c r="G12" t="s">
        <v>33</v>
      </c>
      <c r="H12" s="1"/>
      <c r="I12" s="1"/>
      <c r="J12" s="1"/>
      <c r="K12" s="1">
        <v>531968.83640000003</v>
      </c>
      <c r="L12" s="1">
        <v>3024334.1570000001</v>
      </c>
      <c r="M12" s="1">
        <v>-2492365.321</v>
      </c>
      <c r="N12" s="1">
        <v>576624.64820000005</v>
      </c>
      <c r="O12" s="1">
        <v>3028129.9010000001</v>
      </c>
      <c r="P12" s="1">
        <v>-2451505.253</v>
      </c>
      <c r="Q12" s="1">
        <v>611366.71189999999</v>
      </c>
      <c r="R12" s="1">
        <v>3031082.9759999998</v>
      </c>
      <c r="S12" s="1">
        <v>-2419716.264</v>
      </c>
      <c r="T12" s="1">
        <v>658273.72409999999</v>
      </c>
      <c r="U12" s="1">
        <v>3212597.943</v>
      </c>
      <c r="V12" s="1">
        <v>-2554324.219</v>
      </c>
      <c r="W12" s="1">
        <v>678503.10030000005</v>
      </c>
      <c r="X12" s="1">
        <v>3214317.44</v>
      </c>
      <c r="Y12" s="1">
        <v>-2535814.34</v>
      </c>
      <c r="Z12" s="1">
        <v>695023.37049999996</v>
      </c>
      <c r="AA12" s="1">
        <v>3215721.6630000002</v>
      </c>
      <c r="AB12" s="1">
        <v>-2520698.2930000001</v>
      </c>
      <c r="AC12" s="1">
        <v>712182.60430000001</v>
      </c>
      <c r="AD12" s="1">
        <v>3217180.1979999999</v>
      </c>
      <c r="AE12" s="1">
        <v>-2504997.594</v>
      </c>
      <c r="AF12" s="1">
        <v>727143.70409999997</v>
      </c>
      <c r="AG12" s="1">
        <v>3218451.8909999998</v>
      </c>
      <c r="AH12" s="1">
        <v>-2491308.1869999999</v>
      </c>
      <c r="AI12" s="1">
        <v>743102.93299999996</v>
      </c>
      <c r="AJ12" s="1">
        <v>3219808.426</v>
      </c>
      <c r="AK12" s="1">
        <v>-2476705.4929999998</v>
      </c>
      <c r="AL12" s="1">
        <v>755524.48529999994</v>
      </c>
      <c r="AM12" s="1">
        <v>3220864.2579999999</v>
      </c>
      <c r="AN12" s="1">
        <v>-2465339.7719999999</v>
      </c>
      <c r="AO12" s="1">
        <v>768911.5527</v>
      </c>
      <c r="AP12" s="1">
        <v>3222002.159</v>
      </c>
      <c r="AQ12" s="1">
        <v>-2453090.6060000001</v>
      </c>
      <c r="AR12" s="1">
        <v>780553.88100000005</v>
      </c>
      <c r="AS12" s="1">
        <v>3222991.7560000001</v>
      </c>
      <c r="AT12" s="1">
        <v>-2442437.875</v>
      </c>
      <c r="AU12" s="1">
        <v>793847.44149999996</v>
      </c>
      <c r="AV12" s="1">
        <v>3224121.7089999998</v>
      </c>
      <c r="AW12" s="1">
        <v>-2430274.2680000002</v>
      </c>
      <c r="AX12" s="1">
        <v>805707.95250000001</v>
      </c>
      <c r="AY12" s="1">
        <v>3225129.8530000001</v>
      </c>
      <c r="AZ12" s="1">
        <v>-2419421.9</v>
      </c>
      <c r="BA12" s="1">
        <v>819578.47340000002</v>
      </c>
      <c r="BB12" s="1">
        <v>3226308.8470000001</v>
      </c>
      <c r="BC12" s="1">
        <v>-2406730.3730000001</v>
      </c>
      <c r="BD12" s="1">
        <v>831282.41700000002</v>
      </c>
      <c r="BE12" s="1">
        <v>3227303.682</v>
      </c>
      <c r="BF12" s="1">
        <v>-2396021.2650000001</v>
      </c>
      <c r="BG12" s="1">
        <v>845387.09299999999</v>
      </c>
      <c r="BH12" s="1">
        <v>3228502.5789999999</v>
      </c>
      <c r="BI12" s="1">
        <v>-2383115.486</v>
      </c>
      <c r="BJ12" s="1">
        <v>857184.54350000003</v>
      </c>
      <c r="BK12" s="1">
        <v>3229505.3629999999</v>
      </c>
      <c r="BL12" s="1">
        <v>-2372320.8190000001</v>
      </c>
      <c r="BM12" s="1">
        <v>871663.24699999997</v>
      </c>
      <c r="BN12" s="1">
        <v>3230736.0529999998</v>
      </c>
      <c r="BO12" s="1">
        <v>-2359072.8059999999</v>
      </c>
      <c r="BP12" s="1">
        <v>884100.38379999995</v>
      </c>
      <c r="BQ12" s="1">
        <v>3231793.2089999998</v>
      </c>
      <c r="BR12" s="1">
        <v>-2347692.8250000002</v>
      </c>
      <c r="BS12" s="1">
        <v>898313.42850000004</v>
      </c>
      <c r="BT12" s="1">
        <v>3233001.318</v>
      </c>
      <c r="BU12" s="1">
        <v>-2334687.889</v>
      </c>
      <c r="BV12" s="1">
        <v>910610.30500000005</v>
      </c>
      <c r="BW12" s="1">
        <v>3234046.5520000001</v>
      </c>
      <c r="BX12" s="1">
        <v>-2323436.2480000001</v>
      </c>
      <c r="BY12" s="1">
        <v>925290.88410000002</v>
      </c>
      <c r="BZ12" s="1">
        <v>3235294.4019999998</v>
      </c>
      <c r="CA12" s="1">
        <v>-2310003.5180000002</v>
      </c>
      <c r="CB12" s="1">
        <v>938553.99820000003</v>
      </c>
      <c r="CC12" s="1">
        <v>3236421.7659999998</v>
      </c>
      <c r="CD12" s="1">
        <v>-2297867.7680000002</v>
      </c>
      <c r="CE12" s="1">
        <v>954248.29099999997</v>
      </c>
      <c r="CF12" s="1">
        <v>3237755.781</v>
      </c>
      <c r="CG12" s="1">
        <v>-2283507.4900000002</v>
      </c>
      <c r="CH12" s="1">
        <v>967900.29449999996</v>
      </c>
      <c r="CI12" s="1">
        <v>3238916.202</v>
      </c>
      <c r="CJ12" s="1">
        <v>-2271015.9070000001</v>
      </c>
      <c r="CK12" s="1">
        <v>1039752.6459999999</v>
      </c>
      <c r="CL12" s="1">
        <v>4362709.9179999996</v>
      </c>
      <c r="CM12" s="1">
        <v>-3322957.2719999999</v>
      </c>
      <c r="CN12" s="1">
        <v>1053623.2549999999</v>
      </c>
      <c r="CO12" s="1">
        <v>4363819.5669999998</v>
      </c>
      <c r="CP12" s="1">
        <v>-3310196.3119999999</v>
      </c>
      <c r="CQ12" s="1">
        <v>1067590.473</v>
      </c>
      <c r="CR12" s="1">
        <v>4364936.9440000001</v>
      </c>
      <c r="CS12" s="1">
        <v>-3297346.4709999999</v>
      </c>
      <c r="CT12" s="1">
        <v>1081861.1640000001</v>
      </c>
      <c r="CU12" s="1">
        <v>4366078.5990000004</v>
      </c>
      <c r="CV12" s="1">
        <v>-3284217.4350000001</v>
      </c>
    </row>
    <row r="13" spans="1:100" x14ac:dyDescent="0.35">
      <c r="A13" t="s">
        <v>77</v>
      </c>
      <c r="B13" t="s">
        <v>78</v>
      </c>
      <c r="C13">
        <v>130380</v>
      </c>
      <c r="D13" t="s">
        <v>79</v>
      </c>
      <c r="E13" t="s">
        <v>78</v>
      </c>
      <c r="F13" t="s">
        <v>35</v>
      </c>
      <c r="G13" t="s">
        <v>33</v>
      </c>
      <c r="H13" s="1"/>
      <c r="I13" s="1"/>
      <c r="J13" s="1"/>
      <c r="K13" s="1">
        <v>555698.6446</v>
      </c>
      <c r="L13" s="1">
        <v>2905661.5350000001</v>
      </c>
      <c r="M13" s="1">
        <v>-2349962.8909999998</v>
      </c>
      <c r="N13" s="1">
        <v>659785.41850000003</v>
      </c>
      <c r="O13" s="1">
        <v>3080196.7629999998</v>
      </c>
      <c r="P13" s="1">
        <v>-2420411.344</v>
      </c>
      <c r="Q13" s="1">
        <v>713039.75069999998</v>
      </c>
      <c r="R13" s="1">
        <v>3084723.3810000001</v>
      </c>
      <c r="S13" s="1">
        <v>-2371683.6310000001</v>
      </c>
      <c r="T13" s="1">
        <v>745861.38580000005</v>
      </c>
      <c r="U13" s="1">
        <v>3087513.22</v>
      </c>
      <c r="V13" s="1">
        <v>-2341651.8339999998</v>
      </c>
      <c r="W13" s="1">
        <v>768397.26489999995</v>
      </c>
      <c r="X13" s="1">
        <v>3089428.77</v>
      </c>
      <c r="Y13" s="1">
        <v>-2321031.5049999999</v>
      </c>
      <c r="Z13" s="1">
        <v>787940.924</v>
      </c>
      <c r="AA13" s="1">
        <v>3091089.9810000001</v>
      </c>
      <c r="AB13" s="1">
        <v>-2303149.057</v>
      </c>
      <c r="AC13" s="1">
        <v>804243.01150000002</v>
      </c>
      <c r="AD13" s="1">
        <v>3092475.6579999998</v>
      </c>
      <c r="AE13" s="1">
        <v>-2288232.6469999999</v>
      </c>
      <c r="AF13" s="1">
        <v>818814.83389999997</v>
      </c>
      <c r="AG13" s="1">
        <v>3093714.2629999998</v>
      </c>
      <c r="AH13" s="1">
        <v>-2274899.429</v>
      </c>
      <c r="AI13" s="1">
        <v>830269.42590000003</v>
      </c>
      <c r="AJ13" s="1">
        <v>3094687.9040000001</v>
      </c>
      <c r="AK13" s="1">
        <v>-2264418.4780000001</v>
      </c>
      <c r="AL13" s="1">
        <v>840571.48899999994</v>
      </c>
      <c r="AM13" s="1">
        <v>3095563.5789999999</v>
      </c>
      <c r="AN13" s="1">
        <v>-2254992.09</v>
      </c>
      <c r="AO13" s="1">
        <v>849189.70589999994</v>
      </c>
      <c r="AP13" s="1">
        <v>3096296.1269999999</v>
      </c>
      <c r="AQ13" s="1">
        <v>-2247106.4219999998</v>
      </c>
      <c r="AR13" s="1">
        <v>855968.95420000004</v>
      </c>
      <c r="AS13" s="1">
        <v>3096872.3640000001</v>
      </c>
      <c r="AT13" s="1">
        <v>-2240903.409</v>
      </c>
      <c r="AU13" s="1">
        <v>863761.91619999998</v>
      </c>
      <c r="AV13" s="1">
        <v>3097534.7650000001</v>
      </c>
      <c r="AW13" s="1">
        <v>-2233772.8489999999</v>
      </c>
      <c r="AX13" s="1">
        <v>871819.09180000005</v>
      </c>
      <c r="AY13" s="1">
        <v>3098219.625</v>
      </c>
      <c r="AZ13" s="1">
        <v>-2226400.5329999998</v>
      </c>
      <c r="BA13" s="1">
        <v>878395.74190000002</v>
      </c>
      <c r="BB13" s="1">
        <v>3098778.64</v>
      </c>
      <c r="BC13" s="1">
        <v>-2220382.8990000002</v>
      </c>
      <c r="BD13" s="1">
        <v>885970.52119999996</v>
      </c>
      <c r="BE13" s="1">
        <v>3099422.497</v>
      </c>
      <c r="BF13" s="1">
        <v>-2213451.9750000001</v>
      </c>
      <c r="BG13" s="1">
        <v>893887.43649999995</v>
      </c>
      <c r="BH13" s="1">
        <v>3100095.4350000001</v>
      </c>
      <c r="BI13" s="1">
        <v>-2206207.9980000001</v>
      </c>
      <c r="BJ13" s="1">
        <v>900588.76240000001</v>
      </c>
      <c r="BK13" s="1">
        <v>3100665.0469999998</v>
      </c>
      <c r="BL13" s="1">
        <v>-2200076.2850000001</v>
      </c>
      <c r="BM13" s="1">
        <v>907992.11250000005</v>
      </c>
      <c r="BN13" s="1">
        <v>3101294.3319999999</v>
      </c>
      <c r="BO13" s="1">
        <v>-2193302.219</v>
      </c>
      <c r="BP13" s="1">
        <v>915877.85880000005</v>
      </c>
      <c r="BQ13" s="1">
        <v>3101964.62</v>
      </c>
      <c r="BR13" s="1">
        <v>-2186086.7620000001</v>
      </c>
      <c r="BS13" s="1">
        <v>921566.1936</v>
      </c>
      <c r="BT13" s="1">
        <v>3102448.1290000002</v>
      </c>
      <c r="BU13" s="1">
        <v>-2180881.9350000001</v>
      </c>
      <c r="BV13" s="1">
        <v>928642.2696</v>
      </c>
      <c r="BW13" s="1">
        <v>3103049.5950000002</v>
      </c>
      <c r="BX13" s="1">
        <v>-2174407.3259999999</v>
      </c>
      <c r="BY13" s="1">
        <v>934315.01989999996</v>
      </c>
      <c r="BZ13" s="1">
        <v>3103531.7790000001</v>
      </c>
      <c r="CA13" s="1">
        <v>-2169216.7590000001</v>
      </c>
      <c r="CB13" s="1">
        <v>940486.47360000003</v>
      </c>
      <c r="CC13" s="1">
        <v>3104056.3530000001</v>
      </c>
      <c r="CD13" s="1">
        <v>-2163569.8790000002</v>
      </c>
      <c r="CE13" s="1">
        <v>947031.9547</v>
      </c>
      <c r="CF13" s="1">
        <v>3104612.719</v>
      </c>
      <c r="CG13" s="1">
        <v>-2157580.764</v>
      </c>
      <c r="CH13" s="1">
        <v>952830.10349999997</v>
      </c>
      <c r="CI13" s="1">
        <v>3105105.5610000002</v>
      </c>
      <c r="CJ13" s="1">
        <v>-2152275.4580000001</v>
      </c>
      <c r="CK13" s="1">
        <v>958206.7487</v>
      </c>
      <c r="CL13" s="1">
        <v>3105562.5759999999</v>
      </c>
      <c r="CM13" s="1">
        <v>-2147355.827</v>
      </c>
      <c r="CN13" s="1">
        <v>963474.30249999999</v>
      </c>
      <c r="CO13" s="1">
        <v>3106010.318</v>
      </c>
      <c r="CP13" s="1">
        <v>-2142536.0159999998</v>
      </c>
      <c r="CQ13" s="1">
        <v>968757.44090000005</v>
      </c>
      <c r="CR13" s="1">
        <v>3106459.3849999998</v>
      </c>
      <c r="CS13" s="1">
        <v>-2137701.9440000001</v>
      </c>
      <c r="CT13" s="1">
        <v>1029547.13</v>
      </c>
      <c r="CU13" s="1">
        <v>4205610.2410000004</v>
      </c>
      <c r="CV13" s="1">
        <v>-3176063.111</v>
      </c>
    </row>
    <row r="14" spans="1:100" x14ac:dyDescent="0.35">
      <c r="A14" t="s">
        <v>80</v>
      </c>
      <c r="B14" t="s">
        <v>81</v>
      </c>
      <c r="C14">
        <v>292400</v>
      </c>
      <c r="D14" t="s">
        <v>82</v>
      </c>
      <c r="E14" t="s">
        <v>81</v>
      </c>
      <c r="F14" t="s">
        <v>40</v>
      </c>
      <c r="G14" t="s">
        <v>33</v>
      </c>
      <c r="H14" s="1"/>
      <c r="I14" s="1"/>
      <c r="J14" s="1"/>
      <c r="K14" s="1">
        <v>438999.96519999998</v>
      </c>
      <c r="L14" s="1">
        <v>3382326.969</v>
      </c>
      <c r="M14" s="1">
        <v>-2943327.0040000002</v>
      </c>
      <c r="N14" s="1">
        <v>472450.50919999997</v>
      </c>
      <c r="O14" s="1">
        <v>3385170.2650000001</v>
      </c>
      <c r="P14" s="1">
        <v>-2912719.7560000001</v>
      </c>
      <c r="Q14" s="1">
        <v>501019.43670000002</v>
      </c>
      <c r="R14" s="1">
        <v>3387598.6239999998</v>
      </c>
      <c r="S14" s="1">
        <v>-2886579.1869999999</v>
      </c>
      <c r="T14" s="1">
        <v>524326.65020000003</v>
      </c>
      <c r="U14" s="1">
        <v>3389579.7370000002</v>
      </c>
      <c r="V14" s="1">
        <v>-2865253.0869999998</v>
      </c>
      <c r="W14" s="1">
        <v>545321.52469999995</v>
      </c>
      <c r="X14" s="1">
        <v>3391364.301</v>
      </c>
      <c r="Y14" s="1">
        <v>-2846042.7769999998</v>
      </c>
      <c r="Z14" s="1">
        <v>565621.80920000002</v>
      </c>
      <c r="AA14" s="1">
        <v>3393089.8259999999</v>
      </c>
      <c r="AB14" s="1">
        <v>-2827468.0159999998</v>
      </c>
      <c r="AC14" s="1">
        <v>585251.41059999994</v>
      </c>
      <c r="AD14" s="1">
        <v>3394758.3420000002</v>
      </c>
      <c r="AE14" s="1">
        <v>-2809506.9309999999</v>
      </c>
      <c r="AF14" s="1">
        <v>604802.87100000004</v>
      </c>
      <c r="AG14" s="1">
        <v>3396420.216</v>
      </c>
      <c r="AH14" s="1">
        <v>-2791617.3450000002</v>
      </c>
      <c r="AI14" s="1">
        <v>623603.58669999999</v>
      </c>
      <c r="AJ14" s="1">
        <v>3398018.2769999998</v>
      </c>
      <c r="AK14" s="1">
        <v>-2774414.69</v>
      </c>
      <c r="AL14" s="1">
        <v>665458.89139999996</v>
      </c>
      <c r="AM14" s="1">
        <v>3636389.548</v>
      </c>
      <c r="AN14" s="1">
        <v>-2970930.656</v>
      </c>
      <c r="AO14" s="1">
        <v>682726.49399999995</v>
      </c>
      <c r="AP14" s="1">
        <v>3637857.2940000002</v>
      </c>
      <c r="AQ14" s="1">
        <v>-2955130.8</v>
      </c>
      <c r="AR14" s="1">
        <v>700181.83299999998</v>
      </c>
      <c r="AS14" s="1">
        <v>3639340.9980000001</v>
      </c>
      <c r="AT14" s="1">
        <v>-2939159.165</v>
      </c>
      <c r="AU14" s="1">
        <v>717855.35470000003</v>
      </c>
      <c r="AV14" s="1">
        <v>3640843.247</v>
      </c>
      <c r="AW14" s="1">
        <v>-2922987.892</v>
      </c>
      <c r="AX14" s="1">
        <v>736183.42440000002</v>
      </c>
      <c r="AY14" s="1">
        <v>3642401.1329999999</v>
      </c>
      <c r="AZ14" s="1">
        <v>-2906217.7089999998</v>
      </c>
      <c r="BA14" s="1">
        <v>754417.98730000004</v>
      </c>
      <c r="BB14" s="1">
        <v>3643951.071</v>
      </c>
      <c r="BC14" s="1">
        <v>-2889533.0839999998</v>
      </c>
      <c r="BD14" s="1">
        <v>773338.26729999995</v>
      </c>
      <c r="BE14" s="1">
        <v>3645559.2949999999</v>
      </c>
      <c r="BF14" s="1">
        <v>-2872221.0269999998</v>
      </c>
      <c r="BG14" s="1">
        <v>792398.08499999996</v>
      </c>
      <c r="BH14" s="1">
        <v>3647179.3790000002</v>
      </c>
      <c r="BI14" s="1">
        <v>-2854781.2940000002</v>
      </c>
      <c r="BJ14" s="1">
        <v>812215.50190000003</v>
      </c>
      <c r="BK14" s="1">
        <v>3648863.86</v>
      </c>
      <c r="BL14" s="1">
        <v>-2836648.358</v>
      </c>
      <c r="BM14" s="1">
        <v>832575.92879999999</v>
      </c>
      <c r="BN14" s="1">
        <v>3650594.4959999998</v>
      </c>
      <c r="BO14" s="1">
        <v>-2818018.5669999998</v>
      </c>
      <c r="BP14" s="1">
        <v>853397.51520000002</v>
      </c>
      <c r="BQ14" s="1">
        <v>3652364.3309999998</v>
      </c>
      <c r="BR14" s="1">
        <v>-2798966.8160000001</v>
      </c>
      <c r="BS14" s="1">
        <v>874032.08779999998</v>
      </c>
      <c r="BT14" s="1">
        <v>3654118.2689999999</v>
      </c>
      <c r="BU14" s="1">
        <v>-2780086.182</v>
      </c>
      <c r="BV14" s="1">
        <v>895290.03960000002</v>
      </c>
      <c r="BW14" s="1">
        <v>3655925.1949999998</v>
      </c>
      <c r="BX14" s="1">
        <v>-2760635.156</v>
      </c>
      <c r="BY14" s="1">
        <v>916547.99140000006</v>
      </c>
      <c r="BZ14" s="1">
        <v>3657732.1209999998</v>
      </c>
      <c r="CA14" s="1">
        <v>-2741184.13</v>
      </c>
      <c r="CB14" s="1">
        <v>938179.97069999995</v>
      </c>
      <c r="CC14" s="1">
        <v>3659570.84</v>
      </c>
      <c r="CD14" s="1">
        <v>-2721390.8689999999</v>
      </c>
      <c r="CE14" s="1">
        <v>959749.61210000003</v>
      </c>
      <c r="CF14" s="1">
        <v>3661404.2590000001</v>
      </c>
      <c r="CG14" s="1">
        <v>-2701654.6469999999</v>
      </c>
      <c r="CH14" s="1">
        <v>1037745.28</v>
      </c>
      <c r="CI14" s="1">
        <v>4352475.4069999997</v>
      </c>
      <c r="CJ14" s="1">
        <v>-3314730.1269999999</v>
      </c>
      <c r="CK14" s="1">
        <v>1061247.872</v>
      </c>
      <c r="CL14" s="1">
        <v>4354355.6140000001</v>
      </c>
      <c r="CM14" s="1">
        <v>-3293107.7429999998</v>
      </c>
      <c r="CN14" s="1">
        <v>1085066.202</v>
      </c>
      <c r="CO14" s="1">
        <v>4356261.0810000002</v>
      </c>
      <c r="CP14" s="1">
        <v>-3271194.878</v>
      </c>
      <c r="CQ14" s="1">
        <v>1109572.0449999999</v>
      </c>
      <c r="CR14" s="1">
        <v>4358221.5480000004</v>
      </c>
      <c r="CS14" s="1">
        <v>-3248649.5040000002</v>
      </c>
      <c r="CT14" s="1">
        <v>1134689.2590000001</v>
      </c>
      <c r="CU14" s="1">
        <v>4360230.9249999998</v>
      </c>
      <c r="CV14" s="1">
        <v>-3225541.6660000002</v>
      </c>
    </row>
    <row r="15" spans="1:100" x14ac:dyDescent="0.35">
      <c r="A15" t="s">
        <v>83</v>
      </c>
      <c r="B15" t="s">
        <v>170</v>
      </c>
      <c r="C15">
        <v>110030</v>
      </c>
      <c r="D15" t="s">
        <v>85</v>
      </c>
      <c r="E15" t="s">
        <v>84</v>
      </c>
      <c r="F15" t="s">
        <v>30</v>
      </c>
      <c r="G15" t="s">
        <v>33</v>
      </c>
      <c r="H15" s="1"/>
      <c r="I15" s="1"/>
      <c r="J15" s="1"/>
      <c r="K15" s="1">
        <v>770454.41610000003</v>
      </c>
      <c r="L15" s="1">
        <v>3088183.0660000001</v>
      </c>
      <c r="M15" s="1">
        <v>-2317728.65</v>
      </c>
      <c r="N15" s="1">
        <v>842971.49879999994</v>
      </c>
      <c r="O15" s="1">
        <v>3094347.0180000002</v>
      </c>
      <c r="P15" s="1">
        <v>-2251375.5189999999</v>
      </c>
      <c r="Q15" s="1">
        <v>902256.30169999995</v>
      </c>
      <c r="R15" s="1">
        <v>3099386.2259999998</v>
      </c>
      <c r="S15" s="1">
        <v>-2197129.9240000001</v>
      </c>
      <c r="T15" s="1">
        <v>948450.14229999995</v>
      </c>
      <c r="U15" s="1">
        <v>3103312.7030000002</v>
      </c>
      <c r="V15" s="1">
        <v>-2154862.56</v>
      </c>
      <c r="W15" s="1">
        <v>1045926.561</v>
      </c>
      <c r="X15" s="1">
        <v>4174236.4840000002</v>
      </c>
      <c r="Y15" s="1">
        <v>-3128309.923</v>
      </c>
      <c r="Z15" s="1">
        <v>1087410.9410000001</v>
      </c>
      <c r="AA15" s="1">
        <v>4177555.2340000002</v>
      </c>
      <c r="AB15" s="1">
        <v>-3090144.2940000002</v>
      </c>
      <c r="AC15" s="1">
        <v>1127132.1170000001</v>
      </c>
      <c r="AD15" s="1">
        <v>4180732.9279999998</v>
      </c>
      <c r="AE15" s="1">
        <v>-3053600.8119999999</v>
      </c>
      <c r="AF15" s="1">
        <v>1165356.25</v>
      </c>
      <c r="AG15" s="1">
        <v>4183790.8590000002</v>
      </c>
      <c r="AH15" s="1">
        <v>-3018434.6090000002</v>
      </c>
      <c r="AI15" s="1">
        <v>1201409.0959999999</v>
      </c>
      <c r="AJ15" s="1">
        <v>4186675.0869999998</v>
      </c>
      <c r="AK15" s="1">
        <v>-2985265.9909999999</v>
      </c>
      <c r="AL15" s="1">
        <v>1234960.621</v>
      </c>
      <c r="AM15" s="1">
        <v>4189359.2089999998</v>
      </c>
      <c r="AN15" s="1">
        <v>-2954398.588</v>
      </c>
      <c r="AO15" s="1">
        <v>1266780.1229999999</v>
      </c>
      <c r="AP15" s="1">
        <v>4191904.7689999999</v>
      </c>
      <c r="AQ15" s="1">
        <v>-2925124.6460000002</v>
      </c>
      <c r="AR15" s="1">
        <v>1298476.2620000001</v>
      </c>
      <c r="AS15" s="1">
        <v>4194440.46</v>
      </c>
      <c r="AT15" s="1">
        <v>-2895964.1979999999</v>
      </c>
      <c r="AU15" s="1">
        <v>1330176.841</v>
      </c>
      <c r="AV15" s="1">
        <v>4196976.5060000001</v>
      </c>
      <c r="AW15" s="1">
        <v>-2866799.665</v>
      </c>
      <c r="AX15" s="1">
        <v>1362783.7239999999</v>
      </c>
      <c r="AY15" s="1">
        <v>4199585.057</v>
      </c>
      <c r="AZ15" s="1">
        <v>-2836801.3330000001</v>
      </c>
      <c r="BA15" s="1">
        <v>1395116.443</v>
      </c>
      <c r="BB15" s="1">
        <v>4202171.6749999998</v>
      </c>
      <c r="BC15" s="1">
        <v>-2807055.2310000001</v>
      </c>
      <c r="BD15" s="1">
        <v>1428010.2549999999</v>
      </c>
      <c r="BE15" s="1">
        <v>4204803.1789999995</v>
      </c>
      <c r="BF15" s="1">
        <v>-2776792.9249999998</v>
      </c>
      <c r="BG15" s="1">
        <v>1461060.324</v>
      </c>
      <c r="BH15" s="1">
        <v>4207447.1849999996</v>
      </c>
      <c r="BI15" s="1">
        <v>-2746386.861</v>
      </c>
      <c r="BJ15" s="1">
        <v>1495233.4369999999</v>
      </c>
      <c r="BK15" s="1">
        <v>4210181.034</v>
      </c>
      <c r="BL15" s="1">
        <v>-2714947.5970000001</v>
      </c>
      <c r="BM15" s="1">
        <v>1529797.2420000001</v>
      </c>
      <c r="BN15" s="1">
        <v>4212946.1380000003</v>
      </c>
      <c r="BO15" s="1">
        <v>-2683148.8969999999</v>
      </c>
      <c r="BP15" s="1">
        <v>1565288.4909999999</v>
      </c>
      <c r="BQ15" s="1">
        <v>4215785.4380000001</v>
      </c>
      <c r="BR15" s="1">
        <v>-2650496.9479999999</v>
      </c>
      <c r="BS15" s="1">
        <v>1600076.0279999999</v>
      </c>
      <c r="BT15" s="1">
        <v>4218568.4409999996</v>
      </c>
      <c r="BU15" s="1">
        <v>-2618492.4139999999</v>
      </c>
      <c r="BV15" s="1">
        <v>1635280.6780000001</v>
      </c>
      <c r="BW15" s="1">
        <v>4221384.8130000001</v>
      </c>
      <c r="BX15" s="1">
        <v>-2586104.1359999999</v>
      </c>
      <c r="BY15" s="1">
        <v>1670497.932</v>
      </c>
      <c r="BZ15" s="1">
        <v>4224202.1940000001</v>
      </c>
      <c r="CA15" s="1">
        <v>-2553704.2620000001</v>
      </c>
      <c r="CB15" s="1">
        <v>1704291.2250000001</v>
      </c>
      <c r="CC15" s="1">
        <v>4226905.6569999997</v>
      </c>
      <c r="CD15" s="1">
        <v>-2522614.4330000002</v>
      </c>
      <c r="CE15" s="1">
        <v>1736987.0519999999</v>
      </c>
      <c r="CF15" s="1">
        <v>4229521.3229999999</v>
      </c>
      <c r="CG15" s="1">
        <v>-2492534.2710000002</v>
      </c>
      <c r="CH15" s="1">
        <v>1769593.9350000001</v>
      </c>
      <c r="CI15" s="1">
        <v>4232129.8739999998</v>
      </c>
      <c r="CJ15" s="1">
        <v>-2462535.9389999998</v>
      </c>
      <c r="CK15" s="1">
        <v>1801037.0449999999</v>
      </c>
      <c r="CL15" s="1">
        <v>4234645.3229999999</v>
      </c>
      <c r="CM15" s="1">
        <v>-2433608.2779999999</v>
      </c>
      <c r="CN15" s="1">
        <v>1832716.1529999999</v>
      </c>
      <c r="CO15" s="1">
        <v>4237179.6509999996</v>
      </c>
      <c r="CP15" s="1">
        <v>-2404463.4980000001</v>
      </c>
      <c r="CQ15" s="1">
        <v>1865091.477</v>
      </c>
      <c r="CR15" s="1">
        <v>4239769.6770000001</v>
      </c>
      <c r="CS15" s="1">
        <v>-2374678.2000000002</v>
      </c>
      <c r="CT15" s="1">
        <v>1897900.9450000001</v>
      </c>
      <c r="CU15" s="1">
        <v>4242394.4349999996</v>
      </c>
      <c r="CV15" s="1">
        <v>-2344493.4890000001</v>
      </c>
    </row>
    <row r="16" spans="1:100" x14ac:dyDescent="0.35">
      <c r="A16" t="s">
        <v>90</v>
      </c>
      <c r="B16" t="s">
        <v>91</v>
      </c>
      <c r="C16">
        <v>150613</v>
      </c>
      <c r="D16" t="s">
        <v>92</v>
      </c>
      <c r="E16" t="s">
        <v>91</v>
      </c>
      <c r="F16" t="s">
        <v>29</v>
      </c>
      <c r="G16" t="s">
        <v>33</v>
      </c>
      <c r="H16" s="1"/>
      <c r="I16" s="1"/>
      <c r="J16" s="1"/>
      <c r="K16" s="1">
        <v>317488.99650000001</v>
      </c>
      <c r="L16" s="1">
        <v>3006103.3709999998</v>
      </c>
      <c r="M16" s="1">
        <v>-2688614.3739999998</v>
      </c>
      <c r="N16" s="1">
        <v>336696.63669999997</v>
      </c>
      <c r="O16" s="1">
        <v>3007736.02</v>
      </c>
      <c r="P16" s="1">
        <v>-2671039.3829999999</v>
      </c>
      <c r="Q16" s="1">
        <v>351981.6005</v>
      </c>
      <c r="R16" s="1">
        <v>3009035.2420000001</v>
      </c>
      <c r="S16" s="1">
        <v>-2657053.6409999998</v>
      </c>
      <c r="T16" s="1">
        <v>363390.18109999999</v>
      </c>
      <c r="U16" s="1">
        <v>3010004.9709999999</v>
      </c>
      <c r="V16" s="1">
        <v>-2646614.79</v>
      </c>
      <c r="W16" s="1">
        <v>373241.56280000001</v>
      </c>
      <c r="X16" s="1">
        <v>3010842.3390000002</v>
      </c>
      <c r="Y16" s="1">
        <v>-2637600.7760000001</v>
      </c>
      <c r="Z16" s="1">
        <v>381962.68579999998</v>
      </c>
      <c r="AA16" s="1">
        <v>3011583.6340000001</v>
      </c>
      <c r="AB16" s="1">
        <v>-2629620.9479999999</v>
      </c>
      <c r="AC16" s="1">
        <v>390902.01189999998</v>
      </c>
      <c r="AD16" s="1">
        <v>3012343.477</v>
      </c>
      <c r="AE16" s="1">
        <v>-2621441.4649999999</v>
      </c>
      <c r="AF16" s="1">
        <v>400185.15830000001</v>
      </c>
      <c r="AG16" s="1">
        <v>3013132.5440000002</v>
      </c>
      <c r="AH16" s="1">
        <v>-2612947.3859999999</v>
      </c>
      <c r="AI16" s="1">
        <v>409149.52590000001</v>
      </c>
      <c r="AJ16" s="1">
        <v>3013894.5159999998</v>
      </c>
      <c r="AK16" s="1">
        <v>-2604744.9900000002</v>
      </c>
      <c r="AL16" s="1">
        <v>417854.42920000001</v>
      </c>
      <c r="AM16" s="1">
        <v>3014634.432</v>
      </c>
      <c r="AN16" s="1">
        <v>-2596780.003</v>
      </c>
      <c r="AO16" s="1">
        <v>425996.71750000003</v>
      </c>
      <c r="AP16" s="1">
        <v>3015326.5269999998</v>
      </c>
      <c r="AQ16" s="1">
        <v>-2589329.8089999999</v>
      </c>
      <c r="AR16" s="1">
        <v>434592.8149</v>
      </c>
      <c r="AS16" s="1">
        <v>3016057.1949999998</v>
      </c>
      <c r="AT16" s="1">
        <v>-2581464.38</v>
      </c>
      <c r="AU16" s="1">
        <v>443047.66710000002</v>
      </c>
      <c r="AV16" s="1">
        <v>3016775.858</v>
      </c>
      <c r="AW16" s="1">
        <v>-2573728.19</v>
      </c>
      <c r="AX16" s="1">
        <v>451815.08309999999</v>
      </c>
      <c r="AY16" s="1">
        <v>3017521.088</v>
      </c>
      <c r="AZ16" s="1">
        <v>-2565706.0049999999</v>
      </c>
      <c r="BA16" s="1">
        <v>460651.22379999998</v>
      </c>
      <c r="BB16" s="1">
        <v>3018272.16</v>
      </c>
      <c r="BC16" s="1">
        <v>-2557620.9360000002</v>
      </c>
      <c r="BD16" s="1">
        <v>469559.29359999998</v>
      </c>
      <c r="BE16" s="1">
        <v>3019029.3459999999</v>
      </c>
      <c r="BF16" s="1">
        <v>-2549470.0520000001</v>
      </c>
      <c r="BG16" s="1">
        <v>478842.44</v>
      </c>
      <c r="BH16" s="1">
        <v>3019818.4130000002</v>
      </c>
      <c r="BI16" s="1">
        <v>-2540975.9730000002</v>
      </c>
      <c r="BJ16" s="1">
        <v>488219.35550000001</v>
      </c>
      <c r="BK16" s="1">
        <v>3020615.4509999999</v>
      </c>
      <c r="BL16" s="1">
        <v>-2532396.0959999999</v>
      </c>
      <c r="BM16" s="1">
        <v>498206.36210000003</v>
      </c>
      <c r="BN16" s="1">
        <v>3021464.3470000001</v>
      </c>
      <c r="BO16" s="1">
        <v>-2523257.9849999999</v>
      </c>
      <c r="BP16" s="1">
        <v>508130.26439999999</v>
      </c>
      <c r="BQ16" s="1">
        <v>3022307.878</v>
      </c>
      <c r="BR16" s="1">
        <v>-2514177.6140000001</v>
      </c>
      <c r="BS16" s="1">
        <v>518481.70610000001</v>
      </c>
      <c r="BT16" s="1">
        <v>3023187.7510000002</v>
      </c>
      <c r="BU16" s="1">
        <v>-2504706.0449999999</v>
      </c>
      <c r="BV16" s="1">
        <v>528733.80050000001</v>
      </c>
      <c r="BW16" s="1">
        <v>3024059.179</v>
      </c>
      <c r="BX16" s="1">
        <v>-2495325.378</v>
      </c>
      <c r="BY16" s="1">
        <v>539345.34329999995</v>
      </c>
      <c r="BZ16" s="1">
        <v>3024961.16</v>
      </c>
      <c r="CA16" s="1">
        <v>-2485615.8169999998</v>
      </c>
      <c r="CB16" s="1">
        <v>550056.86699999997</v>
      </c>
      <c r="CC16" s="1">
        <v>3025871.64</v>
      </c>
      <c r="CD16" s="1">
        <v>-2475814.773</v>
      </c>
      <c r="CE16" s="1">
        <v>560877.64509999997</v>
      </c>
      <c r="CF16" s="1">
        <v>3026791.406</v>
      </c>
      <c r="CG16" s="1">
        <v>-2465913.7609999999</v>
      </c>
      <c r="CH16" s="1">
        <v>571998.11179999996</v>
      </c>
      <c r="CI16" s="1">
        <v>3027736.645</v>
      </c>
      <c r="CJ16" s="1">
        <v>-2455738.534</v>
      </c>
      <c r="CK16" s="1">
        <v>583000.95079999999</v>
      </c>
      <c r="CL16" s="1">
        <v>3028671.8870000001</v>
      </c>
      <c r="CM16" s="1">
        <v>-2445670.9360000002</v>
      </c>
      <c r="CN16" s="1">
        <v>593690.63459999999</v>
      </c>
      <c r="CO16" s="1">
        <v>3029580.51</v>
      </c>
      <c r="CP16" s="1">
        <v>-2435889.875</v>
      </c>
      <c r="CQ16" s="1">
        <v>604709.10179999995</v>
      </c>
      <c r="CR16" s="1">
        <v>3030517.08</v>
      </c>
      <c r="CS16" s="1">
        <v>-2425807.9780000001</v>
      </c>
      <c r="CT16" s="1">
        <v>615977.02870000002</v>
      </c>
      <c r="CU16" s="1">
        <v>3031474.8530000001</v>
      </c>
      <c r="CV16" s="1">
        <v>-2415497.8250000002</v>
      </c>
    </row>
    <row r="17" spans="1:100" x14ac:dyDescent="0.35">
      <c r="A17" t="s">
        <v>93</v>
      </c>
      <c r="B17" t="s">
        <v>172</v>
      </c>
      <c r="C17">
        <v>150550</v>
      </c>
      <c r="D17" t="s">
        <v>95</v>
      </c>
      <c r="E17" t="s">
        <v>96</v>
      </c>
      <c r="F17" t="s">
        <v>29</v>
      </c>
      <c r="G17" t="s">
        <v>33</v>
      </c>
      <c r="H17" s="1"/>
      <c r="I17" s="1"/>
      <c r="J17" s="1"/>
      <c r="K17" s="1">
        <v>378243.17589999997</v>
      </c>
      <c r="L17" s="1">
        <v>3011267.4759999998</v>
      </c>
      <c r="M17" s="1">
        <v>-2633024.2999999998</v>
      </c>
      <c r="N17" s="1">
        <v>413087.83039999998</v>
      </c>
      <c r="O17" s="1">
        <v>3014229.2710000002</v>
      </c>
      <c r="P17" s="1">
        <v>-2601141.4410000001</v>
      </c>
      <c r="Q17" s="1">
        <v>443594.65379999997</v>
      </c>
      <c r="R17" s="1">
        <v>3016822.3509999998</v>
      </c>
      <c r="S17" s="1">
        <v>-2573227.6979999999</v>
      </c>
      <c r="T17" s="1">
        <v>467199.43650000001</v>
      </c>
      <c r="U17" s="1">
        <v>3018828.7579999999</v>
      </c>
      <c r="V17" s="1">
        <v>-2551629.321</v>
      </c>
      <c r="W17" s="1">
        <v>490017.18920000002</v>
      </c>
      <c r="X17" s="1">
        <v>3020768.267</v>
      </c>
      <c r="Y17" s="1">
        <v>-2530751.0780000002</v>
      </c>
      <c r="Z17" s="1">
        <v>510573.24920000002</v>
      </c>
      <c r="AA17" s="1">
        <v>3022515.5320000001</v>
      </c>
      <c r="AB17" s="1">
        <v>-2511942.2829999998</v>
      </c>
      <c r="AC17" s="1">
        <v>532578.33589999995</v>
      </c>
      <c r="AD17" s="1">
        <v>3024385.9640000002</v>
      </c>
      <c r="AE17" s="1">
        <v>-2491807.6290000002</v>
      </c>
      <c r="AF17" s="1">
        <v>553182.50549999997</v>
      </c>
      <c r="AG17" s="1">
        <v>3026137.3190000001</v>
      </c>
      <c r="AH17" s="1">
        <v>-2472954.8130000001</v>
      </c>
      <c r="AI17" s="1">
        <v>575421.27740000002</v>
      </c>
      <c r="AJ17" s="1">
        <v>3028027.6140000001</v>
      </c>
      <c r="AK17" s="1">
        <v>-2452606.3369999998</v>
      </c>
      <c r="AL17" s="1">
        <v>595097.17189999996</v>
      </c>
      <c r="AM17" s="1">
        <v>3029700.0649999999</v>
      </c>
      <c r="AN17" s="1">
        <v>-2434602.8939999999</v>
      </c>
      <c r="AO17" s="1">
        <v>616086.42599999998</v>
      </c>
      <c r="AP17" s="1">
        <v>3031484.1519999998</v>
      </c>
      <c r="AQ17" s="1">
        <v>-2415397.7259999998</v>
      </c>
      <c r="AR17" s="1">
        <v>659317.88419999997</v>
      </c>
      <c r="AS17" s="1">
        <v>3212686.6970000002</v>
      </c>
      <c r="AT17" s="1">
        <v>-2553368.8130000001</v>
      </c>
      <c r="AU17" s="1">
        <v>680918.69449999998</v>
      </c>
      <c r="AV17" s="1">
        <v>3214522.7659999998</v>
      </c>
      <c r="AW17" s="1">
        <v>-2533604.071</v>
      </c>
      <c r="AX17" s="1">
        <v>700867.55009999999</v>
      </c>
      <c r="AY17" s="1">
        <v>3216218.4180000001</v>
      </c>
      <c r="AZ17" s="1">
        <v>-2515350.8679999998</v>
      </c>
      <c r="BA17" s="1">
        <v>723169.66200000001</v>
      </c>
      <c r="BB17" s="1">
        <v>3218114.0980000002</v>
      </c>
      <c r="BC17" s="1">
        <v>-2494944.4360000002</v>
      </c>
      <c r="BD17" s="1">
        <v>743804.23459999997</v>
      </c>
      <c r="BE17" s="1">
        <v>3219868.0359999998</v>
      </c>
      <c r="BF17" s="1">
        <v>-2476063.8020000001</v>
      </c>
      <c r="BG17" s="1">
        <v>766745.3101</v>
      </c>
      <c r="BH17" s="1">
        <v>3221818.0279999999</v>
      </c>
      <c r="BI17" s="1">
        <v>-2455072.7179999999</v>
      </c>
      <c r="BJ17" s="1">
        <v>787598.06550000003</v>
      </c>
      <c r="BK17" s="1">
        <v>3223590.5120000001</v>
      </c>
      <c r="BL17" s="1">
        <v>-2435992.4470000002</v>
      </c>
      <c r="BM17" s="1">
        <v>811514.20039999997</v>
      </c>
      <c r="BN17" s="1">
        <v>3225623.3840000001</v>
      </c>
      <c r="BO17" s="1">
        <v>-2414109.1830000002</v>
      </c>
      <c r="BP17" s="1">
        <v>833012.2942</v>
      </c>
      <c r="BQ17" s="1">
        <v>3227450.7220000001</v>
      </c>
      <c r="BR17" s="1">
        <v>-2394438.4270000001</v>
      </c>
      <c r="BS17" s="1">
        <v>857278.05039999995</v>
      </c>
      <c r="BT17" s="1">
        <v>3229513.3110000002</v>
      </c>
      <c r="BU17" s="1">
        <v>-2372235.2599999998</v>
      </c>
      <c r="BV17" s="1">
        <v>879143.79689999996</v>
      </c>
      <c r="BW17" s="1">
        <v>3231371.8990000002</v>
      </c>
      <c r="BX17" s="1">
        <v>-2352228.102</v>
      </c>
      <c r="BY17" s="1">
        <v>904266.69940000004</v>
      </c>
      <c r="BZ17" s="1">
        <v>3233507.3459999999</v>
      </c>
      <c r="CA17" s="1">
        <v>-2329240.6469999999</v>
      </c>
      <c r="CB17" s="1">
        <v>921940.22109999997</v>
      </c>
      <c r="CC17" s="1">
        <v>3235009.5950000002</v>
      </c>
      <c r="CD17" s="1">
        <v>-2313069.3739999998</v>
      </c>
      <c r="CE17" s="1">
        <v>942683.88509999996</v>
      </c>
      <c r="CF17" s="1">
        <v>3236772.807</v>
      </c>
      <c r="CG17" s="1">
        <v>-2294088.9219999998</v>
      </c>
      <c r="CH17" s="1">
        <v>961027.53929999995</v>
      </c>
      <c r="CI17" s="1">
        <v>3238332.017</v>
      </c>
      <c r="CJ17" s="1">
        <v>-2277304.4780000001</v>
      </c>
      <c r="CK17" s="1">
        <v>1038403.156</v>
      </c>
      <c r="CL17" s="1">
        <v>4362601.9589999998</v>
      </c>
      <c r="CM17" s="1">
        <v>-3324198.8029999998</v>
      </c>
      <c r="CN17" s="1">
        <v>1058312.7320000001</v>
      </c>
      <c r="CO17" s="1">
        <v>4364194.7249999996</v>
      </c>
      <c r="CP17" s="1">
        <v>-3305881.9929999998</v>
      </c>
      <c r="CQ17" s="1">
        <v>1078605.52</v>
      </c>
      <c r="CR17" s="1">
        <v>4365818.148</v>
      </c>
      <c r="CS17" s="1">
        <v>-3287212.628</v>
      </c>
      <c r="CT17" s="1">
        <v>1099320.1869999999</v>
      </c>
      <c r="CU17" s="1">
        <v>4367475.3210000005</v>
      </c>
      <c r="CV17" s="1">
        <v>-3268155.1340000001</v>
      </c>
    </row>
    <row r="18" spans="1:100" x14ac:dyDescent="0.35">
      <c r="A18" t="s">
        <v>97</v>
      </c>
      <c r="B18" t="s">
        <v>98</v>
      </c>
      <c r="C18">
        <v>150730</v>
      </c>
      <c r="D18" t="s">
        <v>99</v>
      </c>
      <c r="E18" t="s">
        <v>98</v>
      </c>
      <c r="F18" t="s">
        <v>29</v>
      </c>
      <c r="G18" t="s">
        <v>33</v>
      </c>
      <c r="H18" s="1"/>
      <c r="I18" s="1"/>
      <c r="J18" s="1"/>
      <c r="K18" s="1">
        <v>269633.83149999997</v>
      </c>
      <c r="L18" s="1">
        <v>3002035.682</v>
      </c>
      <c r="M18" s="1">
        <v>-2732401.85</v>
      </c>
      <c r="N18" s="1">
        <v>283204.0895</v>
      </c>
      <c r="O18" s="1">
        <v>3003189.1529999999</v>
      </c>
      <c r="P18" s="1">
        <v>-2719985.0639999998</v>
      </c>
      <c r="Q18" s="1">
        <v>294009.3824</v>
      </c>
      <c r="R18" s="1">
        <v>3004107.6030000001</v>
      </c>
      <c r="S18" s="1">
        <v>-2710098.2209999999</v>
      </c>
      <c r="T18" s="1">
        <v>302017.08590000001</v>
      </c>
      <c r="U18" s="1">
        <v>3004788.2579999999</v>
      </c>
      <c r="V18" s="1">
        <v>-2702771.1719999998</v>
      </c>
      <c r="W18" s="1">
        <v>308737.20870000002</v>
      </c>
      <c r="X18" s="1">
        <v>3005359.469</v>
      </c>
      <c r="Y18" s="1">
        <v>-2696622.26</v>
      </c>
      <c r="Z18" s="1">
        <v>314847.83199999999</v>
      </c>
      <c r="AA18" s="1">
        <v>3005878.872</v>
      </c>
      <c r="AB18" s="1">
        <v>-2691031.04</v>
      </c>
      <c r="AC18" s="1">
        <v>320912.16220000002</v>
      </c>
      <c r="AD18" s="1">
        <v>3006394.34</v>
      </c>
      <c r="AE18" s="1">
        <v>-2685482.1770000001</v>
      </c>
      <c r="AF18" s="1">
        <v>327116.55459999997</v>
      </c>
      <c r="AG18" s="1">
        <v>3006921.713</v>
      </c>
      <c r="AH18" s="1">
        <v>-2679805.1579999998</v>
      </c>
      <c r="AI18" s="1">
        <v>333180.29340000002</v>
      </c>
      <c r="AJ18" s="1">
        <v>3007437.1310000001</v>
      </c>
      <c r="AK18" s="1">
        <v>-2674256.8369999998</v>
      </c>
      <c r="AL18" s="1">
        <v>338853.3273</v>
      </c>
      <c r="AM18" s="1">
        <v>3007919.3390000002</v>
      </c>
      <c r="AN18" s="1">
        <v>-2669066.0109999999</v>
      </c>
      <c r="AO18" s="1">
        <v>344323.19469999999</v>
      </c>
      <c r="AP18" s="1">
        <v>3008384.2769999998</v>
      </c>
      <c r="AQ18" s="1">
        <v>-2664061.0830000001</v>
      </c>
      <c r="AR18" s="1">
        <v>349903.05089999997</v>
      </c>
      <c r="AS18" s="1">
        <v>3008858.5649999999</v>
      </c>
      <c r="AT18" s="1">
        <v>-2658955.514</v>
      </c>
      <c r="AU18" s="1">
        <v>355435.43109999999</v>
      </c>
      <c r="AV18" s="1">
        <v>3009328.8169999998</v>
      </c>
      <c r="AW18" s="1">
        <v>-2653893.3859999999</v>
      </c>
      <c r="AX18" s="1">
        <v>361202.23420000001</v>
      </c>
      <c r="AY18" s="1">
        <v>3009818.9959999998</v>
      </c>
      <c r="AZ18" s="1">
        <v>-2648616.7620000001</v>
      </c>
      <c r="BA18" s="1">
        <v>366922.15269999998</v>
      </c>
      <c r="BB18" s="1">
        <v>3010305.1889999998</v>
      </c>
      <c r="BC18" s="1">
        <v>-2643383.0359999998</v>
      </c>
      <c r="BD18" s="1">
        <v>372866.48619999998</v>
      </c>
      <c r="BE18" s="1">
        <v>3010810.4569999999</v>
      </c>
      <c r="BF18" s="1">
        <v>-2637943.9709999999</v>
      </c>
      <c r="BG18" s="1">
        <v>378852.67540000001</v>
      </c>
      <c r="BH18" s="1">
        <v>3011319.2829999998</v>
      </c>
      <c r="BI18" s="1">
        <v>-2632466.608</v>
      </c>
      <c r="BJ18" s="1">
        <v>385041.43969999999</v>
      </c>
      <c r="BK18" s="1">
        <v>3011845.3280000002</v>
      </c>
      <c r="BL18" s="1">
        <v>-2626803.889</v>
      </c>
      <c r="BM18" s="1">
        <v>391402.11410000001</v>
      </c>
      <c r="BN18" s="1">
        <v>3012385.986</v>
      </c>
      <c r="BO18" s="1">
        <v>-2620983.8709999998</v>
      </c>
      <c r="BP18" s="1">
        <v>397934.6986</v>
      </c>
      <c r="BQ18" s="1">
        <v>3012941.2549999999</v>
      </c>
      <c r="BR18" s="1">
        <v>-2615006.557</v>
      </c>
      <c r="BS18" s="1">
        <v>404445.4399</v>
      </c>
      <c r="BT18" s="1">
        <v>3013494.6680000001</v>
      </c>
      <c r="BU18" s="1">
        <v>-2609049.2280000001</v>
      </c>
      <c r="BV18" s="1">
        <v>411165.56270000001</v>
      </c>
      <c r="BW18" s="1">
        <v>3014065.8790000002</v>
      </c>
      <c r="BX18" s="1">
        <v>-2602900.3160000001</v>
      </c>
      <c r="BY18" s="1">
        <v>417885.68550000002</v>
      </c>
      <c r="BZ18" s="1">
        <v>3014637.0890000002</v>
      </c>
      <c r="CA18" s="1">
        <v>-2596751.4040000001</v>
      </c>
      <c r="CB18" s="1">
        <v>424777.71850000002</v>
      </c>
      <c r="CC18" s="1">
        <v>3015222.912</v>
      </c>
      <c r="CD18" s="1">
        <v>-2590445.193</v>
      </c>
      <c r="CE18" s="1">
        <v>431732.85570000001</v>
      </c>
      <c r="CF18" s="1">
        <v>3015814.0989999999</v>
      </c>
      <c r="CG18" s="1">
        <v>-2584081.2429999998</v>
      </c>
      <c r="CH18" s="1">
        <v>438921.82419999997</v>
      </c>
      <c r="CI18" s="1">
        <v>3016425.1609999998</v>
      </c>
      <c r="CJ18" s="1">
        <v>-2577503.3369999998</v>
      </c>
      <c r="CK18" s="1">
        <v>445954.51089999999</v>
      </c>
      <c r="CL18" s="1">
        <v>3017022.9389999998</v>
      </c>
      <c r="CM18" s="1">
        <v>-2571068.4279999998</v>
      </c>
      <c r="CN18" s="1">
        <v>452815.28749999998</v>
      </c>
      <c r="CO18" s="1">
        <v>3017606.105</v>
      </c>
      <c r="CP18" s="1">
        <v>-2564790.818</v>
      </c>
      <c r="CQ18" s="1">
        <v>459900.4791</v>
      </c>
      <c r="CR18" s="1">
        <v>3018208.3470000001</v>
      </c>
      <c r="CS18" s="1">
        <v>-2558307.8670000001</v>
      </c>
      <c r="CT18" s="1">
        <v>467183.80829999998</v>
      </c>
      <c r="CU18" s="1">
        <v>3018827.43</v>
      </c>
      <c r="CV18" s="1">
        <v>-2551643.6209999998</v>
      </c>
    </row>
    <row r="19" spans="1:100" x14ac:dyDescent="0.35">
      <c r="A19" t="s">
        <v>100</v>
      </c>
      <c r="B19" t="s">
        <v>103</v>
      </c>
      <c r="C19">
        <v>291170</v>
      </c>
      <c r="D19" t="s">
        <v>102</v>
      </c>
      <c r="E19" t="s">
        <v>103</v>
      </c>
      <c r="F19" t="s">
        <v>40</v>
      </c>
      <c r="G19" t="s">
        <v>33</v>
      </c>
      <c r="H19" s="1"/>
      <c r="I19" s="1"/>
      <c r="J19" s="1"/>
      <c r="K19" s="1">
        <v>778200.62470000004</v>
      </c>
      <c r="L19" s="1">
        <v>3216718.9610000001</v>
      </c>
      <c r="M19" s="1">
        <v>-2438518.3360000001</v>
      </c>
      <c r="N19" s="1">
        <v>851792.3138</v>
      </c>
      <c r="O19" s="1">
        <v>3222974.2540000002</v>
      </c>
      <c r="P19" s="1">
        <v>-2371181.9410000001</v>
      </c>
      <c r="Q19" s="1">
        <v>911825.89430000004</v>
      </c>
      <c r="R19" s="1">
        <v>3228077.1090000002</v>
      </c>
      <c r="S19" s="1">
        <v>-2316251.2140000002</v>
      </c>
      <c r="T19" s="1">
        <v>960466.49809999997</v>
      </c>
      <c r="U19" s="1">
        <v>3232211.56</v>
      </c>
      <c r="V19" s="1">
        <v>-2271745.0619999999</v>
      </c>
      <c r="W19" s="1">
        <v>1057401.8259999999</v>
      </c>
      <c r="X19" s="1">
        <v>4354047.9309999999</v>
      </c>
      <c r="Y19" s="1">
        <v>-3296646.105</v>
      </c>
      <c r="Z19" s="1">
        <v>1097700.8</v>
      </c>
      <c r="AA19" s="1">
        <v>4357271.8490000004</v>
      </c>
      <c r="AB19" s="1">
        <v>-3259571.0490000001</v>
      </c>
      <c r="AC19" s="1">
        <v>1139277.524</v>
      </c>
      <c r="AD19" s="1">
        <v>4360597.9869999997</v>
      </c>
      <c r="AE19" s="1">
        <v>-3221320.463</v>
      </c>
      <c r="AF19" s="1">
        <v>1178446.3</v>
      </c>
      <c r="AG19" s="1">
        <v>4363731.4890000001</v>
      </c>
      <c r="AH19" s="1">
        <v>-3185285.1889999998</v>
      </c>
      <c r="AI19" s="1">
        <v>1213267.574</v>
      </c>
      <c r="AJ19" s="1">
        <v>4366517.1909999996</v>
      </c>
      <c r="AK19" s="1">
        <v>-3153249.6159999999</v>
      </c>
      <c r="AL19" s="1">
        <v>1247915.7220000001</v>
      </c>
      <c r="AM19" s="1">
        <v>4369289.0420000004</v>
      </c>
      <c r="AN19" s="1">
        <v>-3121373.32</v>
      </c>
      <c r="AO19" s="1">
        <v>1280426.8370000001</v>
      </c>
      <c r="AP19" s="1">
        <v>4371889.932</v>
      </c>
      <c r="AQ19" s="1">
        <v>-3091463.094</v>
      </c>
      <c r="AR19" s="1">
        <v>1311785.442</v>
      </c>
      <c r="AS19" s="1">
        <v>4374398.62</v>
      </c>
      <c r="AT19" s="1">
        <v>-3062613.1779999998</v>
      </c>
      <c r="AU19" s="1">
        <v>1343199.4169999999</v>
      </c>
      <c r="AV19" s="1">
        <v>4376911.7379999999</v>
      </c>
      <c r="AW19" s="1">
        <v>-3033712.321</v>
      </c>
      <c r="AX19" s="1">
        <v>1374558.0209999999</v>
      </c>
      <c r="AY19" s="1">
        <v>4379420.426</v>
      </c>
      <c r="AZ19" s="1">
        <v>-3004862.4049999998</v>
      </c>
      <c r="BA19" s="1">
        <v>1407177.5079999999</v>
      </c>
      <c r="BB19" s="1">
        <v>4382029.9850000003</v>
      </c>
      <c r="BC19" s="1">
        <v>-2974852.4780000001</v>
      </c>
      <c r="BD19" s="1">
        <v>1440762.77</v>
      </c>
      <c r="BE19" s="1">
        <v>4384716.8059999999</v>
      </c>
      <c r="BF19" s="1">
        <v>-2943954.0359999998</v>
      </c>
      <c r="BG19" s="1">
        <v>1474420.2720000001</v>
      </c>
      <c r="BH19" s="1">
        <v>4387409.4060000004</v>
      </c>
      <c r="BI19" s="1">
        <v>-2912989.1349999998</v>
      </c>
      <c r="BJ19" s="1">
        <v>1509318.7350000001</v>
      </c>
      <c r="BK19" s="1">
        <v>4390201.2829999998</v>
      </c>
      <c r="BL19" s="1">
        <v>-2880882.548</v>
      </c>
      <c r="BM19" s="1">
        <v>1544017.327</v>
      </c>
      <c r="BN19" s="1">
        <v>4392977.1710000001</v>
      </c>
      <c r="BO19" s="1">
        <v>-2848959.844</v>
      </c>
      <c r="BP19" s="1">
        <v>1580014.635</v>
      </c>
      <c r="BQ19" s="1">
        <v>4395856.9550000001</v>
      </c>
      <c r="BR19" s="1">
        <v>-2815842.321</v>
      </c>
      <c r="BS19" s="1">
        <v>1614802.334</v>
      </c>
      <c r="BT19" s="1">
        <v>4398639.9709999999</v>
      </c>
      <c r="BU19" s="1">
        <v>-2783837.6370000001</v>
      </c>
      <c r="BV19" s="1">
        <v>1650778.676</v>
      </c>
      <c r="BW19" s="1">
        <v>4401518.0789999999</v>
      </c>
      <c r="BX19" s="1">
        <v>-2750739.4029999999</v>
      </c>
      <c r="BY19" s="1">
        <v>1687720.794</v>
      </c>
      <c r="BZ19" s="1">
        <v>4404473.4479999999</v>
      </c>
      <c r="CA19" s="1">
        <v>-2716752.6540000001</v>
      </c>
      <c r="CB19" s="1">
        <v>1724824.7760000001</v>
      </c>
      <c r="CC19" s="1">
        <v>4407441.767</v>
      </c>
      <c r="CD19" s="1">
        <v>-2682616.9900000002</v>
      </c>
      <c r="CE19" s="1">
        <v>1759472.925</v>
      </c>
      <c r="CF19" s="1">
        <v>4410213.6189999999</v>
      </c>
      <c r="CG19" s="1">
        <v>-2650740.6940000001</v>
      </c>
      <c r="CH19" s="1">
        <v>1797528.372</v>
      </c>
      <c r="CI19" s="1">
        <v>4413258.0539999995</v>
      </c>
      <c r="CJ19" s="1">
        <v>-2615729.6830000002</v>
      </c>
      <c r="CK19" s="1">
        <v>1832226.963</v>
      </c>
      <c r="CL19" s="1">
        <v>4416033.9419999998</v>
      </c>
      <c r="CM19" s="1">
        <v>-2583806.9789999998</v>
      </c>
      <c r="CN19" s="1">
        <v>1871535.29</v>
      </c>
      <c r="CO19" s="1">
        <v>4419178.608</v>
      </c>
      <c r="CP19" s="1">
        <v>-2547643.318</v>
      </c>
      <c r="CQ19" s="1">
        <v>1910868.4879999999</v>
      </c>
      <c r="CR19" s="1">
        <v>4422325.2640000004</v>
      </c>
      <c r="CS19" s="1">
        <v>-2511456.7760000001</v>
      </c>
      <c r="CT19" s="1">
        <v>1952280.791</v>
      </c>
      <c r="CU19" s="1">
        <v>4425638.2479999997</v>
      </c>
      <c r="CV19" s="1">
        <v>-2473357.4569999999</v>
      </c>
    </row>
    <row r="20" spans="1:100" x14ac:dyDescent="0.35">
      <c r="A20" t="s">
        <v>104</v>
      </c>
      <c r="B20" t="s">
        <v>173</v>
      </c>
      <c r="C20">
        <v>261390</v>
      </c>
      <c r="D20" t="s">
        <v>106</v>
      </c>
      <c r="E20" t="s">
        <v>107</v>
      </c>
      <c r="F20" t="s">
        <v>36</v>
      </c>
      <c r="G20" t="s">
        <v>33</v>
      </c>
      <c r="H20" s="1"/>
      <c r="I20" s="1"/>
      <c r="J20" s="1"/>
      <c r="K20" s="1">
        <v>225614.8365</v>
      </c>
      <c r="L20" s="1">
        <v>3384438.264</v>
      </c>
      <c r="M20" s="1">
        <v>-3158823.4279999998</v>
      </c>
      <c r="N20" s="1">
        <v>233882.74189999999</v>
      </c>
      <c r="O20" s="1">
        <v>3385141.0359999998</v>
      </c>
      <c r="P20" s="1">
        <v>-3151258.2940000002</v>
      </c>
      <c r="Q20" s="1">
        <v>240384.07</v>
      </c>
      <c r="R20" s="1">
        <v>3385693.6490000002</v>
      </c>
      <c r="S20" s="1">
        <v>-3145309.5789999999</v>
      </c>
      <c r="T20" s="1">
        <v>245284.516</v>
      </c>
      <c r="U20" s="1">
        <v>3386110.1869999999</v>
      </c>
      <c r="V20" s="1">
        <v>-3140825.6710000001</v>
      </c>
      <c r="W20" s="1">
        <v>249441.6152</v>
      </c>
      <c r="X20" s="1">
        <v>3386463.54</v>
      </c>
      <c r="Y20" s="1">
        <v>-3137021.9249999998</v>
      </c>
      <c r="Z20" s="1">
        <v>253270.52239999999</v>
      </c>
      <c r="AA20" s="1">
        <v>3386788.997</v>
      </c>
      <c r="AB20" s="1">
        <v>-3133518.4750000001</v>
      </c>
      <c r="AC20" s="1">
        <v>256943.1477</v>
      </c>
      <c r="AD20" s="1">
        <v>3387101.1710000001</v>
      </c>
      <c r="AE20" s="1">
        <v>-3130158.023</v>
      </c>
      <c r="AF20" s="1">
        <v>260459.49100000001</v>
      </c>
      <c r="AG20" s="1">
        <v>3387400.06</v>
      </c>
      <c r="AH20" s="1">
        <v>-3126940.5690000001</v>
      </c>
      <c r="AI20" s="1">
        <v>263851.40029999998</v>
      </c>
      <c r="AJ20" s="1">
        <v>3387688.372</v>
      </c>
      <c r="AK20" s="1">
        <v>-3123836.9720000001</v>
      </c>
      <c r="AL20" s="1">
        <v>267008.29519999999</v>
      </c>
      <c r="AM20" s="1">
        <v>3387956.7080000001</v>
      </c>
      <c r="AN20" s="1">
        <v>-3120948.4130000002</v>
      </c>
      <c r="AO20" s="1">
        <v>269836.99800000002</v>
      </c>
      <c r="AP20" s="1">
        <v>3388197.148</v>
      </c>
      <c r="AQ20" s="1">
        <v>-3118360.15</v>
      </c>
      <c r="AR20" s="1">
        <v>272665.7009</v>
      </c>
      <c r="AS20" s="1">
        <v>3388437.588</v>
      </c>
      <c r="AT20" s="1">
        <v>-3115771.8870000001</v>
      </c>
      <c r="AU20" s="1">
        <v>275510.03200000001</v>
      </c>
      <c r="AV20" s="1">
        <v>3388679.3560000001</v>
      </c>
      <c r="AW20" s="1">
        <v>-3113169.324</v>
      </c>
      <c r="AX20" s="1">
        <v>278531.2599</v>
      </c>
      <c r="AY20" s="1">
        <v>3388936.16</v>
      </c>
      <c r="AZ20" s="1">
        <v>-3110404.9</v>
      </c>
      <c r="BA20" s="1">
        <v>281359.96279999998</v>
      </c>
      <c r="BB20" s="1">
        <v>3389176.6</v>
      </c>
      <c r="BC20" s="1">
        <v>-3107816.6370000001</v>
      </c>
      <c r="BD20" s="1">
        <v>284219.92200000002</v>
      </c>
      <c r="BE20" s="1">
        <v>3389419.696</v>
      </c>
      <c r="BF20" s="1">
        <v>-3105199.7740000002</v>
      </c>
      <c r="BG20" s="1">
        <v>287126.7659</v>
      </c>
      <c r="BH20" s="1">
        <v>3389666.7779999999</v>
      </c>
      <c r="BI20" s="1">
        <v>-3102540.0120000001</v>
      </c>
      <c r="BJ20" s="1">
        <v>290149.21889999998</v>
      </c>
      <c r="BK20" s="1">
        <v>3389923.6869999999</v>
      </c>
      <c r="BL20" s="1">
        <v>-3099774.4679999999</v>
      </c>
      <c r="BM20" s="1">
        <v>292993.54989999998</v>
      </c>
      <c r="BN20" s="1">
        <v>3390165.4550000001</v>
      </c>
      <c r="BO20" s="1">
        <v>-3097171.9049999998</v>
      </c>
      <c r="BP20" s="1">
        <v>296078.37270000001</v>
      </c>
      <c r="BQ20" s="1">
        <v>3390427.665</v>
      </c>
      <c r="BR20" s="1">
        <v>-3094349.2919999999</v>
      </c>
      <c r="BS20" s="1">
        <v>298985.21649999998</v>
      </c>
      <c r="BT20" s="1">
        <v>3390674.7459999998</v>
      </c>
      <c r="BU20" s="1">
        <v>-3091689.53</v>
      </c>
      <c r="BV20" s="1">
        <v>301907.68849999999</v>
      </c>
      <c r="BW20" s="1">
        <v>3390923.1570000001</v>
      </c>
      <c r="BX20" s="1">
        <v>-3089015.4679999999</v>
      </c>
      <c r="BY20" s="1">
        <v>304830.1605</v>
      </c>
      <c r="BZ20" s="1">
        <v>3391171.5669999998</v>
      </c>
      <c r="CA20" s="1">
        <v>-3086341.406</v>
      </c>
      <c r="CB20" s="1">
        <v>307721.3762</v>
      </c>
      <c r="CC20" s="1">
        <v>3391417.32</v>
      </c>
      <c r="CD20" s="1">
        <v>-3083695.9440000001</v>
      </c>
      <c r="CE20" s="1">
        <v>310550.07900000003</v>
      </c>
      <c r="CF20" s="1">
        <v>3391657.76</v>
      </c>
      <c r="CG20" s="1">
        <v>-3081107.6809999999</v>
      </c>
      <c r="CH20" s="1">
        <v>313441.29460000002</v>
      </c>
      <c r="CI20" s="1">
        <v>3391903.5129999998</v>
      </c>
      <c r="CJ20" s="1">
        <v>-3078462.2179999999</v>
      </c>
      <c r="CK20" s="1">
        <v>316207.48469999997</v>
      </c>
      <c r="CL20" s="1">
        <v>3392138.639</v>
      </c>
      <c r="CM20" s="1">
        <v>-3075931.1549999998</v>
      </c>
      <c r="CN20" s="1">
        <v>319005.52269999997</v>
      </c>
      <c r="CO20" s="1">
        <v>3392376.4730000002</v>
      </c>
      <c r="CP20" s="1">
        <v>-3073370.95</v>
      </c>
      <c r="CQ20" s="1">
        <v>321834.2255</v>
      </c>
      <c r="CR20" s="1">
        <v>3392616.912</v>
      </c>
      <c r="CS20" s="1">
        <v>-3070782.6869999999</v>
      </c>
      <c r="CT20" s="1">
        <v>324694.18479999999</v>
      </c>
      <c r="CU20" s="1">
        <v>3392860.0090000001</v>
      </c>
      <c r="CV20" s="1">
        <v>-3068165.824</v>
      </c>
    </row>
    <row r="21" spans="1:100" x14ac:dyDescent="0.35">
      <c r="A21" t="s">
        <v>108</v>
      </c>
      <c r="B21" t="s">
        <v>109</v>
      </c>
      <c r="C21">
        <v>150180</v>
      </c>
      <c r="D21" t="s">
        <v>110</v>
      </c>
      <c r="E21" t="s">
        <v>109</v>
      </c>
      <c r="F21" t="s">
        <v>29</v>
      </c>
      <c r="G21" t="s">
        <v>33</v>
      </c>
      <c r="H21" s="1"/>
      <c r="I21" s="1"/>
      <c r="J21" s="1"/>
      <c r="K21" s="1">
        <v>448798.842</v>
      </c>
      <c r="L21" s="1">
        <v>3017264.7069999999</v>
      </c>
      <c r="M21" s="1">
        <v>-2568465.8650000002</v>
      </c>
      <c r="N21" s="1">
        <v>487234.7794</v>
      </c>
      <c r="O21" s="1">
        <v>3020531.7620000001</v>
      </c>
      <c r="P21" s="1">
        <v>-2533296.983</v>
      </c>
      <c r="Q21" s="1">
        <v>518012.86040000001</v>
      </c>
      <c r="R21" s="1">
        <v>3023147.8990000002</v>
      </c>
      <c r="S21" s="1">
        <v>-2505135.0389999999</v>
      </c>
      <c r="T21" s="1">
        <v>541304.48770000006</v>
      </c>
      <c r="U21" s="1">
        <v>3025127.6869999999</v>
      </c>
      <c r="V21" s="1">
        <v>-2483823.2000000002</v>
      </c>
      <c r="W21" s="1">
        <v>561893.47759999998</v>
      </c>
      <c r="X21" s="1">
        <v>3026877.7510000002</v>
      </c>
      <c r="Y21" s="1">
        <v>-2464984.2740000002</v>
      </c>
      <c r="Z21" s="1">
        <v>580453.55539999995</v>
      </c>
      <c r="AA21" s="1">
        <v>3028455.358</v>
      </c>
      <c r="AB21" s="1">
        <v>-2448001.8029999998</v>
      </c>
      <c r="AC21" s="1">
        <v>598519.74609999999</v>
      </c>
      <c r="AD21" s="1">
        <v>3029990.9840000002</v>
      </c>
      <c r="AE21" s="1">
        <v>-2431471.2379999999</v>
      </c>
      <c r="AF21" s="1">
        <v>615726.97759999998</v>
      </c>
      <c r="AG21" s="1">
        <v>3031453.5989999999</v>
      </c>
      <c r="AH21" s="1">
        <v>-2415726.6209999998</v>
      </c>
      <c r="AI21" s="1">
        <v>632189.67619999999</v>
      </c>
      <c r="AJ21" s="1">
        <v>3032852.9279999998</v>
      </c>
      <c r="AK21" s="1">
        <v>-2400663.2519999999</v>
      </c>
      <c r="AL21" s="1">
        <v>670882.29009999998</v>
      </c>
      <c r="AM21" s="1">
        <v>3213669.6710000001</v>
      </c>
      <c r="AN21" s="1">
        <v>-2542787.3810000001</v>
      </c>
      <c r="AO21" s="1">
        <v>685548.00730000006</v>
      </c>
      <c r="AP21" s="1">
        <v>3214916.2570000002</v>
      </c>
      <c r="AQ21" s="1">
        <v>-2529368.25</v>
      </c>
      <c r="AR21" s="1">
        <v>699309.10219999996</v>
      </c>
      <c r="AS21" s="1">
        <v>3216085.95</v>
      </c>
      <c r="AT21" s="1">
        <v>-2516776.8480000002</v>
      </c>
      <c r="AU21" s="1">
        <v>713725.46779999998</v>
      </c>
      <c r="AV21" s="1">
        <v>3217311.341</v>
      </c>
      <c r="AW21" s="1">
        <v>-2503585.8739999998</v>
      </c>
      <c r="AX21" s="1">
        <v>727517.73160000006</v>
      </c>
      <c r="AY21" s="1">
        <v>3218483.6839999999</v>
      </c>
      <c r="AZ21" s="1">
        <v>-2490965.952</v>
      </c>
      <c r="BA21" s="1">
        <v>741965.26610000001</v>
      </c>
      <c r="BB21" s="1">
        <v>3219711.7239999999</v>
      </c>
      <c r="BC21" s="1">
        <v>-2477746.4580000001</v>
      </c>
      <c r="BD21" s="1">
        <v>756256.9558</v>
      </c>
      <c r="BE21" s="1">
        <v>3220926.5180000002</v>
      </c>
      <c r="BF21" s="1">
        <v>-2464669.5619999999</v>
      </c>
      <c r="BG21" s="1">
        <v>770812.8591</v>
      </c>
      <c r="BH21" s="1">
        <v>3222163.77</v>
      </c>
      <c r="BI21" s="1">
        <v>-2451350.91</v>
      </c>
      <c r="BJ21" s="1">
        <v>785291.56259999995</v>
      </c>
      <c r="BK21" s="1">
        <v>3223394.4589999998</v>
      </c>
      <c r="BL21" s="1">
        <v>-2438102.8969999999</v>
      </c>
      <c r="BM21" s="1">
        <v>800424.81420000002</v>
      </c>
      <c r="BN21" s="1">
        <v>3224680.7859999998</v>
      </c>
      <c r="BO21" s="1">
        <v>-2424255.9720000001</v>
      </c>
      <c r="BP21" s="1">
        <v>815354.35699999996</v>
      </c>
      <c r="BQ21" s="1">
        <v>3225949.7969999998</v>
      </c>
      <c r="BR21" s="1">
        <v>-2410595.44</v>
      </c>
      <c r="BS21" s="1">
        <v>830487.60860000004</v>
      </c>
      <c r="BT21" s="1">
        <v>3227236.1230000001</v>
      </c>
      <c r="BU21" s="1">
        <v>-2396748.5150000001</v>
      </c>
      <c r="BV21" s="1">
        <v>845278.00170000002</v>
      </c>
      <c r="BW21" s="1">
        <v>3228493.307</v>
      </c>
      <c r="BX21" s="1">
        <v>-2383215.3050000002</v>
      </c>
      <c r="BY21" s="1">
        <v>860348.19270000001</v>
      </c>
      <c r="BZ21" s="1">
        <v>3229774.273</v>
      </c>
      <c r="CA21" s="1">
        <v>-2369426.08</v>
      </c>
      <c r="CB21" s="1">
        <v>873548.96900000004</v>
      </c>
      <c r="CC21" s="1">
        <v>3230896.3390000002</v>
      </c>
      <c r="CD21" s="1">
        <v>-2357347.37</v>
      </c>
      <c r="CE21" s="1">
        <v>887887.41209999996</v>
      </c>
      <c r="CF21" s="1">
        <v>3232115.1069999998</v>
      </c>
      <c r="CG21" s="1">
        <v>-2344227.6940000001</v>
      </c>
      <c r="CH21" s="1">
        <v>901399.15529999998</v>
      </c>
      <c r="CI21" s="1">
        <v>3233263.605</v>
      </c>
      <c r="CJ21" s="1">
        <v>-2331864.449</v>
      </c>
      <c r="CK21" s="1">
        <v>915503.83129999996</v>
      </c>
      <c r="CL21" s="1">
        <v>3234462.5019999999</v>
      </c>
      <c r="CM21" s="1">
        <v>-2318958.6710000001</v>
      </c>
      <c r="CN21" s="1">
        <v>928704.60750000004</v>
      </c>
      <c r="CO21" s="1">
        <v>3235584.568</v>
      </c>
      <c r="CP21" s="1">
        <v>-2306879.9610000001</v>
      </c>
      <c r="CQ21" s="1">
        <v>942091.67489999998</v>
      </c>
      <c r="CR21" s="1">
        <v>3236722.469</v>
      </c>
      <c r="CS21" s="1">
        <v>-2294630.7940000002</v>
      </c>
      <c r="CT21" s="1">
        <v>955775.57</v>
      </c>
      <c r="CU21" s="1">
        <v>3237885.6</v>
      </c>
      <c r="CV21" s="1">
        <v>-2282110.0299999998</v>
      </c>
    </row>
    <row r="22" spans="1:100" x14ac:dyDescent="0.35">
      <c r="A22" t="s">
        <v>111</v>
      </c>
      <c r="B22" t="s">
        <v>174</v>
      </c>
      <c r="C22">
        <v>110004</v>
      </c>
      <c r="D22" t="s">
        <v>113</v>
      </c>
      <c r="E22" t="s">
        <v>112</v>
      </c>
      <c r="F22" t="s">
        <v>30</v>
      </c>
      <c r="G22" t="s">
        <v>33</v>
      </c>
      <c r="H22" s="1"/>
      <c r="I22" s="1"/>
      <c r="J22" s="1"/>
      <c r="K22" s="1">
        <v>831251.24809999997</v>
      </c>
      <c r="L22" s="1">
        <v>3093350.7969999998</v>
      </c>
      <c r="M22" s="1">
        <v>-2262099.548</v>
      </c>
      <c r="N22" s="1">
        <v>916984.35679999995</v>
      </c>
      <c r="O22" s="1">
        <v>3100638.111</v>
      </c>
      <c r="P22" s="1">
        <v>-2183653.7540000002</v>
      </c>
      <c r="Q22" s="1">
        <v>1041473.245</v>
      </c>
      <c r="R22" s="1">
        <v>4173880.219</v>
      </c>
      <c r="S22" s="1">
        <v>-3132406.9739999999</v>
      </c>
      <c r="T22" s="1">
        <v>1097498.3759999999</v>
      </c>
      <c r="U22" s="1">
        <v>4178362.2289999998</v>
      </c>
      <c r="V22" s="1">
        <v>-3080863.8530000001</v>
      </c>
      <c r="W22" s="1">
        <v>1146109.3160000001</v>
      </c>
      <c r="X22" s="1">
        <v>4182251.1039999998</v>
      </c>
      <c r="Y22" s="1">
        <v>-3036141.7889999999</v>
      </c>
      <c r="Z22" s="1">
        <v>1191271.0549999999</v>
      </c>
      <c r="AA22" s="1">
        <v>4185864.0430000001</v>
      </c>
      <c r="AB22" s="1">
        <v>-2994592.9890000001</v>
      </c>
      <c r="AC22" s="1">
        <v>1234066.584</v>
      </c>
      <c r="AD22" s="1">
        <v>4189287.6860000002</v>
      </c>
      <c r="AE22" s="1">
        <v>-2955221.102</v>
      </c>
      <c r="AF22" s="1">
        <v>1275146.959</v>
      </c>
      <c r="AG22" s="1">
        <v>4192574.1159999999</v>
      </c>
      <c r="AH22" s="1">
        <v>-2917427.1570000001</v>
      </c>
      <c r="AI22" s="1">
        <v>1313725.3330000001</v>
      </c>
      <c r="AJ22" s="1">
        <v>4195660.3859999999</v>
      </c>
      <c r="AK22" s="1">
        <v>-2881935.0529999998</v>
      </c>
      <c r="AL22" s="1">
        <v>1349626.199</v>
      </c>
      <c r="AM22" s="1">
        <v>4198532.4550000001</v>
      </c>
      <c r="AN22" s="1">
        <v>-2848906.2560000001</v>
      </c>
      <c r="AO22" s="1">
        <v>1383291.703</v>
      </c>
      <c r="AP22" s="1">
        <v>4201225.6950000003</v>
      </c>
      <c r="AQ22" s="1">
        <v>-2817933.9929999998</v>
      </c>
      <c r="AR22" s="1">
        <v>1416792.622</v>
      </c>
      <c r="AS22" s="1">
        <v>4203905.7690000003</v>
      </c>
      <c r="AT22" s="1">
        <v>-2787113.1469999999</v>
      </c>
      <c r="AU22" s="1">
        <v>1450298.1429999999</v>
      </c>
      <c r="AV22" s="1">
        <v>4206586.2110000001</v>
      </c>
      <c r="AW22" s="1">
        <v>-2756288.0669999998</v>
      </c>
      <c r="AX22" s="1">
        <v>1484758.1850000001</v>
      </c>
      <c r="AY22" s="1">
        <v>4209343.0140000004</v>
      </c>
      <c r="AZ22" s="1">
        <v>-2724584.8280000002</v>
      </c>
      <c r="BA22" s="1">
        <v>1518579.6089999999</v>
      </c>
      <c r="BB22" s="1">
        <v>4212048.7280000001</v>
      </c>
      <c r="BC22" s="1">
        <v>-2693469.1189999999</v>
      </c>
      <c r="BD22" s="1">
        <v>1553126.382</v>
      </c>
      <c r="BE22" s="1">
        <v>4214812.47</v>
      </c>
      <c r="BF22" s="1">
        <v>-2661686.0869999998</v>
      </c>
      <c r="BG22" s="1">
        <v>1587795.6710000001</v>
      </c>
      <c r="BH22" s="1">
        <v>4217586.0130000003</v>
      </c>
      <c r="BI22" s="1">
        <v>-2629790.341</v>
      </c>
      <c r="BJ22" s="1">
        <v>1623388.3</v>
      </c>
      <c r="BK22" s="1">
        <v>4220433.4230000004</v>
      </c>
      <c r="BL22" s="1">
        <v>-2597045.1230000001</v>
      </c>
      <c r="BM22" s="1">
        <v>1659668.44</v>
      </c>
      <c r="BN22" s="1">
        <v>4223335.8339999998</v>
      </c>
      <c r="BO22" s="1">
        <v>-2563667.395</v>
      </c>
      <c r="BP22" s="1">
        <v>1696340.66</v>
      </c>
      <c r="BQ22" s="1">
        <v>4226269.6119999997</v>
      </c>
      <c r="BR22" s="1">
        <v>-2529928.952</v>
      </c>
      <c r="BS22" s="1">
        <v>1732280.7069999999</v>
      </c>
      <c r="BT22" s="1">
        <v>4229144.8159999996</v>
      </c>
      <c r="BU22" s="1">
        <v>-2496864.1090000002</v>
      </c>
      <c r="BV22" s="1">
        <v>1768632.423</v>
      </c>
      <c r="BW22" s="1">
        <v>4232052.9529999997</v>
      </c>
      <c r="BX22" s="1">
        <v>-2463420.5299999998</v>
      </c>
      <c r="BY22" s="1">
        <v>1804714.4040000001</v>
      </c>
      <c r="BZ22" s="1">
        <v>4234939.5109999999</v>
      </c>
      <c r="CA22" s="1">
        <v>-2430225.1069999998</v>
      </c>
      <c r="CB22" s="1">
        <v>1838333.4040000001</v>
      </c>
      <c r="CC22" s="1">
        <v>4237629.0310000004</v>
      </c>
      <c r="CD22" s="1">
        <v>-2399295.628</v>
      </c>
      <c r="CE22" s="1">
        <v>1870590.648</v>
      </c>
      <c r="CF22" s="1">
        <v>4240209.6109999996</v>
      </c>
      <c r="CG22" s="1">
        <v>-2369618.963</v>
      </c>
      <c r="CH22" s="1">
        <v>1902489.048</v>
      </c>
      <c r="CI22" s="1">
        <v>4242761.483</v>
      </c>
      <c r="CJ22" s="1">
        <v>-2340272.4350000001</v>
      </c>
      <c r="CK22" s="1">
        <v>1933151.9369999999</v>
      </c>
      <c r="CL22" s="1">
        <v>4245214.5140000004</v>
      </c>
      <c r="CM22" s="1">
        <v>-2312062.577</v>
      </c>
      <c r="CN22" s="1">
        <v>1963818.9280000001</v>
      </c>
      <c r="CO22" s="1">
        <v>4247667.8729999997</v>
      </c>
      <c r="CP22" s="1">
        <v>-2283848.946</v>
      </c>
      <c r="CQ22" s="1">
        <v>1995199.003</v>
      </c>
      <c r="CR22" s="1">
        <v>4250178.2790000001</v>
      </c>
      <c r="CS22" s="1">
        <v>-2254979.2760000001</v>
      </c>
      <c r="CT22" s="1">
        <v>2026945.7479999999</v>
      </c>
      <c r="CU22" s="1">
        <v>4252718.0190000003</v>
      </c>
      <c r="CV22" s="1">
        <v>-2225772.2710000002</v>
      </c>
    </row>
    <row r="23" spans="1:100" x14ac:dyDescent="0.35">
      <c r="A23" t="s">
        <v>116</v>
      </c>
      <c r="B23" t="s">
        <v>117</v>
      </c>
      <c r="C23">
        <v>510140</v>
      </c>
      <c r="D23" t="s">
        <v>118</v>
      </c>
      <c r="E23" t="s">
        <v>117</v>
      </c>
      <c r="F23" t="s">
        <v>37</v>
      </c>
      <c r="G23" t="s">
        <v>33</v>
      </c>
      <c r="H23" s="1"/>
      <c r="I23" s="1"/>
      <c r="J23" s="1"/>
      <c r="K23" s="1">
        <v>202791.46350000001</v>
      </c>
      <c r="L23" s="1">
        <v>3761922.5890000002</v>
      </c>
      <c r="M23" s="1">
        <v>-3559131.1260000002</v>
      </c>
      <c r="N23" s="1">
        <v>208033.11989999999</v>
      </c>
      <c r="O23" s="1">
        <v>3762368.13</v>
      </c>
      <c r="P23" s="1">
        <v>-3554335.01</v>
      </c>
      <c r="Q23" s="1">
        <v>212221.4755</v>
      </c>
      <c r="R23" s="1">
        <v>3762724.14</v>
      </c>
      <c r="S23" s="1">
        <v>-3550502.665</v>
      </c>
      <c r="T23" s="1">
        <v>215487.7677</v>
      </c>
      <c r="U23" s="1">
        <v>3763001.7749999999</v>
      </c>
      <c r="V23" s="1">
        <v>-3547514.0070000002</v>
      </c>
      <c r="W23" s="1">
        <v>218332.09880000001</v>
      </c>
      <c r="X23" s="1">
        <v>3763243.5430000001</v>
      </c>
      <c r="Y23" s="1">
        <v>-3544911.4440000001</v>
      </c>
      <c r="Z23" s="1">
        <v>221004.5197</v>
      </c>
      <c r="AA23" s="1">
        <v>3763470.699</v>
      </c>
      <c r="AB23" s="1">
        <v>-3542466.179</v>
      </c>
      <c r="AC23" s="1">
        <v>223551.91510000001</v>
      </c>
      <c r="AD23" s="1">
        <v>3763687.2280000001</v>
      </c>
      <c r="AE23" s="1">
        <v>-3540135.3130000001</v>
      </c>
      <c r="AF23" s="1">
        <v>226005.54130000001</v>
      </c>
      <c r="AG23" s="1">
        <v>3763895.7859999998</v>
      </c>
      <c r="AH23" s="1">
        <v>-3537890.2439999999</v>
      </c>
      <c r="AI23" s="1">
        <v>228318.51379999999</v>
      </c>
      <c r="AJ23" s="1">
        <v>3764092.389</v>
      </c>
      <c r="AK23" s="1">
        <v>-3535773.875</v>
      </c>
      <c r="AL23" s="1">
        <v>230459.57620000001</v>
      </c>
      <c r="AM23" s="1">
        <v>3764274.3790000002</v>
      </c>
      <c r="AN23" s="1">
        <v>-3533814.8029999998</v>
      </c>
      <c r="AO23" s="1">
        <v>232444.3567</v>
      </c>
      <c r="AP23" s="1">
        <v>3764443.085</v>
      </c>
      <c r="AQ23" s="1">
        <v>-3531998.7280000001</v>
      </c>
      <c r="AR23" s="1">
        <v>234492.2414</v>
      </c>
      <c r="AS23" s="1">
        <v>3764617.1549999998</v>
      </c>
      <c r="AT23" s="1">
        <v>-3530124.9139999999</v>
      </c>
      <c r="AU23" s="1">
        <v>236461.39369999999</v>
      </c>
      <c r="AV23" s="1">
        <v>3764784.5329999998</v>
      </c>
      <c r="AW23" s="1">
        <v>-3528323.14</v>
      </c>
      <c r="AX23" s="1">
        <v>238508.6869</v>
      </c>
      <c r="AY23" s="1">
        <v>3764958.5529999998</v>
      </c>
      <c r="AZ23" s="1">
        <v>-3526449.8659999999</v>
      </c>
      <c r="BA23" s="1">
        <v>240477.83919999999</v>
      </c>
      <c r="BB23" s="1">
        <v>3765125.9309999999</v>
      </c>
      <c r="BC23" s="1">
        <v>-3524648.0920000002</v>
      </c>
      <c r="BD23" s="1">
        <v>242525.1324</v>
      </c>
      <c r="BE23" s="1">
        <v>3765299.9509999999</v>
      </c>
      <c r="BF23" s="1">
        <v>-3522774.8190000001</v>
      </c>
      <c r="BG23" s="1">
        <v>244549.9909</v>
      </c>
      <c r="BH23" s="1">
        <v>3765472.0639999998</v>
      </c>
      <c r="BI23" s="1">
        <v>-3520922.0729999999</v>
      </c>
      <c r="BJ23" s="1">
        <v>246628.54060000001</v>
      </c>
      <c r="BK23" s="1">
        <v>3765648.7409999999</v>
      </c>
      <c r="BL23" s="1">
        <v>-3519020.2</v>
      </c>
      <c r="BM23" s="1">
        <v>248738.34659999999</v>
      </c>
      <c r="BN23" s="1">
        <v>3765828.074</v>
      </c>
      <c r="BO23" s="1">
        <v>-3517089.7280000001</v>
      </c>
      <c r="BP23" s="1">
        <v>250879.40900000001</v>
      </c>
      <c r="BQ23" s="1">
        <v>3766010.0649999999</v>
      </c>
      <c r="BR23" s="1">
        <v>-3515130.656</v>
      </c>
      <c r="BS23" s="1">
        <v>252957.95860000001</v>
      </c>
      <c r="BT23" s="1">
        <v>3766186.7409999999</v>
      </c>
      <c r="BU23" s="1">
        <v>-3513228.7829999998</v>
      </c>
      <c r="BV23" s="1">
        <v>255083.3928</v>
      </c>
      <c r="BW23" s="1">
        <v>3766367.4029999999</v>
      </c>
      <c r="BX23" s="1">
        <v>-3511284.01</v>
      </c>
      <c r="BY23" s="1">
        <v>257161.9424</v>
      </c>
      <c r="BZ23" s="1">
        <v>3766544.08</v>
      </c>
      <c r="CA23" s="1">
        <v>-3509382.1379999998</v>
      </c>
      <c r="CB23" s="1">
        <v>259240.492</v>
      </c>
      <c r="CC23" s="1">
        <v>3766720.7570000002</v>
      </c>
      <c r="CD23" s="1">
        <v>-3507480.2650000001</v>
      </c>
      <c r="CE23" s="1">
        <v>261240.90059999999</v>
      </c>
      <c r="CF23" s="1">
        <v>3766890.7910000002</v>
      </c>
      <c r="CG23" s="1">
        <v>-3505649.8909999998</v>
      </c>
      <c r="CH23" s="1">
        <v>263304.41350000002</v>
      </c>
      <c r="CI23" s="1">
        <v>3767066.19</v>
      </c>
      <c r="CJ23" s="1">
        <v>-3503761.7760000001</v>
      </c>
      <c r="CK23" s="1">
        <v>265226.68119999999</v>
      </c>
      <c r="CL23" s="1">
        <v>3767229.5830000001</v>
      </c>
      <c r="CM23" s="1">
        <v>-3502002.9019999998</v>
      </c>
      <c r="CN23" s="1">
        <v>267164.57709999999</v>
      </c>
      <c r="CO23" s="1">
        <v>3767394.304</v>
      </c>
      <c r="CP23" s="1">
        <v>-3500229.727</v>
      </c>
      <c r="CQ23" s="1">
        <v>269133.72940000001</v>
      </c>
      <c r="CR23" s="1">
        <v>3767561.682</v>
      </c>
      <c r="CS23" s="1">
        <v>-3498427.952</v>
      </c>
      <c r="CT23" s="1">
        <v>271134.13799999998</v>
      </c>
      <c r="CU23" s="1">
        <v>3767731.7170000002</v>
      </c>
      <c r="CV23" s="1">
        <v>-3496597.5789999999</v>
      </c>
    </row>
    <row r="24" spans="1:100" x14ac:dyDescent="0.35">
      <c r="A24" t="s">
        <v>119</v>
      </c>
      <c r="B24" t="s">
        <v>120</v>
      </c>
      <c r="C24">
        <v>130080</v>
      </c>
      <c r="D24" t="s">
        <v>121</v>
      </c>
      <c r="E24" t="s">
        <v>120</v>
      </c>
      <c r="F24" t="s">
        <v>35</v>
      </c>
      <c r="G24" t="s">
        <v>33</v>
      </c>
      <c r="H24" s="1"/>
      <c r="I24" s="1"/>
      <c r="J24" s="1"/>
      <c r="K24" s="1">
        <v>236539.53460000001</v>
      </c>
      <c r="L24" s="1">
        <v>2878533.0109999999</v>
      </c>
      <c r="M24" s="1">
        <v>-2641993.4759999998</v>
      </c>
      <c r="N24" s="1">
        <v>249941.71739999999</v>
      </c>
      <c r="O24" s="1">
        <v>2879672.1970000002</v>
      </c>
      <c r="P24" s="1">
        <v>-2629730.4789999998</v>
      </c>
      <c r="Q24" s="1">
        <v>262507.37569999998</v>
      </c>
      <c r="R24" s="1">
        <v>2880740.2779999999</v>
      </c>
      <c r="S24" s="1">
        <v>-2618232.9019999998</v>
      </c>
      <c r="T24" s="1">
        <v>275853.85220000002</v>
      </c>
      <c r="U24" s="1">
        <v>2881874.7280000001</v>
      </c>
      <c r="V24" s="1">
        <v>-2606020.8760000002</v>
      </c>
      <c r="W24" s="1">
        <v>285032.58809999999</v>
      </c>
      <c r="X24" s="1">
        <v>2882654.9210000001</v>
      </c>
      <c r="Y24" s="1">
        <v>-2597622.3319999999</v>
      </c>
      <c r="Z24" s="1">
        <v>292696.61430000002</v>
      </c>
      <c r="AA24" s="1">
        <v>2883306.3629999999</v>
      </c>
      <c r="AB24" s="1">
        <v>-2590609.7489999998</v>
      </c>
      <c r="AC24" s="1">
        <v>299188.38299999997</v>
      </c>
      <c r="AD24" s="1">
        <v>2883858.1630000002</v>
      </c>
      <c r="AE24" s="1">
        <v>-2584669.7799999998</v>
      </c>
      <c r="AF24" s="1">
        <v>305877.24939999997</v>
      </c>
      <c r="AG24" s="1">
        <v>2884426.7170000002</v>
      </c>
      <c r="AH24" s="1">
        <v>-2578549.4670000002</v>
      </c>
      <c r="AI24" s="1">
        <v>311878.4754</v>
      </c>
      <c r="AJ24" s="1">
        <v>2884936.821</v>
      </c>
      <c r="AK24" s="1">
        <v>-2573058.3459999999</v>
      </c>
      <c r="AL24" s="1">
        <v>317926.58590000001</v>
      </c>
      <c r="AM24" s="1">
        <v>2885450.91</v>
      </c>
      <c r="AN24" s="1">
        <v>-2567524.324</v>
      </c>
      <c r="AO24" s="1">
        <v>323287.64750000002</v>
      </c>
      <c r="AP24" s="1">
        <v>2885906.6009999998</v>
      </c>
      <c r="AQ24" s="1">
        <v>-2562618.9530000002</v>
      </c>
      <c r="AR24" s="1">
        <v>329179.47610000003</v>
      </c>
      <c r="AS24" s="1">
        <v>2886407.406</v>
      </c>
      <c r="AT24" s="1">
        <v>-2557227.9300000002</v>
      </c>
      <c r="AU24" s="1">
        <v>334430.54879999999</v>
      </c>
      <c r="AV24" s="1">
        <v>2886853.747</v>
      </c>
      <c r="AW24" s="1">
        <v>-2552423.1979999999</v>
      </c>
      <c r="AX24" s="1">
        <v>340541.17210000003</v>
      </c>
      <c r="AY24" s="1">
        <v>2887373.15</v>
      </c>
      <c r="AZ24" s="1">
        <v>-2546831.9780000001</v>
      </c>
      <c r="BA24" s="1">
        <v>345901.6421</v>
      </c>
      <c r="BB24" s="1">
        <v>2887828.79</v>
      </c>
      <c r="BC24" s="1">
        <v>-2541927.148</v>
      </c>
      <c r="BD24" s="1">
        <v>352044.11330000003</v>
      </c>
      <c r="BE24" s="1">
        <v>2888350.9</v>
      </c>
      <c r="BF24" s="1">
        <v>-2536306.787</v>
      </c>
      <c r="BG24" s="1">
        <v>357529.60889999999</v>
      </c>
      <c r="BH24" s="1">
        <v>2888817.1669999999</v>
      </c>
      <c r="BI24" s="1">
        <v>-2531287.5580000002</v>
      </c>
      <c r="BJ24" s="1">
        <v>363937.1679</v>
      </c>
      <c r="BK24" s="1">
        <v>2889361.81</v>
      </c>
      <c r="BL24" s="1">
        <v>-2525424.642</v>
      </c>
      <c r="BM24" s="1">
        <v>369328.89429999999</v>
      </c>
      <c r="BN24" s="1">
        <v>2889820.1069999998</v>
      </c>
      <c r="BO24" s="1">
        <v>-2520491.2119999998</v>
      </c>
      <c r="BP24" s="1">
        <v>375898.94699999999</v>
      </c>
      <c r="BQ24" s="1">
        <v>2890378.5610000002</v>
      </c>
      <c r="BR24" s="1">
        <v>-2514479.6140000001</v>
      </c>
      <c r="BS24" s="1">
        <v>381415.69900000002</v>
      </c>
      <c r="BT24" s="1">
        <v>2890847.4849999999</v>
      </c>
      <c r="BU24" s="1">
        <v>-2509431.7859999998</v>
      </c>
      <c r="BV24" s="1">
        <v>388042.0527</v>
      </c>
      <c r="BW24" s="1">
        <v>2891410.7250000001</v>
      </c>
      <c r="BX24" s="1">
        <v>-2503368.6719999998</v>
      </c>
      <c r="BY24" s="1">
        <v>393871.36849999998</v>
      </c>
      <c r="BZ24" s="1">
        <v>2891906.2170000002</v>
      </c>
      <c r="CA24" s="1">
        <v>-2498034.8480000002</v>
      </c>
      <c r="CB24" s="1">
        <v>399575.65879999998</v>
      </c>
      <c r="CC24" s="1">
        <v>2892391.0819999999</v>
      </c>
      <c r="CD24" s="1">
        <v>-2492815.423</v>
      </c>
      <c r="CE24" s="1">
        <v>404492.32449999999</v>
      </c>
      <c r="CF24" s="1">
        <v>2892808.9980000001</v>
      </c>
      <c r="CG24" s="1">
        <v>-2488316.6740000001</v>
      </c>
      <c r="CH24" s="1">
        <v>410431.03769999999</v>
      </c>
      <c r="CI24" s="1">
        <v>2893313.7889999999</v>
      </c>
      <c r="CJ24" s="1">
        <v>-2482882.7510000002</v>
      </c>
      <c r="CK24" s="1">
        <v>415385.17469999997</v>
      </c>
      <c r="CL24" s="1">
        <v>2893734.89</v>
      </c>
      <c r="CM24" s="1">
        <v>-2478349.716</v>
      </c>
      <c r="CN24" s="1">
        <v>421151.97779999999</v>
      </c>
      <c r="CO24" s="1">
        <v>2894225.0690000001</v>
      </c>
      <c r="CP24" s="1">
        <v>-2473073.091</v>
      </c>
      <c r="CQ24" s="1">
        <v>427043.8064</v>
      </c>
      <c r="CR24" s="1">
        <v>2894725.8739999998</v>
      </c>
      <c r="CS24" s="1">
        <v>-2467682.068</v>
      </c>
      <c r="CT24" s="1">
        <v>433123.7648</v>
      </c>
      <c r="CU24" s="1">
        <v>2895242.6710000001</v>
      </c>
      <c r="CV24" s="1">
        <v>-2462118.906</v>
      </c>
    </row>
    <row r="25" spans="1:100" x14ac:dyDescent="0.35">
      <c r="A25" t="s">
        <v>122</v>
      </c>
      <c r="B25" t="s">
        <v>123</v>
      </c>
      <c r="C25">
        <v>130100</v>
      </c>
      <c r="D25" t="s">
        <v>124</v>
      </c>
      <c r="E25" t="s">
        <v>123</v>
      </c>
      <c r="F25" t="s">
        <v>35</v>
      </c>
      <c r="G25" t="s">
        <v>33</v>
      </c>
      <c r="H25" s="1"/>
      <c r="I25" s="1"/>
      <c r="J25" s="1"/>
      <c r="K25" s="1">
        <v>500659.98830000003</v>
      </c>
      <c r="L25" s="1">
        <v>2900983.25</v>
      </c>
      <c r="M25" s="1">
        <v>-2400323.2609999999</v>
      </c>
      <c r="N25" s="1">
        <v>540398.05249999999</v>
      </c>
      <c r="O25" s="1">
        <v>2904360.9849999999</v>
      </c>
      <c r="P25" s="1">
        <v>-2363962.9330000002</v>
      </c>
      <c r="Q25" s="1">
        <v>570810.36910000001</v>
      </c>
      <c r="R25" s="1">
        <v>2906946.0320000001</v>
      </c>
      <c r="S25" s="1">
        <v>-2336135.6630000002</v>
      </c>
      <c r="T25" s="1">
        <v>592409.12280000001</v>
      </c>
      <c r="U25" s="1">
        <v>2908781.926</v>
      </c>
      <c r="V25" s="1">
        <v>-2316372.8029999998</v>
      </c>
      <c r="W25" s="1">
        <v>610100.82830000005</v>
      </c>
      <c r="X25" s="1">
        <v>2910285.7209999999</v>
      </c>
      <c r="Y25" s="1">
        <v>-2300184.8930000002</v>
      </c>
      <c r="Z25" s="1">
        <v>626109.71779999998</v>
      </c>
      <c r="AA25" s="1">
        <v>2911646.477</v>
      </c>
      <c r="AB25" s="1">
        <v>-2285536.7590000001</v>
      </c>
      <c r="AC25" s="1">
        <v>664445.90029999998</v>
      </c>
      <c r="AD25" s="1">
        <v>3080592.9040000001</v>
      </c>
      <c r="AE25" s="1">
        <v>-2416147.0040000002</v>
      </c>
      <c r="AF25" s="1">
        <v>677739.4608</v>
      </c>
      <c r="AG25" s="1">
        <v>3081722.8569999998</v>
      </c>
      <c r="AH25" s="1">
        <v>-2403983.3960000002</v>
      </c>
      <c r="AI25" s="1">
        <v>689833.73899999994</v>
      </c>
      <c r="AJ25" s="1">
        <v>3082750.87</v>
      </c>
      <c r="AK25" s="1">
        <v>-2392917.1310000001</v>
      </c>
      <c r="AL25" s="1">
        <v>700072.74159999995</v>
      </c>
      <c r="AM25" s="1">
        <v>3083621.1850000001</v>
      </c>
      <c r="AN25" s="1">
        <v>-2383548.4440000001</v>
      </c>
      <c r="AO25" s="1">
        <v>709533.24289999995</v>
      </c>
      <c r="AP25" s="1">
        <v>3084425.3280000002</v>
      </c>
      <c r="AQ25" s="1">
        <v>-2374892.085</v>
      </c>
      <c r="AR25" s="1">
        <v>718463.14930000005</v>
      </c>
      <c r="AS25" s="1">
        <v>3085184.37</v>
      </c>
      <c r="AT25" s="1">
        <v>-2366721.2209999999</v>
      </c>
      <c r="AU25" s="1">
        <v>727096.95059999998</v>
      </c>
      <c r="AV25" s="1">
        <v>3085918.2429999998</v>
      </c>
      <c r="AW25" s="1">
        <v>-2358821.2930000001</v>
      </c>
      <c r="AX25" s="1">
        <v>736121.08649999998</v>
      </c>
      <c r="AY25" s="1">
        <v>3086685.2949999999</v>
      </c>
      <c r="AZ25" s="1">
        <v>-2350564.2080000001</v>
      </c>
      <c r="BA25" s="1">
        <v>744801.64119999995</v>
      </c>
      <c r="BB25" s="1">
        <v>3087423.142</v>
      </c>
      <c r="BC25" s="1">
        <v>-2342621.5010000002</v>
      </c>
      <c r="BD25" s="1">
        <v>753077.72210000001</v>
      </c>
      <c r="BE25" s="1">
        <v>3088126.6090000002</v>
      </c>
      <c r="BF25" s="1">
        <v>-2335048.8870000001</v>
      </c>
      <c r="BG25" s="1">
        <v>761321.91150000005</v>
      </c>
      <c r="BH25" s="1">
        <v>3088827.3650000002</v>
      </c>
      <c r="BI25" s="1">
        <v>-2327505.4530000002</v>
      </c>
      <c r="BJ25" s="1">
        <v>769846.62139999995</v>
      </c>
      <c r="BK25" s="1">
        <v>3089551.9649999999</v>
      </c>
      <c r="BL25" s="1">
        <v>-2319705.344</v>
      </c>
      <c r="BM25" s="1">
        <v>778574.65220000001</v>
      </c>
      <c r="BN25" s="1">
        <v>3090293.8480000002</v>
      </c>
      <c r="BO25" s="1">
        <v>-2311719.196</v>
      </c>
      <c r="BP25" s="1">
        <v>786803.25699999998</v>
      </c>
      <c r="BQ25" s="1">
        <v>3090993.2790000001</v>
      </c>
      <c r="BR25" s="1">
        <v>-2304190.0219999999</v>
      </c>
      <c r="BS25" s="1">
        <v>794766.92570000002</v>
      </c>
      <c r="BT25" s="1">
        <v>3091670.1910000001</v>
      </c>
      <c r="BU25" s="1">
        <v>-2296903.2650000001</v>
      </c>
      <c r="BV25" s="1">
        <v>802684.56359999999</v>
      </c>
      <c r="BW25" s="1">
        <v>3092343.19</v>
      </c>
      <c r="BX25" s="1">
        <v>-2289658.6269999999</v>
      </c>
      <c r="BY25" s="1">
        <v>810205.10419999994</v>
      </c>
      <c r="BZ25" s="1">
        <v>3092982.4360000002</v>
      </c>
      <c r="CA25" s="1">
        <v>-2282777.3319999999</v>
      </c>
      <c r="CB25" s="1">
        <v>817380.33929999999</v>
      </c>
      <c r="CC25" s="1">
        <v>3093592.3309999998</v>
      </c>
      <c r="CD25" s="1">
        <v>-2276211.9920000001</v>
      </c>
      <c r="CE25" s="1">
        <v>824222.64809999999</v>
      </c>
      <c r="CF25" s="1">
        <v>3094173.9270000001</v>
      </c>
      <c r="CG25" s="1">
        <v>-2269951.2790000001</v>
      </c>
      <c r="CH25" s="1">
        <v>831048.64980000001</v>
      </c>
      <c r="CI25" s="1">
        <v>3094754.1379999998</v>
      </c>
      <c r="CJ25" s="1">
        <v>-2263705.4879999999</v>
      </c>
      <c r="CK25" s="1">
        <v>836923.99840000004</v>
      </c>
      <c r="CL25" s="1">
        <v>3095253.5419999999</v>
      </c>
      <c r="CM25" s="1">
        <v>-2258329.5440000002</v>
      </c>
      <c r="CN25" s="1">
        <v>842690.97820000001</v>
      </c>
      <c r="CO25" s="1">
        <v>3095743.736</v>
      </c>
      <c r="CP25" s="1">
        <v>-2253052.7570000002</v>
      </c>
      <c r="CQ25" s="1">
        <v>848441.65090000001</v>
      </c>
      <c r="CR25" s="1">
        <v>3096232.5430000001</v>
      </c>
      <c r="CS25" s="1">
        <v>-2247790.892</v>
      </c>
      <c r="CT25" s="1">
        <v>854254.66150000005</v>
      </c>
      <c r="CU25" s="1">
        <v>3096726.6490000002</v>
      </c>
      <c r="CV25" s="1">
        <v>-2242471.9870000002</v>
      </c>
    </row>
    <row r="26" spans="1:100" x14ac:dyDescent="0.35">
      <c r="A26" t="s">
        <v>126</v>
      </c>
      <c r="B26" t="s">
        <v>175</v>
      </c>
      <c r="C26">
        <v>130140</v>
      </c>
      <c r="D26" t="s">
        <v>128</v>
      </c>
      <c r="E26" t="s">
        <v>127</v>
      </c>
      <c r="F26" t="s">
        <v>35</v>
      </c>
      <c r="G26" t="s">
        <v>33</v>
      </c>
      <c r="H26" s="1"/>
      <c r="I26" s="1"/>
      <c r="J26" s="1"/>
      <c r="K26" s="1">
        <v>378555.73979999998</v>
      </c>
      <c r="L26" s="1">
        <v>2890604.3879999998</v>
      </c>
      <c r="M26" s="1">
        <v>-2512048.6490000002</v>
      </c>
      <c r="N26" s="1">
        <v>410587.31959999999</v>
      </c>
      <c r="O26" s="1">
        <v>2893327.0729999999</v>
      </c>
      <c r="P26" s="1">
        <v>-2482739.753</v>
      </c>
      <c r="Q26" s="1">
        <v>434233.3665</v>
      </c>
      <c r="R26" s="1">
        <v>2895336.9870000002</v>
      </c>
      <c r="S26" s="1">
        <v>-2461103.62</v>
      </c>
      <c r="T26" s="1">
        <v>450814.87880000001</v>
      </c>
      <c r="U26" s="1">
        <v>2896746.415</v>
      </c>
      <c r="V26" s="1">
        <v>-2445931.5359999998</v>
      </c>
      <c r="W26" s="1">
        <v>464308.22090000001</v>
      </c>
      <c r="X26" s="1">
        <v>2897893.3489999999</v>
      </c>
      <c r="Y26" s="1">
        <v>-2433585.128</v>
      </c>
      <c r="Z26" s="1">
        <v>476154.39079999999</v>
      </c>
      <c r="AA26" s="1">
        <v>2898900.2740000002</v>
      </c>
      <c r="AB26" s="1">
        <v>-2422745.8829999999</v>
      </c>
      <c r="AC26" s="1">
        <v>486953.4719</v>
      </c>
      <c r="AD26" s="1">
        <v>2899818.196</v>
      </c>
      <c r="AE26" s="1">
        <v>-2412864.7239999999</v>
      </c>
      <c r="AF26" s="1">
        <v>497081.13219999999</v>
      </c>
      <c r="AG26" s="1">
        <v>2900679.0469999998</v>
      </c>
      <c r="AH26" s="1">
        <v>-2403597.915</v>
      </c>
      <c r="AI26" s="1">
        <v>506192.36849999998</v>
      </c>
      <c r="AJ26" s="1">
        <v>2901453.5019999999</v>
      </c>
      <c r="AK26" s="1">
        <v>-2395261.1329999999</v>
      </c>
      <c r="AL26" s="1">
        <v>514292.75910000002</v>
      </c>
      <c r="AM26" s="1">
        <v>2902142.0350000001</v>
      </c>
      <c r="AN26" s="1">
        <v>-2387849.2760000001</v>
      </c>
      <c r="AO26" s="1">
        <v>521513.57549999998</v>
      </c>
      <c r="AP26" s="1">
        <v>2902755.804</v>
      </c>
      <c r="AQ26" s="1">
        <v>-2381242.2289999998</v>
      </c>
      <c r="AR26" s="1">
        <v>528530.63399999996</v>
      </c>
      <c r="AS26" s="1">
        <v>2903352.2540000002</v>
      </c>
      <c r="AT26" s="1">
        <v>-2374821.62</v>
      </c>
      <c r="AU26" s="1">
        <v>535328.89780000004</v>
      </c>
      <c r="AV26" s="1">
        <v>2903930.1069999998</v>
      </c>
      <c r="AW26" s="1">
        <v>-2368601.2089999998</v>
      </c>
      <c r="AX26" s="1">
        <v>542195.29469999997</v>
      </c>
      <c r="AY26" s="1">
        <v>2904513.7510000002</v>
      </c>
      <c r="AZ26" s="1">
        <v>-2362318.4559999998</v>
      </c>
      <c r="BA26" s="1">
        <v>549072.29090000002</v>
      </c>
      <c r="BB26" s="1">
        <v>2905098.2949999999</v>
      </c>
      <c r="BC26" s="1">
        <v>-2356026.0040000002</v>
      </c>
      <c r="BD26" s="1">
        <v>555604.87540000002</v>
      </c>
      <c r="BE26" s="1">
        <v>2905653.5649999999</v>
      </c>
      <c r="BF26" s="1">
        <v>-2350048.69</v>
      </c>
      <c r="BG26" s="1">
        <v>562377.95160000003</v>
      </c>
      <c r="BH26" s="1">
        <v>2906229.2760000001</v>
      </c>
      <c r="BI26" s="1">
        <v>-2343851.3250000002</v>
      </c>
      <c r="BJ26" s="1">
        <v>569106.89610000001</v>
      </c>
      <c r="BK26" s="1">
        <v>2906801.2370000002</v>
      </c>
      <c r="BL26" s="1">
        <v>-2337694.341</v>
      </c>
      <c r="BM26" s="1">
        <v>576093.28969999996</v>
      </c>
      <c r="BN26" s="1">
        <v>2907395.08</v>
      </c>
      <c r="BO26" s="1">
        <v>-2331301.79</v>
      </c>
      <c r="BP26" s="1">
        <v>582657.13060000003</v>
      </c>
      <c r="BQ26" s="1">
        <v>2907953.0070000002</v>
      </c>
      <c r="BR26" s="1">
        <v>-2325295.8760000002</v>
      </c>
      <c r="BS26" s="1">
        <v>589049.06140000001</v>
      </c>
      <c r="BT26" s="1">
        <v>2908496.321</v>
      </c>
      <c r="BU26" s="1">
        <v>-2319447.2590000001</v>
      </c>
      <c r="BV26" s="1">
        <v>595597.27410000004</v>
      </c>
      <c r="BW26" s="1">
        <v>2909052.9190000002</v>
      </c>
      <c r="BX26" s="1">
        <v>-2313455.645</v>
      </c>
      <c r="BY26" s="1">
        <v>601833.51439999999</v>
      </c>
      <c r="BZ26" s="1">
        <v>2909582.9989999998</v>
      </c>
      <c r="CA26" s="1">
        <v>-2307749.4849999999</v>
      </c>
      <c r="CB26" s="1">
        <v>608428.61170000001</v>
      </c>
      <c r="CC26" s="1">
        <v>2910143.5830000001</v>
      </c>
      <c r="CD26" s="1">
        <v>-2301714.9709999999</v>
      </c>
      <c r="CE26" s="1">
        <v>614711.14509999997</v>
      </c>
      <c r="CF26" s="1">
        <v>2910677.5980000002</v>
      </c>
      <c r="CG26" s="1">
        <v>-2295966.4530000002</v>
      </c>
      <c r="CH26" s="1">
        <v>621009.30669999996</v>
      </c>
      <c r="CI26" s="1">
        <v>2911212.9419999998</v>
      </c>
      <c r="CJ26" s="1">
        <v>-2290203.6349999998</v>
      </c>
      <c r="CK26" s="1">
        <v>627000.52480000001</v>
      </c>
      <c r="CL26" s="1">
        <v>2911722.1949999998</v>
      </c>
      <c r="CM26" s="1">
        <v>-2284721.67</v>
      </c>
      <c r="CN26" s="1">
        <v>632658.522</v>
      </c>
      <c r="CO26" s="1">
        <v>2912203.125</v>
      </c>
      <c r="CP26" s="1">
        <v>-2279544.6030000001</v>
      </c>
      <c r="CQ26" s="1">
        <v>662138.67480000004</v>
      </c>
      <c r="CR26" s="1">
        <v>3080396.79</v>
      </c>
      <c r="CS26" s="1">
        <v>-2418258.1150000002</v>
      </c>
      <c r="CT26" s="1">
        <v>667905.65460000001</v>
      </c>
      <c r="CU26" s="1">
        <v>3080886.983</v>
      </c>
      <c r="CV26" s="1">
        <v>-2412981.3280000002</v>
      </c>
    </row>
    <row r="27" spans="1:100" x14ac:dyDescent="0.35">
      <c r="A27" t="s">
        <v>129</v>
      </c>
      <c r="B27" t="s">
        <v>42</v>
      </c>
      <c r="C27">
        <v>510270</v>
      </c>
      <c r="D27" t="s">
        <v>130</v>
      </c>
      <c r="E27" t="s">
        <v>42</v>
      </c>
      <c r="F27" t="s">
        <v>37</v>
      </c>
      <c r="G27" t="s">
        <v>33</v>
      </c>
      <c r="H27" s="1"/>
      <c r="I27" s="1"/>
      <c r="J27" s="1"/>
      <c r="K27" s="1">
        <v>479592.5932</v>
      </c>
      <c r="L27" s="1">
        <v>3785450.6850000001</v>
      </c>
      <c r="M27" s="1">
        <v>-3305858.0920000002</v>
      </c>
      <c r="N27" s="1">
        <v>517559.64279999997</v>
      </c>
      <c r="O27" s="1">
        <v>3788677.8840000001</v>
      </c>
      <c r="P27" s="1">
        <v>-3271118.2420000001</v>
      </c>
      <c r="Q27" s="1">
        <v>547400.07429999998</v>
      </c>
      <c r="R27" s="1">
        <v>3791214.321</v>
      </c>
      <c r="S27" s="1">
        <v>-3243814.247</v>
      </c>
      <c r="T27" s="1">
        <v>569528.85730000003</v>
      </c>
      <c r="U27" s="1">
        <v>3793095.2680000002</v>
      </c>
      <c r="V27" s="1">
        <v>-3223566.41</v>
      </c>
      <c r="W27" s="1">
        <v>588142.62620000006</v>
      </c>
      <c r="X27" s="1">
        <v>3794677.4380000001</v>
      </c>
      <c r="Y27" s="1">
        <v>-3206534.8119999999</v>
      </c>
      <c r="Z27" s="1">
        <v>605084.17839999998</v>
      </c>
      <c r="AA27" s="1">
        <v>3796117.47</v>
      </c>
      <c r="AB27" s="1">
        <v>-3191033.2919999999</v>
      </c>
      <c r="AC27" s="1">
        <v>621415.63970000006</v>
      </c>
      <c r="AD27" s="1">
        <v>3797505.6439999999</v>
      </c>
      <c r="AE27" s="1">
        <v>-3176090.0040000002</v>
      </c>
      <c r="AF27" s="1">
        <v>661826.98529999994</v>
      </c>
      <c r="AG27" s="1">
        <v>3980675.2749999999</v>
      </c>
      <c r="AH27" s="1">
        <v>-3318848.29</v>
      </c>
      <c r="AI27" s="1">
        <v>677583.61600000004</v>
      </c>
      <c r="AJ27" s="1">
        <v>3982014.5890000002</v>
      </c>
      <c r="AK27" s="1">
        <v>-3304430.9730000002</v>
      </c>
      <c r="AL27" s="1">
        <v>692202.57979999995</v>
      </c>
      <c r="AM27" s="1">
        <v>3983257.2009999999</v>
      </c>
      <c r="AN27" s="1">
        <v>-3291054.6209999998</v>
      </c>
      <c r="AO27" s="1">
        <v>705807.82990000001</v>
      </c>
      <c r="AP27" s="1">
        <v>3984413.6469999999</v>
      </c>
      <c r="AQ27" s="1">
        <v>-3278605.8169999998</v>
      </c>
      <c r="AR27" s="1">
        <v>719382.63359999994</v>
      </c>
      <c r="AS27" s="1">
        <v>3985567.5049999999</v>
      </c>
      <c r="AT27" s="1">
        <v>-3266184.8709999998</v>
      </c>
      <c r="AU27" s="1">
        <v>732801.59250000003</v>
      </c>
      <c r="AV27" s="1">
        <v>3986708.1170000001</v>
      </c>
      <c r="AW27" s="1">
        <v>-3253906.5240000002</v>
      </c>
      <c r="AX27" s="1">
        <v>746500.34939999995</v>
      </c>
      <c r="AY27" s="1">
        <v>3987872.5109999999</v>
      </c>
      <c r="AZ27" s="1">
        <v>-3241372.1609999998</v>
      </c>
      <c r="BA27" s="1">
        <v>759966.06180000002</v>
      </c>
      <c r="BB27" s="1">
        <v>3989017.0959999999</v>
      </c>
      <c r="BC27" s="1">
        <v>-3229051.0350000001</v>
      </c>
      <c r="BD27" s="1">
        <v>773618.7879</v>
      </c>
      <c r="BE27" s="1">
        <v>3990177.5780000002</v>
      </c>
      <c r="BF27" s="1">
        <v>-3216558.79</v>
      </c>
      <c r="BG27" s="1">
        <v>787161.70010000002</v>
      </c>
      <c r="BH27" s="1">
        <v>3991328.7259999998</v>
      </c>
      <c r="BI27" s="1">
        <v>-3204167.0260000001</v>
      </c>
      <c r="BJ27" s="1">
        <v>801157.28469999996</v>
      </c>
      <c r="BK27" s="1">
        <v>3992518.35</v>
      </c>
      <c r="BL27" s="1">
        <v>-3191361.0660000001</v>
      </c>
      <c r="BM27" s="1">
        <v>815354.35699999996</v>
      </c>
      <c r="BN27" s="1">
        <v>3993725.102</v>
      </c>
      <c r="BO27" s="1">
        <v>-3178370.7450000001</v>
      </c>
      <c r="BP27" s="1">
        <v>829708.38470000005</v>
      </c>
      <c r="BQ27" s="1">
        <v>3994945.1940000001</v>
      </c>
      <c r="BR27" s="1">
        <v>-3165236.8089999999</v>
      </c>
      <c r="BS27" s="1">
        <v>843626.04689999996</v>
      </c>
      <c r="BT27" s="1">
        <v>3996128.1949999998</v>
      </c>
      <c r="BU27" s="1">
        <v>-3152502.148</v>
      </c>
      <c r="BV27" s="1">
        <v>857683.24690000003</v>
      </c>
      <c r="BW27" s="1">
        <v>3997323.057</v>
      </c>
      <c r="BX27" s="1">
        <v>-3139639.81</v>
      </c>
      <c r="BY27" s="1">
        <v>871632.07810000004</v>
      </c>
      <c r="BZ27" s="1">
        <v>3998508.7080000001</v>
      </c>
      <c r="CA27" s="1">
        <v>-3126876.63</v>
      </c>
      <c r="CB27" s="1">
        <v>885596.49369999999</v>
      </c>
      <c r="CC27" s="1">
        <v>3999695.6830000002</v>
      </c>
      <c r="CD27" s="1">
        <v>-3114099.1889999998</v>
      </c>
      <c r="CE27" s="1">
        <v>899342.00410000002</v>
      </c>
      <c r="CF27" s="1">
        <v>4000864.0520000001</v>
      </c>
      <c r="CG27" s="1">
        <v>-3101522.0469999998</v>
      </c>
      <c r="CH27" s="1">
        <v>913259.66639999999</v>
      </c>
      <c r="CI27" s="1">
        <v>4002047.0529999998</v>
      </c>
      <c r="CJ27" s="1">
        <v>-3088787.3859999999</v>
      </c>
      <c r="CK27" s="1">
        <v>926631.14919999999</v>
      </c>
      <c r="CL27" s="1">
        <v>4003183.6290000002</v>
      </c>
      <c r="CM27" s="1">
        <v>-3076552.48</v>
      </c>
      <c r="CN27" s="1">
        <v>940159.19949999999</v>
      </c>
      <c r="CO27" s="1">
        <v>4004333.5129999998</v>
      </c>
      <c r="CP27" s="1">
        <v>-3064174.3139999998</v>
      </c>
      <c r="CQ27" s="1">
        <v>953921.01699999999</v>
      </c>
      <c r="CR27" s="1">
        <v>4005503.2680000002</v>
      </c>
      <c r="CS27" s="1">
        <v>-3051582.2510000002</v>
      </c>
      <c r="CT27" s="1">
        <v>967900.29449999996</v>
      </c>
      <c r="CU27" s="1">
        <v>4006691.5060000001</v>
      </c>
      <c r="CV27" s="1">
        <v>-3038791.2119999998</v>
      </c>
    </row>
    <row r="28" spans="1:100" x14ac:dyDescent="0.35">
      <c r="A28" t="s">
        <v>131</v>
      </c>
      <c r="B28" t="s">
        <v>176</v>
      </c>
      <c r="C28">
        <v>170210</v>
      </c>
      <c r="D28" t="s">
        <v>133</v>
      </c>
      <c r="E28" t="s">
        <v>132</v>
      </c>
      <c r="F28" t="s">
        <v>32</v>
      </c>
      <c r="G28" t="s">
        <v>33</v>
      </c>
      <c r="H28" s="1"/>
      <c r="I28" s="1"/>
      <c r="J28" s="1"/>
      <c r="K28" s="1">
        <v>567653.47420000006</v>
      </c>
      <c r="L28" s="1">
        <v>3390344.8330000001</v>
      </c>
      <c r="M28" s="1">
        <v>-2822691.3590000002</v>
      </c>
      <c r="N28" s="1">
        <v>664944.60360000003</v>
      </c>
      <c r="O28" s="1">
        <v>3612027.378</v>
      </c>
      <c r="P28" s="1">
        <v>-2947082.7740000002</v>
      </c>
      <c r="Q28" s="1">
        <v>716764.44110000005</v>
      </c>
      <c r="R28" s="1">
        <v>3616432.0639999998</v>
      </c>
      <c r="S28" s="1">
        <v>-2899667.6230000001</v>
      </c>
      <c r="T28" s="1">
        <v>752017.97759999998</v>
      </c>
      <c r="U28" s="1">
        <v>3619428.6140000001</v>
      </c>
      <c r="V28" s="1">
        <v>-2867410.6370000001</v>
      </c>
      <c r="W28" s="1">
        <v>779587.6433</v>
      </c>
      <c r="X28" s="1">
        <v>3621772.0359999998</v>
      </c>
      <c r="Y28" s="1">
        <v>-2842184.3930000002</v>
      </c>
      <c r="Z28" s="1">
        <v>803526.12549999997</v>
      </c>
      <c r="AA28" s="1">
        <v>3623806.807</v>
      </c>
      <c r="AB28" s="1">
        <v>-2820280.682</v>
      </c>
      <c r="AC28" s="1">
        <v>825562.91330000001</v>
      </c>
      <c r="AD28" s="1">
        <v>3625679.9339999999</v>
      </c>
      <c r="AE28" s="1">
        <v>-2800117.0210000002</v>
      </c>
      <c r="AF28" s="1">
        <v>846259.82380000001</v>
      </c>
      <c r="AG28" s="1">
        <v>3627439.1710000001</v>
      </c>
      <c r="AH28" s="1">
        <v>-2781179.3480000002</v>
      </c>
      <c r="AI28" s="1">
        <v>865289.19519999996</v>
      </c>
      <c r="AJ28" s="1">
        <v>3629056.6680000001</v>
      </c>
      <c r="AK28" s="1">
        <v>-2763767.4730000002</v>
      </c>
      <c r="AL28" s="1">
        <v>882276.27709999995</v>
      </c>
      <c r="AM28" s="1">
        <v>3630500.57</v>
      </c>
      <c r="AN28" s="1">
        <v>-2748224.2930000001</v>
      </c>
      <c r="AO28" s="1">
        <v>897892.64760000003</v>
      </c>
      <c r="AP28" s="1">
        <v>3631827.9610000001</v>
      </c>
      <c r="AQ28" s="1">
        <v>-2733935.3139999998</v>
      </c>
      <c r="AR28" s="1">
        <v>913353.17319999996</v>
      </c>
      <c r="AS28" s="1">
        <v>3633142.1060000001</v>
      </c>
      <c r="AT28" s="1">
        <v>-2719788.9330000002</v>
      </c>
      <c r="AU28" s="1">
        <v>928564.34719999996</v>
      </c>
      <c r="AV28" s="1">
        <v>3634435.0559999999</v>
      </c>
      <c r="AW28" s="1">
        <v>-2705870.7089999998</v>
      </c>
      <c r="AX28" s="1">
        <v>944195.57949999999</v>
      </c>
      <c r="AY28" s="1">
        <v>3635763.7110000001</v>
      </c>
      <c r="AZ28" s="1">
        <v>-2691568.1310000001</v>
      </c>
      <c r="BA28" s="1">
        <v>959313.24670000002</v>
      </c>
      <c r="BB28" s="1">
        <v>3637048.7119999998</v>
      </c>
      <c r="BC28" s="1">
        <v>-2677735.466</v>
      </c>
      <c r="BD28" s="1">
        <v>1030137.532</v>
      </c>
      <c r="BE28" s="1">
        <v>4295866.5990000004</v>
      </c>
      <c r="BF28" s="1">
        <v>-3265729.0669999998</v>
      </c>
      <c r="BG28" s="1">
        <v>1046466.357</v>
      </c>
      <c r="BH28" s="1">
        <v>4297172.9050000003</v>
      </c>
      <c r="BI28" s="1">
        <v>-3250706.548</v>
      </c>
      <c r="BJ28" s="1">
        <v>1063457.6610000001</v>
      </c>
      <c r="BK28" s="1">
        <v>4298532.2089999998</v>
      </c>
      <c r="BL28" s="1">
        <v>-3235074.548</v>
      </c>
      <c r="BM28" s="1">
        <v>1080444.2</v>
      </c>
      <c r="BN28" s="1">
        <v>4299891.1330000004</v>
      </c>
      <c r="BO28" s="1">
        <v>-3219446.932</v>
      </c>
      <c r="BP28" s="1">
        <v>1097751.406</v>
      </c>
      <c r="BQ28" s="1">
        <v>4301275.7089999998</v>
      </c>
      <c r="BR28" s="1">
        <v>-3203524.3029999998</v>
      </c>
      <c r="BS28" s="1">
        <v>1114379.602</v>
      </c>
      <c r="BT28" s="1">
        <v>4302605.9649999999</v>
      </c>
      <c r="BU28" s="1">
        <v>-3188226.3629999999</v>
      </c>
      <c r="BV28" s="1">
        <v>1131180.5859999999</v>
      </c>
      <c r="BW28" s="1">
        <v>4303950.0429999996</v>
      </c>
      <c r="BX28" s="1">
        <v>-3172769.4580000001</v>
      </c>
      <c r="BY28" s="1">
        <v>1147526.28</v>
      </c>
      <c r="BZ28" s="1">
        <v>4305257.699</v>
      </c>
      <c r="CA28" s="1">
        <v>-3157731.4190000002</v>
      </c>
      <c r="CB28" s="1">
        <v>1163062.28</v>
      </c>
      <c r="CC28" s="1">
        <v>4306500.5789999999</v>
      </c>
      <c r="CD28" s="1">
        <v>-3143438.2990000001</v>
      </c>
      <c r="CE28" s="1">
        <v>1178007.716</v>
      </c>
      <c r="CF28" s="1">
        <v>4307696.2139999997</v>
      </c>
      <c r="CG28" s="1">
        <v>-3129688.4980000001</v>
      </c>
      <c r="CH28" s="1">
        <v>1193244.683</v>
      </c>
      <c r="CI28" s="1">
        <v>4308915.1710000001</v>
      </c>
      <c r="CJ28" s="1">
        <v>-3115670.4879999999</v>
      </c>
      <c r="CK28" s="1">
        <v>1207346.851</v>
      </c>
      <c r="CL28" s="1">
        <v>4310043.3449999997</v>
      </c>
      <c r="CM28" s="1">
        <v>-3102696.4939999999</v>
      </c>
      <c r="CN28" s="1">
        <v>1221195.8259999999</v>
      </c>
      <c r="CO28" s="1">
        <v>4311151.2630000003</v>
      </c>
      <c r="CP28" s="1">
        <v>-3089955.4360000002</v>
      </c>
      <c r="CQ28" s="1">
        <v>1235213.6510000001</v>
      </c>
      <c r="CR28" s="1">
        <v>4312272.6890000002</v>
      </c>
      <c r="CS28" s="1">
        <v>-3077059.0380000002</v>
      </c>
      <c r="CT28" s="1">
        <v>1249450.767</v>
      </c>
      <c r="CU28" s="1">
        <v>4313411.6579999998</v>
      </c>
      <c r="CV28" s="1">
        <v>-3063960.8909999998</v>
      </c>
    </row>
    <row r="29" spans="1:100" x14ac:dyDescent="0.35">
      <c r="A29" t="s">
        <v>135</v>
      </c>
      <c r="B29" t="s">
        <v>136</v>
      </c>
      <c r="C29">
        <v>510515</v>
      </c>
      <c r="D29" t="s">
        <v>137</v>
      </c>
      <c r="E29" t="s">
        <v>136</v>
      </c>
      <c r="F29" t="s">
        <v>37</v>
      </c>
      <c r="G29" t="s">
        <v>33</v>
      </c>
      <c r="H29" s="1"/>
      <c r="I29" s="1"/>
      <c r="J29" s="1"/>
      <c r="K29" s="1">
        <v>168751.20050000001</v>
      </c>
      <c r="L29" s="1">
        <v>2140503.6979999999</v>
      </c>
      <c r="M29" s="1">
        <v>-1971752.4979999999</v>
      </c>
      <c r="N29" s="1">
        <v>170100.54579999999</v>
      </c>
      <c r="O29" s="1">
        <v>2140625.14</v>
      </c>
      <c r="P29" s="1">
        <v>-1970524.594</v>
      </c>
      <c r="Q29" s="1">
        <v>171188.25690000001</v>
      </c>
      <c r="R29" s="1">
        <v>2140723.034</v>
      </c>
      <c r="S29" s="1">
        <v>-1969534.777</v>
      </c>
      <c r="T29" s="1">
        <v>172016.0968</v>
      </c>
      <c r="U29" s="1">
        <v>2140797.5389999999</v>
      </c>
      <c r="V29" s="1">
        <v>-1968781.442</v>
      </c>
      <c r="W29" s="1">
        <v>172716.40400000001</v>
      </c>
      <c r="X29" s="1">
        <v>2140860.5669999998</v>
      </c>
      <c r="Y29" s="1">
        <v>-1968144.1629999999</v>
      </c>
      <c r="Z29" s="1">
        <v>173401.81099999999</v>
      </c>
      <c r="AA29" s="1">
        <v>2140922.253</v>
      </c>
      <c r="AB29" s="1">
        <v>-1967520.442</v>
      </c>
      <c r="AC29" s="1">
        <v>174027.61730000001</v>
      </c>
      <c r="AD29" s="1">
        <v>2140978.5759999999</v>
      </c>
      <c r="AE29" s="1">
        <v>-1966950.959</v>
      </c>
      <c r="AF29" s="1">
        <v>174646.85519999999</v>
      </c>
      <c r="AG29" s="1">
        <v>2141034.307</v>
      </c>
      <c r="AH29" s="1">
        <v>-1966387.452</v>
      </c>
      <c r="AI29" s="1">
        <v>175227.96109999999</v>
      </c>
      <c r="AJ29" s="1">
        <v>2141086.6069999998</v>
      </c>
      <c r="AK29" s="1">
        <v>-1965858.6459999999</v>
      </c>
      <c r="AL29" s="1">
        <v>175779.26670000001</v>
      </c>
      <c r="AM29" s="1">
        <v>2141136.2239999999</v>
      </c>
      <c r="AN29" s="1">
        <v>-1965356.9580000001</v>
      </c>
      <c r="AO29" s="1">
        <v>176270.97169999999</v>
      </c>
      <c r="AP29" s="1">
        <v>2141180.4780000001</v>
      </c>
      <c r="AQ29" s="1">
        <v>-1964909.5060000001</v>
      </c>
      <c r="AR29" s="1">
        <v>176777.57689999999</v>
      </c>
      <c r="AS29" s="1">
        <v>2141226.0720000002</v>
      </c>
      <c r="AT29" s="1">
        <v>-1964448.4950000001</v>
      </c>
      <c r="AU29" s="1">
        <v>177277.61350000001</v>
      </c>
      <c r="AV29" s="1">
        <v>2141271.0759999999</v>
      </c>
      <c r="AW29" s="1">
        <v>-1963993.4620000001</v>
      </c>
      <c r="AX29" s="1">
        <v>177799.1189</v>
      </c>
      <c r="AY29" s="1">
        <v>2141318.0109999999</v>
      </c>
      <c r="AZ29" s="1">
        <v>-1963518.892</v>
      </c>
      <c r="BA29" s="1">
        <v>178290.82389999999</v>
      </c>
      <c r="BB29" s="1">
        <v>2141362.2650000001</v>
      </c>
      <c r="BC29" s="1">
        <v>-1963071.4410000001</v>
      </c>
      <c r="BD29" s="1">
        <v>178797.429</v>
      </c>
      <c r="BE29" s="1">
        <v>2141407.8590000002</v>
      </c>
      <c r="BF29" s="1">
        <v>-1962610.43</v>
      </c>
      <c r="BG29" s="1">
        <v>179304.03419999999</v>
      </c>
      <c r="BH29" s="1">
        <v>2141453.4530000002</v>
      </c>
      <c r="BI29" s="1">
        <v>-1962149.419</v>
      </c>
      <c r="BJ29" s="1">
        <v>179833.87109999999</v>
      </c>
      <c r="BK29" s="1">
        <v>2141501.139</v>
      </c>
      <c r="BL29" s="1">
        <v>-1961667.2679999999</v>
      </c>
      <c r="BM29" s="1">
        <v>180340.47630000001</v>
      </c>
      <c r="BN29" s="1">
        <v>2141546.733</v>
      </c>
      <c r="BO29" s="1">
        <v>-1961206.257</v>
      </c>
      <c r="BP29" s="1">
        <v>180876.8818</v>
      </c>
      <c r="BQ29" s="1">
        <v>2141595.0099999998</v>
      </c>
      <c r="BR29" s="1">
        <v>-1960718.128</v>
      </c>
      <c r="BS29" s="1">
        <v>181383.48689999999</v>
      </c>
      <c r="BT29" s="1">
        <v>2141640.6039999998</v>
      </c>
      <c r="BU29" s="1">
        <v>-1960257.1170000001</v>
      </c>
      <c r="BV29" s="1">
        <v>181934.79250000001</v>
      </c>
      <c r="BW29" s="1">
        <v>2141690.2220000001</v>
      </c>
      <c r="BX29" s="1">
        <v>-1959755.429</v>
      </c>
      <c r="BY29" s="1">
        <v>182449.72930000001</v>
      </c>
      <c r="BZ29" s="1">
        <v>2141736.5660000001</v>
      </c>
      <c r="CA29" s="1">
        <v>-1959286.8370000001</v>
      </c>
      <c r="CB29" s="1">
        <v>182971.2346</v>
      </c>
      <c r="CC29" s="1">
        <v>2141783.5019999999</v>
      </c>
      <c r="CD29" s="1">
        <v>-1958812.267</v>
      </c>
      <c r="CE29" s="1">
        <v>183477.83979999999</v>
      </c>
      <c r="CF29" s="1">
        <v>2141829.0959999999</v>
      </c>
      <c r="CG29" s="1">
        <v>-1958351.2560000001</v>
      </c>
      <c r="CH29" s="1">
        <v>183954.6447</v>
      </c>
      <c r="CI29" s="1">
        <v>2141872.0079999999</v>
      </c>
      <c r="CJ29" s="1">
        <v>-1957917.3640000001</v>
      </c>
      <c r="CK29" s="1">
        <v>184431.44949999999</v>
      </c>
      <c r="CL29" s="1">
        <v>2141914.9210000001</v>
      </c>
      <c r="CM29" s="1">
        <v>-1957483.4709999999</v>
      </c>
      <c r="CN29" s="1">
        <v>184893.3542</v>
      </c>
      <c r="CO29" s="1">
        <v>2141956.4920000001</v>
      </c>
      <c r="CP29" s="1">
        <v>-1957063.138</v>
      </c>
      <c r="CQ29" s="1">
        <v>185378.49069999999</v>
      </c>
      <c r="CR29" s="1">
        <v>2142000.1549999998</v>
      </c>
      <c r="CS29" s="1">
        <v>-1956621.6640000001</v>
      </c>
      <c r="CT29" s="1">
        <v>185870.19570000001</v>
      </c>
      <c r="CU29" s="1">
        <v>2142044.4079999998</v>
      </c>
      <c r="CV29" s="1">
        <v>-1956174.2120000001</v>
      </c>
    </row>
    <row r="30" spans="1:100" x14ac:dyDescent="0.35">
      <c r="A30" t="s">
        <v>138</v>
      </c>
      <c r="B30" t="s">
        <v>139</v>
      </c>
      <c r="C30">
        <v>510250</v>
      </c>
      <c r="D30" t="s">
        <v>140</v>
      </c>
      <c r="E30" t="s">
        <v>139</v>
      </c>
      <c r="F30" t="s">
        <v>37</v>
      </c>
      <c r="G30" t="s">
        <v>33</v>
      </c>
      <c r="H30" s="1"/>
      <c r="I30" s="1"/>
      <c r="J30" s="1"/>
      <c r="K30" s="1">
        <v>311878.4754</v>
      </c>
      <c r="L30" s="1">
        <v>3771194.9849999999</v>
      </c>
      <c r="M30" s="1">
        <v>-3459316.51</v>
      </c>
      <c r="N30" s="1">
        <v>331320.53840000002</v>
      </c>
      <c r="O30" s="1">
        <v>3772847.5610000002</v>
      </c>
      <c r="P30" s="1">
        <v>-3441527.0219999999</v>
      </c>
      <c r="Q30" s="1">
        <v>346526.76980000001</v>
      </c>
      <c r="R30" s="1">
        <v>3774140.09</v>
      </c>
      <c r="S30" s="1">
        <v>-3427613.32</v>
      </c>
      <c r="T30" s="1">
        <v>357920.3137</v>
      </c>
      <c r="U30" s="1">
        <v>3775108.5410000002</v>
      </c>
      <c r="V30" s="1">
        <v>-3417188.2280000001</v>
      </c>
      <c r="W30" s="1">
        <v>367500.3958</v>
      </c>
      <c r="X30" s="1">
        <v>3775922.8480000002</v>
      </c>
      <c r="Y30" s="1">
        <v>-3408422.4530000002</v>
      </c>
      <c r="Z30" s="1">
        <v>376414.67739999999</v>
      </c>
      <c r="AA30" s="1">
        <v>3776680.5619999999</v>
      </c>
      <c r="AB30" s="1">
        <v>-3400265.8849999998</v>
      </c>
      <c r="AC30" s="1">
        <v>384603.85029999999</v>
      </c>
      <c r="AD30" s="1">
        <v>3777376.642</v>
      </c>
      <c r="AE30" s="1">
        <v>-3392772.7919999999</v>
      </c>
      <c r="AF30" s="1">
        <v>392464.83120000002</v>
      </c>
      <c r="AG30" s="1">
        <v>3778044.8250000002</v>
      </c>
      <c r="AH30" s="1">
        <v>-3385579.9939999999</v>
      </c>
      <c r="AI30" s="1">
        <v>399653.79979999998</v>
      </c>
      <c r="AJ30" s="1">
        <v>3778655.8879999998</v>
      </c>
      <c r="AK30" s="1">
        <v>-3379002.088</v>
      </c>
      <c r="AL30" s="1">
        <v>406258.31020000001</v>
      </c>
      <c r="AM30" s="1">
        <v>3779217.2710000002</v>
      </c>
      <c r="AN30" s="1">
        <v>-3372958.9610000001</v>
      </c>
      <c r="AO30" s="1">
        <v>412306.42080000002</v>
      </c>
      <c r="AP30" s="1">
        <v>3779731.361</v>
      </c>
      <c r="AQ30" s="1">
        <v>-3367424.94</v>
      </c>
      <c r="AR30" s="1">
        <v>418307.64669999998</v>
      </c>
      <c r="AS30" s="1">
        <v>3780241.4649999999</v>
      </c>
      <c r="AT30" s="1">
        <v>-3361933.818</v>
      </c>
      <c r="AU30" s="1">
        <v>424152.59080000001</v>
      </c>
      <c r="AV30" s="1">
        <v>3780738.2850000001</v>
      </c>
      <c r="AW30" s="1">
        <v>-3356585.6940000001</v>
      </c>
      <c r="AX30" s="1">
        <v>430153.81670000002</v>
      </c>
      <c r="AY30" s="1">
        <v>3781248.389</v>
      </c>
      <c r="AZ30" s="1">
        <v>-3351094.5729999999</v>
      </c>
      <c r="BA30" s="1">
        <v>436108.74959999998</v>
      </c>
      <c r="BB30" s="1">
        <v>3781754.5589999999</v>
      </c>
      <c r="BC30" s="1">
        <v>-3345645.8089999999</v>
      </c>
      <c r="BD30" s="1">
        <v>442016.20640000002</v>
      </c>
      <c r="BE30" s="1">
        <v>3782256.6919999998</v>
      </c>
      <c r="BF30" s="1">
        <v>-3340240.486</v>
      </c>
      <c r="BG30" s="1">
        <v>447986.17599999998</v>
      </c>
      <c r="BH30" s="1">
        <v>3782764.14</v>
      </c>
      <c r="BI30" s="1">
        <v>-3334777.9640000002</v>
      </c>
      <c r="BJ30" s="1">
        <v>454034.28649999999</v>
      </c>
      <c r="BK30" s="1">
        <v>3783278.2289999998</v>
      </c>
      <c r="BL30" s="1">
        <v>-3329243.943</v>
      </c>
      <c r="BM30" s="1">
        <v>460213.63439999998</v>
      </c>
      <c r="BN30" s="1">
        <v>3783803.4739999999</v>
      </c>
      <c r="BO30" s="1">
        <v>-3323589.8390000002</v>
      </c>
      <c r="BP30" s="1">
        <v>466464.91139999998</v>
      </c>
      <c r="BQ30" s="1">
        <v>3784334.8319999999</v>
      </c>
      <c r="BR30" s="1">
        <v>-3317869.9210000001</v>
      </c>
      <c r="BS30" s="1">
        <v>472434.88099999999</v>
      </c>
      <c r="BT30" s="1">
        <v>3784842.28</v>
      </c>
      <c r="BU30" s="1">
        <v>-3312407.3990000002</v>
      </c>
      <c r="BV30" s="1">
        <v>478561.13250000001</v>
      </c>
      <c r="BW30" s="1">
        <v>3785363.0109999999</v>
      </c>
      <c r="BX30" s="1">
        <v>-3306801.8790000002</v>
      </c>
      <c r="BY30" s="1">
        <v>484515.47389999998</v>
      </c>
      <c r="BZ30" s="1">
        <v>3785869.13</v>
      </c>
      <c r="CA30" s="1">
        <v>-3301353.656</v>
      </c>
      <c r="CB30" s="1">
        <v>490861.1116</v>
      </c>
      <c r="CC30" s="1">
        <v>3786408.5090000001</v>
      </c>
      <c r="CD30" s="1">
        <v>-3295547.398</v>
      </c>
      <c r="CE30" s="1">
        <v>496956.1067</v>
      </c>
      <c r="CF30" s="1">
        <v>3786926.5839999998</v>
      </c>
      <c r="CG30" s="1">
        <v>-3289970.477</v>
      </c>
      <c r="CH30" s="1">
        <v>503176.12729999999</v>
      </c>
      <c r="CI30" s="1">
        <v>3787455.2859999998</v>
      </c>
      <c r="CJ30" s="1">
        <v>-3284279.1579999998</v>
      </c>
      <c r="CK30" s="1">
        <v>509036.69949999999</v>
      </c>
      <c r="CL30" s="1">
        <v>3787953.4339999999</v>
      </c>
      <c r="CM30" s="1">
        <v>-3278916.7349999999</v>
      </c>
      <c r="CN30" s="1">
        <v>515011.65590000001</v>
      </c>
      <c r="CO30" s="1">
        <v>3788461.3059999999</v>
      </c>
      <c r="CP30" s="1">
        <v>-3273449.65</v>
      </c>
      <c r="CQ30" s="1">
        <v>521044.72970000003</v>
      </c>
      <c r="CR30" s="1">
        <v>3788974.1170000001</v>
      </c>
      <c r="CS30" s="1">
        <v>-3267929.3870000001</v>
      </c>
      <c r="CT30" s="1">
        <v>527108.46849999996</v>
      </c>
      <c r="CU30" s="1">
        <v>3789489.5350000001</v>
      </c>
      <c r="CV30" s="1">
        <v>-3262381.0660000001</v>
      </c>
    </row>
    <row r="31" spans="1:100" x14ac:dyDescent="0.35">
      <c r="A31" t="s">
        <v>141</v>
      </c>
      <c r="B31" t="s">
        <v>177</v>
      </c>
      <c r="C31">
        <v>221060</v>
      </c>
      <c r="D31" t="s">
        <v>143</v>
      </c>
      <c r="E31" t="s">
        <v>144</v>
      </c>
      <c r="F31" t="s">
        <v>38</v>
      </c>
      <c r="G31" t="s">
        <v>33</v>
      </c>
      <c r="H31" s="1"/>
      <c r="I31" s="1"/>
      <c r="J31" s="1"/>
      <c r="K31" s="1">
        <v>470637.63890000002</v>
      </c>
      <c r="L31" s="1">
        <v>3876644.9479999999</v>
      </c>
      <c r="M31" s="1">
        <v>-3406007.3089999999</v>
      </c>
      <c r="N31" s="1">
        <v>520779.05050000001</v>
      </c>
      <c r="O31" s="1">
        <v>3880906.9679999999</v>
      </c>
      <c r="P31" s="1">
        <v>-3360127.9180000001</v>
      </c>
      <c r="Q31" s="1">
        <v>551369.63520000002</v>
      </c>
      <c r="R31" s="1">
        <v>3883507.1680000001</v>
      </c>
      <c r="S31" s="1">
        <v>-3332137.5329999998</v>
      </c>
      <c r="T31" s="1">
        <v>575702.58490000002</v>
      </c>
      <c r="U31" s="1">
        <v>3885575.469</v>
      </c>
      <c r="V31" s="1">
        <v>-3309872.8840000001</v>
      </c>
      <c r="W31" s="1">
        <v>596910.04220000003</v>
      </c>
      <c r="X31" s="1">
        <v>3887378.1030000001</v>
      </c>
      <c r="Y31" s="1">
        <v>-3290468.06</v>
      </c>
      <c r="Z31" s="1">
        <v>616664.6692</v>
      </c>
      <c r="AA31" s="1">
        <v>3889057.2459999998</v>
      </c>
      <c r="AB31" s="1">
        <v>-3272392.577</v>
      </c>
      <c r="AC31" s="1">
        <v>661265.94400000002</v>
      </c>
      <c r="AD31" s="1">
        <v>4226960.0930000003</v>
      </c>
      <c r="AE31" s="1">
        <v>-3565694.1490000002</v>
      </c>
      <c r="AF31" s="1">
        <v>667625.13399999996</v>
      </c>
      <c r="AG31" s="1">
        <v>4227500.625</v>
      </c>
      <c r="AH31" s="1">
        <v>-3559875.4909999999</v>
      </c>
      <c r="AI31" s="1">
        <v>691205.17319999996</v>
      </c>
      <c r="AJ31" s="1">
        <v>4229504.9280000003</v>
      </c>
      <c r="AK31" s="1">
        <v>-3538299.7549999999</v>
      </c>
      <c r="AL31" s="1">
        <v>714660.53650000005</v>
      </c>
      <c r="AM31" s="1">
        <v>4231498.6339999996</v>
      </c>
      <c r="AN31" s="1">
        <v>-3516838.0970000001</v>
      </c>
      <c r="AO31" s="1">
        <v>720317.7023</v>
      </c>
      <c r="AP31" s="1">
        <v>4231979.4929999998</v>
      </c>
      <c r="AQ31" s="1">
        <v>-3511661.7910000002</v>
      </c>
      <c r="AR31" s="1">
        <v>743586.05189999996</v>
      </c>
      <c r="AS31" s="1">
        <v>4233957.3030000003</v>
      </c>
      <c r="AT31" s="1">
        <v>-3490371.2510000002</v>
      </c>
      <c r="AU31" s="1">
        <v>749118.54189999995</v>
      </c>
      <c r="AV31" s="1">
        <v>4234427.5640000002</v>
      </c>
      <c r="AW31" s="1">
        <v>-3485309.0219999999</v>
      </c>
      <c r="AX31" s="1">
        <v>772854.42579999997</v>
      </c>
      <c r="AY31" s="1">
        <v>4236445.1140000001</v>
      </c>
      <c r="AZ31" s="1">
        <v>-3463590.6889999998</v>
      </c>
      <c r="BA31" s="1">
        <v>778247.37809999997</v>
      </c>
      <c r="BB31" s="1">
        <v>4236903.5149999997</v>
      </c>
      <c r="BC31" s="1">
        <v>-3458656.1370000001</v>
      </c>
      <c r="BD31" s="1">
        <v>783624.02339999995</v>
      </c>
      <c r="BE31" s="1">
        <v>4237360.53</v>
      </c>
      <c r="BF31" s="1">
        <v>-3453736.5070000002</v>
      </c>
      <c r="BG31" s="1">
        <v>807313.15390000003</v>
      </c>
      <c r="BH31" s="1">
        <v>4239374.1059999997</v>
      </c>
      <c r="BI31" s="1">
        <v>-3432060.952</v>
      </c>
      <c r="BJ31" s="1">
        <v>812932.38800000004</v>
      </c>
      <c r="BK31" s="1">
        <v>4239851.7410000004</v>
      </c>
      <c r="BL31" s="1">
        <v>-3426919.3530000001</v>
      </c>
      <c r="BM31" s="1">
        <v>837422.70169999998</v>
      </c>
      <c r="BN31" s="1">
        <v>4241933.4179999996</v>
      </c>
      <c r="BO31" s="1">
        <v>-3404510.716</v>
      </c>
      <c r="BP31" s="1">
        <v>843111.75910000002</v>
      </c>
      <c r="BQ31" s="1">
        <v>4242416.9879999999</v>
      </c>
      <c r="BR31" s="1">
        <v>-3399305.2289999998</v>
      </c>
      <c r="BS31" s="1">
        <v>867330.76190000004</v>
      </c>
      <c r="BT31" s="1">
        <v>4244475.6030000001</v>
      </c>
      <c r="BU31" s="1">
        <v>-3377144.841</v>
      </c>
      <c r="BV31" s="1">
        <v>872582.73129999998</v>
      </c>
      <c r="BW31" s="1">
        <v>4244922.0199999996</v>
      </c>
      <c r="BX31" s="1">
        <v>-3372339.2889999999</v>
      </c>
      <c r="BY31" s="1">
        <v>896817.31850000005</v>
      </c>
      <c r="BZ31" s="1">
        <v>4246981.96</v>
      </c>
      <c r="CA31" s="1">
        <v>-3350164.642</v>
      </c>
      <c r="CB31" s="1">
        <v>901695.26040000003</v>
      </c>
      <c r="CC31" s="1">
        <v>4247396.585</v>
      </c>
      <c r="CD31" s="1">
        <v>-3345701.3250000002</v>
      </c>
      <c r="CE31" s="1">
        <v>925914.26320000004</v>
      </c>
      <c r="CF31" s="1">
        <v>4249455.2010000004</v>
      </c>
      <c r="CG31" s="1">
        <v>-3323540.9369999999</v>
      </c>
      <c r="CH31" s="1">
        <v>930450.06920000003</v>
      </c>
      <c r="CI31" s="1">
        <v>4249840.7439999999</v>
      </c>
      <c r="CJ31" s="1">
        <v>-3319390.6749999998</v>
      </c>
      <c r="CK31" s="1">
        <v>954030.10829999996</v>
      </c>
      <c r="CL31" s="1">
        <v>4251845.0470000003</v>
      </c>
      <c r="CM31" s="1">
        <v>-3297814.9389999998</v>
      </c>
      <c r="CN31" s="1">
        <v>957598.95400000003</v>
      </c>
      <c r="CO31" s="1">
        <v>4252148.3990000002</v>
      </c>
      <c r="CP31" s="1">
        <v>-3294549.4449999998</v>
      </c>
      <c r="CQ31" s="1">
        <v>961183.38410000002</v>
      </c>
      <c r="CR31" s="1">
        <v>4252453.0760000004</v>
      </c>
      <c r="CS31" s="1">
        <v>-3291269.6919999998</v>
      </c>
      <c r="CT31" s="1">
        <v>964783.39879999997</v>
      </c>
      <c r="CU31" s="1">
        <v>4252759.0769999996</v>
      </c>
      <c r="CV31" s="1">
        <v>-3287975.6779999998</v>
      </c>
    </row>
    <row r="32" spans="1:100" x14ac:dyDescent="0.35">
      <c r="A32" t="s">
        <v>145</v>
      </c>
      <c r="B32" t="s">
        <v>146</v>
      </c>
      <c r="C32">
        <v>130240</v>
      </c>
      <c r="D32" t="s">
        <v>147</v>
      </c>
      <c r="E32" t="s">
        <v>146</v>
      </c>
      <c r="F32" t="s">
        <v>35</v>
      </c>
      <c r="G32" t="s">
        <v>33</v>
      </c>
      <c r="H32" s="1"/>
      <c r="I32" s="1"/>
      <c r="J32" s="1"/>
      <c r="K32" s="1">
        <v>255208.41829999999</v>
      </c>
      <c r="L32" s="1">
        <v>2880119.8659999999</v>
      </c>
      <c r="M32" s="1">
        <v>-2624911.4479999999</v>
      </c>
      <c r="N32" s="1">
        <v>268242.92239999998</v>
      </c>
      <c r="O32" s="1">
        <v>2881227.7990000001</v>
      </c>
      <c r="P32" s="1">
        <v>-2612984.8769999999</v>
      </c>
      <c r="Q32" s="1">
        <v>278213.70929999999</v>
      </c>
      <c r="R32" s="1">
        <v>2882075.3160000001</v>
      </c>
      <c r="S32" s="1">
        <v>-2603861.6069999998</v>
      </c>
      <c r="T32" s="1">
        <v>285985.90779999999</v>
      </c>
      <c r="U32" s="1">
        <v>2882735.9530000002</v>
      </c>
      <c r="V32" s="1">
        <v>-2596750.0449999999</v>
      </c>
      <c r="W32" s="1">
        <v>292462.19140000001</v>
      </c>
      <c r="X32" s="1">
        <v>2883286.4369999999</v>
      </c>
      <c r="Y32" s="1">
        <v>-2590824.2450000001</v>
      </c>
      <c r="Z32" s="1">
        <v>298703.90899999999</v>
      </c>
      <c r="AA32" s="1">
        <v>2883816.983</v>
      </c>
      <c r="AB32" s="1">
        <v>-2585113.074</v>
      </c>
      <c r="AC32" s="1">
        <v>304580.10940000002</v>
      </c>
      <c r="AD32" s="1">
        <v>2884316.46</v>
      </c>
      <c r="AE32" s="1">
        <v>-2579736.35</v>
      </c>
      <c r="AF32" s="1">
        <v>310018.7205</v>
      </c>
      <c r="AG32" s="1">
        <v>2884778.7420000001</v>
      </c>
      <c r="AH32" s="1">
        <v>-2574760.0210000002</v>
      </c>
      <c r="AI32" s="1">
        <v>315441.70329999999</v>
      </c>
      <c r="AJ32" s="1">
        <v>2885239.6949999998</v>
      </c>
      <c r="AK32" s="1">
        <v>-2569797.9920000001</v>
      </c>
      <c r="AL32" s="1">
        <v>320552.71370000002</v>
      </c>
      <c r="AM32" s="1">
        <v>2885674.1310000001</v>
      </c>
      <c r="AN32" s="1">
        <v>-2565121.4169999999</v>
      </c>
      <c r="AO32" s="1">
        <v>325366.19709999999</v>
      </c>
      <c r="AP32" s="1">
        <v>2886083.2769999998</v>
      </c>
      <c r="AQ32" s="1">
        <v>-2560717.08</v>
      </c>
      <c r="AR32" s="1">
        <v>330226.565</v>
      </c>
      <c r="AS32" s="1">
        <v>2886496.409</v>
      </c>
      <c r="AT32" s="1">
        <v>-2556269.844</v>
      </c>
      <c r="AU32" s="1">
        <v>335102.56109999999</v>
      </c>
      <c r="AV32" s="1">
        <v>2886910.8679999998</v>
      </c>
      <c r="AW32" s="1">
        <v>-2551808.307</v>
      </c>
      <c r="AX32" s="1">
        <v>340134.83909999998</v>
      </c>
      <c r="AY32" s="1">
        <v>2887338.6120000002</v>
      </c>
      <c r="AZ32" s="1">
        <v>-2547203.773</v>
      </c>
      <c r="BA32" s="1">
        <v>345370.28360000002</v>
      </c>
      <c r="BB32" s="1">
        <v>2887783.625</v>
      </c>
      <c r="BC32" s="1">
        <v>-2542413.341</v>
      </c>
      <c r="BD32" s="1">
        <v>350528.17859999998</v>
      </c>
      <c r="BE32" s="1">
        <v>2888222.0460000001</v>
      </c>
      <c r="BF32" s="1">
        <v>-2537693.8670000001</v>
      </c>
      <c r="BG32" s="1">
        <v>355935.53330000001</v>
      </c>
      <c r="BH32" s="1">
        <v>2888681.6710000001</v>
      </c>
      <c r="BI32" s="1">
        <v>-2532746.1379999998</v>
      </c>
      <c r="BJ32" s="1">
        <v>361264.74690000003</v>
      </c>
      <c r="BK32" s="1">
        <v>2889134.6540000001</v>
      </c>
      <c r="BL32" s="1">
        <v>-2527869.9070000001</v>
      </c>
      <c r="BM32" s="1">
        <v>366953.40899999999</v>
      </c>
      <c r="BN32" s="1">
        <v>2889618.19</v>
      </c>
      <c r="BO32" s="1">
        <v>-2522664.781</v>
      </c>
      <c r="BP32" s="1">
        <v>372788.34519999998</v>
      </c>
      <c r="BQ32" s="1">
        <v>2890114.16</v>
      </c>
      <c r="BR32" s="1">
        <v>-2517325.8149999999</v>
      </c>
      <c r="BS32" s="1">
        <v>378493.22700000001</v>
      </c>
      <c r="BT32" s="1">
        <v>2890599.0750000002</v>
      </c>
      <c r="BU32" s="1">
        <v>-2512105.8480000002</v>
      </c>
      <c r="BV32" s="1">
        <v>384572.59389999998</v>
      </c>
      <c r="BW32" s="1">
        <v>2891115.821</v>
      </c>
      <c r="BX32" s="1">
        <v>-2506543.227</v>
      </c>
      <c r="BY32" s="1">
        <v>390370.65340000001</v>
      </c>
      <c r="BZ32" s="1">
        <v>2891608.656</v>
      </c>
      <c r="CA32" s="1">
        <v>-2501238.003</v>
      </c>
      <c r="CB32" s="1">
        <v>397106.4044</v>
      </c>
      <c r="CC32" s="1">
        <v>2892181.1949999998</v>
      </c>
      <c r="CD32" s="1">
        <v>-2495074.7910000002</v>
      </c>
      <c r="CE32" s="1">
        <v>403789.05579999997</v>
      </c>
      <c r="CF32" s="1">
        <v>2892749.22</v>
      </c>
      <c r="CG32" s="1">
        <v>-2488960.1639999999</v>
      </c>
      <c r="CH32" s="1">
        <v>410743.60149999999</v>
      </c>
      <c r="CI32" s="1">
        <v>2893340.3569999998</v>
      </c>
      <c r="CJ32" s="1">
        <v>-2482596.7549999999</v>
      </c>
      <c r="CK32" s="1">
        <v>417244.92959999997</v>
      </c>
      <c r="CL32" s="1">
        <v>2893892.97</v>
      </c>
      <c r="CM32" s="1">
        <v>-2476648.04</v>
      </c>
      <c r="CN32" s="1">
        <v>424074.4498</v>
      </c>
      <c r="CO32" s="1">
        <v>2894473.4789999998</v>
      </c>
      <c r="CP32" s="1">
        <v>-2470399.0290000001</v>
      </c>
      <c r="CQ32" s="1">
        <v>431060.25189999997</v>
      </c>
      <c r="CR32" s="1">
        <v>2895067.2719999999</v>
      </c>
      <c r="CS32" s="1">
        <v>-2464007.02</v>
      </c>
      <c r="CT32" s="1">
        <v>438281.06839999999</v>
      </c>
      <c r="CU32" s="1">
        <v>2895681.0410000002</v>
      </c>
      <c r="CV32" s="1">
        <v>-2457399.9730000002</v>
      </c>
    </row>
    <row r="33" spans="1:100" x14ac:dyDescent="0.35">
      <c r="A33" t="s">
        <v>148</v>
      </c>
      <c r="B33" t="s">
        <v>149</v>
      </c>
      <c r="C33">
        <v>130290</v>
      </c>
      <c r="D33" t="s">
        <v>150</v>
      </c>
      <c r="E33" t="s">
        <v>149</v>
      </c>
      <c r="F33" t="s">
        <v>35</v>
      </c>
      <c r="G33" t="s">
        <v>33</v>
      </c>
      <c r="H33" s="1"/>
      <c r="I33" s="1"/>
      <c r="J33" s="1"/>
      <c r="K33" s="1">
        <v>162610.57490000001</v>
      </c>
      <c r="L33" s="1">
        <v>1597174.476</v>
      </c>
      <c r="M33" s="1">
        <v>-1434563.9010000001</v>
      </c>
      <c r="N33" s="1">
        <v>163512.91560000001</v>
      </c>
      <c r="O33" s="1">
        <v>1597255.686</v>
      </c>
      <c r="P33" s="1">
        <v>-1433742.7709999999</v>
      </c>
      <c r="Q33" s="1">
        <v>164198.32260000001</v>
      </c>
      <c r="R33" s="1">
        <v>1597317.3729999999</v>
      </c>
      <c r="S33" s="1">
        <v>-1433119.05</v>
      </c>
      <c r="T33" s="1">
        <v>164704.9277</v>
      </c>
      <c r="U33" s="1">
        <v>1597362.9669999999</v>
      </c>
      <c r="V33" s="1">
        <v>-1432658.04</v>
      </c>
      <c r="W33" s="1">
        <v>165092.33170000001</v>
      </c>
      <c r="X33" s="1">
        <v>1597397.834</v>
      </c>
      <c r="Y33" s="1">
        <v>-1432305.5020000001</v>
      </c>
      <c r="Z33" s="1">
        <v>165435.03520000001</v>
      </c>
      <c r="AA33" s="1">
        <v>1597428.6769999999</v>
      </c>
      <c r="AB33" s="1">
        <v>-1431993.642</v>
      </c>
      <c r="AC33" s="1">
        <v>165762.83850000001</v>
      </c>
      <c r="AD33" s="1">
        <v>1597458.179</v>
      </c>
      <c r="AE33" s="1">
        <v>-1431695.341</v>
      </c>
      <c r="AF33" s="1">
        <v>166060.84160000001</v>
      </c>
      <c r="AG33" s="1">
        <v>1597485</v>
      </c>
      <c r="AH33" s="1">
        <v>-1431424.1580000001</v>
      </c>
      <c r="AI33" s="1">
        <v>166367.17619999999</v>
      </c>
      <c r="AJ33" s="1">
        <v>1597512.57</v>
      </c>
      <c r="AK33" s="1">
        <v>-1431145.3940000001</v>
      </c>
      <c r="AL33" s="1">
        <v>166665.17920000001</v>
      </c>
      <c r="AM33" s="1">
        <v>1597539.39</v>
      </c>
      <c r="AN33" s="1">
        <v>-1430874.2109999999</v>
      </c>
      <c r="AO33" s="1">
        <v>166918.48180000001</v>
      </c>
      <c r="AP33" s="1">
        <v>1597562.1869999999</v>
      </c>
      <c r="AQ33" s="1">
        <v>-1430643.7050000001</v>
      </c>
      <c r="AR33" s="1">
        <v>167186.68460000001</v>
      </c>
      <c r="AS33" s="1">
        <v>1597586.3259999999</v>
      </c>
      <c r="AT33" s="1">
        <v>-1430399.6410000001</v>
      </c>
      <c r="AU33" s="1">
        <v>167439.9871</v>
      </c>
      <c r="AV33" s="1">
        <v>1597609.1229999999</v>
      </c>
      <c r="AW33" s="1">
        <v>-1430169.1359999999</v>
      </c>
      <c r="AX33" s="1">
        <v>167693.28969999999</v>
      </c>
      <c r="AY33" s="1">
        <v>1597631.92</v>
      </c>
      <c r="AZ33" s="1">
        <v>-1429938.63</v>
      </c>
      <c r="BA33" s="1">
        <v>167946.59229999999</v>
      </c>
      <c r="BB33" s="1">
        <v>1597654.7169999999</v>
      </c>
      <c r="BC33" s="1">
        <v>-1429708.125</v>
      </c>
      <c r="BD33" s="1">
        <v>168199.89490000001</v>
      </c>
      <c r="BE33" s="1">
        <v>1597677.514</v>
      </c>
      <c r="BF33" s="1">
        <v>-1429477.62</v>
      </c>
      <c r="BG33" s="1">
        <v>168453.19750000001</v>
      </c>
      <c r="BH33" s="1">
        <v>1597700.3119999999</v>
      </c>
      <c r="BI33" s="1">
        <v>-1429247.1140000001</v>
      </c>
      <c r="BJ33" s="1">
        <v>168706.5001</v>
      </c>
      <c r="BK33" s="1">
        <v>1597723.1089999999</v>
      </c>
      <c r="BL33" s="1">
        <v>-1429016.6089999999</v>
      </c>
      <c r="BM33" s="1">
        <v>168983.0344</v>
      </c>
      <c r="BN33" s="1">
        <v>1597747.997</v>
      </c>
      <c r="BO33" s="1">
        <v>-1428764.963</v>
      </c>
      <c r="BP33" s="1">
        <v>169281.0374</v>
      </c>
      <c r="BQ33" s="1">
        <v>1597774.817</v>
      </c>
      <c r="BR33" s="1">
        <v>-1428493.78</v>
      </c>
      <c r="BS33" s="1">
        <v>169534.34</v>
      </c>
      <c r="BT33" s="1">
        <v>1597797.615</v>
      </c>
      <c r="BU33" s="1">
        <v>-1428263.2749999999</v>
      </c>
      <c r="BV33" s="1">
        <v>169787.64259999999</v>
      </c>
      <c r="BW33" s="1">
        <v>1597820.412</v>
      </c>
      <c r="BX33" s="1">
        <v>-1428032.7690000001</v>
      </c>
      <c r="BY33" s="1">
        <v>170040.94519999999</v>
      </c>
      <c r="BZ33" s="1">
        <v>1597843.209</v>
      </c>
      <c r="CA33" s="1">
        <v>-1427802.264</v>
      </c>
      <c r="CB33" s="1">
        <v>170294.24780000001</v>
      </c>
      <c r="CC33" s="1">
        <v>1597866.0060000001</v>
      </c>
      <c r="CD33" s="1">
        <v>-1427571.7579999999</v>
      </c>
      <c r="CE33" s="1">
        <v>170547.5503</v>
      </c>
      <c r="CF33" s="1">
        <v>1597888.8030000001</v>
      </c>
      <c r="CG33" s="1">
        <v>-1427341.253</v>
      </c>
      <c r="CH33" s="1">
        <v>170845.5534</v>
      </c>
      <c r="CI33" s="1">
        <v>1597915.6240000001</v>
      </c>
      <c r="CJ33" s="1">
        <v>-1427070.07</v>
      </c>
      <c r="CK33" s="1">
        <v>171098.856</v>
      </c>
      <c r="CL33" s="1">
        <v>1597938.4210000001</v>
      </c>
      <c r="CM33" s="1">
        <v>-1426839.5649999999</v>
      </c>
      <c r="CN33" s="1">
        <v>171322.35819999999</v>
      </c>
      <c r="CO33" s="1">
        <v>1597958.5360000001</v>
      </c>
      <c r="CP33" s="1">
        <v>-1426636.1780000001</v>
      </c>
      <c r="CQ33" s="1">
        <v>171628.69289999999</v>
      </c>
      <c r="CR33" s="1">
        <v>1597986.1059999999</v>
      </c>
      <c r="CS33" s="1">
        <v>-1426357.4129999999</v>
      </c>
      <c r="CT33" s="1">
        <v>171881.99549999999</v>
      </c>
      <c r="CU33" s="1">
        <v>1598008.9040000001</v>
      </c>
      <c r="CV33" s="1">
        <v>-1426126.9080000001</v>
      </c>
    </row>
    <row r="34" spans="1:100" x14ac:dyDescent="0.35">
      <c r="A34" t="s">
        <v>152</v>
      </c>
      <c r="B34" t="s">
        <v>153</v>
      </c>
      <c r="C34">
        <v>130340</v>
      </c>
      <c r="D34" t="s">
        <v>154</v>
      </c>
      <c r="E34" t="s">
        <v>153</v>
      </c>
      <c r="F34" t="s">
        <v>35</v>
      </c>
      <c r="G34" t="s">
        <v>33</v>
      </c>
      <c r="H34" s="1"/>
      <c r="I34" s="1"/>
      <c r="J34" s="1"/>
      <c r="K34" s="1">
        <v>1171445.8219999999</v>
      </c>
      <c r="L34" s="1">
        <v>4216962.1359999999</v>
      </c>
      <c r="M34" s="1">
        <v>-3045516.3139999998</v>
      </c>
      <c r="N34" s="1">
        <v>1338779.838</v>
      </c>
      <c r="O34" s="1">
        <v>4230348.8569999998</v>
      </c>
      <c r="P34" s="1">
        <v>-2891569.0189999999</v>
      </c>
      <c r="Q34" s="1">
        <v>1471265.84</v>
      </c>
      <c r="R34" s="1">
        <v>4240947.7369999997</v>
      </c>
      <c r="S34" s="1">
        <v>-2769681.898</v>
      </c>
      <c r="T34" s="1">
        <v>1575949.459</v>
      </c>
      <c r="U34" s="1">
        <v>4249322.4270000001</v>
      </c>
      <c r="V34" s="1">
        <v>-2673372.9679999999</v>
      </c>
      <c r="W34" s="1">
        <v>1662569.8419999999</v>
      </c>
      <c r="X34" s="1">
        <v>4256252.0580000002</v>
      </c>
      <c r="Y34" s="1">
        <v>-2593682.2149999999</v>
      </c>
      <c r="Z34" s="1">
        <v>1741609.0549999999</v>
      </c>
      <c r="AA34" s="1">
        <v>4262575.1950000003</v>
      </c>
      <c r="AB34" s="1">
        <v>-2520966.14</v>
      </c>
      <c r="AC34" s="1">
        <v>1815780.057</v>
      </c>
      <c r="AD34" s="1">
        <v>4268508.875</v>
      </c>
      <c r="AE34" s="1">
        <v>-2452728.818</v>
      </c>
      <c r="AF34" s="1">
        <v>1888066.5390000001</v>
      </c>
      <c r="AG34" s="1">
        <v>4274291.7929999996</v>
      </c>
      <c r="AH34" s="1">
        <v>-2386225.2540000002</v>
      </c>
      <c r="AI34" s="1">
        <v>1956481.077</v>
      </c>
      <c r="AJ34" s="1">
        <v>4279764.9560000002</v>
      </c>
      <c r="AK34" s="1">
        <v>-2323283.8790000002</v>
      </c>
      <c r="AL34" s="1">
        <v>2021294.76</v>
      </c>
      <c r="AM34" s="1">
        <v>4284950.051</v>
      </c>
      <c r="AN34" s="1">
        <v>-2263655.2910000002</v>
      </c>
      <c r="AO34" s="1">
        <v>2082139.5519999999</v>
      </c>
      <c r="AP34" s="1">
        <v>4289817.6339999996</v>
      </c>
      <c r="AQ34" s="1">
        <v>-2207678.0819999999</v>
      </c>
      <c r="AR34" s="1">
        <v>2144596.9049999998</v>
      </c>
      <c r="AS34" s="1">
        <v>4294814.2230000002</v>
      </c>
      <c r="AT34" s="1">
        <v>-2150217.318</v>
      </c>
      <c r="AU34" s="1">
        <v>2206044.8650000002</v>
      </c>
      <c r="AV34" s="1">
        <v>4299730.0590000004</v>
      </c>
      <c r="AW34" s="1">
        <v>-2093685.1950000001</v>
      </c>
      <c r="AX34" s="1">
        <v>2270386.0639999998</v>
      </c>
      <c r="AY34" s="1">
        <v>4304877.3550000004</v>
      </c>
      <c r="AZ34" s="1">
        <v>-2034491.2919999999</v>
      </c>
      <c r="BA34" s="1">
        <v>2333275.574</v>
      </c>
      <c r="BB34" s="1">
        <v>4309908.5159999998</v>
      </c>
      <c r="BC34" s="1">
        <v>-1976632.942</v>
      </c>
      <c r="BD34" s="1">
        <v>2398542.1579999998</v>
      </c>
      <c r="BE34" s="1">
        <v>4315129.8430000003</v>
      </c>
      <c r="BF34" s="1">
        <v>-1916587.6850000001</v>
      </c>
      <c r="BG34" s="1">
        <v>2463650.4470000002</v>
      </c>
      <c r="BH34" s="1">
        <v>4320338.5060000001</v>
      </c>
      <c r="BI34" s="1">
        <v>-1856688.0589999999</v>
      </c>
      <c r="BJ34" s="1">
        <v>2531635.4300000002</v>
      </c>
      <c r="BK34" s="1">
        <v>4325777.3049999997</v>
      </c>
      <c r="BL34" s="1">
        <v>-1794141.8740000001</v>
      </c>
      <c r="BM34" s="1">
        <v>2599815.1</v>
      </c>
      <c r="BN34" s="1">
        <v>4331231.6780000003</v>
      </c>
      <c r="BO34" s="1">
        <v>-1731416.578</v>
      </c>
      <c r="BP34" s="1">
        <v>2671072.4279999998</v>
      </c>
      <c r="BQ34" s="1">
        <v>4336932.2640000004</v>
      </c>
      <c r="BR34" s="1">
        <v>-1665859.8359999999</v>
      </c>
      <c r="BS34" s="1">
        <v>2740195.449</v>
      </c>
      <c r="BT34" s="1">
        <v>4342462.1059999997</v>
      </c>
      <c r="BU34" s="1">
        <v>-1602266.6569999999</v>
      </c>
      <c r="BV34" s="1">
        <v>2812009.6090000002</v>
      </c>
      <c r="BW34" s="1">
        <v>4348207.2390000001</v>
      </c>
      <c r="BX34" s="1">
        <v>-1536197.63</v>
      </c>
      <c r="BY34" s="1">
        <v>2882705.676</v>
      </c>
      <c r="BZ34" s="1">
        <v>4353862.9239999996</v>
      </c>
      <c r="CA34" s="1">
        <v>-1471157.2479999999</v>
      </c>
      <c r="CB34" s="1">
        <v>2954401.594</v>
      </c>
      <c r="CC34" s="1">
        <v>4359598.5980000002</v>
      </c>
      <c r="CD34" s="1">
        <v>-1405197.004</v>
      </c>
      <c r="CE34" s="1">
        <v>3025689.4040000001</v>
      </c>
      <c r="CF34" s="1">
        <v>4365301.6220000004</v>
      </c>
      <c r="CG34" s="1">
        <v>-1339612.2180000001</v>
      </c>
      <c r="CH34" s="1">
        <v>3099966.2209999999</v>
      </c>
      <c r="CI34" s="1">
        <v>4371243.7680000002</v>
      </c>
      <c r="CJ34" s="1">
        <v>-1271277.547</v>
      </c>
      <c r="CK34" s="1">
        <v>3171775.7790000001</v>
      </c>
      <c r="CL34" s="1">
        <v>4376988.5319999997</v>
      </c>
      <c r="CM34" s="1">
        <v>-1205212.753</v>
      </c>
      <c r="CN34" s="1">
        <v>3246467.3280000002</v>
      </c>
      <c r="CO34" s="1">
        <v>4382963.8559999997</v>
      </c>
      <c r="CP34" s="1">
        <v>-1136496.5279999999</v>
      </c>
      <c r="CQ34" s="1">
        <v>3322549.0869999998</v>
      </c>
      <c r="CR34" s="1">
        <v>4389050.3969999999</v>
      </c>
      <c r="CS34" s="1">
        <v>-1066501.31</v>
      </c>
      <c r="CT34" s="1">
        <v>3400448.2179999999</v>
      </c>
      <c r="CU34" s="1">
        <v>4395282.3279999997</v>
      </c>
      <c r="CV34" s="1">
        <v>-994834.10979999998</v>
      </c>
    </row>
    <row r="35" spans="1:100" x14ac:dyDescent="0.35">
      <c r="A35" t="s">
        <v>157</v>
      </c>
      <c r="B35" t="s">
        <v>158</v>
      </c>
      <c r="C35">
        <v>510795</v>
      </c>
      <c r="D35" t="s">
        <v>159</v>
      </c>
      <c r="E35" t="s">
        <v>158</v>
      </c>
      <c r="F35" t="s">
        <v>37</v>
      </c>
      <c r="G35" t="s">
        <v>33</v>
      </c>
      <c r="H35" s="1"/>
      <c r="I35" s="1"/>
      <c r="J35" s="1"/>
      <c r="K35" s="1">
        <v>449564.62339999998</v>
      </c>
      <c r="L35" s="1">
        <v>3782898.3080000002</v>
      </c>
      <c r="M35" s="1">
        <v>-3333333.6839999999</v>
      </c>
      <c r="N35" s="1">
        <v>486797.19</v>
      </c>
      <c r="O35" s="1">
        <v>3786063.0759999999</v>
      </c>
      <c r="P35" s="1">
        <v>-3299265.8859999999</v>
      </c>
      <c r="Q35" s="1">
        <v>516418.19329999998</v>
      </c>
      <c r="R35" s="1">
        <v>3788580.861</v>
      </c>
      <c r="S35" s="1">
        <v>-3272162.6680000001</v>
      </c>
      <c r="T35" s="1">
        <v>538892.12569999998</v>
      </c>
      <c r="U35" s="1">
        <v>3790491.1460000002</v>
      </c>
      <c r="V35" s="1">
        <v>-3251599.02</v>
      </c>
      <c r="W35" s="1">
        <v>558220.85239999997</v>
      </c>
      <c r="X35" s="1">
        <v>3792134.0869999998</v>
      </c>
      <c r="Y35" s="1">
        <v>-3233913.2349999999</v>
      </c>
      <c r="Z35" s="1">
        <v>575968.26419999998</v>
      </c>
      <c r="AA35" s="1">
        <v>3793642.6170000001</v>
      </c>
      <c r="AB35" s="1">
        <v>-3217674.3530000001</v>
      </c>
      <c r="AC35" s="1">
        <v>592721.68660000002</v>
      </c>
      <c r="AD35" s="1">
        <v>3795066.6579999998</v>
      </c>
      <c r="AE35" s="1">
        <v>-3202344.9720000001</v>
      </c>
      <c r="AF35" s="1">
        <v>609022.48300000001</v>
      </c>
      <c r="AG35" s="1">
        <v>3796452.2259999998</v>
      </c>
      <c r="AH35" s="1">
        <v>-3187429.7429999998</v>
      </c>
      <c r="AI35" s="1">
        <v>623963.03509999998</v>
      </c>
      <c r="AJ35" s="1">
        <v>3797722.173</v>
      </c>
      <c r="AK35" s="1">
        <v>-3173759.1379999998</v>
      </c>
      <c r="AL35" s="1">
        <v>661733.47840000002</v>
      </c>
      <c r="AM35" s="1">
        <v>3980667.327</v>
      </c>
      <c r="AN35" s="1">
        <v>-3318933.8489999999</v>
      </c>
      <c r="AO35" s="1">
        <v>674606.98049999995</v>
      </c>
      <c r="AP35" s="1">
        <v>3981761.5750000002</v>
      </c>
      <c r="AQ35" s="1">
        <v>-3307154.594</v>
      </c>
      <c r="AR35" s="1">
        <v>687402.56030000001</v>
      </c>
      <c r="AS35" s="1">
        <v>3982849.199</v>
      </c>
      <c r="AT35" s="1">
        <v>-3295446.639</v>
      </c>
      <c r="AU35" s="1">
        <v>700119.49509999994</v>
      </c>
      <c r="AV35" s="1">
        <v>3983930.1379999998</v>
      </c>
      <c r="AW35" s="1">
        <v>-3283810.6430000002</v>
      </c>
      <c r="AX35" s="1">
        <v>713086.50410000002</v>
      </c>
      <c r="AY35" s="1">
        <v>3985032.3339999998</v>
      </c>
      <c r="AZ35" s="1">
        <v>-3271945.83</v>
      </c>
      <c r="BA35" s="1">
        <v>725741.10100000002</v>
      </c>
      <c r="BB35" s="1">
        <v>3986107.9750000001</v>
      </c>
      <c r="BC35" s="1">
        <v>-3260366.8739999998</v>
      </c>
      <c r="BD35" s="1">
        <v>738676.94099999999</v>
      </c>
      <c r="BE35" s="1">
        <v>3987207.5210000002</v>
      </c>
      <c r="BF35" s="1">
        <v>-3248530.58</v>
      </c>
      <c r="BG35" s="1">
        <v>751550.44319999998</v>
      </c>
      <c r="BH35" s="1">
        <v>3988301.7689999999</v>
      </c>
      <c r="BI35" s="1">
        <v>-3236751.3259999999</v>
      </c>
      <c r="BJ35" s="1">
        <v>764859.5882</v>
      </c>
      <c r="BK35" s="1">
        <v>3989433.0460000001</v>
      </c>
      <c r="BL35" s="1">
        <v>-3224573.4580000001</v>
      </c>
      <c r="BM35" s="1">
        <v>778138.2868</v>
      </c>
      <c r="BN35" s="1">
        <v>3990561.736</v>
      </c>
      <c r="BO35" s="1">
        <v>-3212423.449</v>
      </c>
      <c r="BP35" s="1">
        <v>791727.95239999995</v>
      </c>
      <c r="BQ35" s="1">
        <v>3991716.8569999998</v>
      </c>
      <c r="BR35" s="1">
        <v>-3199988.9049999998</v>
      </c>
      <c r="BS35" s="1">
        <v>804928.72860000003</v>
      </c>
      <c r="BT35" s="1">
        <v>3992838.923</v>
      </c>
      <c r="BU35" s="1">
        <v>-3187910.1949999998</v>
      </c>
      <c r="BV35" s="1">
        <v>818394.05299999996</v>
      </c>
      <c r="BW35" s="1">
        <v>3993983.4759999998</v>
      </c>
      <c r="BX35" s="1">
        <v>-3175589.423</v>
      </c>
      <c r="BY35" s="1">
        <v>831640.86</v>
      </c>
      <c r="BZ35" s="1">
        <v>3995109.4539999999</v>
      </c>
      <c r="CA35" s="1">
        <v>-3163468.594</v>
      </c>
      <c r="CB35" s="1">
        <v>844763.71389999997</v>
      </c>
      <c r="CC35" s="1">
        <v>3996224.8969999999</v>
      </c>
      <c r="CD35" s="1">
        <v>-3151461.1830000002</v>
      </c>
      <c r="CE35" s="1">
        <v>857542.9865</v>
      </c>
      <c r="CF35" s="1">
        <v>3997311.1349999998</v>
      </c>
      <c r="CG35" s="1">
        <v>-3139768.1490000002</v>
      </c>
      <c r="CH35" s="1">
        <v>870400.90419999999</v>
      </c>
      <c r="CI35" s="1">
        <v>3998404.0580000002</v>
      </c>
      <c r="CJ35" s="1">
        <v>-3128003.1540000001</v>
      </c>
      <c r="CK35" s="1">
        <v>882852.90289999999</v>
      </c>
      <c r="CL35" s="1">
        <v>3999462.4780000001</v>
      </c>
      <c r="CM35" s="1">
        <v>-3116609.5750000002</v>
      </c>
      <c r="CN35" s="1">
        <v>895305.62410000002</v>
      </c>
      <c r="CO35" s="1">
        <v>4000520.9589999998</v>
      </c>
      <c r="CP35" s="1">
        <v>-3105215.335</v>
      </c>
      <c r="CQ35" s="1">
        <v>907976.52800000005</v>
      </c>
      <c r="CR35" s="1">
        <v>4001597.986</v>
      </c>
      <c r="CS35" s="1">
        <v>-3093621.4580000001</v>
      </c>
      <c r="CT35" s="1">
        <v>920818.13859999995</v>
      </c>
      <c r="CU35" s="1">
        <v>4002689.523</v>
      </c>
      <c r="CV35" s="1">
        <v>-3081871.3840000001</v>
      </c>
    </row>
    <row r="36" spans="1:100" x14ac:dyDescent="0.35">
      <c r="A36" t="s">
        <v>260</v>
      </c>
      <c r="B36" t="s">
        <v>261</v>
      </c>
      <c r="C36">
        <v>150620</v>
      </c>
      <c r="D36" t="s">
        <v>286</v>
      </c>
      <c r="E36" t="s">
        <v>261</v>
      </c>
      <c r="F36" t="s">
        <v>29</v>
      </c>
      <c r="G36" t="s">
        <v>33</v>
      </c>
      <c r="K36" s="1">
        <v>807967.70200000005</v>
      </c>
      <c r="L36" s="1">
        <v>3225321.9309999999</v>
      </c>
      <c r="M36" s="1">
        <v>-2417354.2289999998</v>
      </c>
      <c r="N36" s="1">
        <v>906885.61450000003</v>
      </c>
      <c r="O36" s="1">
        <v>3233729.9539999999</v>
      </c>
      <c r="P36" s="1">
        <v>-2326844.3390000002</v>
      </c>
      <c r="Q36" s="1">
        <v>1049372.362</v>
      </c>
      <c r="R36" s="1">
        <v>4363479.4950000001</v>
      </c>
      <c r="S36" s="1">
        <v>-3314107.1329999999</v>
      </c>
      <c r="T36" s="1">
        <v>1117550.902</v>
      </c>
      <c r="U36" s="1">
        <v>4368933.7790000001</v>
      </c>
      <c r="V36" s="1">
        <v>-3251382.8760000002</v>
      </c>
      <c r="W36" s="1">
        <v>1184675.4240000001</v>
      </c>
      <c r="X36" s="1">
        <v>4374303.74</v>
      </c>
      <c r="Y36" s="1">
        <v>-3189628.3160000001</v>
      </c>
      <c r="Z36" s="1">
        <v>1241674.3319999999</v>
      </c>
      <c r="AA36" s="1">
        <v>4378863.6529999999</v>
      </c>
      <c r="AB36" s="1">
        <v>-3137189.321</v>
      </c>
      <c r="AC36" s="1">
        <v>1304363.2479999999</v>
      </c>
      <c r="AD36" s="1">
        <v>4383878.7659999998</v>
      </c>
      <c r="AE36" s="1">
        <v>-3079515.5180000002</v>
      </c>
      <c r="AF36" s="1">
        <v>1359646.16</v>
      </c>
      <c r="AG36" s="1">
        <v>4388301.3990000002</v>
      </c>
      <c r="AH36" s="1">
        <v>-3028655.2390000001</v>
      </c>
      <c r="AI36" s="1">
        <v>1421701.3910000001</v>
      </c>
      <c r="AJ36" s="1">
        <v>4393265.818</v>
      </c>
      <c r="AK36" s="1">
        <v>-2971564.4270000001</v>
      </c>
      <c r="AL36" s="1">
        <v>1472682.804</v>
      </c>
      <c r="AM36" s="1">
        <v>4397344.3310000002</v>
      </c>
      <c r="AN36" s="1">
        <v>-2924661.5269999998</v>
      </c>
      <c r="AO36" s="1">
        <v>1526912.7069999999</v>
      </c>
      <c r="AP36" s="1">
        <v>4401682.7230000002</v>
      </c>
      <c r="AQ36" s="1">
        <v>-2874770.0159999998</v>
      </c>
      <c r="AR36" s="1">
        <v>1576944.7080000001</v>
      </c>
      <c r="AS36" s="1">
        <v>4405685.2829999998</v>
      </c>
      <c r="AT36" s="1">
        <v>-2828740.5750000002</v>
      </c>
      <c r="AU36" s="1">
        <v>1631957.5589999999</v>
      </c>
      <c r="AV36" s="1">
        <v>4410086.3109999998</v>
      </c>
      <c r="AW36" s="1">
        <v>-2778128.7519999999</v>
      </c>
      <c r="AX36" s="1">
        <v>1682407.1780000001</v>
      </c>
      <c r="AY36" s="1">
        <v>4414122.2810000004</v>
      </c>
      <c r="AZ36" s="1">
        <v>-2731715.102</v>
      </c>
      <c r="BA36" s="1">
        <v>1738876.338</v>
      </c>
      <c r="BB36" s="1">
        <v>4418639.8130000001</v>
      </c>
      <c r="BC36" s="1">
        <v>-2679763.4750000001</v>
      </c>
      <c r="BD36" s="1">
        <v>1789279.6159999999</v>
      </c>
      <c r="BE36" s="1">
        <v>4422672.0760000004</v>
      </c>
      <c r="BF36" s="1">
        <v>-2633392.46</v>
      </c>
      <c r="BG36" s="1">
        <v>1845856.8089999999</v>
      </c>
      <c r="BH36" s="1">
        <v>4427198.2510000002</v>
      </c>
      <c r="BI36" s="1">
        <v>-2581341.4419999998</v>
      </c>
      <c r="BJ36" s="1">
        <v>1896146.6089999999</v>
      </c>
      <c r="BK36" s="1">
        <v>4431221.4349999996</v>
      </c>
      <c r="BL36" s="1">
        <v>-2535074.8259999999</v>
      </c>
      <c r="BM36" s="1">
        <v>1953984.5209999999</v>
      </c>
      <c r="BN36" s="1">
        <v>4435848.4680000003</v>
      </c>
      <c r="BO36" s="1">
        <v>-2481863.9470000002</v>
      </c>
      <c r="BP36" s="1">
        <v>2003582.7080000001</v>
      </c>
      <c r="BQ36" s="1">
        <v>4439816.3229999999</v>
      </c>
      <c r="BR36" s="1">
        <v>-2436233.6150000002</v>
      </c>
      <c r="BS36" s="1">
        <v>2060902.12</v>
      </c>
      <c r="BT36" s="1">
        <v>4444401.8760000002</v>
      </c>
      <c r="BU36" s="1">
        <v>-2383499.7560000001</v>
      </c>
      <c r="BV36" s="1">
        <v>2110259.3760000002</v>
      </c>
      <c r="BW36" s="1">
        <v>4448350.4560000002</v>
      </c>
      <c r="BX36" s="1">
        <v>-2338091.08</v>
      </c>
      <c r="BY36" s="1">
        <v>2169478.1209999998</v>
      </c>
      <c r="BZ36" s="1">
        <v>4453087.9560000002</v>
      </c>
      <c r="CA36" s="1">
        <v>-2283609.835</v>
      </c>
      <c r="CB36" s="1">
        <v>2209216.1660000002</v>
      </c>
      <c r="CC36" s="1">
        <v>4456267</v>
      </c>
      <c r="CD36" s="1">
        <v>-2247050.8339999998</v>
      </c>
      <c r="CE36" s="1">
        <v>2259050.5129999998</v>
      </c>
      <c r="CF36" s="1">
        <v>4460253.7470000004</v>
      </c>
      <c r="CG36" s="1">
        <v>-2201203.2349999999</v>
      </c>
      <c r="CH36" s="1">
        <v>2406891.963</v>
      </c>
      <c r="CI36" s="1">
        <v>4472081.0630000001</v>
      </c>
      <c r="CJ36" s="1">
        <v>-2065189.1</v>
      </c>
      <c r="CK36" s="1">
        <v>2461018.9419999998</v>
      </c>
      <c r="CL36" s="1">
        <v>4476411.2220000001</v>
      </c>
      <c r="CM36" s="1">
        <v>-2015392.28</v>
      </c>
      <c r="CN36" s="1">
        <v>2501351.6529999999</v>
      </c>
      <c r="CO36" s="1">
        <v>4479637.8389999997</v>
      </c>
      <c r="CP36" s="1">
        <v>-1978286.186</v>
      </c>
      <c r="CQ36" s="1">
        <v>2542498.66</v>
      </c>
      <c r="CR36" s="1">
        <v>4482929.5990000004</v>
      </c>
      <c r="CS36" s="1">
        <v>-1940430.939</v>
      </c>
      <c r="CT36" s="1">
        <v>2584447.9479999999</v>
      </c>
      <c r="CU36" s="1">
        <v>4486285.5420000004</v>
      </c>
      <c r="CV36" s="1">
        <v>-1901837.594</v>
      </c>
    </row>
    <row r="37" spans="1:100" x14ac:dyDescent="0.35">
      <c r="A37" t="s">
        <v>262</v>
      </c>
      <c r="B37" t="s">
        <v>263</v>
      </c>
      <c r="C37">
        <v>210170</v>
      </c>
      <c r="D37" t="s">
        <v>287</v>
      </c>
      <c r="E37" t="s">
        <v>263</v>
      </c>
      <c r="F37" t="s">
        <v>31</v>
      </c>
      <c r="G37" t="s">
        <v>33</v>
      </c>
      <c r="K37" s="1">
        <v>1410871.736</v>
      </c>
      <c r="L37" s="1">
        <v>4932524.6739999996</v>
      </c>
      <c r="M37" s="1">
        <v>-3521652.9380000001</v>
      </c>
      <c r="N37" s="1">
        <v>1569455.04</v>
      </c>
      <c r="O37" s="1">
        <v>4945211.3380000005</v>
      </c>
      <c r="P37" s="1">
        <v>-3375756.298</v>
      </c>
      <c r="Q37" s="1">
        <v>1696239.4480000001</v>
      </c>
      <c r="R37" s="1">
        <v>4955354.09</v>
      </c>
      <c r="S37" s="1">
        <v>-3259114.6430000002</v>
      </c>
      <c r="T37" s="1">
        <v>1792214.7560000001</v>
      </c>
      <c r="U37" s="1">
        <v>4963032.1150000002</v>
      </c>
      <c r="V37" s="1">
        <v>-3170817.3590000002</v>
      </c>
      <c r="W37" s="1">
        <v>1875111.4380000001</v>
      </c>
      <c r="X37" s="1">
        <v>4969663.8499999996</v>
      </c>
      <c r="Y37" s="1">
        <v>-3094552.412</v>
      </c>
      <c r="Z37" s="1">
        <v>1952027.7609999999</v>
      </c>
      <c r="AA37" s="1">
        <v>4975817.1560000004</v>
      </c>
      <c r="AB37" s="1">
        <v>-3023789.3939999999</v>
      </c>
      <c r="AC37" s="1">
        <v>2024735.959</v>
      </c>
      <c r="AD37" s="1">
        <v>4981633.8109999998</v>
      </c>
      <c r="AE37" s="1">
        <v>-2956897.8530000001</v>
      </c>
      <c r="AF37" s="1">
        <v>2098687.6690000002</v>
      </c>
      <c r="AG37" s="1">
        <v>4987549.9479999999</v>
      </c>
      <c r="AH37" s="1">
        <v>-2888862.2790000001</v>
      </c>
      <c r="AI37" s="1">
        <v>2168027.4190000002</v>
      </c>
      <c r="AJ37" s="1">
        <v>4993097.1279999996</v>
      </c>
      <c r="AK37" s="1">
        <v>-2825069.7089999998</v>
      </c>
      <c r="AL37" s="1">
        <v>2231212.6850000001</v>
      </c>
      <c r="AM37" s="1">
        <v>4998151.949</v>
      </c>
      <c r="AN37" s="1">
        <v>-2766939.264</v>
      </c>
      <c r="AO37" s="1">
        <v>2292622.3590000002</v>
      </c>
      <c r="AP37" s="1">
        <v>5003064.7230000002</v>
      </c>
      <c r="AQ37" s="1">
        <v>-2710442.3640000001</v>
      </c>
      <c r="AR37" s="1">
        <v>2350903.2829999998</v>
      </c>
      <c r="AS37" s="1">
        <v>5007727.1969999997</v>
      </c>
      <c r="AT37" s="1">
        <v>-2656823.9139999999</v>
      </c>
      <c r="AU37" s="1">
        <v>2411007.9070000001</v>
      </c>
      <c r="AV37" s="1">
        <v>5012535.5669999998</v>
      </c>
      <c r="AW37" s="1">
        <v>-2601527.6609999998</v>
      </c>
      <c r="AX37" s="1">
        <v>2472354.6549999998</v>
      </c>
      <c r="AY37" s="1">
        <v>5017443.307</v>
      </c>
      <c r="AZ37" s="1">
        <v>-2545088.6519999998</v>
      </c>
      <c r="BA37" s="1">
        <v>2534047.6430000002</v>
      </c>
      <c r="BB37" s="1">
        <v>5022378.7460000003</v>
      </c>
      <c r="BC37" s="1">
        <v>-2488331.1030000001</v>
      </c>
      <c r="BD37" s="1">
        <v>2595007.5430000001</v>
      </c>
      <c r="BE37" s="1">
        <v>5027255.5379999997</v>
      </c>
      <c r="BF37" s="1">
        <v>-2432247.9950000001</v>
      </c>
      <c r="BG37" s="1">
        <v>2655722.1510000001</v>
      </c>
      <c r="BH37" s="1">
        <v>5032112.7070000004</v>
      </c>
      <c r="BI37" s="1">
        <v>-2376390.5559999999</v>
      </c>
      <c r="BJ37" s="1">
        <v>2718333.878</v>
      </c>
      <c r="BK37" s="1">
        <v>5037121.6449999996</v>
      </c>
      <c r="BL37" s="1">
        <v>-2318787.767</v>
      </c>
      <c r="BM37" s="1">
        <v>2779195.5380000002</v>
      </c>
      <c r="BN37" s="1">
        <v>5041990.5779999997</v>
      </c>
      <c r="BO37" s="1">
        <v>-2262795.0389999999</v>
      </c>
      <c r="BP37" s="1">
        <v>2844245.3820000002</v>
      </c>
      <c r="BQ37" s="1">
        <v>5047194.5650000004</v>
      </c>
      <c r="BR37" s="1">
        <v>-2202949.1830000002</v>
      </c>
      <c r="BS37" s="1">
        <v>2905883.1609999998</v>
      </c>
      <c r="BT37" s="1">
        <v>5052125.5880000005</v>
      </c>
      <c r="BU37" s="1">
        <v>-2146242.426</v>
      </c>
      <c r="BV37" s="1">
        <v>2968301.3369999998</v>
      </c>
      <c r="BW37" s="1">
        <v>5057119.0420000004</v>
      </c>
      <c r="BX37" s="1">
        <v>-2088817.7039999999</v>
      </c>
      <c r="BY37" s="1">
        <v>3033330.89</v>
      </c>
      <c r="BZ37" s="1">
        <v>5062321.4060000004</v>
      </c>
      <c r="CA37" s="1">
        <v>-2028990.5160000001</v>
      </c>
      <c r="CB37" s="1">
        <v>3091042.8829999999</v>
      </c>
      <c r="CC37" s="1">
        <v>5066938.3650000002</v>
      </c>
      <c r="CD37" s="1">
        <v>-1975895.4820000001</v>
      </c>
      <c r="CE37" s="1">
        <v>3151516.5649999999</v>
      </c>
      <c r="CF37" s="1">
        <v>5071776.26</v>
      </c>
      <c r="CG37" s="1">
        <v>-1920259.6950000001</v>
      </c>
      <c r="CH37" s="1">
        <v>3210021.3829999999</v>
      </c>
      <c r="CI37" s="1">
        <v>5076456.6449999996</v>
      </c>
      <c r="CJ37" s="1">
        <v>-1866435.2620000001</v>
      </c>
      <c r="CK37" s="1">
        <v>3268109.7689999999</v>
      </c>
      <c r="CL37" s="1">
        <v>5081103.716</v>
      </c>
      <c r="CM37" s="1">
        <v>-1812993.9469999999</v>
      </c>
      <c r="CN37" s="1">
        <v>3327103.6150000002</v>
      </c>
      <c r="CO37" s="1">
        <v>5085823.2240000004</v>
      </c>
      <c r="CP37" s="1">
        <v>-1758719.6089999999</v>
      </c>
      <c r="CQ37" s="1">
        <v>3387054.5320000001</v>
      </c>
      <c r="CR37" s="1">
        <v>5090619.2970000003</v>
      </c>
      <c r="CS37" s="1">
        <v>-1703564.7649999999</v>
      </c>
      <c r="CT37" s="1">
        <v>3448191.6979999999</v>
      </c>
      <c r="CU37" s="1">
        <v>5095510.2699999996</v>
      </c>
      <c r="CV37" s="1">
        <v>-1647318.5730000001</v>
      </c>
    </row>
    <row r="44" spans="1:100" x14ac:dyDescent="0.35">
      <c r="A44" s="63" t="s">
        <v>354</v>
      </c>
    </row>
  </sheetData>
  <autoFilter ref="A2:CV37" xr:uid="{A08480FB-AE0C-4146-821A-E9515BFD14AE}"/>
  <hyperlinks>
    <hyperlink ref="A44" location="Introdução!A1" display="Introdução!A1" xr:uid="{CE0C8350-B2CE-41B1-A0EA-7FC9F903FF89}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43F5-7F9B-45BB-AFB9-B01F6A3FC9EE}">
  <sheetPr>
    <tabColor rgb="FF92D050"/>
  </sheetPr>
  <dimension ref="A1:BG42"/>
  <sheetViews>
    <sheetView workbookViewId="0">
      <selection activeCell="A10" sqref="A10:XFD10"/>
    </sheetView>
  </sheetViews>
  <sheetFormatPr defaultRowHeight="14.5" x14ac:dyDescent="0.35"/>
  <cols>
    <col min="1" max="1" width="7" bestFit="1" customWidth="1"/>
    <col min="2" max="2" width="15.453125" customWidth="1"/>
    <col min="3" max="3" width="13.1796875" bestFit="1" customWidth="1"/>
    <col min="4" max="4" width="15.54296875" customWidth="1"/>
    <col min="5" max="5" width="3.81640625" bestFit="1" customWidth="1"/>
    <col min="7" max="7" width="11.7265625" customWidth="1"/>
    <col min="8" max="11" width="16.81640625" bestFit="1" customWidth="1"/>
    <col min="12" max="12" width="18" bestFit="1" customWidth="1"/>
    <col min="13" max="13" width="15.81640625" bestFit="1" customWidth="1"/>
    <col min="14" max="14" width="18" bestFit="1" customWidth="1"/>
    <col min="15" max="15" width="9.26953125" bestFit="1" customWidth="1"/>
    <col min="16" max="16" width="18" bestFit="1" customWidth="1"/>
    <col min="17" max="17" width="14.26953125" style="49" bestFit="1" customWidth="1"/>
    <col min="18" max="18" width="18" bestFit="1" customWidth="1"/>
    <col min="54" max="54" width="9.26953125" bestFit="1" customWidth="1"/>
    <col min="55" max="55" width="18" style="49" bestFit="1" customWidth="1"/>
    <col min="56" max="56" width="9.1796875" style="49"/>
    <col min="57" max="59" width="16.81640625" style="49" bestFit="1" customWidth="1"/>
  </cols>
  <sheetData>
    <row r="1" spans="1:5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/>
      <c r="N1" s="2"/>
      <c r="O1" s="2"/>
      <c r="P1" s="2"/>
      <c r="Q1" s="25"/>
      <c r="R1" s="2"/>
      <c r="S1" s="2" t="s">
        <v>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 t="s">
        <v>8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9</v>
      </c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5" t="s">
        <v>10</v>
      </c>
      <c r="BD1" s="25"/>
      <c r="BE1" s="25" t="s">
        <v>183</v>
      </c>
      <c r="BF1" s="25"/>
      <c r="BG1" s="25"/>
    </row>
    <row r="2" spans="1:59" x14ac:dyDescent="0.35">
      <c r="A2" s="2"/>
      <c r="B2" s="2"/>
      <c r="C2" s="2"/>
      <c r="D2" s="2"/>
      <c r="E2" s="2"/>
      <c r="F2" s="2"/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  <c r="Q2" s="25" t="s">
        <v>24</v>
      </c>
      <c r="R2" s="2" t="s">
        <v>25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14</v>
      </c>
      <c r="AF2" s="2" t="s">
        <v>15</v>
      </c>
      <c r="AG2" s="2" t="s">
        <v>16</v>
      </c>
      <c r="AH2" s="2" t="s">
        <v>17</v>
      </c>
      <c r="AI2" s="2" t="s">
        <v>18</v>
      </c>
      <c r="AJ2" s="2" t="s">
        <v>19</v>
      </c>
      <c r="AK2" s="2" t="s">
        <v>20</v>
      </c>
      <c r="AL2" s="2" t="s">
        <v>21</v>
      </c>
      <c r="AM2" s="2" t="s">
        <v>22</v>
      </c>
      <c r="AN2" s="2" t="s">
        <v>23</v>
      </c>
      <c r="AO2" s="2" t="s">
        <v>24</v>
      </c>
      <c r="AP2" s="2" t="s">
        <v>25</v>
      </c>
      <c r="AQ2" s="2" t="s">
        <v>14</v>
      </c>
      <c r="AR2" s="2" t="s">
        <v>15</v>
      </c>
      <c r="AS2" s="2" t="s">
        <v>16</v>
      </c>
      <c r="AT2" s="2" t="s">
        <v>17</v>
      </c>
      <c r="AU2" s="2" t="s">
        <v>18</v>
      </c>
      <c r="AV2" s="2" t="s">
        <v>19</v>
      </c>
      <c r="AW2" s="2" t="s">
        <v>20</v>
      </c>
      <c r="AX2" s="2" t="s">
        <v>21</v>
      </c>
      <c r="AY2" s="2" t="s">
        <v>22</v>
      </c>
      <c r="AZ2" s="2" t="s">
        <v>23</v>
      </c>
      <c r="BA2" s="2" t="s">
        <v>24</v>
      </c>
      <c r="BB2" s="2" t="s">
        <v>25</v>
      </c>
      <c r="BC2" s="25" t="s">
        <v>25</v>
      </c>
      <c r="BD2" s="25"/>
      <c r="BE2" s="25" t="s">
        <v>184</v>
      </c>
      <c r="BF2" s="25" t="s">
        <v>185</v>
      </c>
      <c r="BG2" s="25" t="s">
        <v>186</v>
      </c>
    </row>
    <row r="3" spans="1:59" x14ac:dyDescent="0.35">
      <c r="A3" t="s">
        <v>43</v>
      </c>
      <c r="B3" t="s">
        <v>44</v>
      </c>
      <c r="C3" t="s">
        <v>45</v>
      </c>
      <c r="D3" t="s">
        <v>44</v>
      </c>
      <c r="E3" t="s">
        <v>29</v>
      </c>
      <c r="F3" t="s">
        <v>33</v>
      </c>
      <c r="G3" t="s">
        <v>34</v>
      </c>
      <c r="H3" s="1">
        <v>16145000</v>
      </c>
      <c r="I3" s="1">
        <v>5110000</v>
      </c>
      <c r="J3" s="1">
        <v>875000</v>
      </c>
      <c r="K3" s="1">
        <v>0</v>
      </c>
      <c r="L3" s="1">
        <v>13390000</v>
      </c>
      <c r="M3" s="1">
        <v>0</v>
      </c>
      <c r="N3" s="1">
        <v>9985000</v>
      </c>
      <c r="O3" s="1">
        <v>0</v>
      </c>
      <c r="P3" s="1">
        <v>1280000</v>
      </c>
      <c r="Q3" s="72">
        <v>10000</v>
      </c>
      <c r="R3" s="1">
        <v>46795000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>
        <v>0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>
        <v>0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>
        <v>0</v>
      </c>
      <c r="BC3" s="72"/>
      <c r="BE3" s="72">
        <v>0</v>
      </c>
      <c r="BF3" s="72">
        <v>0</v>
      </c>
      <c r="BG3" s="72">
        <v>0</v>
      </c>
    </row>
    <row r="4" spans="1:59" x14ac:dyDescent="0.35">
      <c r="A4" t="s">
        <v>46</v>
      </c>
      <c r="B4" t="s">
        <v>47</v>
      </c>
      <c r="C4" t="s">
        <v>48</v>
      </c>
      <c r="D4" t="s">
        <v>49</v>
      </c>
      <c r="E4" t="s">
        <v>40</v>
      </c>
      <c r="F4" t="s">
        <v>33</v>
      </c>
      <c r="G4" t="s">
        <v>34</v>
      </c>
      <c r="H4" s="1">
        <v>28390000</v>
      </c>
      <c r="I4" s="1">
        <v>4500000</v>
      </c>
      <c r="J4" s="1">
        <v>0</v>
      </c>
      <c r="K4" s="1">
        <v>2065000</v>
      </c>
      <c r="L4" s="1">
        <v>8155000</v>
      </c>
      <c r="M4" s="1">
        <v>0</v>
      </c>
      <c r="N4" s="1">
        <v>6130000</v>
      </c>
      <c r="O4" s="1">
        <v>0</v>
      </c>
      <c r="P4" s="1">
        <v>805000</v>
      </c>
      <c r="Q4" s="72">
        <v>10000</v>
      </c>
      <c r="R4" s="1">
        <v>50055000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0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>
        <v>0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>
        <v>0</v>
      </c>
      <c r="BC4" s="72"/>
      <c r="BE4" s="72">
        <v>375000</v>
      </c>
      <c r="BF4" s="72">
        <v>0</v>
      </c>
      <c r="BG4" s="72">
        <v>0</v>
      </c>
    </row>
    <row r="5" spans="1:59" x14ac:dyDescent="0.35">
      <c r="A5" t="s">
        <v>50</v>
      </c>
      <c r="B5" t="s">
        <v>51</v>
      </c>
      <c r="C5" t="s">
        <v>52</v>
      </c>
      <c r="D5" t="s">
        <v>51</v>
      </c>
      <c r="E5" t="s">
        <v>35</v>
      </c>
      <c r="F5" t="s">
        <v>33</v>
      </c>
      <c r="G5" t="s">
        <v>34</v>
      </c>
      <c r="H5" s="1">
        <v>1040000</v>
      </c>
      <c r="I5" s="1">
        <v>5130000</v>
      </c>
      <c r="J5" s="1">
        <v>0</v>
      </c>
      <c r="K5" s="1">
        <v>2145000</v>
      </c>
      <c r="L5" s="1">
        <v>9000000</v>
      </c>
      <c r="M5" s="1">
        <v>0</v>
      </c>
      <c r="N5" s="1">
        <v>3965000</v>
      </c>
      <c r="O5" s="1">
        <v>0</v>
      </c>
      <c r="P5" s="1">
        <v>465000</v>
      </c>
      <c r="Q5" s="72">
        <v>0</v>
      </c>
      <c r="R5" s="1">
        <v>21745000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0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>
        <v>0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>
        <v>0</v>
      </c>
      <c r="BC5" s="72"/>
      <c r="BE5" s="72">
        <v>0</v>
      </c>
      <c r="BF5" s="72">
        <v>0</v>
      </c>
      <c r="BG5" s="72">
        <v>0</v>
      </c>
    </row>
    <row r="6" spans="1:59" x14ac:dyDescent="0.35">
      <c r="A6" t="s">
        <v>54</v>
      </c>
      <c r="B6" t="s">
        <v>55</v>
      </c>
      <c r="C6" t="s">
        <v>56</v>
      </c>
      <c r="D6" t="s">
        <v>55</v>
      </c>
      <c r="E6" t="s">
        <v>30</v>
      </c>
      <c r="F6" t="s">
        <v>33</v>
      </c>
      <c r="G6" t="s">
        <v>34</v>
      </c>
      <c r="H6" s="1">
        <v>16340000</v>
      </c>
      <c r="I6" s="1">
        <v>5110000</v>
      </c>
      <c r="J6" s="1">
        <v>5515000</v>
      </c>
      <c r="K6" s="1">
        <v>1985000</v>
      </c>
      <c r="L6" s="1">
        <v>8615000</v>
      </c>
      <c r="M6" s="1">
        <v>0</v>
      </c>
      <c r="N6" s="1">
        <v>3500000</v>
      </c>
      <c r="O6" s="1">
        <v>0</v>
      </c>
      <c r="P6" s="1">
        <v>425000</v>
      </c>
      <c r="Q6" s="72">
        <v>10000</v>
      </c>
      <c r="R6" s="1">
        <v>41500000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0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>
        <v>0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>
        <v>0</v>
      </c>
      <c r="BC6" s="72"/>
      <c r="BE6" s="72">
        <v>290000</v>
      </c>
      <c r="BF6" s="72">
        <v>0</v>
      </c>
      <c r="BG6" s="72">
        <v>0</v>
      </c>
    </row>
    <row r="7" spans="1:59" x14ac:dyDescent="0.35">
      <c r="A7" t="s">
        <v>57</v>
      </c>
      <c r="B7" t="s">
        <v>58</v>
      </c>
      <c r="C7" t="s">
        <v>59</v>
      </c>
      <c r="D7" t="s">
        <v>58</v>
      </c>
      <c r="E7" t="s">
        <v>35</v>
      </c>
      <c r="F7" t="s">
        <v>33</v>
      </c>
      <c r="G7" t="s">
        <v>34</v>
      </c>
      <c r="H7" s="1">
        <v>39035000</v>
      </c>
      <c r="I7" s="1">
        <v>5130000</v>
      </c>
      <c r="J7" s="1">
        <v>0</v>
      </c>
      <c r="K7" s="1">
        <v>3960000</v>
      </c>
      <c r="L7" s="1">
        <v>13590000</v>
      </c>
      <c r="M7" s="1">
        <v>0</v>
      </c>
      <c r="N7" s="1">
        <v>12120000</v>
      </c>
      <c r="O7" s="1">
        <v>0</v>
      </c>
      <c r="P7" s="1">
        <v>1615000</v>
      </c>
      <c r="Q7" s="72">
        <v>300000</v>
      </c>
      <c r="R7" s="1">
        <v>75750000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0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>
        <v>0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>
        <v>0</v>
      </c>
      <c r="BC7" s="72"/>
      <c r="BE7" s="72">
        <v>0</v>
      </c>
      <c r="BF7" s="72">
        <v>0</v>
      </c>
      <c r="BG7" s="72">
        <v>0</v>
      </c>
    </row>
    <row r="8" spans="1:59" x14ac:dyDescent="0.35">
      <c r="A8" t="s">
        <v>60</v>
      </c>
      <c r="B8" t="s">
        <v>61</v>
      </c>
      <c r="C8" t="s">
        <v>62</v>
      </c>
      <c r="D8" t="s">
        <v>63</v>
      </c>
      <c r="E8" t="s">
        <v>29</v>
      </c>
      <c r="F8" t="s">
        <v>33</v>
      </c>
      <c r="G8" t="s">
        <v>34</v>
      </c>
      <c r="H8" s="1">
        <v>28215000</v>
      </c>
      <c r="I8" s="1">
        <v>5110000</v>
      </c>
      <c r="J8" s="1">
        <v>0</v>
      </c>
      <c r="K8" s="1">
        <v>2655000</v>
      </c>
      <c r="L8" s="1">
        <v>11495000</v>
      </c>
      <c r="M8" s="1">
        <v>0</v>
      </c>
      <c r="N8" s="1">
        <v>10655000</v>
      </c>
      <c r="O8" s="1">
        <v>0</v>
      </c>
      <c r="P8" s="1">
        <v>1425000</v>
      </c>
      <c r="Q8" s="72">
        <v>10000</v>
      </c>
      <c r="R8" s="1">
        <v>59565000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0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>
        <v>0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>
        <v>0</v>
      </c>
      <c r="BC8" s="72"/>
      <c r="BE8" s="72">
        <v>0</v>
      </c>
      <c r="BF8" s="72">
        <v>0</v>
      </c>
      <c r="BG8" s="72">
        <v>0</v>
      </c>
    </row>
    <row r="9" spans="1:59" x14ac:dyDescent="0.35">
      <c r="A9" t="s">
        <v>64</v>
      </c>
      <c r="B9" t="s">
        <v>65</v>
      </c>
      <c r="C9" t="s">
        <v>66</v>
      </c>
      <c r="D9" t="s">
        <v>65</v>
      </c>
      <c r="E9" t="s">
        <v>35</v>
      </c>
      <c r="F9" t="s">
        <v>33</v>
      </c>
      <c r="G9" t="s">
        <v>34</v>
      </c>
      <c r="H9" s="1">
        <v>195000</v>
      </c>
      <c r="I9" s="1">
        <v>5130000</v>
      </c>
      <c r="J9" s="1">
        <v>0</v>
      </c>
      <c r="K9" s="1">
        <v>1300000</v>
      </c>
      <c r="L9" s="1">
        <v>9000000</v>
      </c>
      <c r="M9" s="1">
        <v>0</v>
      </c>
      <c r="N9" s="1">
        <v>4160000</v>
      </c>
      <c r="O9" s="1">
        <v>0</v>
      </c>
      <c r="P9" s="1">
        <v>465000</v>
      </c>
      <c r="Q9" s="72">
        <v>270000</v>
      </c>
      <c r="R9" s="1">
        <v>20520000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>
        <v>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>
        <v>0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>
        <v>0</v>
      </c>
      <c r="BC9" s="72"/>
      <c r="BE9" s="72">
        <v>0</v>
      </c>
      <c r="BF9" s="72">
        <v>0</v>
      </c>
      <c r="BG9" s="72">
        <v>0</v>
      </c>
    </row>
    <row r="10" spans="1:59" x14ac:dyDescent="0.35">
      <c r="A10" t="s">
        <v>67</v>
      </c>
      <c r="B10" t="s">
        <v>68</v>
      </c>
      <c r="C10" t="s">
        <v>69</v>
      </c>
      <c r="D10" t="s">
        <v>70</v>
      </c>
      <c r="E10" t="s">
        <v>29</v>
      </c>
      <c r="F10" t="s">
        <v>33</v>
      </c>
      <c r="G10" t="s">
        <v>34</v>
      </c>
      <c r="H10" s="1">
        <v>29760000</v>
      </c>
      <c r="I10" s="1">
        <v>5110000</v>
      </c>
      <c r="J10" s="1">
        <v>1550000</v>
      </c>
      <c r="K10" s="1">
        <v>3425000</v>
      </c>
      <c r="L10" s="1">
        <v>12495000</v>
      </c>
      <c r="M10" s="1">
        <v>0</v>
      </c>
      <c r="N10" s="1">
        <v>9600000</v>
      </c>
      <c r="O10" s="1">
        <v>0</v>
      </c>
      <c r="P10" s="1">
        <v>1555000</v>
      </c>
      <c r="Q10" s="72">
        <v>30000</v>
      </c>
      <c r="R10" s="1">
        <v>63525000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0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>
        <v>0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>
        <v>0</v>
      </c>
      <c r="BC10" s="72"/>
      <c r="BE10" s="72">
        <v>0</v>
      </c>
      <c r="BF10" s="72">
        <v>0</v>
      </c>
      <c r="BG10" s="72">
        <v>0</v>
      </c>
    </row>
    <row r="11" spans="1:59" x14ac:dyDescent="0.35">
      <c r="A11" t="s">
        <v>71</v>
      </c>
      <c r="B11" t="s">
        <v>72</v>
      </c>
      <c r="C11" t="s">
        <v>73</v>
      </c>
      <c r="D11" t="s">
        <v>72</v>
      </c>
      <c r="E11" t="s">
        <v>41</v>
      </c>
      <c r="F11" t="s">
        <v>33</v>
      </c>
      <c r="G11" t="s">
        <v>34</v>
      </c>
      <c r="H11" s="1">
        <v>13765000</v>
      </c>
      <c r="I11" s="1">
        <v>4960000</v>
      </c>
      <c r="J11" s="1">
        <v>1615000</v>
      </c>
      <c r="K11" s="1">
        <v>3320000</v>
      </c>
      <c r="L11" s="1">
        <v>9290000</v>
      </c>
      <c r="M11" s="1">
        <v>0</v>
      </c>
      <c r="N11" s="1">
        <v>4320000</v>
      </c>
      <c r="O11" s="1">
        <v>0</v>
      </c>
      <c r="P11" s="1">
        <v>505000</v>
      </c>
      <c r="Q11" s="72">
        <v>0</v>
      </c>
      <c r="R11" s="1">
        <v>37775000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0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>
        <v>0</v>
      </c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>
        <v>0</v>
      </c>
      <c r="BC11" s="72"/>
      <c r="BE11" s="72">
        <v>0</v>
      </c>
      <c r="BF11" s="72">
        <v>0</v>
      </c>
      <c r="BG11" s="72">
        <v>0</v>
      </c>
    </row>
    <row r="12" spans="1:59" x14ac:dyDescent="0.35">
      <c r="A12" t="s">
        <v>74</v>
      </c>
      <c r="B12" t="s">
        <v>75</v>
      </c>
      <c r="C12" t="s">
        <v>76</v>
      </c>
      <c r="D12" t="s">
        <v>75</v>
      </c>
      <c r="E12" t="s">
        <v>29</v>
      </c>
      <c r="F12" t="s">
        <v>33</v>
      </c>
      <c r="G12" t="s">
        <v>34</v>
      </c>
      <c r="H12" s="1">
        <v>28670000</v>
      </c>
      <c r="I12" s="1">
        <v>5110000</v>
      </c>
      <c r="J12" s="1">
        <v>5890000</v>
      </c>
      <c r="K12" s="1">
        <v>2730000</v>
      </c>
      <c r="L12" s="1">
        <v>13390000</v>
      </c>
      <c r="M12" s="1">
        <v>0</v>
      </c>
      <c r="N12" s="1">
        <v>10720000</v>
      </c>
      <c r="O12" s="1">
        <v>0</v>
      </c>
      <c r="P12" s="1">
        <v>1555000</v>
      </c>
      <c r="Q12" s="72">
        <v>10000</v>
      </c>
      <c r="R12" s="1">
        <v>68075000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>
        <v>0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>
        <v>0</v>
      </c>
      <c r="BC12" s="72"/>
      <c r="BE12" s="72">
        <v>0</v>
      </c>
      <c r="BF12" s="72">
        <v>0</v>
      </c>
      <c r="BG12" s="72">
        <v>0</v>
      </c>
    </row>
    <row r="13" spans="1:59" x14ac:dyDescent="0.35">
      <c r="A13" t="s">
        <v>77</v>
      </c>
      <c r="B13" t="s">
        <v>78</v>
      </c>
      <c r="C13" t="s">
        <v>79</v>
      </c>
      <c r="D13" t="s">
        <v>78</v>
      </c>
      <c r="E13" t="s">
        <v>35</v>
      </c>
      <c r="F13" t="s">
        <v>33</v>
      </c>
      <c r="G13" t="s">
        <v>34</v>
      </c>
      <c r="H13" s="1">
        <v>39215000</v>
      </c>
      <c r="I13" s="1">
        <v>5130000</v>
      </c>
      <c r="J13" s="1">
        <v>0</v>
      </c>
      <c r="K13" s="1">
        <v>3390000</v>
      </c>
      <c r="L13" s="1">
        <v>13590000</v>
      </c>
      <c r="M13" s="1">
        <v>0</v>
      </c>
      <c r="N13" s="1">
        <v>10315000</v>
      </c>
      <c r="O13" s="1">
        <v>0</v>
      </c>
      <c r="P13" s="1">
        <v>1615000</v>
      </c>
      <c r="Q13" s="72">
        <v>300000</v>
      </c>
      <c r="R13" s="1">
        <v>73555000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0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>
        <v>0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>
        <v>0</v>
      </c>
      <c r="BC13" s="72"/>
      <c r="BE13" s="72">
        <v>0</v>
      </c>
      <c r="BF13" s="72">
        <v>0</v>
      </c>
      <c r="BG13" s="72">
        <v>0</v>
      </c>
    </row>
    <row r="14" spans="1:59" x14ac:dyDescent="0.35">
      <c r="A14" t="s">
        <v>80</v>
      </c>
      <c r="B14" t="s">
        <v>81</v>
      </c>
      <c r="C14" t="s">
        <v>82</v>
      </c>
      <c r="D14" t="s">
        <v>81</v>
      </c>
      <c r="E14" t="s">
        <v>40</v>
      </c>
      <c r="F14" t="s">
        <v>33</v>
      </c>
      <c r="G14" t="s">
        <v>34</v>
      </c>
      <c r="H14" s="1">
        <v>21735000</v>
      </c>
      <c r="I14" s="1">
        <v>5290000</v>
      </c>
      <c r="J14" s="1">
        <v>0</v>
      </c>
      <c r="K14" s="1">
        <v>3425000</v>
      </c>
      <c r="L14" s="1">
        <v>8625000</v>
      </c>
      <c r="M14" s="1">
        <v>0</v>
      </c>
      <c r="N14" s="1">
        <v>5225000</v>
      </c>
      <c r="O14" s="1">
        <v>0</v>
      </c>
      <c r="P14" s="1">
        <v>10000</v>
      </c>
      <c r="Q14" s="72">
        <v>15000</v>
      </c>
      <c r="R14" s="1">
        <v>44325000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0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>
        <v>0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>
        <v>0</v>
      </c>
      <c r="BC14" s="72"/>
      <c r="BE14" s="72">
        <v>0</v>
      </c>
      <c r="BF14" s="72">
        <v>0</v>
      </c>
      <c r="BG14" s="72">
        <v>0</v>
      </c>
    </row>
    <row r="15" spans="1:59" x14ac:dyDescent="0.35">
      <c r="A15" t="s">
        <v>83</v>
      </c>
      <c r="B15" t="s">
        <v>84</v>
      </c>
      <c r="C15" t="s">
        <v>85</v>
      </c>
      <c r="D15" t="s">
        <v>84</v>
      </c>
      <c r="E15" t="s">
        <v>30</v>
      </c>
      <c r="F15" t="s">
        <v>33</v>
      </c>
      <c r="G15" t="s">
        <v>34</v>
      </c>
      <c r="H15" s="1">
        <v>21820000</v>
      </c>
      <c r="I15" s="1">
        <v>13420000</v>
      </c>
      <c r="J15" s="1">
        <v>0</v>
      </c>
      <c r="K15" s="1">
        <v>1745000</v>
      </c>
      <c r="L15" s="1">
        <v>13275000</v>
      </c>
      <c r="M15" s="1">
        <v>0</v>
      </c>
      <c r="N15" s="1">
        <v>10100000</v>
      </c>
      <c r="O15" s="1">
        <v>0</v>
      </c>
      <c r="P15" s="1">
        <v>1485000</v>
      </c>
      <c r="Q15" s="72">
        <v>10000</v>
      </c>
      <c r="R15" s="1">
        <v>61855000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0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>
        <v>0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>
        <v>0</v>
      </c>
      <c r="BC15" s="72"/>
      <c r="BE15" s="72">
        <v>0</v>
      </c>
      <c r="BF15" s="72">
        <v>0</v>
      </c>
      <c r="BG15" s="72">
        <v>0</v>
      </c>
    </row>
    <row r="16" spans="1:59" x14ac:dyDescent="0.35">
      <c r="A16" t="s">
        <v>90</v>
      </c>
      <c r="B16" t="s">
        <v>91</v>
      </c>
      <c r="C16" t="s">
        <v>92</v>
      </c>
      <c r="D16" t="s">
        <v>91</v>
      </c>
      <c r="E16" t="s">
        <v>29</v>
      </c>
      <c r="F16" t="s">
        <v>33</v>
      </c>
      <c r="G16" t="s">
        <v>34</v>
      </c>
      <c r="H16" s="1">
        <v>8475000</v>
      </c>
      <c r="I16" s="1">
        <v>4345000</v>
      </c>
      <c r="J16" s="1">
        <v>0</v>
      </c>
      <c r="K16" s="1">
        <v>2900000</v>
      </c>
      <c r="L16" s="1">
        <v>8050000</v>
      </c>
      <c r="M16" s="1">
        <v>0</v>
      </c>
      <c r="N16" s="1">
        <v>1890000</v>
      </c>
      <c r="O16" s="1">
        <v>0</v>
      </c>
      <c r="P16" s="1">
        <v>350000</v>
      </c>
      <c r="Q16" s="72">
        <v>0</v>
      </c>
      <c r="R16" s="1">
        <v>26010000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>
        <v>0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>
        <v>0</v>
      </c>
      <c r="BC16" s="72"/>
      <c r="BE16" s="72">
        <v>0</v>
      </c>
      <c r="BF16" s="72">
        <v>0</v>
      </c>
      <c r="BG16" s="72">
        <v>0</v>
      </c>
    </row>
    <row r="17" spans="1:59" x14ac:dyDescent="0.35">
      <c r="A17" t="s">
        <v>93</v>
      </c>
      <c r="B17" t="s">
        <v>94</v>
      </c>
      <c r="C17" t="s">
        <v>95</v>
      </c>
      <c r="D17" t="s">
        <v>96</v>
      </c>
      <c r="E17" t="s">
        <v>29</v>
      </c>
      <c r="F17" t="s">
        <v>33</v>
      </c>
      <c r="G17" t="s">
        <v>34</v>
      </c>
      <c r="H17" s="1">
        <v>37715000</v>
      </c>
      <c r="I17" s="1">
        <v>5110000</v>
      </c>
      <c r="J17" s="1">
        <v>2860000</v>
      </c>
      <c r="K17" s="1">
        <v>2630000</v>
      </c>
      <c r="L17" s="1">
        <v>13390000</v>
      </c>
      <c r="M17" s="1">
        <v>0</v>
      </c>
      <c r="N17" s="1">
        <v>14125000</v>
      </c>
      <c r="O17" s="1">
        <v>0</v>
      </c>
      <c r="P17" s="1">
        <v>1555000</v>
      </c>
      <c r="Q17" s="72">
        <v>285000</v>
      </c>
      <c r="R17" s="1">
        <v>77670000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>
        <v>0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>
        <v>0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>
        <v>0</v>
      </c>
      <c r="BC17" s="72"/>
      <c r="BE17" s="72">
        <v>0</v>
      </c>
      <c r="BF17" s="72">
        <v>0</v>
      </c>
      <c r="BG17" s="72">
        <v>0</v>
      </c>
    </row>
    <row r="18" spans="1:59" x14ac:dyDescent="0.35">
      <c r="A18" t="s">
        <v>97</v>
      </c>
      <c r="B18" t="s">
        <v>98</v>
      </c>
      <c r="C18" t="s">
        <v>99</v>
      </c>
      <c r="D18" t="s">
        <v>98</v>
      </c>
      <c r="E18" t="s">
        <v>29</v>
      </c>
      <c r="F18" t="s">
        <v>33</v>
      </c>
      <c r="G18" t="s">
        <v>34</v>
      </c>
      <c r="H18" s="1">
        <v>10045000</v>
      </c>
      <c r="I18" s="1">
        <v>4345000</v>
      </c>
      <c r="J18" s="1">
        <v>0</v>
      </c>
      <c r="K18" s="1">
        <v>1615000</v>
      </c>
      <c r="L18" s="1">
        <v>8530000</v>
      </c>
      <c r="M18" s="1">
        <v>0</v>
      </c>
      <c r="N18" s="1">
        <v>2635000</v>
      </c>
      <c r="O18" s="1">
        <v>0</v>
      </c>
      <c r="P18" s="1">
        <v>445000</v>
      </c>
      <c r="Q18" s="72">
        <v>0</v>
      </c>
      <c r="R18" s="1">
        <v>27615000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0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>
        <v>0</v>
      </c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>
        <v>0</v>
      </c>
      <c r="BC18" s="72"/>
      <c r="BE18" s="72">
        <v>0</v>
      </c>
      <c r="BF18" s="72">
        <v>0</v>
      </c>
      <c r="BG18" s="72">
        <v>0</v>
      </c>
    </row>
    <row r="19" spans="1:59" x14ac:dyDescent="0.35">
      <c r="A19" t="s">
        <v>100</v>
      </c>
      <c r="B19" t="s">
        <v>101</v>
      </c>
      <c r="C19" t="s">
        <v>102</v>
      </c>
      <c r="D19" t="s">
        <v>103</v>
      </c>
      <c r="E19" t="s">
        <v>40</v>
      </c>
      <c r="F19" t="s">
        <v>33</v>
      </c>
      <c r="G19" t="s">
        <v>34</v>
      </c>
      <c r="H19" s="1">
        <v>29760000</v>
      </c>
      <c r="I19" s="1">
        <v>4500000</v>
      </c>
      <c r="J19" s="1">
        <v>920000</v>
      </c>
      <c r="K19" s="1">
        <v>3135000</v>
      </c>
      <c r="L19" s="1">
        <v>11035000</v>
      </c>
      <c r="M19" s="1">
        <v>0</v>
      </c>
      <c r="N19" s="1">
        <v>10610000</v>
      </c>
      <c r="O19" s="1">
        <v>0</v>
      </c>
      <c r="P19" s="1">
        <v>865000</v>
      </c>
      <c r="Q19" s="72">
        <v>20000</v>
      </c>
      <c r="R19" s="1">
        <v>60845000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>
        <v>0</v>
      </c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>
        <v>0</v>
      </c>
      <c r="BC19" s="72"/>
      <c r="BE19" s="72">
        <v>0</v>
      </c>
      <c r="BF19" s="72">
        <v>0</v>
      </c>
      <c r="BG19" s="72">
        <v>0</v>
      </c>
    </row>
    <row r="20" spans="1:59" x14ac:dyDescent="0.35">
      <c r="A20" t="s">
        <v>104</v>
      </c>
      <c r="B20" t="s">
        <v>105</v>
      </c>
      <c r="C20" t="s">
        <v>106</v>
      </c>
      <c r="D20" t="s">
        <v>107</v>
      </c>
      <c r="E20" t="s">
        <v>36</v>
      </c>
      <c r="F20" t="s">
        <v>33</v>
      </c>
      <c r="G20" t="s">
        <v>34</v>
      </c>
      <c r="H20" s="1">
        <v>8620000</v>
      </c>
      <c r="I20" s="1">
        <v>4485000</v>
      </c>
      <c r="J20" s="1">
        <v>0</v>
      </c>
      <c r="K20" s="1">
        <v>2555000</v>
      </c>
      <c r="L20" s="1">
        <v>7215000</v>
      </c>
      <c r="M20" s="1">
        <v>0</v>
      </c>
      <c r="N20" s="1">
        <v>4340000</v>
      </c>
      <c r="O20" s="1">
        <v>0</v>
      </c>
      <c r="P20" s="1">
        <v>380000</v>
      </c>
      <c r="Q20" s="72">
        <v>15000</v>
      </c>
      <c r="R20" s="1">
        <v>27610000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>
        <v>0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>
        <v>0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>
        <v>0</v>
      </c>
      <c r="BC20" s="72"/>
      <c r="BE20" s="72">
        <v>0</v>
      </c>
      <c r="BF20" s="72">
        <v>0</v>
      </c>
      <c r="BG20" s="72">
        <v>0</v>
      </c>
    </row>
    <row r="21" spans="1:59" x14ac:dyDescent="0.35">
      <c r="A21" t="s">
        <v>108</v>
      </c>
      <c r="B21" t="s">
        <v>109</v>
      </c>
      <c r="C21" t="s">
        <v>110</v>
      </c>
      <c r="D21" t="s">
        <v>109</v>
      </c>
      <c r="E21" t="s">
        <v>29</v>
      </c>
      <c r="F21" t="s">
        <v>33</v>
      </c>
      <c r="G21" t="s">
        <v>34</v>
      </c>
      <c r="H21" s="1">
        <v>10045000</v>
      </c>
      <c r="I21" s="1">
        <v>5110000</v>
      </c>
      <c r="J21" s="1">
        <v>0</v>
      </c>
      <c r="K21" s="1">
        <v>2470000</v>
      </c>
      <c r="L21" s="1">
        <v>7650000</v>
      </c>
      <c r="M21" s="1">
        <v>0</v>
      </c>
      <c r="N21" s="1">
        <v>3500000</v>
      </c>
      <c r="O21" s="1">
        <v>0</v>
      </c>
      <c r="P21" s="1">
        <v>445000</v>
      </c>
      <c r="Q21" s="72">
        <v>250000</v>
      </c>
      <c r="R21" s="1">
        <v>29470000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>
        <v>0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>
        <v>0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>
        <v>0</v>
      </c>
      <c r="BC21" s="72"/>
      <c r="BE21" s="72">
        <v>1005000</v>
      </c>
      <c r="BF21" s="72">
        <v>0</v>
      </c>
      <c r="BG21" s="72">
        <v>0</v>
      </c>
    </row>
    <row r="22" spans="1:59" x14ac:dyDescent="0.35">
      <c r="A22" t="s">
        <v>111</v>
      </c>
      <c r="B22" t="s">
        <v>112</v>
      </c>
      <c r="C22" t="s">
        <v>113</v>
      </c>
      <c r="D22" t="s">
        <v>112</v>
      </c>
      <c r="E22" t="s">
        <v>30</v>
      </c>
      <c r="F22" t="s">
        <v>33</v>
      </c>
      <c r="G22" t="s">
        <v>34</v>
      </c>
      <c r="H22" s="1">
        <v>23710000</v>
      </c>
      <c r="I22" s="1">
        <v>5110000</v>
      </c>
      <c r="J22" s="1">
        <v>0</v>
      </c>
      <c r="K22" s="1">
        <v>2695000</v>
      </c>
      <c r="L22" s="1">
        <v>12060000</v>
      </c>
      <c r="M22" s="1">
        <v>0</v>
      </c>
      <c r="N22" s="1">
        <v>14125000</v>
      </c>
      <c r="O22" s="1">
        <v>0</v>
      </c>
      <c r="P22" s="1">
        <v>1485000</v>
      </c>
      <c r="Q22" s="72">
        <v>100000</v>
      </c>
      <c r="R22" s="1">
        <v>59285000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>
        <v>0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>
        <v>0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>
        <v>0</v>
      </c>
      <c r="BC22" s="72"/>
      <c r="BE22" s="72">
        <v>290000</v>
      </c>
      <c r="BF22" s="72">
        <v>0</v>
      </c>
      <c r="BG22" s="72">
        <v>0</v>
      </c>
    </row>
    <row r="23" spans="1:59" x14ac:dyDescent="0.35">
      <c r="A23" t="s">
        <v>116</v>
      </c>
      <c r="B23" t="s">
        <v>117</v>
      </c>
      <c r="C23" t="s">
        <v>118</v>
      </c>
      <c r="D23" t="s">
        <v>117</v>
      </c>
      <c r="E23" t="s">
        <v>37</v>
      </c>
      <c r="F23" t="s">
        <v>33</v>
      </c>
      <c r="G23" t="s">
        <v>34</v>
      </c>
      <c r="H23" s="1">
        <v>9480000</v>
      </c>
      <c r="I23" s="1">
        <v>5045000</v>
      </c>
      <c r="J23" s="1">
        <v>9980000</v>
      </c>
      <c r="K23" s="1">
        <v>2750000</v>
      </c>
      <c r="L23" s="1">
        <v>8455000</v>
      </c>
      <c r="M23" s="1">
        <v>0</v>
      </c>
      <c r="N23" s="1">
        <v>5115000</v>
      </c>
      <c r="O23" s="1">
        <v>0</v>
      </c>
      <c r="P23" s="1">
        <v>420000</v>
      </c>
      <c r="Q23" s="72">
        <v>0</v>
      </c>
      <c r="R23" s="1">
        <v>41245000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>
        <v>0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>
        <v>0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>
        <v>0</v>
      </c>
      <c r="BC23" s="72"/>
      <c r="BE23" s="72">
        <v>0</v>
      </c>
      <c r="BF23" s="72">
        <v>0</v>
      </c>
      <c r="BG23" s="72">
        <v>0</v>
      </c>
    </row>
    <row r="24" spans="1:59" x14ac:dyDescent="0.35">
      <c r="A24" t="s">
        <v>119</v>
      </c>
      <c r="B24" t="s">
        <v>120</v>
      </c>
      <c r="C24" t="s">
        <v>121</v>
      </c>
      <c r="D24" t="s">
        <v>120</v>
      </c>
      <c r="E24" t="s">
        <v>35</v>
      </c>
      <c r="F24" t="s">
        <v>33</v>
      </c>
      <c r="G24" t="s">
        <v>34</v>
      </c>
      <c r="H24" s="1">
        <v>8800000</v>
      </c>
      <c r="I24" s="1">
        <v>5130000</v>
      </c>
      <c r="J24" s="1">
        <v>0</v>
      </c>
      <c r="K24" s="1">
        <v>3055000</v>
      </c>
      <c r="L24" s="1">
        <v>9000000</v>
      </c>
      <c r="M24" s="1">
        <v>0</v>
      </c>
      <c r="N24" s="1">
        <v>5360000</v>
      </c>
      <c r="O24" s="1">
        <v>0</v>
      </c>
      <c r="P24" s="1">
        <v>465000</v>
      </c>
      <c r="Q24" s="72">
        <v>0</v>
      </c>
      <c r="R24" s="1">
        <v>31810000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0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>
        <v>0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>
        <v>0</v>
      </c>
      <c r="BC24" s="72"/>
      <c r="BE24" s="72">
        <v>0</v>
      </c>
      <c r="BF24" s="72">
        <v>0</v>
      </c>
      <c r="BG24" s="72">
        <v>0</v>
      </c>
    </row>
    <row r="25" spans="1:59" x14ac:dyDescent="0.35">
      <c r="A25" t="s">
        <v>122</v>
      </c>
      <c r="B25" t="s">
        <v>123</v>
      </c>
      <c r="C25" t="s">
        <v>124</v>
      </c>
      <c r="D25" t="s">
        <v>123</v>
      </c>
      <c r="E25" t="s">
        <v>35</v>
      </c>
      <c r="F25" t="s">
        <v>33</v>
      </c>
      <c r="G25" t="s">
        <v>34</v>
      </c>
      <c r="H25" s="1">
        <v>15080000</v>
      </c>
      <c r="I25" s="1">
        <v>5130000</v>
      </c>
      <c r="J25" s="1">
        <v>0</v>
      </c>
      <c r="K25" s="1">
        <v>3065000</v>
      </c>
      <c r="L25" s="1">
        <v>9000000</v>
      </c>
      <c r="M25" s="1">
        <v>0</v>
      </c>
      <c r="N25" s="1">
        <v>5360000</v>
      </c>
      <c r="O25" s="1">
        <v>0</v>
      </c>
      <c r="P25" s="1">
        <v>465000</v>
      </c>
      <c r="Q25" s="72">
        <v>270000</v>
      </c>
      <c r="R25" s="1">
        <v>38370000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>
        <v>0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>
        <v>0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>
        <v>0</v>
      </c>
      <c r="BC25" s="72"/>
      <c r="BE25" s="72">
        <v>290000</v>
      </c>
      <c r="BF25" s="72">
        <v>0</v>
      </c>
      <c r="BG25" s="72">
        <v>0</v>
      </c>
    </row>
    <row r="26" spans="1:59" x14ac:dyDescent="0.35">
      <c r="A26" t="s">
        <v>126</v>
      </c>
      <c r="B26" t="s">
        <v>127</v>
      </c>
      <c r="C26" t="s">
        <v>128</v>
      </c>
      <c r="D26" t="s">
        <v>127</v>
      </c>
      <c r="E26" t="s">
        <v>35</v>
      </c>
      <c r="F26" t="s">
        <v>33</v>
      </c>
      <c r="G26" t="s">
        <v>34</v>
      </c>
      <c r="H26" s="1">
        <v>0</v>
      </c>
      <c r="I26" s="1">
        <v>5130000</v>
      </c>
      <c r="J26" s="1">
        <v>0</v>
      </c>
      <c r="K26" s="1">
        <v>1310000</v>
      </c>
      <c r="L26" s="1">
        <v>9000000</v>
      </c>
      <c r="M26" s="1">
        <v>0</v>
      </c>
      <c r="N26" s="1">
        <v>5360000</v>
      </c>
      <c r="O26" s="1">
        <v>0</v>
      </c>
      <c r="P26" s="1">
        <v>465000</v>
      </c>
      <c r="Q26" s="72">
        <v>270000</v>
      </c>
      <c r="R26" s="1">
        <v>21535000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>
        <v>0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>
        <v>0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>
        <v>0</v>
      </c>
      <c r="BC26" s="72"/>
      <c r="BE26" s="72">
        <v>290000</v>
      </c>
      <c r="BF26" s="72">
        <v>0</v>
      </c>
      <c r="BG26" s="72">
        <v>0</v>
      </c>
    </row>
    <row r="27" spans="1:59" x14ac:dyDescent="0.35">
      <c r="A27" t="s">
        <v>129</v>
      </c>
      <c r="B27" t="s">
        <v>42</v>
      </c>
      <c r="C27" t="s">
        <v>130</v>
      </c>
      <c r="D27" t="s">
        <v>42</v>
      </c>
      <c r="E27" t="s">
        <v>37</v>
      </c>
      <c r="F27" t="s">
        <v>33</v>
      </c>
      <c r="G27" t="s">
        <v>34</v>
      </c>
      <c r="H27" s="1">
        <v>15135000</v>
      </c>
      <c r="I27" s="1">
        <v>0</v>
      </c>
      <c r="J27" s="1">
        <v>9980000</v>
      </c>
      <c r="K27" s="1">
        <v>2975000</v>
      </c>
      <c r="L27" s="1">
        <v>8455000</v>
      </c>
      <c r="M27" s="1">
        <v>0</v>
      </c>
      <c r="N27" s="1">
        <v>5115000</v>
      </c>
      <c r="O27" s="1">
        <v>0</v>
      </c>
      <c r="P27" s="1">
        <v>420000</v>
      </c>
      <c r="Q27" s="72">
        <v>270000</v>
      </c>
      <c r="R27" s="1">
        <v>42350000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>
        <v>0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>
        <v>0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>
        <v>0</v>
      </c>
      <c r="BC27" s="72">
        <v>16179126.039999999</v>
      </c>
      <c r="BE27" s="72">
        <v>0</v>
      </c>
      <c r="BF27" s="72">
        <v>0</v>
      </c>
      <c r="BG27" s="72">
        <v>0</v>
      </c>
    </row>
    <row r="28" spans="1:59" x14ac:dyDescent="0.35">
      <c r="A28" t="s">
        <v>131</v>
      </c>
      <c r="B28" t="s">
        <v>132</v>
      </c>
      <c r="C28" t="s">
        <v>133</v>
      </c>
      <c r="D28" t="s">
        <v>132</v>
      </c>
      <c r="E28" t="s">
        <v>32</v>
      </c>
      <c r="F28" t="s">
        <v>33</v>
      </c>
      <c r="G28" t="s">
        <v>34</v>
      </c>
      <c r="H28" s="1">
        <v>0</v>
      </c>
      <c r="I28" s="1">
        <v>4905000</v>
      </c>
      <c r="J28" s="1">
        <v>0</v>
      </c>
      <c r="K28" s="1">
        <v>1010000</v>
      </c>
      <c r="L28" s="1">
        <v>11370000</v>
      </c>
      <c r="M28" s="1">
        <v>0</v>
      </c>
      <c r="N28" s="1">
        <v>14125000</v>
      </c>
      <c r="O28" s="1">
        <v>0</v>
      </c>
      <c r="P28" s="1">
        <v>1280000</v>
      </c>
      <c r="Q28" s="72">
        <v>10000</v>
      </c>
      <c r="R28" s="1">
        <v>32700000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>
        <v>0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>
        <v>0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>
        <v>0</v>
      </c>
      <c r="BC28" s="72"/>
      <c r="BE28" s="72">
        <v>290000</v>
      </c>
      <c r="BF28" s="72">
        <v>0</v>
      </c>
      <c r="BG28" s="72">
        <v>0</v>
      </c>
    </row>
    <row r="29" spans="1:59" x14ac:dyDescent="0.35">
      <c r="A29" t="s">
        <v>135</v>
      </c>
      <c r="B29" t="s">
        <v>136</v>
      </c>
      <c r="C29" t="s">
        <v>137</v>
      </c>
      <c r="D29" t="s">
        <v>136</v>
      </c>
      <c r="E29" t="s">
        <v>37</v>
      </c>
      <c r="F29" t="s">
        <v>33</v>
      </c>
      <c r="G29" t="s">
        <v>34</v>
      </c>
      <c r="H29" s="1">
        <v>0</v>
      </c>
      <c r="I29" s="1">
        <v>255000</v>
      </c>
      <c r="J29" s="1">
        <v>0</v>
      </c>
      <c r="K29" s="1">
        <v>0</v>
      </c>
      <c r="L29" s="1">
        <v>2825000</v>
      </c>
      <c r="M29" s="1">
        <v>0</v>
      </c>
      <c r="N29" s="1">
        <v>3410000</v>
      </c>
      <c r="O29" s="1">
        <v>0</v>
      </c>
      <c r="P29" s="1">
        <v>255000</v>
      </c>
      <c r="Q29" s="72">
        <v>0</v>
      </c>
      <c r="R29" s="1">
        <v>6745000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>
        <v>0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>
        <v>0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>
        <v>0</v>
      </c>
      <c r="BC29" s="72"/>
      <c r="BE29" s="72">
        <v>0</v>
      </c>
      <c r="BF29" s="72">
        <v>0</v>
      </c>
      <c r="BG29" s="72">
        <v>290000</v>
      </c>
    </row>
    <row r="30" spans="1:59" x14ac:dyDescent="0.35">
      <c r="A30" t="s">
        <v>138</v>
      </c>
      <c r="B30" t="s">
        <v>139</v>
      </c>
      <c r="C30" t="s">
        <v>140</v>
      </c>
      <c r="D30" t="s">
        <v>139</v>
      </c>
      <c r="E30" t="s">
        <v>37</v>
      </c>
      <c r="F30" t="s">
        <v>33</v>
      </c>
      <c r="G30" t="s">
        <v>34</v>
      </c>
      <c r="H30" s="1">
        <v>0</v>
      </c>
      <c r="I30" s="1">
        <v>5045000</v>
      </c>
      <c r="J30" s="1">
        <v>0</v>
      </c>
      <c r="K30" s="1">
        <v>690000</v>
      </c>
      <c r="L30" s="1">
        <v>8455000</v>
      </c>
      <c r="M30" s="1">
        <v>0</v>
      </c>
      <c r="N30" s="1">
        <v>5115000</v>
      </c>
      <c r="O30" s="1">
        <v>0</v>
      </c>
      <c r="P30" s="1">
        <v>420000</v>
      </c>
      <c r="Q30" s="72">
        <v>0</v>
      </c>
      <c r="R30" s="1">
        <v>19725000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0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>
        <v>0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>
        <v>0</v>
      </c>
      <c r="BC30" s="72"/>
      <c r="BE30" s="72">
        <v>0</v>
      </c>
      <c r="BF30" s="72">
        <v>0</v>
      </c>
      <c r="BG30" s="72">
        <v>0</v>
      </c>
    </row>
    <row r="31" spans="1:59" x14ac:dyDescent="0.35">
      <c r="A31" t="s">
        <v>141</v>
      </c>
      <c r="B31" t="s">
        <v>142</v>
      </c>
      <c r="C31" t="s">
        <v>143</v>
      </c>
      <c r="D31" t="s">
        <v>144</v>
      </c>
      <c r="E31" t="s">
        <v>38</v>
      </c>
      <c r="F31" t="s">
        <v>33</v>
      </c>
      <c r="G31" t="s">
        <v>34</v>
      </c>
      <c r="H31" s="1">
        <v>0</v>
      </c>
      <c r="I31" s="1">
        <v>5155000</v>
      </c>
      <c r="J31" s="1">
        <v>0</v>
      </c>
      <c r="K31" s="1">
        <v>1125000</v>
      </c>
      <c r="L31" s="1">
        <v>3395000</v>
      </c>
      <c r="M31" s="1">
        <v>0</v>
      </c>
      <c r="N31" s="1">
        <v>0</v>
      </c>
      <c r="O31" s="1">
        <v>0</v>
      </c>
      <c r="P31" s="1">
        <v>0</v>
      </c>
      <c r="Q31" s="72">
        <v>10000</v>
      </c>
      <c r="R31" s="1">
        <v>9685000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>
        <v>0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>
        <v>0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>
        <v>0</v>
      </c>
      <c r="BC31" s="72"/>
      <c r="BE31" s="72">
        <v>0</v>
      </c>
      <c r="BF31" s="72">
        <v>0</v>
      </c>
      <c r="BG31" s="72">
        <v>0</v>
      </c>
    </row>
    <row r="32" spans="1:59" x14ac:dyDescent="0.35">
      <c r="A32" t="s">
        <v>145</v>
      </c>
      <c r="B32" t="s">
        <v>146</v>
      </c>
      <c r="C32" t="s">
        <v>147</v>
      </c>
      <c r="D32" t="s">
        <v>146</v>
      </c>
      <c r="E32" t="s">
        <v>35</v>
      </c>
      <c r="F32" t="s">
        <v>33</v>
      </c>
      <c r="G32" t="s">
        <v>34</v>
      </c>
      <c r="H32" s="1">
        <v>8800000</v>
      </c>
      <c r="I32" s="1">
        <v>5130000</v>
      </c>
      <c r="J32" s="1">
        <v>705000</v>
      </c>
      <c r="K32" s="1">
        <v>2645000</v>
      </c>
      <c r="L32" s="1">
        <v>9000000</v>
      </c>
      <c r="M32" s="1">
        <v>0</v>
      </c>
      <c r="N32" s="1">
        <v>5360000</v>
      </c>
      <c r="O32" s="1">
        <v>0</v>
      </c>
      <c r="P32" s="1">
        <v>465000</v>
      </c>
      <c r="Q32" s="72">
        <v>0</v>
      </c>
      <c r="R32" s="1">
        <v>32105000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0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>
        <v>0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>
        <v>0</v>
      </c>
      <c r="BC32" s="72"/>
      <c r="BE32" s="72">
        <v>1005000</v>
      </c>
      <c r="BF32" s="72">
        <v>0</v>
      </c>
      <c r="BG32" s="72">
        <v>0</v>
      </c>
    </row>
    <row r="33" spans="1:59" x14ac:dyDescent="0.35">
      <c r="A33" t="s">
        <v>148</v>
      </c>
      <c r="B33" t="s">
        <v>149</v>
      </c>
      <c r="C33" t="s">
        <v>150</v>
      </c>
      <c r="D33" t="s">
        <v>149</v>
      </c>
      <c r="E33" t="s">
        <v>35</v>
      </c>
      <c r="F33" t="s">
        <v>33</v>
      </c>
      <c r="G33" t="s">
        <v>34</v>
      </c>
      <c r="H33" s="1">
        <v>0</v>
      </c>
      <c r="I33" s="1">
        <v>260000</v>
      </c>
      <c r="J33" s="1">
        <v>0</v>
      </c>
      <c r="K33" s="1">
        <v>225000</v>
      </c>
      <c r="L33" s="1">
        <v>3015000</v>
      </c>
      <c r="M33" s="1">
        <v>0</v>
      </c>
      <c r="N33" s="1">
        <v>3575000</v>
      </c>
      <c r="O33" s="1">
        <v>0</v>
      </c>
      <c r="P33" s="1">
        <v>280000</v>
      </c>
      <c r="Q33" s="72">
        <v>0</v>
      </c>
      <c r="R33" s="1">
        <v>7355000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0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>
        <v>0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>
        <v>0</v>
      </c>
      <c r="BC33" s="72"/>
      <c r="BE33" s="72">
        <v>1005000</v>
      </c>
      <c r="BF33" s="72">
        <v>0</v>
      </c>
      <c r="BG33" s="72">
        <v>0</v>
      </c>
    </row>
    <row r="34" spans="1:59" x14ac:dyDescent="0.35">
      <c r="A34" t="s">
        <v>152</v>
      </c>
      <c r="B34" t="s">
        <v>153</v>
      </c>
      <c r="C34" t="s">
        <v>154</v>
      </c>
      <c r="D34" t="s">
        <v>153</v>
      </c>
      <c r="E34" t="s">
        <v>35</v>
      </c>
      <c r="F34" t="s">
        <v>33</v>
      </c>
      <c r="G34" t="s">
        <v>34</v>
      </c>
      <c r="H34" s="1">
        <v>30300000</v>
      </c>
      <c r="I34" s="1">
        <v>5130000</v>
      </c>
      <c r="J34" s="1">
        <v>0</v>
      </c>
      <c r="K34" s="1">
        <v>3215000</v>
      </c>
      <c r="L34" s="1">
        <v>12735000</v>
      </c>
      <c r="M34" s="1">
        <v>0</v>
      </c>
      <c r="N34" s="1">
        <v>14125000</v>
      </c>
      <c r="O34" s="1">
        <v>0</v>
      </c>
      <c r="P34" s="1">
        <v>1615000</v>
      </c>
      <c r="Q34" s="72">
        <v>15000</v>
      </c>
      <c r="R34" s="1">
        <v>67135000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>
        <v>0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>
        <v>0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>
        <v>0</v>
      </c>
      <c r="BC34" s="72"/>
      <c r="BE34" s="72">
        <v>290000</v>
      </c>
      <c r="BF34" s="72">
        <v>0</v>
      </c>
      <c r="BG34" s="72">
        <v>0</v>
      </c>
    </row>
    <row r="35" spans="1:59" x14ac:dyDescent="0.35">
      <c r="A35" t="s">
        <v>157</v>
      </c>
      <c r="B35" t="s">
        <v>158</v>
      </c>
      <c r="C35" t="s">
        <v>159</v>
      </c>
      <c r="D35" t="s">
        <v>158</v>
      </c>
      <c r="E35" t="s">
        <v>37</v>
      </c>
      <c r="F35" t="s">
        <v>33</v>
      </c>
      <c r="G35" t="s">
        <v>34</v>
      </c>
      <c r="H35" s="1">
        <v>8870000</v>
      </c>
      <c r="I35" s="1">
        <v>5045000</v>
      </c>
      <c r="J35" s="1">
        <v>5425000</v>
      </c>
      <c r="K35" s="1">
        <v>2680000</v>
      </c>
      <c r="L35" s="1">
        <v>8455000</v>
      </c>
      <c r="M35" s="1">
        <v>0</v>
      </c>
      <c r="N35" s="1">
        <v>5115000</v>
      </c>
      <c r="O35" s="1">
        <v>0</v>
      </c>
      <c r="P35" s="1">
        <v>420000</v>
      </c>
      <c r="Q35" s="72">
        <v>270000</v>
      </c>
      <c r="R35" s="1">
        <v>36280000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0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>
        <v>0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>
        <v>0</v>
      </c>
      <c r="BC35" s="72"/>
      <c r="BE35" s="72">
        <v>1000000</v>
      </c>
      <c r="BF35" s="72">
        <v>0</v>
      </c>
      <c r="BG35" s="72">
        <v>0</v>
      </c>
    </row>
    <row r="42" spans="1:59" x14ac:dyDescent="0.35">
      <c r="A42" s="84" t="s">
        <v>354</v>
      </c>
      <c r="B42" s="84"/>
    </row>
  </sheetData>
  <autoFilter ref="A2:BG35" xr:uid="{054243F5-7F9B-45BB-AFB9-B01F6A3FC9EE}"/>
  <mergeCells count="1">
    <mergeCell ref="A42:B42"/>
  </mergeCells>
  <hyperlinks>
    <hyperlink ref="A42" location="Introdução!A1" display="Introdução!A1" xr:uid="{47A0DA1D-4187-4B5E-8076-89B22646C848}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DAAC-5D8A-4579-A369-21509FCFB28D}">
  <sheetPr codeName="Planilha4">
    <tabColor rgb="FF92D050"/>
  </sheetPr>
  <dimension ref="A1:O25"/>
  <sheetViews>
    <sheetView workbookViewId="0"/>
  </sheetViews>
  <sheetFormatPr defaultRowHeight="14.5" x14ac:dyDescent="0.35"/>
  <cols>
    <col min="2" max="2" width="4.26953125" customWidth="1"/>
    <col min="3" max="3" width="16.54296875" bestFit="1" customWidth="1"/>
    <col min="4" max="4" width="14" bestFit="1" customWidth="1"/>
    <col min="5" max="6" width="16.54296875" bestFit="1" customWidth="1"/>
    <col min="7" max="8" width="15.54296875" bestFit="1" customWidth="1"/>
    <col min="9" max="9" width="16.54296875" bestFit="1" customWidth="1"/>
    <col min="10" max="10" width="14" bestFit="1" customWidth="1"/>
    <col min="11" max="11" width="15.54296875" bestFit="1" customWidth="1"/>
    <col min="12" max="12" width="14.26953125" customWidth="1"/>
    <col min="13" max="13" width="21" bestFit="1" customWidth="1"/>
    <col min="14" max="14" width="14.26953125" customWidth="1"/>
    <col min="15" max="15" width="16.54296875" customWidth="1"/>
  </cols>
  <sheetData>
    <row r="1" spans="1:15" x14ac:dyDescent="0.35">
      <c r="L1" s="3"/>
      <c r="N1" s="3"/>
    </row>
    <row r="2" spans="1:15" x14ac:dyDescent="0.35">
      <c r="C2" s="4" t="s">
        <v>187</v>
      </c>
      <c r="D2" s="4"/>
      <c r="E2" s="4"/>
      <c r="F2" s="4"/>
      <c r="G2" s="4"/>
      <c r="H2" s="4"/>
      <c r="I2" s="4"/>
      <c r="J2" s="4"/>
      <c r="K2" s="4"/>
      <c r="L2" s="3"/>
      <c r="M2" s="5" t="s">
        <v>188</v>
      </c>
      <c r="N2" s="3"/>
    </row>
    <row r="3" spans="1:15" x14ac:dyDescent="0.35">
      <c r="B3" s="3"/>
      <c r="C3" s="3" t="s">
        <v>189</v>
      </c>
      <c r="D3" s="3" t="s">
        <v>190</v>
      </c>
      <c r="E3" s="3" t="s">
        <v>191</v>
      </c>
      <c r="F3" s="3" t="s">
        <v>192</v>
      </c>
      <c r="G3" s="3" t="s">
        <v>193</v>
      </c>
      <c r="H3" s="3" t="s">
        <v>194</v>
      </c>
      <c r="I3" s="3" t="s">
        <v>195</v>
      </c>
      <c r="J3" s="3" t="s">
        <v>196</v>
      </c>
      <c r="K3" s="3" t="s">
        <v>197</v>
      </c>
      <c r="L3" s="3"/>
      <c r="M3" s="3" t="s">
        <v>25</v>
      </c>
      <c r="N3" s="3"/>
      <c r="O3" s="3" t="s">
        <v>25</v>
      </c>
    </row>
    <row r="4" spans="1:15" x14ac:dyDescent="0.35">
      <c r="A4" s="6" t="s">
        <v>53</v>
      </c>
      <c r="B4" s="7"/>
      <c r="C4" s="7">
        <v>6417763.7400000002</v>
      </c>
      <c r="D4" s="7">
        <v>26086.66</v>
      </c>
      <c r="E4" s="7">
        <v>26086.66</v>
      </c>
      <c r="F4" s="7">
        <v>6417763.7400000002</v>
      </c>
      <c r="G4" s="7">
        <v>26086.66</v>
      </c>
      <c r="H4" s="7">
        <v>26086.66</v>
      </c>
      <c r="I4" s="7">
        <v>6417763.7400000002</v>
      </c>
      <c r="J4" s="7">
        <v>26086.66</v>
      </c>
      <c r="K4" s="7">
        <v>26086.66</v>
      </c>
      <c r="L4" s="7"/>
      <c r="M4" s="7">
        <v>1352365.3707402148</v>
      </c>
      <c r="N4" s="7"/>
      <c r="O4" s="8">
        <f t="shared" ref="O4:O14" si="0">SUM(C4:K4,M4)</f>
        <v>20762176.550740216</v>
      </c>
    </row>
    <row r="5" spans="1:15" x14ac:dyDescent="0.35">
      <c r="A5" s="6" t="s">
        <v>86</v>
      </c>
      <c r="B5" s="7"/>
      <c r="C5" s="7">
        <v>3478008.21</v>
      </c>
      <c r="D5" s="7">
        <v>14129.79</v>
      </c>
      <c r="E5" s="7">
        <v>14129.79</v>
      </c>
      <c r="F5" s="7">
        <v>3478008.21</v>
      </c>
      <c r="G5" s="7">
        <v>14129.79</v>
      </c>
      <c r="H5" s="7">
        <v>14129.79</v>
      </c>
      <c r="I5" s="7">
        <v>3478008.21</v>
      </c>
      <c r="J5" s="7">
        <v>14129.79</v>
      </c>
      <c r="K5" s="7">
        <v>11608.42</v>
      </c>
      <c r="L5" s="3"/>
      <c r="M5" s="7">
        <v>0</v>
      </c>
      <c r="N5" s="3"/>
      <c r="O5" s="8">
        <f t="shared" si="0"/>
        <v>10516281.999999998</v>
      </c>
    </row>
    <row r="6" spans="1:15" x14ac:dyDescent="0.35">
      <c r="A6" s="6" t="s">
        <v>161</v>
      </c>
      <c r="B6" s="7"/>
      <c r="C6" s="7">
        <v>3310932.62</v>
      </c>
      <c r="D6" s="7">
        <v>9853.2099999999991</v>
      </c>
      <c r="E6" s="7">
        <v>9853.2099999999991</v>
      </c>
      <c r="F6" s="7">
        <v>3310932.62</v>
      </c>
      <c r="G6" s="7">
        <v>9853.2099999999991</v>
      </c>
      <c r="H6" s="7">
        <v>9853.2099999999991</v>
      </c>
      <c r="I6" s="7">
        <v>3310932.62</v>
      </c>
      <c r="J6" s="7">
        <v>9853.2099999999991</v>
      </c>
      <c r="K6" s="7">
        <v>9853.2099999999991</v>
      </c>
      <c r="L6" s="7"/>
      <c r="M6" s="7">
        <v>0</v>
      </c>
      <c r="N6" s="7"/>
      <c r="O6" s="8">
        <f t="shared" si="0"/>
        <v>9991917.120000001</v>
      </c>
    </row>
    <row r="7" spans="1:15" x14ac:dyDescent="0.35">
      <c r="A7" s="6" t="s">
        <v>114</v>
      </c>
      <c r="B7" s="7"/>
      <c r="C7" s="7">
        <v>2625646.62</v>
      </c>
      <c r="D7" s="7">
        <v>8344.9</v>
      </c>
      <c r="E7" s="7">
        <v>8344.9</v>
      </c>
      <c r="F7" s="7">
        <v>2625646.62</v>
      </c>
      <c r="G7" s="7">
        <v>8344.9</v>
      </c>
      <c r="H7" s="7">
        <v>8344.9</v>
      </c>
      <c r="I7" s="7">
        <v>2625646.62</v>
      </c>
      <c r="J7" s="7">
        <v>8344.9</v>
      </c>
      <c r="K7" s="7">
        <v>8344.9</v>
      </c>
      <c r="L7" s="7"/>
      <c r="M7" s="7">
        <v>0</v>
      </c>
      <c r="N7" s="7"/>
      <c r="O7" s="8">
        <f t="shared" si="0"/>
        <v>7927009.2600000016</v>
      </c>
    </row>
    <row r="8" spans="1:15" x14ac:dyDescent="0.35">
      <c r="A8" s="6" t="s">
        <v>87</v>
      </c>
      <c r="B8" s="7"/>
      <c r="C8" s="7">
        <v>5088975.6500000004</v>
      </c>
      <c r="D8" s="7">
        <v>17602.34</v>
      </c>
      <c r="E8" s="7">
        <v>17602.34</v>
      </c>
      <c r="F8" s="7">
        <v>5088975.6500000004</v>
      </c>
      <c r="G8" s="7">
        <v>17602.34</v>
      </c>
      <c r="H8" s="7">
        <v>17602.34</v>
      </c>
      <c r="I8" s="7">
        <v>5088975.6500000004</v>
      </c>
      <c r="J8" s="7">
        <v>17602.34</v>
      </c>
      <c r="K8" s="7">
        <v>17602.34</v>
      </c>
      <c r="L8" s="7"/>
      <c r="M8" s="7">
        <v>1244472.9154950995</v>
      </c>
      <c r="N8" s="7"/>
      <c r="O8" s="8">
        <f t="shared" si="0"/>
        <v>16617013.9054951</v>
      </c>
    </row>
    <row r="9" spans="1:15" x14ac:dyDescent="0.35">
      <c r="A9" s="6" t="s">
        <v>369</v>
      </c>
      <c r="B9" s="7"/>
      <c r="C9" s="7">
        <v>3553605.23</v>
      </c>
      <c r="D9" s="7">
        <v>10550.89</v>
      </c>
      <c r="E9" s="7">
        <v>10550.89</v>
      </c>
      <c r="F9" s="7">
        <v>3553605.23</v>
      </c>
      <c r="G9" s="7">
        <v>10550.89</v>
      </c>
      <c r="H9" s="7">
        <v>10550.89</v>
      </c>
      <c r="I9" s="7">
        <v>3553605.23</v>
      </c>
      <c r="J9" s="7">
        <v>10550.89</v>
      </c>
      <c r="K9" s="7">
        <v>10550.89</v>
      </c>
      <c r="L9" s="3"/>
      <c r="M9" s="7">
        <v>990987.87693641614</v>
      </c>
      <c r="N9" s="3"/>
      <c r="O9" s="8">
        <f t="shared" si="0"/>
        <v>11715108.906936418</v>
      </c>
    </row>
    <row r="10" spans="1:15" x14ac:dyDescent="0.35">
      <c r="A10" s="6" t="s">
        <v>88</v>
      </c>
      <c r="B10" s="7"/>
      <c r="C10" s="7">
        <v>5467352.6900000004</v>
      </c>
      <c r="D10" s="7">
        <v>22243.66</v>
      </c>
      <c r="E10" s="7">
        <v>22243.66</v>
      </c>
      <c r="F10" s="7">
        <v>5467352.6900000004</v>
      </c>
      <c r="G10" s="7">
        <v>22243.66</v>
      </c>
      <c r="H10" s="7">
        <v>22243.66</v>
      </c>
      <c r="I10" s="7">
        <v>5467352.6900000004</v>
      </c>
      <c r="J10" s="7">
        <v>22243.66</v>
      </c>
      <c r="K10" s="7">
        <v>22243.66</v>
      </c>
      <c r="L10" s="7"/>
      <c r="M10" s="7">
        <v>1206237.1405205901</v>
      </c>
      <c r="N10" s="7"/>
      <c r="O10" s="8">
        <f t="shared" si="0"/>
        <v>17741757.170520592</v>
      </c>
    </row>
    <row r="11" spans="1:15" x14ac:dyDescent="0.35">
      <c r="A11" s="6" t="s">
        <v>89</v>
      </c>
      <c r="B11" s="7"/>
      <c r="C11" s="7">
        <v>2582959.34</v>
      </c>
      <c r="D11" s="7">
        <v>6608.38</v>
      </c>
      <c r="E11" s="7">
        <v>6608.38</v>
      </c>
      <c r="F11" s="7">
        <v>2582959.34</v>
      </c>
      <c r="G11" s="7">
        <v>6608.38</v>
      </c>
      <c r="H11" s="7">
        <v>6608.38</v>
      </c>
      <c r="I11" s="7">
        <v>2582959.34</v>
      </c>
      <c r="J11" s="7">
        <v>6608.38</v>
      </c>
      <c r="K11" s="7">
        <v>6608.38</v>
      </c>
      <c r="L11" s="7"/>
      <c r="M11" s="7">
        <v>1105911.6120072806</v>
      </c>
      <c r="N11" s="7"/>
      <c r="O11" s="8">
        <f t="shared" si="0"/>
        <v>8894439.9120072797</v>
      </c>
    </row>
    <row r="12" spans="1:15" x14ac:dyDescent="0.35">
      <c r="A12" s="6" t="s">
        <v>373</v>
      </c>
      <c r="B12" s="7"/>
      <c r="C12" s="7">
        <v>3951412.91</v>
      </c>
      <c r="D12" s="7">
        <v>13570.26</v>
      </c>
      <c r="E12" s="7">
        <v>13570.26</v>
      </c>
      <c r="F12" s="7">
        <v>3951412.91</v>
      </c>
      <c r="G12" s="7">
        <v>13570.26</v>
      </c>
      <c r="H12" s="7">
        <v>13570.26</v>
      </c>
      <c r="I12" s="7">
        <v>3951412.91</v>
      </c>
      <c r="J12" s="7">
        <v>13570.26</v>
      </c>
      <c r="K12" s="7">
        <v>13570.26</v>
      </c>
      <c r="L12" s="7"/>
      <c r="M12" s="7">
        <v>793902.63598265895</v>
      </c>
      <c r="N12" s="7"/>
      <c r="O12" s="8">
        <f t="shared" si="0"/>
        <v>12729562.925982658</v>
      </c>
    </row>
    <row r="13" spans="1:15" x14ac:dyDescent="0.35">
      <c r="A13" s="6" t="s">
        <v>125</v>
      </c>
      <c r="C13" s="7">
        <v>3821787.43</v>
      </c>
      <c r="D13" s="7">
        <v>10717.11</v>
      </c>
      <c r="E13" s="7">
        <v>10717.11</v>
      </c>
      <c r="F13" s="7">
        <v>3821787.43</v>
      </c>
      <c r="G13" s="7">
        <v>10717.11</v>
      </c>
      <c r="H13" s="7">
        <v>10717.11</v>
      </c>
      <c r="I13" s="7">
        <v>3821787.43</v>
      </c>
      <c r="J13" s="7">
        <v>10717.11</v>
      </c>
      <c r="K13" s="7">
        <v>10717.11</v>
      </c>
      <c r="M13" s="7">
        <v>0</v>
      </c>
      <c r="O13" s="8">
        <f t="shared" si="0"/>
        <v>11529664.949999999</v>
      </c>
    </row>
    <row r="14" spans="1:15" x14ac:dyDescent="0.35">
      <c r="A14" s="6" t="s">
        <v>134</v>
      </c>
      <c r="C14" s="7">
        <v>5548182.9199999999</v>
      </c>
      <c r="D14" s="7">
        <v>16036.88</v>
      </c>
      <c r="E14" s="7">
        <v>16036.88</v>
      </c>
      <c r="F14" s="7">
        <v>5548182.9199999999</v>
      </c>
      <c r="G14" s="7">
        <v>16036.88</v>
      </c>
      <c r="H14" s="7">
        <v>16036.88</v>
      </c>
      <c r="I14" s="7">
        <v>5548182.9199999999</v>
      </c>
      <c r="J14" s="7">
        <v>16036.88</v>
      </c>
      <c r="K14" s="7">
        <v>16036.88</v>
      </c>
      <c r="M14" s="7">
        <v>0</v>
      </c>
      <c r="O14" s="8">
        <f t="shared" si="0"/>
        <v>16740770.040000003</v>
      </c>
    </row>
    <row r="15" spans="1:15" x14ac:dyDescent="0.35">
      <c r="A15" s="6" t="s">
        <v>151</v>
      </c>
      <c r="C15" s="7">
        <v>4275828.3099999996</v>
      </c>
      <c r="D15" s="7">
        <v>14592.11</v>
      </c>
      <c r="E15" s="7">
        <v>14592.11</v>
      </c>
      <c r="F15" s="7">
        <v>4275828.3099999996</v>
      </c>
      <c r="G15" s="7">
        <v>14592.11</v>
      </c>
      <c r="H15" s="7">
        <v>14592.11</v>
      </c>
      <c r="I15" s="7">
        <v>4275828.3099999996</v>
      </c>
      <c r="J15" s="7">
        <v>14592.11</v>
      </c>
      <c r="K15" s="7">
        <v>14592.11</v>
      </c>
      <c r="M15" s="7">
        <v>0</v>
      </c>
      <c r="O15" s="8">
        <f t="shared" ref="O15:O18" si="1">SUM(C15:K15,M15)</f>
        <v>12915037.589999996</v>
      </c>
    </row>
    <row r="16" spans="1:15" x14ac:dyDescent="0.35">
      <c r="A16" s="6" t="s">
        <v>155</v>
      </c>
      <c r="C16" s="7">
        <v>3899542.86</v>
      </c>
      <c r="D16" s="7">
        <v>33316.160000000003</v>
      </c>
      <c r="E16" s="7">
        <v>33316.160000000003</v>
      </c>
      <c r="F16" s="7">
        <v>3899542.86</v>
      </c>
      <c r="G16" s="7">
        <v>33316.160000000003</v>
      </c>
      <c r="H16" s="7">
        <v>33316.160000000003</v>
      </c>
      <c r="I16" s="7">
        <v>3899542.86</v>
      </c>
      <c r="J16" s="7">
        <v>33316.160000000003</v>
      </c>
      <c r="K16" s="7">
        <v>33316.160000000003</v>
      </c>
      <c r="M16" s="7">
        <v>0</v>
      </c>
      <c r="O16" s="8">
        <f t="shared" si="1"/>
        <v>11898525.540000001</v>
      </c>
    </row>
    <row r="17" spans="1:15" x14ac:dyDescent="0.35">
      <c r="A17" s="6" t="s">
        <v>156</v>
      </c>
      <c r="C17" s="7">
        <v>4479405.05</v>
      </c>
      <c r="D17" s="7">
        <v>14064.77</v>
      </c>
      <c r="E17" s="7">
        <v>14064.77</v>
      </c>
      <c r="F17" s="7">
        <v>4479405.05</v>
      </c>
      <c r="G17" s="7">
        <v>14064.77</v>
      </c>
      <c r="H17" s="7">
        <v>14064.77</v>
      </c>
      <c r="I17" s="7">
        <v>4479405.05</v>
      </c>
      <c r="J17" s="7">
        <v>14064.77</v>
      </c>
      <c r="K17" s="7">
        <v>14064.77</v>
      </c>
      <c r="M17" s="7">
        <v>0</v>
      </c>
      <c r="O17" s="8">
        <f t="shared" si="1"/>
        <v>13522603.769999996</v>
      </c>
    </row>
    <row r="18" spans="1:15" x14ac:dyDescent="0.35">
      <c r="A18" s="6" t="s">
        <v>160</v>
      </c>
      <c r="C18" s="7">
        <v>3398919.12</v>
      </c>
      <c r="D18" s="7">
        <v>11738.7</v>
      </c>
      <c r="E18" s="7">
        <v>11738.7</v>
      </c>
      <c r="F18" s="7">
        <v>3398919.12</v>
      </c>
      <c r="G18" s="7">
        <v>11738.7</v>
      </c>
      <c r="H18" s="7">
        <v>11738.7</v>
      </c>
      <c r="I18" s="7">
        <v>3398919.12</v>
      </c>
      <c r="J18" s="7">
        <v>11738.7</v>
      </c>
      <c r="K18" s="7">
        <v>11738.7</v>
      </c>
      <c r="M18" s="7">
        <v>0</v>
      </c>
      <c r="O18" s="8">
        <f t="shared" si="1"/>
        <v>10267189.559999999</v>
      </c>
    </row>
    <row r="19" spans="1:15" x14ac:dyDescent="0.35">
      <c r="O19" s="9"/>
    </row>
    <row r="25" spans="1:15" x14ac:dyDescent="0.35">
      <c r="A25" s="84" t="s">
        <v>354</v>
      </c>
      <c r="B25" s="84"/>
    </row>
  </sheetData>
  <autoFilter ref="A3:O18" xr:uid="{A46EDAAC-5D8A-4579-A369-21509FCFB28D}"/>
  <mergeCells count="1">
    <mergeCell ref="A25:B25"/>
  </mergeCells>
  <hyperlinks>
    <hyperlink ref="A25" location="Introdução!A1" display="Introdução!A1" xr:uid="{C999B5FC-AE93-4311-B4D4-4F71E5E3D146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B941-664E-4085-9DD3-8F8AFD4E44F0}">
  <sheetPr codeName="Planilha4">
    <tabColor rgb="FF92D050"/>
  </sheetPr>
  <dimension ref="A1:O27"/>
  <sheetViews>
    <sheetView showGridLines="0" zoomScale="90" zoomScaleNormal="90" workbookViewId="0"/>
  </sheetViews>
  <sheetFormatPr defaultRowHeight="14.5" x14ac:dyDescent="0.35"/>
  <cols>
    <col min="1" max="1" width="10.453125" customWidth="1"/>
    <col min="2" max="2" width="10.81640625" customWidth="1"/>
    <col min="3" max="3" width="17.7265625" bestFit="1" customWidth="1"/>
    <col min="4" max="5" width="16" bestFit="1" customWidth="1"/>
    <col min="6" max="6" width="17.7265625" bestFit="1" customWidth="1"/>
    <col min="7" max="8" width="16" bestFit="1" customWidth="1"/>
    <col min="9" max="9" width="17.7265625" bestFit="1" customWidth="1"/>
    <col min="10" max="11" width="16" bestFit="1" customWidth="1"/>
    <col min="12" max="12" width="15.81640625" bestFit="1" customWidth="1"/>
    <col min="13" max="13" width="21.1796875" bestFit="1" customWidth="1"/>
    <col min="14" max="14" width="15.81640625" bestFit="1" customWidth="1"/>
    <col min="15" max="15" width="18.54296875" customWidth="1"/>
  </cols>
  <sheetData>
    <row r="1" spans="1:15" x14ac:dyDescent="0.35">
      <c r="L1" s="3"/>
      <c r="N1" s="3"/>
    </row>
    <row r="2" spans="1:15" x14ac:dyDescent="0.35">
      <c r="D2" s="4" t="s">
        <v>187</v>
      </c>
      <c r="E2" s="4"/>
      <c r="F2" s="4"/>
      <c r="G2" s="4"/>
      <c r="H2" s="4"/>
      <c r="I2" s="4"/>
      <c r="J2" s="4"/>
      <c r="K2" s="4"/>
      <c r="L2" s="3"/>
      <c r="M2" s="4" t="s">
        <v>188</v>
      </c>
      <c r="N2" s="3"/>
    </row>
    <row r="3" spans="1:15" x14ac:dyDescent="0.35">
      <c r="B3" s="3"/>
      <c r="C3" s="3" t="s">
        <v>189</v>
      </c>
      <c r="D3" s="3" t="s">
        <v>190</v>
      </c>
      <c r="E3" s="3" t="s">
        <v>191</v>
      </c>
      <c r="F3" s="3" t="s">
        <v>192</v>
      </c>
      <c r="G3" s="3" t="s">
        <v>193</v>
      </c>
      <c r="H3" s="3" t="s">
        <v>194</v>
      </c>
      <c r="I3" s="3" t="s">
        <v>195</v>
      </c>
      <c r="J3" s="3" t="s">
        <v>196</v>
      </c>
      <c r="K3" s="3" t="s">
        <v>197</v>
      </c>
      <c r="L3" s="3"/>
      <c r="M3" s="3" t="s">
        <v>198</v>
      </c>
      <c r="N3" s="3"/>
      <c r="O3" s="3" t="s">
        <v>198</v>
      </c>
    </row>
    <row r="4" spans="1:15" ht="16" x14ac:dyDescent="0.4">
      <c r="A4" s="10" t="s">
        <v>25</v>
      </c>
      <c r="B4" s="3"/>
      <c r="C4" s="11">
        <f t="shared" ref="C4:K4" si="0">SUM(C6:C543)</f>
        <v>4622596.08</v>
      </c>
      <c r="D4" s="11">
        <f t="shared" si="0"/>
        <v>140869.76000000001</v>
      </c>
      <c r="E4" s="11">
        <f t="shared" si="0"/>
        <v>140869.76000000001</v>
      </c>
      <c r="F4" s="11">
        <f t="shared" si="0"/>
        <v>4622596.08</v>
      </c>
      <c r="G4" s="11">
        <f t="shared" si="0"/>
        <v>140869.76000000001</v>
      </c>
      <c r="H4" s="11">
        <f t="shared" si="0"/>
        <v>140869.76000000001</v>
      </c>
      <c r="I4" s="11">
        <f t="shared" si="0"/>
        <v>4622596.08</v>
      </c>
      <c r="J4" s="11">
        <f t="shared" si="0"/>
        <v>140869.76000000001</v>
      </c>
      <c r="K4" s="11">
        <f t="shared" si="0"/>
        <v>140869.76000000001</v>
      </c>
      <c r="L4" s="11"/>
      <c r="M4" s="11">
        <f>SUM(M6:M543)</f>
        <v>17021453.984072171</v>
      </c>
      <c r="N4" s="12"/>
      <c r="O4" s="11">
        <f>SUM(O6:O543)</f>
        <v>31734460.784072172</v>
      </c>
    </row>
    <row r="5" spans="1:15" ht="5.15" customHeight="1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35">
      <c r="A6" t="s">
        <v>53</v>
      </c>
      <c r="B6" s="7"/>
      <c r="C6" s="7">
        <v>1076797.75</v>
      </c>
      <c r="D6" s="7">
        <v>30839.29</v>
      </c>
      <c r="E6" s="7">
        <v>30839.29</v>
      </c>
      <c r="F6" s="7">
        <v>1076797.75</v>
      </c>
      <c r="G6" s="7">
        <v>30839.29</v>
      </c>
      <c r="H6" s="7">
        <v>30839.29</v>
      </c>
      <c r="I6" s="7">
        <v>1076797.75</v>
      </c>
      <c r="J6" s="7">
        <v>30839.29</v>
      </c>
      <c r="K6" s="7">
        <v>30839.29</v>
      </c>
      <c r="L6" s="7"/>
      <c r="M6" s="7">
        <v>1352365.3707402148</v>
      </c>
      <c r="N6" s="7"/>
      <c r="O6" s="8">
        <f t="shared" ref="O6:O20" si="1">SUM(C6:K6,M6)</f>
        <v>4767794.3607402146</v>
      </c>
    </row>
    <row r="7" spans="1:15" x14ac:dyDescent="0.35">
      <c r="A7" t="s">
        <v>86</v>
      </c>
      <c r="B7" s="7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/>
      <c r="M7" s="7">
        <v>0</v>
      </c>
      <c r="N7" s="7"/>
      <c r="O7" s="8">
        <f t="shared" si="1"/>
        <v>0</v>
      </c>
    </row>
    <row r="8" spans="1:15" x14ac:dyDescent="0.35">
      <c r="A8" t="s">
        <v>87</v>
      </c>
      <c r="B8" s="7"/>
      <c r="C8" s="7">
        <v>767034.01</v>
      </c>
      <c r="D8" s="7">
        <v>21967.71</v>
      </c>
      <c r="E8" s="7">
        <v>21967.71</v>
      </c>
      <c r="F8" s="7">
        <v>767034.01</v>
      </c>
      <c r="G8" s="7">
        <v>21967.71</v>
      </c>
      <c r="H8" s="7">
        <v>21967.71</v>
      </c>
      <c r="I8" s="7">
        <v>767034.01</v>
      </c>
      <c r="J8" s="7">
        <v>21967.71</v>
      </c>
      <c r="K8" s="7">
        <v>21967.71</v>
      </c>
      <c r="L8" s="7"/>
      <c r="M8" s="7">
        <v>1244472.9154950995</v>
      </c>
      <c r="N8" s="7"/>
      <c r="O8" s="8">
        <f t="shared" si="1"/>
        <v>3677381.2054950995</v>
      </c>
    </row>
    <row r="9" spans="1:15" x14ac:dyDescent="0.35">
      <c r="A9" t="s">
        <v>369</v>
      </c>
      <c r="B9" s="7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/>
      <c r="M9" s="7">
        <v>990987.87693641614</v>
      </c>
      <c r="N9" s="7"/>
      <c r="O9" s="8">
        <f t="shared" si="1"/>
        <v>990987.87693641614</v>
      </c>
    </row>
    <row r="10" spans="1:15" x14ac:dyDescent="0.35">
      <c r="A10" t="s">
        <v>88</v>
      </c>
      <c r="B10" s="7"/>
      <c r="C10" s="7">
        <v>774355.23</v>
      </c>
      <c r="D10" s="7">
        <v>24764.39</v>
      </c>
      <c r="E10" s="7">
        <v>24764.39</v>
      </c>
      <c r="F10" s="7">
        <v>774355.23</v>
      </c>
      <c r="G10" s="7">
        <v>24764.39</v>
      </c>
      <c r="H10" s="7">
        <v>24764.39</v>
      </c>
      <c r="I10" s="7">
        <v>774355.23</v>
      </c>
      <c r="J10" s="7">
        <v>24764.39</v>
      </c>
      <c r="K10" s="7">
        <v>24764.39</v>
      </c>
      <c r="L10" s="7"/>
      <c r="M10" s="7">
        <v>1206237.1405205901</v>
      </c>
      <c r="N10" s="7"/>
      <c r="O10" s="8">
        <f t="shared" si="1"/>
        <v>3677889.1705205906</v>
      </c>
    </row>
    <row r="11" spans="1:15" x14ac:dyDescent="0.35">
      <c r="A11" t="s">
        <v>89</v>
      </c>
      <c r="B11" s="7"/>
      <c r="C11" s="7">
        <v>1544449.91</v>
      </c>
      <c r="D11" s="7">
        <v>49392.52</v>
      </c>
      <c r="E11" s="7">
        <v>49392.52</v>
      </c>
      <c r="F11" s="7">
        <v>1544449.91</v>
      </c>
      <c r="G11" s="7">
        <v>49392.52</v>
      </c>
      <c r="H11" s="7">
        <v>49392.52</v>
      </c>
      <c r="I11" s="7">
        <v>1544449.91</v>
      </c>
      <c r="J11" s="7">
        <v>49392.52</v>
      </c>
      <c r="K11" s="7">
        <v>49392.52</v>
      </c>
      <c r="L11" s="3"/>
      <c r="M11" s="7">
        <v>1105911.6120072806</v>
      </c>
      <c r="N11" s="3"/>
      <c r="O11" s="8">
        <f t="shared" si="1"/>
        <v>6035616.4620072795</v>
      </c>
    </row>
    <row r="12" spans="1:15" x14ac:dyDescent="0.35">
      <c r="A12" t="s">
        <v>373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/>
      <c r="M12" s="7">
        <v>793902.63598265895</v>
      </c>
      <c r="N12" s="7"/>
      <c r="O12" s="8">
        <f t="shared" si="1"/>
        <v>793902.63598265895</v>
      </c>
    </row>
    <row r="13" spans="1:15" x14ac:dyDescent="0.35">
      <c r="A13" t="s">
        <v>114</v>
      </c>
      <c r="B13" s="7"/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v>0</v>
      </c>
      <c r="N13" s="7"/>
      <c r="O13" s="8">
        <f t="shared" si="1"/>
        <v>0</v>
      </c>
    </row>
    <row r="14" spans="1:15" x14ac:dyDescent="0.35">
      <c r="A14" t="s">
        <v>125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M14" s="7">
        <v>1477666.8231374531</v>
      </c>
      <c r="O14" s="8">
        <f t="shared" si="1"/>
        <v>1477666.8231374531</v>
      </c>
    </row>
    <row r="15" spans="1:15" x14ac:dyDescent="0.35">
      <c r="A15" t="s">
        <v>134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M15" s="7">
        <v>1901523.417342165</v>
      </c>
      <c r="O15" s="8">
        <f t="shared" si="1"/>
        <v>1901523.417342165</v>
      </c>
    </row>
    <row r="16" spans="1:15" x14ac:dyDescent="0.35">
      <c r="A16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M16" s="7">
        <v>1769803.5683648866</v>
      </c>
      <c r="O16" s="8">
        <f t="shared" si="1"/>
        <v>1769803.5683648866</v>
      </c>
    </row>
    <row r="17" spans="1:15" x14ac:dyDescent="0.35">
      <c r="A17" t="s">
        <v>155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M17" s="7">
        <v>994812.06981244835</v>
      </c>
      <c r="O17" s="8">
        <f t="shared" si="1"/>
        <v>994812.06981244835</v>
      </c>
    </row>
    <row r="18" spans="1:15" x14ac:dyDescent="0.35">
      <c r="A18" t="s">
        <v>156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M18" s="7">
        <v>1796951.8616827475</v>
      </c>
      <c r="O18" s="8">
        <f t="shared" si="1"/>
        <v>1796951.8616827475</v>
      </c>
    </row>
    <row r="19" spans="1:15" x14ac:dyDescent="0.35">
      <c r="A19" t="s">
        <v>160</v>
      </c>
      <c r="C19" s="7">
        <v>459959.18</v>
      </c>
      <c r="D19" s="7">
        <v>13905.85</v>
      </c>
      <c r="E19" s="7">
        <v>13905.85</v>
      </c>
      <c r="F19" s="7">
        <v>459959.18</v>
      </c>
      <c r="G19" s="7">
        <v>13905.85</v>
      </c>
      <c r="H19" s="7">
        <v>13905.85</v>
      </c>
      <c r="I19" s="7">
        <v>459959.18</v>
      </c>
      <c r="J19" s="7">
        <v>13905.85</v>
      </c>
      <c r="K19" s="7">
        <v>13905.85</v>
      </c>
      <c r="M19" s="7">
        <v>1396642.5635080519</v>
      </c>
      <c r="O19" s="8">
        <f t="shared" si="1"/>
        <v>2859955.203508052</v>
      </c>
    </row>
    <row r="20" spans="1:15" x14ac:dyDescent="0.35">
      <c r="A20" t="s">
        <v>161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M20" s="7">
        <v>990176.12854215875</v>
      </c>
      <c r="O20" s="8">
        <f t="shared" si="1"/>
        <v>990176.12854215875</v>
      </c>
    </row>
    <row r="27" spans="1:15" x14ac:dyDescent="0.35">
      <c r="A27" s="84" t="s">
        <v>354</v>
      </c>
      <c r="B27" s="84"/>
    </row>
  </sheetData>
  <autoFilter ref="A5:O20" xr:uid="{EF5DB941-664E-4085-9DD3-8F8AFD4E44F0}"/>
  <mergeCells count="1">
    <mergeCell ref="A27:B27"/>
  </mergeCells>
  <hyperlinks>
    <hyperlink ref="A27" location="Introdução!A1" display="Introdução!A1" xr:uid="{7FE892D3-14AE-4B81-8F75-014DD37E6AF4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3371-3516-4AAC-875F-D0C662C10734}">
  <sheetPr>
    <tabColor rgb="FF92D050"/>
  </sheetPr>
  <dimension ref="A1:BD4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3" x14ac:dyDescent="0.3"/>
  <cols>
    <col min="1" max="1" width="8.26953125" style="15" customWidth="1"/>
    <col min="2" max="8" width="25.1796875" style="16" customWidth="1"/>
    <col min="9" max="13" width="10.7265625" style="16" customWidth="1"/>
    <col min="14" max="21" width="10.7265625" style="15" customWidth="1"/>
    <col min="22" max="22" width="10.7265625" style="16" customWidth="1"/>
    <col min="23" max="23" width="10.7265625" style="15" customWidth="1"/>
    <col min="24" max="24" width="25.26953125" style="15" customWidth="1"/>
    <col min="25" max="26" width="10.7265625" style="15" customWidth="1"/>
    <col min="27" max="27" width="9" style="15" bestFit="1" customWidth="1"/>
    <col min="28" max="28" width="13.7265625" style="16" customWidth="1"/>
    <col min="29" max="56" width="13.7265625" style="15" customWidth="1"/>
    <col min="57" max="16384" width="9.1796875" style="15"/>
  </cols>
  <sheetData>
    <row r="1" spans="1:56" ht="50.15" customHeight="1" x14ac:dyDescent="0.3">
      <c r="A1" s="13" t="s">
        <v>0</v>
      </c>
      <c r="B1" s="13" t="s">
        <v>3</v>
      </c>
      <c r="C1" s="13" t="s">
        <v>199</v>
      </c>
      <c r="D1" s="13" t="s">
        <v>200</v>
      </c>
      <c r="E1" s="13" t="s">
        <v>187</v>
      </c>
      <c r="F1" s="13" t="s">
        <v>201</v>
      </c>
      <c r="G1" s="13" t="s">
        <v>202</v>
      </c>
      <c r="H1" s="13" t="s">
        <v>203</v>
      </c>
      <c r="I1" s="13"/>
      <c r="J1" s="13"/>
      <c r="K1" s="13"/>
      <c r="L1" s="13"/>
      <c r="M1" s="13"/>
      <c r="N1" s="13" t="s">
        <v>204</v>
      </c>
      <c r="O1" s="13" t="s">
        <v>205</v>
      </c>
      <c r="P1" s="13" t="s">
        <v>206</v>
      </c>
      <c r="Q1" s="13" t="s">
        <v>207</v>
      </c>
      <c r="R1" s="13" t="s">
        <v>208</v>
      </c>
      <c r="S1" s="13" t="s">
        <v>209</v>
      </c>
      <c r="T1" s="13" t="s">
        <v>210</v>
      </c>
      <c r="U1" s="13" t="s">
        <v>211</v>
      </c>
      <c r="V1" s="13" t="s">
        <v>212</v>
      </c>
      <c r="W1" s="13" t="s">
        <v>213</v>
      </c>
      <c r="X1" s="13" t="s">
        <v>214</v>
      </c>
      <c r="Y1" s="13" t="s">
        <v>215</v>
      </c>
      <c r="Z1" s="13" t="s">
        <v>216</v>
      </c>
      <c r="AA1" s="13" t="s">
        <v>217</v>
      </c>
      <c r="AB1" s="14">
        <v>2024</v>
      </c>
      <c r="AC1" s="14">
        <v>2025</v>
      </c>
      <c r="AD1" s="14">
        <v>2026</v>
      </c>
      <c r="AE1" s="14">
        <v>2027</v>
      </c>
      <c r="AF1" s="14">
        <v>2028</v>
      </c>
      <c r="AG1" s="14">
        <v>2029</v>
      </c>
      <c r="AH1" s="14">
        <v>2030</v>
      </c>
      <c r="AI1" s="14">
        <v>2031</v>
      </c>
      <c r="AJ1" s="14">
        <v>2032</v>
      </c>
      <c r="AK1" s="14">
        <v>2033</v>
      </c>
      <c r="AL1" s="14">
        <v>2034</v>
      </c>
      <c r="AM1" s="14">
        <v>2035</v>
      </c>
      <c r="AN1" s="14">
        <v>2036</v>
      </c>
      <c r="AO1" s="14">
        <v>2037</v>
      </c>
      <c r="AP1" s="14">
        <v>2038</v>
      </c>
      <c r="AQ1" s="14">
        <v>2039</v>
      </c>
      <c r="AR1" s="14">
        <v>2040</v>
      </c>
      <c r="AS1" s="14">
        <v>2041</v>
      </c>
      <c r="AT1" s="14">
        <v>2042</v>
      </c>
      <c r="AU1" s="14">
        <v>2043</v>
      </c>
      <c r="AV1" s="14">
        <v>2044</v>
      </c>
      <c r="AW1" s="14">
        <v>2045</v>
      </c>
      <c r="AX1" s="14">
        <v>2046</v>
      </c>
      <c r="AY1" s="14">
        <v>2047</v>
      </c>
      <c r="AZ1" s="14">
        <v>2048</v>
      </c>
      <c r="BA1" s="14">
        <v>2049</v>
      </c>
      <c r="BB1" s="14">
        <v>2050</v>
      </c>
      <c r="BC1" s="14">
        <v>2051</v>
      </c>
      <c r="BD1" s="14">
        <v>2052</v>
      </c>
    </row>
    <row r="2" spans="1:56" x14ac:dyDescent="0.3">
      <c r="A2" s="16" t="s">
        <v>53</v>
      </c>
      <c r="B2" s="17" t="s">
        <v>228</v>
      </c>
      <c r="C2" s="17"/>
      <c r="D2" s="17"/>
      <c r="E2" s="17"/>
      <c r="F2" s="17" t="s">
        <v>218</v>
      </c>
      <c r="G2" s="17"/>
      <c r="H2" s="17" t="s">
        <v>218</v>
      </c>
      <c r="I2" s="21" t="s">
        <v>229</v>
      </c>
      <c r="J2" s="17">
        <v>0</v>
      </c>
      <c r="K2" s="17">
        <v>0</v>
      </c>
      <c r="L2" s="17">
        <v>0</v>
      </c>
      <c r="M2" s="17">
        <v>0</v>
      </c>
      <c r="N2" s="16" t="s">
        <v>227</v>
      </c>
      <c r="O2" s="16" t="s">
        <v>227</v>
      </c>
      <c r="P2" s="16" t="s">
        <v>227</v>
      </c>
      <c r="Q2" s="16" t="s">
        <v>227</v>
      </c>
      <c r="R2" s="16" t="s">
        <v>227</v>
      </c>
      <c r="S2" s="16" t="s">
        <v>227</v>
      </c>
      <c r="T2" s="16" t="s">
        <v>227</v>
      </c>
      <c r="U2" s="22" t="s">
        <v>230</v>
      </c>
      <c r="V2" s="16">
        <v>56</v>
      </c>
      <c r="W2" s="18">
        <v>12</v>
      </c>
      <c r="X2" s="18" t="s">
        <v>231</v>
      </c>
      <c r="Y2" s="18">
        <v>1600</v>
      </c>
      <c r="Z2" s="18">
        <v>30</v>
      </c>
      <c r="AA2" s="19"/>
      <c r="AB2" s="20">
        <v>640395.71144927538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  <c r="BD2" s="20">
        <v>0</v>
      </c>
    </row>
    <row r="3" spans="1:56" x14ac:dyDescent="0.3">
      <c r="A3" s="16" t="s">
        <v>86</v>
      </c>
      <c r="B3" s="17" t="s">
        <v>232</v>
      </c>
      <c r="C3" s="17"/>
      <c r="D3" s="17"/>
      <c r="E3" s="17"/>
      <c r="F3" s="17" t="s">
        <v>218</v>
      </c>
      <c r="G3" s="17"/>
      <c r="H3" s="17" t="s">
        <v>218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6" t="s">
        <v>227</v>
      </c>
      <c r="O3" s="16" t="s">
        <v>227</v>
      </c>
      <c r="P3" s="16" t="s">
        <v>227</v>
      </c>
      <c r="Q3" s="16" t="s">
        <v>227</v>
      </c>
      <c r="R3" s="16" t="s">
        <v>227</v>
      </c>
      <c r="S3" s="16" t="s">
        <v>227</v>
      </c>
      <c r="T3" s="16" t="s">
        <v>227</v>
      </c>
      <c r="U3" s="16" t="s">
        <v>219</v>
      </c>
      <c r="V3" s="16">
        <v>26</v>
      </c>
      <c r="W3" s="18">
        <v>12</v>
      </c>
      <c r="X3" s="18" t="s">
        <v>220</v>
      </c>
      <c r="Y3" s="18">
        <v>1200</v>
      </c>
      <c r="Z3" s="18">
        <v>23</v>
      </c>
      <c r="AA3" s="19"/>
      <c r="AB3" s="20">
        <v>3519668.6314492757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  <c r="BD3" s="20">
        <v>0</v>
      </c>
    </row>
    <row r="4" spans="1:56" x14ac:dyDescent="0.3">
      <c r="A4" s="16" t="s">
        <v>87</v>
      </c>
      <c r="B4" s="17" t="s">
        <v>233</v>
      </c>
      <c r="C4" s="17"/>
      <c r="D4" s="17"/>
      <c r="E4" s="17"/>
      <c r="F4" s="17" t="s">
        <v>218</v>
      </c>
      <c r="G4" s="17"/>
      <c r="H4" s="17" t="s">
        <v>218</v>
      </c>
      <c r="I4" s="21">
        <v>0</v>
      </c>
      <c r="J4" s="17">
        <v>0</v>
      </c>
      <c r="K4" s="17">
        <v>0</v>
      </c>
      <c r="L4" s="17">
        <v>0</v>
      </c>
      <c r="M4" s="17">
        <v>0</v>
      </c>
      <c r="N4" s="16" t="s">
        <v>227</v>
      </c>
      <c r="O4" s="16" t="s">
        <v>227</v>
      </c>
      <c r="P4" s="16" t="s">
        <v>227</v>
      </c>
      <c r="Q4" s="16" t="s">
        <v>227</v>
      </c>
      <c r="R4" s="16" t="s">
        <v>227</v>
      </c>
      <c r="S4" s="16" t="s">
        <v>227</v>
      </c>
      <c r="T4" s="16" t="s">
        <v>227</v>
      </c>
      <c r="U4" s="16" t="s">
        <v>219</v>
      </c>
      <c r="V4" s="16">
        <v>28</v>
      </c>
      <c r="W4" s="18">
        <v>12</v>
      </c>
      <c r="X4" s="18" t="s">
        <v>220</v>
      </c>
      <c r="Y4" s="18">
        <v>1300</v>
      </c>
      <c r="Z4" s="18">
        <v>30</v>
      </c>
      <c r="AA4" s="19"/>
      <c r="AB4" s="20">
        <v>3526476.7114492757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  <c r="BD4" s="20">
        <v>0</v>
      </c>
    </row>
    <row r="5" spans="1:56" ht="12.75" customHeight="1" x14ac:dyDescent="0.3">
      <c r="A5" s="16" t="s">
        <v>369</v>
      </c>
      <c r="B5" s="17" t="s">
        <v>376</v>
      </c>
      <c r="C5" s="17"/>
      <c r="D5" s="17"/>
      <c r="E5" s="17"/>
      <c r="F5" s="17"/>
      <c r="G5" s="17" t="s">
        <v>218</v>
      </c>
      <c r="H5" s="17" t="s">
        <v>227</v>
      </c>
      <c r="I5" s="21">
        <v>0</v>
      </c>
      <c r="J5" s="17">
        <v>0</v>
      </c>
      <c r="K5" s="17">
        <v>0</v>
      </c>
      <c r="L5" s="17">
        <v>0</v>
      </c>
      <c r="M5" s="17">
        <v>0</v>
      </c>
      <c r="N5" s="16" t="s">
        <v>227</v>
      </c>
      <c r="O5" s="16" t="s">
        <v>227</v>
      </c>
      <c r="P5" s="16" t="s">
        <v>227</v>
      </c>
      <c r="Q5" s="16" t="s">
        <v>227</v>
      </c>
      <c r="R5" s="16" t="s">
        <v>227</v>
      </c>
      <c r="S5" s="16" t="s">
        <v>227</v>
      </c>
      <c r="T5" s="16" t="s">
        <v>227</v>
      </c>
      <c r="U5" s="16" t="s">
        <v>219</v>
      </c>
      <c r="V5" s="16">
        <v>28</v>
      </c>
      <c r="W5" s="18">
        <v>12</v>
      </c>
      <c r="X5" s="18" t="s">
        <v>220</v>
      </c>
      <c r="Y5" s="18">
        <v>1247</v>
      </c>
      <c r="Z5" s="18">
        <v>26</v>
      </c>
      <c r="AA5" s="19"/>
      <c r="AB5" s="20">
        <v>3270611.0100000002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  <c r="BD5" s="20">
        <v>0</v>
      </c>
    </row>
    <row r="6" spans="1:56" x14ac:dyDescent="0.3">
      <c r="A6" s="16" t="s">
        <v>88</v>
      </c>
      <c r="B6" s="17" t="s">
        <v>234</v>
      </c>
      <c r="C6" s="17"/>
      <c r="D6" s="17"/>
      <c r="E6" s="17"/>
      <c r="F6" s="17" t="s">
        <v>218</v>
      </c>
      <c r="G6" s="17"/>
      <c r="H6" s="17" t="s">
        <v>218</v>
      </c>
      <c r="I6" s="21">
        <v>0</v>
      </c>
      <c r="J6" s="17">
        <v>0</v>
      </c>
      <c r="K6" s="17">
        <v>0</v>
      </c>
      <c r="L6" s="17">
        <v>0</v>
      </c>
      <c r="M6" s="17">
        <v>0</v>
      </c>
      <c r="N6" s="16" t="s">
        <v>227</v>
      </c>
      <c r="O6" s="16" t="s">
        <v>227</v>
      </c>
      <c r="P6" s="16" t="s">
        <v>227</v>
      </c>
      <c r="Q6" s="16" t="s">
        <v>227</v>
      </c>
      <c r="R6" s="16" t="s">
        <v>227</v>
      </c>
      <c r="S6" s="16" t="s">
        <v>227</v>
      </c>
      <c r="T6" s="16" t="s">
        <v>227</v>
      </c>
      <c r="U6" s="16" t="s">
        <v>219</v>
      </c>
      <c r="V6" s="16">
        <v>34</v>
      </c>
      <c r="W6" s="18">
        <v>12</v>
      </c>
      <c r="X6" s="18" t="s">
        <v>220</v>
      </c>
      <c r="Y6" s="18">
        <v>1600</v>
      </c>
      <c r="Z6" s="18">
        <v>30</v>
      </c>
      <c r="AA6" s="19"/>
      <c r="AB6" s="20">
        <v>3546900.9514492755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  <c r="BD6" s="20">
        <v>0</v>
      </c>
    </row>
    <row r="7" spans="1:56" x14ac:dyDescent="0.3">
      <c r="A7" s="16" t="s">
        <v>89</v>
      </c>
      <c r="B7" s="17" t="s">
        <v>235</v>
      </c>
      <c r="C7" s="17"/>
      <c r="D7" s="17"/>
      <c r="E7" s="17"/>
      <c r="F7" s="17" t="s">
        <v>218</v>
      </c>
      <c r="G7" s="17"/>
      <c r="H7" s="17" t="s">
        <v>218</v>
      </c>
      <c r="I7" s="21">
        <v>0</v>
      </c>
      <c r="J7" s="17">
        <v>0</v>
      </c>
      <c r="K7" s="17">
        <v>0</v>
      </c>
      <c r="L7" s="17">
        <v>0</v>
      </c>
      <c r="M7" s="17">
        <v>0</v>
      </c>
      <c r="N7" s="16" t="s">
        <v>227</v>
      </c>
      <c r="O7" s="16" t="s">
        <v>227</v>
      </c>
      <c r="P7" s="16" t="s">
        <v>227</v>
      </c>
      <c r="Q7" s="16" t="s">
        <v>227</v>
      </c>
      <c r="R7" s="16" t="s">
        <v>227</v>
      </c>
      <c r="S7" s="16" t="s">
        <v>227</v>
      </c>
      <c r="T7" s="16" t="s">
        <v>227</v>
      </c>
      <c r="U7" s="16" t="s">
        <v>219</v>
      </c>
      <c r="V7" s="16">
        <v>22</v>
      </c>
      <c r="W7" s="18">
        <v>12</v>
      </c>
      <c r="X7" s="18" t="s">
        <v>220</v>
      </c>
      <c r="Y7" s="18">
        <v>970</v>
      </c>
      <c r="Z7" s="18">
        <v>25</v>
      </c>
      <c r="AA7" s="19"/>
      <c r="AB7" s="20">
        <v>3506052.4714492755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  <c r="BD7" s="20">
        <v>0</v>
      </c>
    </row>
    <row r="8" spans="1:56" x14ac:dyDescent="0.3">
      <c r="A8" s="16" t="s">
        <v>373</v>
      </c>
      <c r="B8" s="17" t="s">
        <v>377</v>
      </c>
      <c r="C8" s="17"/>
      <c r="D8" s="17"/>
      <c r="E8" s="17"/>
      <c r="F8" s="17"/>
      <c r="G8" s="17" t="s">
        <v>218</v>
      </c>
      <c r="H8" s="17" t="s">
        <v>227</v>
      </c>
      <c r="I8" s="17" t="s">
        <v>378</v>
      </c>
      <c r="J8" s="17" t="s">
        <v>223</v>
      </c>
      <c r="K8" s="17" t="s">
        <v>224</v>
      </c>
      <c r="L8" s="17" t="s">
        <v>225</v>
      </c>
      <c r="M8" s="17" t="s">
        <v>225</v>
      </c>
      <c r="N8" s="16" t="s">
        <v>227</v>
      </c>
      <c r="O8" s="16" t="s">
        <v>218</v>
      </c>
      <c r="P8" s="16" t="s">
        <v>227</v>
      </c>
      <c r="Q8" s="16" t="s">
        <v>227</v>
      </c>
      <c r="R8" s="16" t="s">
        <v>218</v>
      </c>
      <c r="S8" s="16" t="s">
        <v>218</v>
      </c>
      <c r="T8" s="16" t="s">
        <v>218</v>
      </c>
      <c r="U8" s="16" t="s">
        <v>219</v>
      </c>
      <c r="V8" s="16">
        <v>28</v>
      </c>
      <c r="W8" s="18">
        <v>24</v>
      </c>
      <c r="X8" s="18" t="s">
        <v>220</v>
      </c>
      <c r="Y8" s="18">
        <v>1259</v>
      </c>
      <c r="Z8" s="18">
        <v>28</v>
      </c>
      <c r="AA8" s="19"/>
      <c r="AB8" s="20">
        <v>3270611.0100000002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  <c r="BD8" s="20">
        <v>0</v>
      </c>
    </row>
    <row r="9" spans="1:56" x14ac:dyDescent="0.3">
      <c r="A9" s="16" t="s">
        <v>114</v>
      </c>
      <c r="B9" s="17" t="s">
        <v>236</v>
      </c>
      <c r="C9" s="17"/>
      <c r="D9" s="17"/>
      <c r="E9" s="17"/>
      <c r="F9" s="17" t="s">
        <v>218</v>
      </c>
      <c r="G9" s="17"/>
      <c r="H9" s="17" t="s">
        <v>218</v>
      </c>
      <c r="I9" s="21" t="s">
        <v>222</v>
      </c>
      <c r="J9" s="21" t="s">
        <v>223</v>
      </c>
      <c r="K9" s="21" t="s">
        <v>224</v>
      </c>
      <c r="L9" s="21" t="s">
        <v>225</v>
      </c>
      <c r="M9" s="21" t="s">
        <v>225</v>
      </c>
      <c r="N9" s="16" t="s">
        <v>218</v>
      </c>
      <c r="O9" s="16" t="s">
        <v>218</v>
      </c>
      <c r="P9" s="16" t="s">
        <v>227</v>
      </c>
      <c r="Q9" s="16" t="s">
        <v>227</v>
      </c>
      <c r="R9" s="16" t="s">
        <v>218</v>
      </c>
      <c r="S9" s="16" t="s">
        <v>218</v>
      </c>
      <c r="T9" s="16" t="s">
        <v>218</v>
      </c>
      <c r="U9" s="16" t="s">
        <v>219</v>
      </c>
      <c r="V9" s="16">
        <v>26</v>
      </c>
      <c r="W9" s="18">
        <v>24</v>
      </c>
      <c r="X9" s="18" t="s">
        <v>226</v>
      </c>
      <c r="Y9" s="23">
        <v>1200</v>
      </c>
      <c r="Z9" s="23">
        <v>18</v>
      </c>
      <c r="AA9" s="19"/>
      <c r="AB9" s="20">
        <v>3270611.0100000002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  <c r="BD9" s="20">
        <v>0</v>
      </c>
    </row>
    <row r="10" spans="1:56" x14ac:dyDescent="0.3">
      <c r="A10" s="16" t="s">
        <v>125</v>
      </c>
      <c r="B10" s="17" t="s">
        <v>178</v>
      </c>
      <c r="C10" s="17"/>
      <c r="D10" s="17"/>
      <c r="E10" s="17"/>
      <c r="F10" s="17" t="s">
        <v>218</v>
      </c>
      <c r="G10" s="17"/>
      <c r="H10" s="17" t="s">
        <v>218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6" t="s">
        <v>227</v>
      </c>
      <c r="O10" s="16" t="s">
        <v>227</v>
      </c>
      <c r="P10" s="16" t="s">
        <v>227</v>
      </c>
      <c r="Q10" s="16" t="s">
        <v>227</v>
      </c>
      <c r="R10" s="16" t="s">
        <v>227</v>
      </c>
      <c r="S10" s="16" t="s">
        <v>227</v>
      </c>
      <c r="T10" s="16" t="s">
        <v>227</v>
      </c>
      <c r="U10" s="16" t="s">
        <v>219</v>
      </c>
      <c r="V10" s="16">
        <v>32</v>
      </c>
      <c r="W10" s="18">
        <v>12</v>
      </c>
      <c r="X10" s="18" t="s">
        <v>220</v>
      </c>
      <c r="Y10" s="18">
        <v>1495</v>
      </c>
      <c r="Z10" s="18">
        <v>20</v>
      </c>
      <c r="AB10" s="20">
        <v>3540092.8714492754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</row>
    <row r="11" spans="1:56" x14ac:dyDescent="0.3">
      <c r="A11" s="16" t="s">
        <v>134</v>
      </c>
      <c r="B11" s="17" t="s">
        <v>237</v>
      </c>
      <c r="C11" s="17"/>
      <c r="D11" s="17"/>
      <c r="E11" s="17"/>
      <c r="F11" s="17" t="s">
        <v>218</v>
      </c>
      <c r="G11" s="17"/>
      <c r="H11" s="17" t="s">
        <v>218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6" t="s">
        <v>227</v>
      </c>
      <c r="O11" s="16" t="s">
        <v>227</v>
      </c>
      <c r="P11" s="16" t="s">
        <v>227</v>
      </c>
      <c r="Q11" s="16" t="s">
        <v>227</v>
      </c>
      <c r="R11" s="16" t="s">
        <v>227</v>
      </c>
      <c r="S11" s="16" t="s">
        <v>227</v>
      </c>
      <c r="T11" s="16" t="s">
        <v>227</v>
      </c>
      <c r="U11" s="16" t="s">
        <v>219</v>
      </c>
      <c r="V11" s="16">
        <v>32</v>
      </c>
      <c r="W11" s="18">
        <v>12</v>
      </c>
      <c r="X11" s="18" t="s">
        <v>220</v>
      </c>
      <c r="Y11" s="18">
        <v>1500</v>
      </c>
      <c r="Z11" s="18">
        <v>30</v>
      </c>
      <c r="AB11" s="20">
        <v>3540092.8714492754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</row>
    <row r="12" spans="1:56" x14ac:dyDescent="0.3">
      <c r="A12" s="16" t="s">
        <v>151</v>
      </c>
      <c r="B12" s="17" t="s">
        <v>238</v>
      </c>
      <c r="C12" s="17"/>
      <c r="D12" s="17"/>
      <c r="E12" s="17"/>
      <c r="F12" s="17" t="s">
        <v>218</v>
      </c>
      <c r="G12" s="17"/>
      <c r="H12" s="17" t="s">
        <v>218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6" t="s">
        <v>227</v>
      </c>
      <c r="O12" s="16" t="s">
        <v>227</v>
      </c>
      <c r="P12" s="16" t="s">
        <v>227</v>
      </c>
      <c r="Q12" s="16" t="s">
        <v>227</v>
      </c>
      <c r="R12" s="16" t="s">
        <v>227</v>
      </c>
      <c r="S12" s="16" t="s">
        <v>227</v>
      </c>
      <c r="T12" s="16" t="s">
        <v>227</v>
      </c>
      <c r="U12" s="16" t="s">
        <v>219</v>
      </c>
      <c r="V12" s="16">
        <v>28</v>
      </c>
      <c r="W12" s="18">
        <v>12</v>
      </c>
      <c r="X12" s="18" t="s">
        <v>220</v>
      </c>
      <c r="Y12" s="18">
        <v>1270</v>
      </c>
      <c r="Z12" s="18">
        <v>27</v>
      </c>
      <c r="AB12" s="20">
        <v>3526476.7114492757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</row>
    <row r="13" spans="1:56" x14ac:dyDescent="0.3">
      <c r="A13" s="16" t="s">
        <v>155</v>
      </c>
      <c r="B13" s="17" t="s">
        <v>239</v>
      </c>
      <c r="C13" s="17"/>
      <c r="D13" s="17"/>
      <c r="E13" s="17" t="s">
        <v>221</v>
      </c>
      <c r="F13" s="17"/>
      <c r="G13" s="17"/>
      <c r="H13" s="17" t="s">
        <v>227</v>
      </c>
      <c r="I13" s="21" t="s">
        <v>222</v>
      </c>
      <c r="J13" s="21" t="s">
        <v>223</v>
      </c>
      <c r="K13" s="21" t="s">
        <v>224</v>
      </c>
      <c r="L13" s="21" t="s">
        <v>225</v>
      </c>
      <c r="M13" s="21" t="s">
        <v>225</v>
      </c>
      <c r="N13" s="16" t="s">
        <v>218</v>
      </c>
      <c r="O13" s="16" t="s">
        <v>218</v>
      </c>
      <c r="P13" s="16" t="s">
        <v>227</v>
      </c>
      <c r="Q13" s="16" t="s">
        <v>227</v>
      </c>
      <c r="R13" s="16" t="s">
        <v>218</v>
      </c>
      <c r="S13" s="16" t="s">
        <v>218</v>
      </c>
      <c r="T13" s="16" t="s">
        <v>218</v>
      </c>
      <c r="U13" s="16" t="s">
        <v>219</v>
      </c>
      <c r="V13" s="16">
        <v>24</v>
      </c>
      <c r="W13" s="18">
        <v>24</v>
      </c>
      <c r="X13" s="18" t="s">
        <v>226</v>
      </c>
      <c r="Y13" s="18">
        <v>1100</v>
      </c>
      <c r="Z13" s="18">
        <v>23</v>
      </c>
      <c r="AB13" s="20">
        <v>3270611.0100000002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</row>
    <row r="14" spans="1:56" x14ac:dyDescent="0.3">
      <c r="A14" s="16" t="s">
        <v>156</v>
      </c>
      <c r="B14" s="17" t="s">
        <v>240</v>
      </c>
      <c r="C14" s="17"/>
      <c r="D14" s="17"/>
      <c r="E14" s="17"/>
      <c r="F14" s="17" t="s">
        <v>218</v>
      </c>
      <c r="G14" s="17"/>
      <c r="H14" s="17" t="s">
        <v>218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6" t="s">
        <v>227</v>
      </c>
      <c r="O14" s="16" t="s">
        <v>227</v>
      </c>
      <c r="P14" s="16" t="s">
        <v>227</v>
      </c>
      <c r="Q14" s="16" t="s">
        <v>227</v>
      </c>
      <c r="R14" s="16" t="s">
        <v>227</v>
      </c>
      <c r="S14" s="16" t="s">
        <v>227</v>
      </c>
      <c r="T14" s="16" t="s">
        <v>227</v>
      </c>
      <c r="U14" s="16" t="s">
        <v>219</v>
      </c>
      <c r="V14" s="16">
        <v>26</v>
      </c>
      <c r="W14" s="18">
        <v>12</v>
      </c>
      <c r="X14" s="18" t="s">
        <v>220</v>
      </c>
      <c r="Y14" s="18">
        <v>1200</v>
      </c>
      <c r="Z14" s="18">
        <v>30</v>
      </c>
      <c r="AB14" s="20">
        <v>3519668.6314492757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</row>
    <row r="15" spans="1:56" x14ac:dyDescent="0.3">
      <c r="A15" s="16" t="s">
        <v>160</v>
      </c>
      <c r="B15" s="17" t="s">
        <v>241</v>
      </c>
      <c r="C15" s="17"/>
      <c r="D15" s="17"/>
      <c r="E15" s="17"/>
      <c r="F15" s="17" t="s">
        <v>218</v>
      </c>
      <c r="G15" s="17"/>
      <c r="H15" s="17" t="s">
        <v>218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6" t="s">
        <v>227</v>
      </c>
      <c r="O15" s="16" t="s">
        <v>227</v>
      </c>
      <c r="P15" s="16" t="s">
        <v>227</v>
      </c>
      <c r="Q15" s="16" t="s">
        <v>227</v>
      </c>
      <c r="R15" s="16" t="s">
        <v>227</v>
      </c>
      <c r="S15" s="16" t="s">
        <v>227</v>
      </c>
      <c r="T15" s="16" t="s">
        <v>227</v>
      </c>
      <c r="U15" s="16" t="s">
        <v>219</v>
      </c>
      <c r="V15" s="16">
        <v>26</v>
      </c>
      <c r="W15" s="18">
        <v>12</v>
      </c>
      <c r="X15" s="18" t="s">
        <v>220</v>
      </c>
      <c r="Y15" s="18">
        <v>1200</v>
      </c>
      <c r="Z15" s="18">
        <v>23</v>
      </c>
      <c r="AB15" s="20">
        <v>3519668.6314492757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</row>
    <row r="16" spans="1:56" x14ac:dyDescent="0.3">
      <c r="A16" s="16" t="s">
        <v>161</v>
      </c>
      <c r="B16" s="17" t="s">
        <v>179</v>
      </c>
      <c r="C16" s="17"/>
      <c r="D16" s="17"/>
      <c r="E16" s="17"/>
      <c r="F16" s="17" t="s">
        <v>218</v>
      </c>
      <c r="G16" s="17"/>
      <c r="H16" s="17" t="s">
        <v>218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6" t="s">
        <v>227</v>
      </c>
      <c r="O16" s="16" t="s">
        <v>227</v>
      </c>
      <c r="P16" s="16" t="s">
        <v>227</v>
      </c>
      <c r="Q16" s="16" t="s">
        <v>227</v>
      </c>
      <c r="R16" s="16" t="s">
        <v>227</v>
      </c>
      <c r="S16" s="16" t="s">
        <v>227</v>
      </c>
      <c r="T16" s="16" t="s">
        <v>227</v>
      </c>
      <c r="U16" s="16" t="s">
        <v>219</v>
      </c>
      <c r="V16" s="16">
        <v>34</v>
      </c>
      <c r="W16" s="18">
        <v>12</v>
      </c>
      <c r="X16" s="18" t="s">
        <v>220</v>
      </c>
      <c r="Y16" s="18">
        <v>1600</v>
      </c>
      <c r="Z16" s="18">
        <v>18</v>
      </c>
      <c r="AB16" s="20">
        <v>3546900.9514492755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  <c r="BD16" s="20">
        <v>0</v>
      </c>
    </row>
    <row r="17" spans="1:13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3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3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37" spans="1:11" ht="14.5" x14ac:dyDescent="0.3">
      <c r="A37" s="3"/>
      <c r="B37" s="3"/>
      <c r="C37" s="3"/>
      <c r="D37" s="3"/>
      <c r="E37" s="3"/>
      <c r="F37" s="3"/>
      <c r="G37" s="3"/>
      <c r="H37" s="3"/>
    </row>
    <row r="38" spans="1:11" ht="14.5" x14ac:dyDescent="0.3">
      <c r="A38" s="3" t="s">
        <v>155</v>
      </c>
      <c r="B38" s="3" t="s">
        <v>242</v>
      </c>
      <c r="C38" s="3"/>
      <c r="D38" s="3"/>
      <c r="E38" s="3" t="s">
        <v>221</v>
      </c>
      <c r="F38" s="3"/>
      <c r="G38" s="3" t="s">
        <v>115</v>
      </c>
      <c r="H38" s="3" t="s">
        <v>202</v>
      </c>
      <c r="J38" s="16" t="s">
        <v>114</v>
      </c>
      <c r="K38" s="16" t="s">
        <v>201</v>
      </c>
    </row>
    <row r="45" spans="1:11" ht="14.5" x14ac:dyDescent="0.35">
      <c r="A45" s="63" t="s">
        <v>354</v>
      </c>
    </row>
  </sheetData>
  <autoFilter ref="A1:BD16" xr:uid="{2FF33371-3516-4AAC-875F-D0C662C10734}"/>
  <conditionalFormatting sqref="N2:U16">
    <cfRule type="containsText" dxfId="6" priority="4" operator="containsText" text="Não">
      <formula>NOT(ISERROR(SEARCH("Não",N2)))</formula>
    </cfRule>
    <cfRule type="containsText" dxfId="5" priority="5" operator="containsText" text="Sim">
      <formula>NOT(ISERROR(SEARCH("Sim",N2)))</formula>
    </cfRule>
  </conditionalFormatting>
  <conditionalFormatting sqref="X2:X16">
    <cfRule type="containsText" dxfId="4" priority="1" operator="containsText" text="IFR">
      <formula>NOT(ISERROR(SEARCH("IFR",X2)))</formula>
    </cfRule>
    <cfRule type="containsText" dxfId="3" priority="2" operator="containsText" text="VFR DIURNA E NOTURNA">
      <formula>NOT(ISERROR(SEARCH("VFR DIURNA E NOTURNA",X2)))</formula>
    </cfRule>
    <cfRule type="containsText" dxfId="2" priority="3" operator="containsText" text="VFR DIURNA">
      <formula>NOT(ISERROR(SEARCH("VFR DIURNA",X2)))</formula>
    </cfRule>
  </conditionalFormatting>
  <hyperlinks>
    <hyperlink ref="A45" location="Introdução!A1" display="Introdução!A1" xr:uid="{D745CC3F-9704-45FD-A282-BC7BD2811428}"/>
  </hyperlink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6B38-B338-4F93-A797-ED640B25368B}">
  <sheetPr>
    <tabColor theme="6" tint="-0.499984740745262"/>
  </sheetPr>
  <dimension ref="A1:AS16"/>
  <sheetViews>
    <sheetView topLeftCell="AD1" workbookViewId="0">
      <selection activeCell="I3" sqref="I3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317</v>
      </c>
      <c r="AS2" s="56" t="s">
        <v>380</v>
      </c>
    </row>
    <row r="3" spans="1:45" x14ac:dyDescent="0.35">
      <c r="A3" t="s">
        <v>71</v>
      </c>
      <c r="B3" t="s">
        <v>169</v>
      </c>
      <c r="C3">
        <v>120060</v>
      </c>
      <c r="D3" t="s">
        <v>73</v>
      </c>
      <c r="E3" t="s">
        <v>72</v>
      </c>
      <c r="F3" t="s">
        <v>41</v>
      </c>
      <c r="G3" t="s">
        <v>259</v>
      </c>
      <c r="H3" t="s">
        <v>33</v>
      </c>
      <c r="I3" s="1">
        <f>('RECEITAS - BLOCOS PAN'!H11-'OPEX - BLOCOS PAN'!H11-VLOOKUP('BLOCO ACRE + AMAZONAS'!$D3,'CAPEX - BLOCOS PAN'!$C$3:$H$52,6,FALSE))*I$14</f>
        <v>-23977397.402533334</v>
      </c>
      <c r="J3" s="1">
        <f>('RECEITAS - BLOCOS PAN'!I11-'OPEX - BLOCOS PAN'!I11-VLOOKUP('BLOCO ACRE + AMAZONAS'!$D3,'CAPEX - BLOCOS PAN'!$C$3:$I$52,7,FALSE))*J$14</f>
        <v>-21877818.964795373</v>
      </c>
      <c r="K3" s="1">
        <f>('RECEITAS - BLOCOS PAN'!J11-'OPEX - BLOCOS PAN'!J11-VLOOKUP('BLOCO ACRE + AMAZONAS'!$D3,'CAPEX - BLOCOS PAN'!$C$3:$J$52,8,FALSE))*K$14</f>
        <v>-19963653.888294391</v>
      </c>
      <c r="L3" s="1">
        <f>('RECEITAS - BLOCOS PAN'!K11-'OPEX - BLOCOS PAN'!K11-VLOOKUP('BLOCO ACRE + AMAZONAS'!$D3,'CAPEX - BLOCOS PAN'!$C$3:$K$52,9,FALSE))*L$14</f>
        <v>-1936866.0905404971</v>
      </c>
      <c r="M3" s="1">
        <f>('RECEITAS - BLOCOS PAN'!L11-'OPEX - BLOCOS PAN'!L11-VLOOKUP('BLOCO ACRE + AMAZONAS'!$D3,'CAPEX - BLOCOS PAN'!$C$3:$L$52,10,FALSE))*M$14</f>
        <v>-1764118.2942715366</v>
      </c>
      <c r="N3" s="1">
        <f>('RECEITAS - BLOCOS PAN'!M11-'OPEX - BLOCOS PAN'!M11-VLOOKUP('BLOCO ACRE + AMAZONAS'!$D3,'CAPEX - BLOCOS PAN'!$C$3:$M$52,11,FALSE))*N$14</f>
        <v>-1606839.5093424446</v>
      </c>
      <c r="O3" s="1">
        <f>('RECEITAS - BLOCOS PAN'!N11-'OPEX - BLOCOS PAN'!N11-VLOOKUP('BLOCO ACRE + AMAZONAS'!$D3,'CAPEX - BLOCOS PAN'!$C$3:$N$52,12,FALSE))*O$14</f>
        <v>-1463785.3582641229</v>
      </c>
      <c r="P3" s="1">
        <f>('RECEITAS - BLOCOS PAN'!O11-'OPEX - BLOCOS PAN'!O11-VLOOKUP('BLOCO ACRE + AMAZONAS'!$D3,'CAPEX - BLOCOS PAN'!$C$3:$O$52,13,FALSE))*P$14</f>
        <v>-1333549.1699512659</v>
      </c>
      <c r="Q3" s="1">
        <f>('RECEITAS - BLOCOS PAN'!P11-'OPEX - BLOCOS PAN'!P11-VLOOKUP('BLOCO ACRE + AMAZONAS'!$D3,'CAPEX - BLOCOS PAN'!$C$3:$P$52,14,FALSE))*Q$14</f>
        <v>-1214923.2877335425</v>
      </c>
      <c r="R3" s="1">
        <f>('RECEITAS - BLOCOS PAN'!Q11-'OPEX - BLOCOS PAN'!Q11-VLOOKUP('BLOCO ACRE + AMAZONAS'!$D3,'CAPEX - BLOCOS PAN'!$C$3:$Q$52,15,FALSE))*R$14</f>
        <v>-1106992.7158003733</v>
      </c>
      <c r="S3" s="1">
        <f>('RECEITAS - BLOCOS PAN'!R11-'OPEX - BLOCOS PAN'!R11-VLOOKUP('BLOCO ACRE + AMAZONAS'!$D3,'CAPEX - BLOCOS PAN'!$C$3:$R$52,16,FALSE))*S$14</f>
        <v>-1008842.3441459201</v>
      </c>
      <c r="T3" s="1">
        <f>('RECEITAS - BLOCOS PAN'!S11-'OPEX - BLOCOS PAN'!S11-VLOOKUP('BLOCO ACRE + AMAZONAS'!$D3,'CAPEX - BLOCOS PAN'!$C$3:$S$52,17,FALSE))*T$14</f>
        <v>-919266.08404868341</v>
      </c>
      <c r="U3" s="1">
        <f>('RECEITAS - BLOCOS PAN'!T11-'OPEX - BLOCOS PAN'!T11-VLOOKUP('BLOCO ACRE + AMAZONAS'!$D3,'CAPEX - BLOCOS PAN'!$C$3:$T$52,18,FALSE))*U$14</f>
        <v>-837679.05461564218</v>
      </c>
      <c r="V3" s="1">
        <f>('RECEITAS - BLOCOS PAN'!U11-'OPEX - BLOCOS PAN'!U11-VLOOKUP('BLOCO ACRE + AMAZONAS'!$D3,'CAPEX - BLOCOS PAN'!$C$3:$U$52,19,FALSE))*V$14</f>
        <v>-763317.50675878732</v>
      </c>
      <c r="W3" s="1">
        <f>('RECEITAS - BLOCOS PAN'!V11-'OPEX - BLOCOS PAN'!V11-VLOOKUP('BLOCO ACRE + AMAZONAS'!$D3,'CAPEX - BLOCOS PAN'!$C$3:$V$52,20,FALSE))*W$14</f>
        <v>-695563.09549449803</v>
      </c>
      <c r="X3" s="1">
        <f>('RECEITAS - BLOCOS PAN'!W11-'OPEX - BLOCOS PAN'!W11-VLOOKUP('BLOCO ACRE + AMAZONAS'!$D3,'CAPEX - BLOCOS PAN'!$C$3:$W$52,21,FALSE))*X$14</f>
        <v>-633758.96237454342</v>
      </c>
      <c r="Y3" s="1">
        <f>('RECEITAS - BLOCOS PAN'!X11-'OPEX - BLOCOS PAN'!X11-VLOOKUP('BLOCO ACRE + AMAZONAS'!$D3,'CAPEX - BLOCOS PAN'!$C$3:$X$52,22,FALSE))*Y$14</f>
        <v>-577424.52344546921</v>
      </c>
      <c r="Z3" s="1">
        <f>('RECEITAS - BLOCOS PAN'!Y11-'OPEX - BLOCOS PAN'!Y11-VLOOKUP('BLOCO ACRE + AMAZONAS'!$D3,'CAPEX - BLOCOS PAN'!$C$3:$Y$52,23,FALSE))*Z$14</f>
        <v>-526101.8210118938</v>
      </c>
      <c r="AA3" s="1">
        <f>('RECEITAS - BLOCOS PAN'!Z11-'OPEX - BLOCOS PAN'!Z11-VLOOKUP('BLOCO ACRE + AMAZONAS'!$D3,'CAPEX - BLOCOS PAN'!$C$3:$Z$52,24,FALSE))*AA$14</f>
        <v>-479325.26035393396</v>
      </c>
      <c r="AB3" s="1">
        <f>('RECEITAS - BLOCOS PAN'!AA11-'OPEX - BLOCOS PAN'!AA11-VLOOKUP('BLOCO ACRE + AMAZONAS'!$D3,'CAPEX - BLOCOS PAN'!$C$3:$AA$52,25,FALSE))*AB$14</f>
        <v>-436655.44616739691</v>
      </c>
      <c r="AC3" s="1">
        <f>('RECEITAS - BLOCOS PAN'!AB11-'OPEX - BLOCOS PAN'!AB11-VLOOKUP('BLOCO ACRE + AMAZONAS'!$D3,'CAPEX - BLOCOS PAN'!$C$3:$AB$52,26,FALSE))*AC$14</f>
        <v>-397807.95699618279</v>
      </c>
      <c r="AD3" s="1">
        <f>('RECEITAS - BLOCOS PAN'!AC11-'OPEX - BLOCOS PAN'!AC11-VLOOKUP('BLOCO ACRE + AMAZONAS'!$D3,'CAPEX - BLOCOS PAN'!$C$3:$AC$52,27,FALSE))*AD$14</f>
        <v>-362436.23332009115</v>
      </c>
      <c r="AE3" s="1">
        <f>('RECEITAS - BLOCOS PAN'!AD11-'OPEX - BLOCOS PAN'!AD11-VLOOKUP('BLOCO ACRE + AMAZONAS'!$D3,'CAPEX - BLOCOS PAN'!$C$3:$AD$52,28,FALSE))*AE$14</f>
        <v>-330179.59847203252</v>
      </c>
      <c r="AF3" s="1">
        <f>('RECEITAS - BLOCOS PAN'!AE11-'OPEX - BLOCOS PAN'!AE11-VLOOKUP('BLOCO ACRE + AMAZONAS'!$D3,'CAPEX - BLOCOS PAN'!$C$3:$AE$52,29,FALSE))*AF$14</f>
        <v>-300852.24616869894</v>
      </c>
      <c r="AG3" s="1">
        <f>('RECEITAS - BLOCOS PAN'!AF11-'OPEX - BLOCOS PAN'!AF11-VLOOKUP('BLOCO ACRE + AMAZONAS'!$D3,'CAPEX - BLOCOS PAN'!$C$3:$AF$52,30,FALSE))*AG$14</f>
        <v>-274104.25901237683</v>
      </c>
      <c r="AH3" s="1">
        <f>('RECEITAS - BLOCOS PAN'!AG11-'OPEX - BLOCOS PAN'!AG11-VLOOKUP('BLOCO ACRE + AMAZONAS'!$D3,'CAPEX - BLOCOS PAN'!$C$3:$AG$52,31,FALSE))*AH$14</f>
        <v>-249766.21303418934</v>
      </c>
      <c r="AI3" s="1">
        <f>('RECEITAS - BLOCOS PAN'!AH11-'OPEX - BLOCOS PAN'!AH11-VLOOKUP('BLOCO ACRE + AMAZONAS'!$D3,'CAPEX - BLOCOS PAN'!$C$3:$AH$52,32,FALSE))*AI$14</f>
        <v>-227600.46814100287</v>
      </c>
      <c r="AJ3" s="1">
        <f>('RECEITAS - BLOCOS PAN'!AI11-'OPEX - BLOCOS PAN'!AI11-VLOOKUP('BLOCO ACRE + AMAZONAS'!$D3,'CAPEX - BLOCOS PAN'!$C$3:$AI$52,33,FALSE))*AJ$14</f>
        <v>-207397.57195544351</v>
      </c>
      <c r="AK3" s="1">
        <f>('RECEITAS - BLOCOS PAN'!AJ11-'OPEX - BLOCOS PAN'!AJ11-VLOOKUP('BLOCO ACRE + AMAZONAS'!$D3,'CAPEX - BLOCOS PAN'!$C$3:$AJ$52,34,FALSE))*AK$14</f>
        <v>-188980.7320879692</v>
      </c>
      <c r="AL3" s="1">
        <f>('RECEITAS - BLOCOS PAN'!AK11-'OPEX - BLOCOS PAN'!AK11-VLOOKUP('BLOCO ACRE + AMAZONAS'!$D3,'CAPEX - BLOCOS PAN'!$C$3:$AK$52,35,FALSE))*AL$14</f>
        <v>-172193.6780229733</v>
      </c>
      <c r="AM3" s="44">
        <f t="shared" ref="AM3:AM8" si="0">SUM(I3:AL3)</f>
        <v>-85835197.737154618</v>
      </c>
      <c r="AN3">
        <v>1</v>
      </c>
      <c r="AO3" t="s">
        <v>308</v>
      </c>
      <c r="AP3">
        <v>-8.15</v>
      </c>
      <c r="AQ3">
        <v>-70.766666666666666</v>
      </c>
      <c r="AR3" s="48">
        <f>VLOOKUP(D3,'Projeção - Demanda PAX'!$C$3:$H$37,6,FALSE)</f>
        <v>4961</v>
      </c>
      <c r="AS3" t="str">
        <f>VLOOKUP(D3,'FLUXO DE CAIXA DESC.-BLOCOS PAN'!$D$3:$AU$52,44,FALSE)</f>
        <v>Bloco 1 - AC/AM</v>
      </c>
    </row>
    <row r="4" spans="1:45" x14ac:dyDescent="0.35">
      <c r="A4" t="s">
        <v>122</v>
      </c>
      <c r="B4" t="s">
        <v>123</v>
      </c>
      <c r="C4">
        <v>130100</v>
      </c>
      <c r="D4" t="s">
        <v>124</v>
      </c>
      <c r="E4" t="s">
        <v>123</v>
      </c>
      <c r="F4" t="s">
        <v>35</v>
      </c>
      <c r="G4" t="s">
        <v>259</v>
      </c>
      <c r="H4" t="s">
        <v>33</v>
      </c>
      <c r="I4" s="1">
        <f>('RECEITAS - BLOCOS PAN'!H25-'OPEX - BLOCOS PAN'!H25-VLOOKUP('BLOCO ACRE + AMAZONAS'!$D4,'CAPEX - BLOCOS PAN'!$C$3:$H$52,6,FALSE))*I$14</f>
        <v>-24307656.595133334</v>
      </c>
      <c r="J4" s="1">
        <f>('RECEITAS - BLOCOS PAN'!I25-'OPEX - BLOCOS PAN'!I25-VLOOKUP('BLOCO ACRE + AMAZONAS'!$D4,'CAPEX - BLOCOS PAN'!$C$3:$I$52,7,FALSE))*J$14</f>
        <v>-22155450.722075157</v>
      </c>
      <c r="K4" s="1">
        <f>('RECEITAS - BLOCOS PAN'!J25-'OPEX - BLOCOS PAN'!J25-VLOOKUP('BLOCO ACRE + AMAZONAS'!$D4,'CAPEX - BLOCOS PAN'!$C$3:$J$52,8,FALSE))*K$14</f>
        <v>-20200866.534860432</v>
      </c>
      <c r="L4" s="1">
        <f>('RECEITAS - BLOCOS PAN'!K25-'OPEX - BLOCOS PAN'!K25-VLOOKUP('BLOCO ACRE + AMAZONAS'!$D4,'CAPEX - BLOCOS PAN'!$C$3:$K$52,9,FALSE))*L$14</f>
        <v>-1761859.6578427406</v>
      </c>
      <c r="M4" s="1">
        <f>('RECEITAS - BLOCOS PAN'!L25-'OPEX - BLOCOS PAN'!L25-VLOOKUP('BLOCO ACRE + AMAZONAS'!$D4,'CAPEX - BLOCOS PAN'!$C$3:$L$52,10,FALSE))*M$14</f>
        <v>-1597030.5322883478</v>
      </c>
      <c r="N4" s="1">
        <f>('RECEITAS - BLOCOS PAN'!M25-'OPEX - BLOCOS PAN'!M25-VLOOKUP('BLOCO ACRE + AMAZONAS'!$D4,'CAPEX - BLOCOS PAN'!$C$3:$M$52,11,FALSE))*N$14</f>
        <v>-1448526.0208327444</v>
      </c>
      <c r="O4" s="1">
        <f>('RECEITAS - BLOCOS PAN'!N25-'OPEX - BLOCOS PAN'!N25-VLOOKUP('BLOCO ACRE + AMAZONAS'!$D4,'CAPEX - BLOCOS PAN'!$C$3:$N$52,12,FALSE))*O$14</f>
        <v>-1397812.960275521</v>
      </c>
      <c r="P4" s="1">
        <f>('RECEITAS - BLOCOS PAN'!O25-'OPEX - BLOCOS PAN'!O25-VLOOKUP('BLOCO ACRE + AMAZONAS'!$D4,'CAPEX - BLOCOS PAN'!$C$3:$O$52,13,FALSE))*P$14</f>
        <v>-1269535.3272900856</v>
      </c>
      <c r="Q4" s="1">
        <f>('RECEITAS - BLOCOS PAN'!P25-'OPEX - BLOCOS PAN'!P25-VLOOKUP('BLOCO ACRE + AMAZONAS'!$D4,'CAPEX - BLOCOS PAN'!$C$3:$P$52,14,FALSE))*Q$14</f>
        <v>-1153529.2294038017</v>
      </c>
      <c r="R4" s="1">
        <f>('RECEITAS - BLOCOS PAN'!Q25-'OPEX - BLOCOS PAN'!Q25-VLOOKUP('BLOCO ACRE + AMAZONAS'!$D4,'CAPEX - BLOCOS PAN'!$C$3:$Q$52,15,FALSE))*R$14</f>
        <v>-1048847.9795789057</v>
      </c>
      <c r="S4" s="1">
        <f>('RECEITAS - BLOCOS PAN'!R25-'OPEX - BLOCOS PAN'!R25-VLOOKUP('BLOCO ACRE + AMAZONAS'!$D4,'CAPEX - BLOCOS PAN'!$C$3:$R$52,16,FALSE))*S$14</f>
        <v>-953937.80649099417</v>
      </c>
      <c r="T4" s="1">
        <f>('RECEITAS - BLOCOS PAN'!S25-'OPEX - BLOCOS PAN'!S25-VLOOKUP('BLOCO ACRE + AMAZONAS'!$D4,'CAPEX - BLOCOS PAN'!$C$3:$S$52,17,FALSE))*T$14</f>
        <v>-867782.53250136098</v>
      </c>
      <c r="U4" s="1">
        <f>('RECEITAS - BLOCOS PAN'!T25-'OPEX - BLOCOS PAN'!T25-VLOOKUP('BLOCO ACRE + AMAZONAS'!$D4,'CAPEX - BLOCOS PAN'!$C$3:$T$52,18,FALSE))*U$14</f>
        <v>-789489.67860631028</v>
      </c>
      <c r="V4" s="1">
        <f>('RECEITAS - BLOCOS PAN'!U25-'OPEX - BLOCOS PAN'!U25-VLOOKUP('BLOCO ACRE + AMAZONAS'!$D4,'CAPEX - BLOCOS PAN'!$C$3:$U$52,19,FALSE))*V$14</f>
        <v>-718143.36822457425</v>
      </c>
      <c r="W4" s="1">
        <f>('RECEITAS - BLOCOS PAN'!V25-'OPEX - BLOCOS PAN'!V25-VLOOKUP('BLOCO ACRE + AMAZONAS'!$D4,'CAPEX - BLOCOS PAN'!$C$3:$V$52,20,FALSE))*W$14</f>
        <v>-653324.24983918539</v>
      </c>
      <c r="X4" s="1">
        <f>('RECEITAS - BLOCOS PAN'!W25-'OPEX - BLOCOS PAN'!W25-VLOOKUP('BLOCO ACRE + AMAZONAS'!$D4,'CAPEX - BLOCOS PAN'!$C$3:$W$52,21,FALSE))*X$14</f>
        <v>-594443.0432236325</v>
      </c>
      <c r="Y4" s="1">
        <f>('RECEITAS - BLOCOS PAN'!X25-'OPEX - BLOCOS PAN'!X25-VLOOKUP('BLOCO ACRE + AMAZONAS'!$D4,'CAPEX - BLOCOS PAN'!$C$3:$X$52,22,FALSE))*Y$14</f>
        <v>-540869.63064060581</v>
      </c>
      <c r="Z4" s="1">
        <f>('RECEITAS - BLOCOS PAN'!Y25-'OPEX - BLOCOS PAN'!Y25-VLOOKUP('BLOCO ACRE + AMAZONAS'!$D4,'CAPEX - BLOCOS PAN'!$C$3:$Y$52,23,FALSE))*Z$14</f>
        <v>-492064.83622107439</v>
      </c>
      <c r="AA4" s="1">
        <f>('RECEITAS - BLOCOS PAN'!Z25-'OPEX - BLOCOS PAN'!Z25-VLOOKUP('BLOCO ACRE + AMAZONAS'!$D4,'CAPEX - BLOCOS PAN'!$C$3:$Z$52,24,FALSE))*AA$14</f>
        <v>-447622.80580098409</v>
      </c>
      <c r="AB4" s="1">
        <f>('RECEITAS - BLOCOS PAN'!AA25-'OPEX - BLOCOS PAN'!AA25-VLOOKUP('BLOCO ACRE + AMAZONAS'!$D4,'CAPEX - BLOCOS PAN'!$C$3:$AA$52,25,FALSE))*AB$14</f>
        <v>-407270.57684588176</v>
      </c>
      <c r="AC4" s="1">
        <f>('RECEITAS - BLOCOS PAN'!AB25-'OPEX - BLOCOS PAN'!AB25-VLOOKUP('BLOCO ACRE + AMAZONAS'!$D4,'CAPEX - BLOCOS PAN'!$C$3:$AB$52,26,FALSE))*AC$14</f>
        <v>-370591.1699948695</v>
      </c>
      <c r="AD4" s="1">
        <f>('RECEITAS - BLOCOS PAN'!AC25-'OPEX - BLOCOS PAN'!AC25-VLOOKUP('BLOCO ACRE + AMAZONAS'!$D4,'CAPEX - BLOCOS PAN'!$C$3:$AC$52,27,FALSE))*AD$14</f>
        <v>-337217.97549920098</v>
      </c>
      <c r="AE4" s="1">
        <f>('RECEITAS - BLOCOS PAN'!AD25-'OPEX - BLOCOS PAN'!AD25-VLOOKUP('BLOCO ACRE + AMAZONAS'!$D4,'CAPEX - BLOCOS PAN'!$C$3:$AD$52,28,FALSE))*AE$14</f>
        <v>-306895.94464715134</v>
      </c>
      <c r="AF4" s="1">
        <f>('RECEITAS - BLOCOS PAN'!AE25-'OPEX - BLOCOS PAN'!AE25-VLOOKUP('BLOCO ACRE + AMAZONAS'!$D4,'CAPEX - BLOCOS PAN'!$C$3:$AE$52,29,FALSE))*AF$14</f>
        <v>-279336.65190731396</v>
      </c>
      <c r="AG4" s="1">
        <f>('RECEITAS - BLOCOS PAN'!AF25-'OPEX - BLOCOS PAN'!AF25-VLOOKUP('BLOCO ACRE + AMAZONAS'!$D4,'CAPEX - BLOCOS PAN'!$C$3:$AF$52,30,FALSE))*AG$14</f>
        <v>-254284.19671355936</v>
      </c>
      <c r="AH4" s="1">
        <f>('RECEITAS - BLOCOS PAN'!AG25-'OPEX - BLOCOS PAN'!AG25-VLOOKUP('BLOCO ACRE + AMAZONAS'!$D4,'CAPEX - BLOCOS PAN'!$C$3:$AG$52,31,FALSE))*AH$14</f>
        <v>-231478.349032742</v>
      </c>
      <c r="AI4" s="1">
        <f>('RECEITAS - BLOCOS PAN'!AH25-'OPEX - BLOCOS PAN'!AH25-VLOOKUP('BLOCO ACRE + AMAZONAS'!$D4,'CAPEX - BLOCOS PAN'!$C$3:$AH$52,32,FALSE))*AI$14</f>
        <v>-210797.46643824957</v>
      </c>
      <c r="AJ4" s="1">
        <f>('RECEITAS - BLOCOS PAN'!AI25-'OPEX - BLOCOS PAN'!AI25-VLOOKUP('BLOCO ACRE + AMAZONAS'!$D4,'CAPEX - BLOCOS PAN'!$C$3:$AI$52,33,FALSE))*AJ$14</f>
        <v>-191971.62893374971</v>
      </c>
      <c r="AK4" s="1">
        <f>('RECEITAS - BLOCOS PAN'!AJ25-'OPEX - BLOCOS PAN'!AJ25-VLOOKUP('BLOCO ACRE + AMAZONAS'!$D4,'CAPEX - BLOCOS PAN'!$C$3:$AJ$52,34,FALSE))*AK$14</f>
        <v>-174827.28530913551</v>
      </c>
      <c r="AL4" s="1">
        <f>('RECEITAS - BLOCOS PAN'!AK25-'OPEX - BLOCOS PAN'!AK25-VLOOKUP('BLOCO ACRE + AMAZONAS'!$D4,'CAPEX - BLOCOS PAN'!$C$3:$AK$52,35,FALSE))*AL$14</f>
        <v>-159209.12352715089</v>
      </c>
      <c r="AM4" s="44">
        <f t="shared" si="0"/>
        <v>-85322673.879978821</v>
      </c>
      <c r="AN4">
        <v>1</v>
      </c>
      <c r="AO4" t="s">
        <v>308</v>
      </c>
      <c r="AP4">
        <v>-4.8666666666666671</v>
      </c>
      <c r="AQ4">
        <v>-66.88333333333334</v>
      </c>
      <c r="AR4" s="48">
        <f>VLOOKUP(D4,'Projeção - Demanda PAX'!$C$3:$H$37,6,FALSE)</f>
        <v>21568</v>
      </c>
      <c r="AS4" t="str">
        <f>VLOOKUP(D4,'FLUXO DE CAIXA DESC.-BLOCOS PAN'!$D$3:$AU$52,44,FALSE)</f>
        <v>Bloco 1 - AC/AM</v>
      </c>
    </row>
    <row r="5" spans="1:45" x14ac:dyDescent="0.35">
      <c r="A5" t="s">
        <v>126</v>
      </c>
      <c r="B5" t="s">
        <v>127</v>
      </c>
      <c r="C5">
        <v>130140</v>
      </c>
      <c r="D5" t="s">
        <v>128</v>
      </c>
      <c r="E5" t="s">
        <v>127</v>
      </c>
      <c r="F5" t="s">
        <v>35</v>
      </c>
      <c r="G5" t="s">
        <v>259</v>
      </c>
      <c r="H5" t="s">
        <v>33</v>
      </c>
      <c r="I5" s="1">
        <f>('RECEITAS - BLOCOS PAN'!H26-'OPEX - BLOCOS PAN'!H26-VLOOKUP('BLOCO ACRE + AMAZONAS'!$D5,'CAPEX - BLOCOS PAN'!$C$3:$H$52,6,FALSE))*I$14</f>
        <v>-14879548.6489</v>
      </c>
      <c r="J5" s="1">
        <f>('RECEITAS - BLOCOS PAN'!I26-'OPEX - BLOCOS PAN'!I26-VLOOKUP('BLOCO ACRE + AMAZONAS'!$D5,'CAPEX - BLOCOS PAN'!$C$3:$I$52,7,FALSE))*J$14</f>
        <v>-13555672.983569147</v>
      </c>
      <c r="K5" s="1">
        <f>('RECEITAS - BLOCOS PAN'!J26-'OPEX - BLOCOS PAN'!J26-VLOOKUP('BLOCO ACRE + AMAZONAS'!$D5,'CAPEX - BLOCOS PAN'!$C$3:$J$52,8,FALSE))*K$14</f>
        <v>-12355931.516112657</v>
      </c>
      <c r="L5" s="1">
        <f>('RECEITAS - BLOCOS PAN'!K26-'OPEX - BLOCOS PAN'!K26-VLOOKUP('BLOCO ACRE + AMAZONAS'!$D5,'CAPEX - BLOCOS PAN'!$C$3:$K$52,9,FALSE))*L$14</f>
        <v>-1860403.5128070856</v>
      </c>
      <c r="M5" s="1">
        <f>('RECEITAS - BLOCOS PAN'!L26-'OPEX - BLOCOS PAN'!L26-VLOOKUP('BLOCO ACRE + AMAZONAS'!$D5,'CAPEX - BLOCOS PAN'!$C$3:$L$52,10,FALSE))*M$14</f>
        <v>-1689651.0214463554</v>
      </c>
      <c r="N5" s="1">
        <f>('RECEITAS - BLOCOS PAN'!M26-'OPEX - BLOCOS PAN'!M26-VLOOKUP('BLOCO ACRE + AMAZONAS'!$D5,'CAPEX - BLOCOS PAN'!$C$3:$M$52,11,FALSE))*N$14</f>
        <v>-1535486.3314707095</v>
      </c>
      <c r="O5" s="1">
        <f>('RECEITAS - BLOCOS PAN'!N26-'OPEX - BLOCOS PAN'!N26-VLOOKUP('BLOCO ACRE + AMAZONAS'!$D5,'CAPEX - BLOCOS PAN'!$C$3:$N$52,12,FALSE))*O$14</f>
        <v>-1395914.0633645372</v>
      </c>
      <c r="P5" s="1">
        <f>('RECEITAS - BLOCOS PAN'!O26-'OPEX - BLOCOS PAN'!O26-VLOOKUP('BLOCO ACRE + AMAZONAS'!$D5,'CAPEX - BLOCOS PAN'!$C$3:$O$52,13,FALSE))*P$14</f>
        <v>-1269331.7556830933</v>
      </c>
      <c r="Q5" s="1">
        <f>('RECEITAS - BLOCOS PAN'!P26-'OPEX - BLOCOS PAN'!P26-VLOOKUP('BLOCO ACRE + AMAZONAS'!$D5,'CAPEX - BLOCOS PAN'!$C$3:$P$52,14,FALSE))*Q$14</f>
        <v>-1154659.1791437489</v>
      </c>
      <c r="R5" s="1">
        <f>('RECEITAS - BLOCOS PAN'!Q26-'OPEX - BLOCOS PAN'!Q26-VLOOKUP('BLOCO ACRE + AMAZONAS'!$D5,'CAPEX - BLOCOS PAN'!$C$3:$Q$52,15,FALSE))*R$14</f>
        <v>-1050740.5023866126</v>
      </c>
      <c r="S5" s="1">
        <f>('RECEITAS - BLOCOS PAN'!R26-'OPEX - BLOCOS PAN'!R26-VLOOKUP('BLOCO ACRE + AMAZONAS'!$D5,'CAPEX - BLOCOS PAN'!$C$3:$R$52,16,FALSE))*S$14</f>
        <v>-956488.50867943396</v>
      </c>
      <c r="T5" s="1">
        <f>('RECEITAS - BLOCOS PAN'!S26-'OPEX - BLOCOS PAN'!S26-VLOOKUP('BLOCO ACRE + AMAZONAS'!$D5,'CAPEX - BLOCOS PAN'!$C$3:$S$52,17,FALSE))*T$14</f>
        <v>-870752.62679456046</v>
      </c>
      <c r="U5" s="1">
        <f>('RECEITAS - BLOCOS PAN'!T26-'OPEX - BLOCOS PAN'!T26-VLOOKUP('BLOCO ACRE + AMAZONAS'!$D5,'CAPEX - BLOCOS PAN'!$C$3:$T$52,18,FALSE))*U$14</f>
        <v>-792762.98418570461</v>
      </c>
      <c r="V5" s="1">
        <f>('RECEITAS - BLOCOS PAN'!U26-'OPEX - BLOCOS PAN'!U26-VLOOKUP('BLOCO ACRE + AMAZONAS'!$D5,'CAPEX - BLOCOS PAN'!$C$3:$U$52,19,FALSE))*V$14</f>
        <v>-721734.52078487724</v>
      </c>
      <c r="W5" s="1">
        <f>('RECEITAS - BLOCOS PAN'!V26-'OPEX - BLOCOS PAN'!V26-VLOOKUP('BLOCO ACRE + AMAZONAS'!$D5,'CAPEX - BLOCOS PAN'!$C$3:$V$52,20,FALSE))*W$14</f>
        <v>-657062.57771452679</v>
      </c>
      <c r="X5" s="1">
        <f>('RECEITAS - BLOCOS PAN'!W26-'OPEX - BLOCOS PAN'!W26-VLOOKUP('BLOCO ACRE + AMAZONAS'!$D5,'CAPEX - BLOCOS PAN'!$C$3:$W$52,21,FALSE))*X$14</f>
        <v>-598261.60522971326</v>
      </c>
      <c r="Y5" s="1">
        <f>('RECEITAS - BLOCOS PAN'!X26-'OPEX - BLOCOS PAN'!X26-VLOOKUP('BLOCO ACRE + AMAZONAS'!$D5,'CAPEX - BLOCOS PAN'!$C$3:$X$52,22,FALSE))*Y$14</f>
        <v>-544668.11181281938</v>
      </c>
      <c r="Z5" s="1">
        <f>('RECEITAS - BLOCOS PAN'!Y26-'OPEX - BLOCOS PAN'!Y26-VLOOKUP('BLOCO ACRE + AMAZONAS'!$D5,'CAPEX - BLOCOS PAN'!$C$3:$Y$52,23,FALSE))*Z$14</f>
        <v>-495880.73149804882</v>
      </c>
      <c r="AA5" s="1">
        <f>('RECEITAS - BLOCOS PAN'!Z26-'OPEX - BLOCOS PAN'!Z26-VLOOKUP('BLOCO ACRE + AMAZONAS'!$D5,'CAPEX - BLOCOS PAN'!$C$3:$Z$52,24,FALSE))*AA$14</f>
        <v>-451414.62275020825</v>
      </c>
      <c r="AB5" s="1">
        <f>('RECEITAS - BLOCOS PAN'!AA26-'OPEX - BLOCOS PAN'!AA26-VLOOKUP('BLOCO ACRE + AMAZONAS'!$D5,'CAPEX - BLOCOS PAN'!$C$3:$AA$52,25,FALSE))*AB$14</f>
        <v>-411001.08210929594</v>
      </c>
      <c r="AC5" s="1">
        <f>('RECEITAS - BLOCOS PAN'!AB26-'OPEX - BLOCOS PAN'!AB26-VLOOKUP('BLOCO ACRE + AMAZONAS'!$D5,'CAPEX - BLOCOS PAN'!$C$3:$AB$52,26,FALSE))*AC$14</f>
        <v>-374228.50437872572</v>
      </c>
      <c r="AD5" s="1">
        <f>('RECEITAS - BLOCOS PAN'!AC26-'OPEX - BLOCOS PAN'!AC26-VLOOKUP('BLOCO ACRE + AMAZONAS'!$D5,'CAPEX - BLOCOS PAN'!$C$3:$AC$52,27,FALSE))*AD$14</f>
        <v>-340722.76971094316</v>
      </c>
      <c r="AE5" s="1">
        <f>('RECEITAS - BLOCOS PAN'!AD26-'OPEX - BLOCOS PAN'!AD26-VLOOKUP('BLOCO ACRE + AMAZONAS'!$D5,'CAPEX - BLOCOS PAN'!$C$3:$AD$52,28,FALSE))*AE$14</f>
        <v>-310253.19390987814</v>
      </c>
      <c r="AF5" s="1">
        <f>('RECEITAS - BLOCOS PAN'!AE26-'OPEX - BLOCOS PAN'!AE26-VLOOKUP('BLOCO ACRE + AMAZONAS'!$D5,'CAPEX - BLOCOS PAN'!$C$3:$AE$52,29,FALSE))*AF$14</f>
        <v>-282466.376588516</v>
      </c>
      <c r="AG5" s="1">
        <f>('RECEITAS - BLOCOS PAN'!AF26-'OPEX - BLOCOS PAN'!AF26-VLOOKUP('BLOCO ACRE + AMAZONAS'!$D5,'CAPEX - BLOCOS PAN'!$C$3:$AF$52,30,FALSE))*AG$14</f>
        <v>-257198.46520701228</v>
      </c>
      <c r="AH5" s="1">
        <f>('RECEITAS - BLOCOS PAN'!AG26-'OPEX - BLOCOS PAN'!AG26-VLOOKUP('BLOCO ACRE + AMAZONAS'!$D5,'CAPEX - BLOCOS PAN'!$C$3:$AG$52,31,FALSE))*AH$14</f>
        <v>-234187.9539435003</v>
      </c>
      <c r="AI5" s="1">
        <f>('RECEITAS - BLOCOS PAN'!AH26-'OPEX - BLOCOS PAN'!AH26-VLOOKUP('BLOCO ACRE + AMAZONAS'!$D5,'CAPEX - BLOCOS PAN'!$C$3:$AH$52,32,FALSE))*AI$14</f>
        <v>-213260.96573891374</v>
      </c>
      <c r="AJ5" s="1">
        <f>('RECEITAS - BLOCOS PAN'!AI26-'OPEX - BLOCOS PAN'!AI26-VLOOKUP('BLOCO ACRE + AMAZONAS'!$D5,'CAPEX - BLOCOS PAN'!$C$3:$AI$52,33,FALSE))*AJ$14</f>
        <v>-194228.86984931375</v>
      </c>
      <c r="AK5" s="1">
        <f>('RECEITAS - BLOCOS PAN'!AJ26-'OPEX - BLOCOS PAN'!AJ26-VLOOKUP('BLOCO ACRE + AMAZONAS'!$D5,'CAPEX - BLOCOS PAN'!$C$3:$AJ$52,34,FALSE))*AK$14</f>
        <v>-188085.77922700293</v>
      </c>
      <c r="AL5" s="1">
        <f>('RECEITAS - BLOCOS PAN'!AK26-'OPEX - BLOCOS PAN'!AK26-VLOOKUP('BLOCO ACRE + AMAZONAS'!$D5,'CAPEX - BLOCOS PAN'!$C$3:$AK$52,35,FALSE))*AL$14</f>
        <v>-171314.80107467866</v>
      </c>
      <c r="AM5" s="44">
        <f t="shared" si="0"/>
        <v>-59813314.566071622</v>
      </c>
      <c r="AN5">
        <v>1</v>
      </c>
      <c r="AO5" t="s">
        <v>308</v>
      </c>
      <c r="AP5">
        <v>-6.6333333333333329</v>
      </c>
      <c r="AQ5">
        <v>-69.86666666666666</v>
      </c>
      <c r="AR5" s="48">
        <f>VLOOKUP(D5,'Projeção - Demanda PAX'!$C$3:$H$37,6,FALSE)</f>
        <v>13770</v>
      </c>
      <c r="AS5" t="str">
        <f>VLOOKUP(D5,'FLUXO DE CAIXA DESC.-BLOCOS PAN'!$D$3:$AU$52,44,FALSE)</f>
        <v>Bloco 1 - AC/AM</v>
      </c>
    </row>
    <row r="6" spans="1:45" x14ac:dyDescent="0.35">
      <c r="A6" t="s">
        <v>145</v>
      </c>
      <c r="B6" t="s">
        <v>146</v>
      </c>
      <c r="C6">
        <v>130240</v>
      </c>
      <c r="D6" t="s">
        <v>147</v>
      </c>
      <c r="E6" t="s">
        <v>146</v>
      </c>
      <c r="F6" t="s">
        <v>35</v>
      </c>
      <c r="G6" t="s">
        <v>259</v>
      </c>
      <c r="H6" t="s">
        <v>33</v>
      </c>
      <c r="I6" s="1">
        <f>('RECEITAS - BLOCOS PAN'!H32-'OPEX - BLOCOS PAN'!H32-VLOOKUP('BLOCO ACRE + AMAZONAS'!$D6,'CAPEX - BLOCOS PAN'!$C$3:$H$52,6,FALSE))*I$14</f>
        <v>-21387244.780733332</v>
      </c>
      <c r="J6" s="1">
        <f>('RECEITAS - BLOCOS PAN'!I32-'OPEX - BLOCOS PAN'!I32-VLOOKUP('BLOCO ACRE + AMAZONAS'!$D6,'CAPEX - BLOCOS PAN'!$C$3:$I$52,7,FALSE))*J$14</f>
        <v>-19511928.990993459</v>
      </c>
      <c r="K6" s="1">
        <f>('RECEITAS - BLOCOS PAN'!J32-'OPEX - BLOCOS PAN'!J32-VLOOKUP('BLOCO ACRE + AMAZONAS'!$D6,'CAPEX - BLOCOS PAN'!$C$3:$J$52,8,FALSE))*K$14</f>
        <v>-17803378.403233621</v>
      </c>
      <c r="L6" s="1">
        <f>('RECEITAS - BLOCOS PAN'!K32-'OPEX - BLOCOS PAN'!K32-VLOOKUP('BLOCO ACRE + AMAZONAS'!$D6,'CAPEX - BLOCOS PAN'!$C$3:$K$52,9,FALSE))*L$14</f>
        <v>-1975117.7958916519</v>
      </c>
      <c r="M6" s="1">
        <f>('RECEITAS - BLOCOS PAN'!L32-'OPEX - BLOCOS PAN'!L32-VLOOKUP('BLOCO ACRE + AMAZONAS'!$D6,'CAPEX - BLOCOS PAN'!$C$3:$L$52,10,FALSE))*M$14</f>
        <v>-1798822.9715134236</v>
      </c>
      <c r="N6" s="1">
        <f>('RECEITAS - BLOCOS PAN'!M32-'OPEX - BLOCOS PAN'!M32-VLOOKUP('BLOCO ACRE + AMAZONAS'!$D6,'CAPEX - BLOCOS PAN'!$C$3:$M$52,11,FALSE))*N$14</f>
        <v>-1638391.3052267339</v>
      </c>
      <c r="O6" s="1">
        <f>('RECEITAS - BLOCOS PAN'!N32-'OPEX - BLOCOS PAN'!N32-VLOOKUP('BLOCO ACRE + AMAZONAS'!$D6,'CAPEX - BLOCOS PAN'!$C$3:$N$52,12,FALSE))*O$14</f>
        <v>-1492454.2664140936</v>
      </c>
      <c r="P6" s="1">
        <f>('RECEITAS - BLOCOS PAN'!O32-'OPEX - BLOCOS PAN'!O32-VLOOKUP('BLOCO ACRE + AMAZONAS'!$D6,'CAPEX - BLOCOS PAN'!$C$3:$O$52,13,FALSE))*P$14</f>
        <v>-1359721.8731894705</v>
      </c>
      <c r="Q6" s="1">
        <f>('RECEITAS - BLOCOS PAN'!P32-'OPEX - BLOCOS PAN'!P32-VLOOKUP('BLOCO ACRE + AMAZONAS'!$D6,'CAPEX - BLOCOS PAN'!$C$3:$P$52,14,FALSE))*Q$14</f>
        <v>-1238796.3877337524</v>
      </c>
      <c r="R6" s="1">
        <f>('RECEITAS - BLOCOS PAN'!Q32-'OPEX - BLOCOS PAN'!Q32-VLOOKUP('BLOCO ACRE + AMAZONAS'!$D6,'CAPEX - BLOCOS PAN'!$C$3:$Q$52,15,FALSE))*R$14</f>
        <v>-1128746.6898915619</v>
      </c>
      <c r="S6" s="1">
        <f>('RECEITAS - BLOCOS PAN'!R32-'OPEX - BLOCOS PAN'!R32-VLOOKUP('BLOCO ACRE + AMAZONAS'!$D6,'CAPEX - BLOCOS PAN'!$C$3:$R$52,16,FALSE))*S$14</f>
        <v>-1028579.2982679019</v>
      </c>
      <c r="T6" s="1">
        <f>('RECEITAS - BLOCOS PAN'!S32-'OPEX - BLOCOS PAN'!S32-VLOOKUP('BLOCO ACRE + AMAZONAS'!$D6,'CAPEX - BLOCOS PAN'!$C$3:$S$52,17,FALSE))*T$14</f>
        <v>-937282.47287690011</v>
      </c>
      <c r="U6" s="1">
        <f>('RECEITAS - BLOCOS PAN'!T32-'OPEX - BLOCOS PAN'!T32-VLOOKUP('BLOCO ACRE + AMAZONAS'!$D6,'CAPEX - BLOCOS PAN'!$C$3:$T$52,18,FALSE))*U$14</f>
        <v>-854081.79358177958</v>
      </c>
      <c r="V6" s="1">
        <f>('RECEITAS - BLOCOS PAN'!U32-'OPEX - BLOCOS PAN'!U32-VLOOKUP('BLOCO ACRE + AMAZONAS'!$D6,'CAPEX - BLOCOS PAN'!$C$3:$U$52,19,FALSE))*V$14</f>
        <v>-778220.60370652855</v>
      </c>
      <c r="W6" s="1">
        <f>('RECEITAS - BLOCOS PAN'!V32-'OPEX - BLOCOS PAN'!V32-VLOOKUP('BLOCO ACRE + AMAZONAS'!$D6,'CAPEX - BLOCOS PAN'!$C$3:$V$52,20,FALSE))*W$14</f>
        <v>-709043.38935533364</v>
      </c>
      <c r="X6" s="1">
        <f>('RECEITAS - BLOCOS PAN'!W32-'OPEX - BLOCOS PAN'!W32-VLOOKUP('BLOCO ACRE + AMAZONAS'!$D6,'CAPEX - BLOCOS PAN'!$C$3:$W$52,21,FALSE))*X$14</f>
        <v>-646031.21327575366</v>
      </c>
      <c r="Y6" s="1">
        <f>('RECEITAS - BLOCOS PAN'!X32-'OPEX - BLOCOS PAN'!X32-VLOOKUP('BLOCO ACRE + AMAZONAS'!$D6,'CAPEX - BLOCOS PAN'!$C$3:$X$52,22,FALSE))*Y$14</f>
        <v>-588563.80584919988</v>
      </c>
      <c r="Z6" s="1">
        <f>('RECEITAS - BLOCOS PAN'!Y32-'OPEX - BLOCOS PAN'!Y32-VLOOKUP('BLOCO ACRE + AMAZONAS'!$D6,'CAPEX - BLOCOS PAN'!$C$3:$Y$52,23,FALSE))*Z$14</f>
        <v>-536221.50556488323</v>
      </c>
      <c r="AA6" s="1">
        <f>('RECEITAS - BLOCOS PAN'!Z32-'OPEX - BLOCOS PAN'!Z32-VLOOKUP('BLOCO ACRE + AMAZONAS'!$D6,'CAPEX - BLOCOS PAN'!$C$3:$Z$52,24,FALSE))*AA$14</f>
        <v>-488468.62086654227</v>
      </c>
      <c r="AB6" s="1">
        <f>('RECEITAS - BLOCOS PAN'!AA32-'OPEX - BLOCOS PAN'!AA32-VLOOKUP('BLOCO ACRE + AMAZONAS'!$D6,'CAPEX - BLOCOS PAN'!$C$3:$AA$52,25,FALSE))*AB$14</f>
        <v>-444942.78977225506</v>
      </c>
      <c r="AC6" s="1">
        <f>('RECEITAS - BLOCOS PAN'!AB32-'OPEX - BLOCOS PAN'!AB32-VLOOKUP('BLOCO ACRE + AMAZONAS'!$D6,'CAPEX - BLOCOS PAN'!$C$3:$AB$52,26,FALSE))*AC$14</f>
        <v>-405312.77889740677</v>
      </c>
      <c r="AD6" s="1">
        <f>('RECEITAS - BLOCOS PAN'!AC32-'OPEX - BLOCOS PAN'!AC32-VLOOKUP('BLOCO ACRE + AMAZONAS'!$D6,'CAPEX - BLOCOS PAN'!$C$3:$AC$52,27,FALSE))*AD$14</f>
        <v>-369160.46043003304</v>
      </c>
      <c r="AE6" s="1">
        <f>('RECEITAS - BLOCOS PAN'!AD32-'OPEX - BLOCOS PAN'!AD32-VLOOKUP('BLOCO ACRE + AMAZONAS'!$D6,'CAPEX - BLOCOS PAN'!$C$3:$AD$52,28,FALSE))*AE$14</f>
        <v>-336265.73595164716</v>
      </c>
      <c r="AF6" s="1">
        <f>('RECEITAS - BLOCOS PAN'!AE32-'OPEX - BLOCOS PAN'!AE32-VLOOKUP('BLOCO ACRE + AMAZONAS'!$D6,'CAPEX - BLOCOS PAN'!$C$3:$AE$52,29,FALSE))*AF$14</f>
        <v>-306195.48653430585</v>
      </c>
      <c r="AG6" s="1">
        <f>('RECEITAS - BLOCOS PAN'!AF32-'OPEX - BLOCOS PAN'!AF32-VLOOKUP('BLOCO ACRE + AMAZONAS'!$D6,'CAPEX - BLOCOS PAN'!$C$3:$AF$52,30,FALSE))*AG$14</f>
        <v>-278817.98246941151</v>
      </c>
      <c r="AH6" s="1">
        <f>('RECEITAS - BLOCOS PAN'!AG32-'OPEX - BLOCOS PAN'!AG32-VLOOKUP('BLOCO ACRE + AMAZONAS'!$D6,'CAPEX - BLOCOS PAN'!$C$3:$AG$52,31,FALSE))*AH$14</f>
        <v>-253861.37968456565</v>
      </c>
      <c r="AI6" s="1">
        <f>('RECEITAS - BLOCOS PAN'!AH32-'OPEX - BLOCOS PAN'!AH32-VLOOKUP('BLOCO ACRE + AMAZONAS'!$D6,'CAPEX - BLOCOS PAN'!$C$3:$AH$52,32,FALSE))*AI$14</f>
        <v>-231175.79688482362</v>
      </c>
      <c r="AJ6" s="1">
        <f>('RECEITAS - BLOCOS PAN'!AI32-'OPEX - BLOCOS PAN'!AI32-VLOOKUP('BLOCO ACRE + AMAZONAS'!$D6,'CAPEX - BLOCOS PAN'!$C$3:$AI$52,33,FALSE))*AJ$14</f>
        <v>-210490.64391464519</v>
      </c>
      <c r="AK6" s="1">
        <f>('RECEITAS - BLOCOS PAN'!AJ32-'OPEX - BLOCOS PAN'!AJ32-VLOOKUP('BLOCO ACRE + AMAZONAS'!$D6,'CAPEX - BLOCOS PAN'!$C$3:$AJ$52,34,FALSE))*AK$14</f>
        <v>-191644.00921359228</v>
      </c>
      <c r="AL6" s="1">
        <f>('RECEITAS - BLOCOS PAN'!AK32-'OPEX - BLOCOS PAN'!AK32-VLOOKUP('BLOCO ACRE + AMAZONAS'!$D6,'CAPEX - BLOCOS PAN'!$C$3:$AK$52,35,FALSE))*AL$14</f>
        <v>-174468.39831765759</v>
      </c>
      <c r="AM6" s="44">
        <f t="shared" si="0"/>
        <v>-79103431.630236253</v>
      </c>
      <c r="AN6">
        <v>1</v>
      </c>
      <c r="AO6" t="s">
        <v>308</v>
      </c>
      <c r="AP6">
        <v>-7.2666666666666666</v>
      </c>
      <c r="AQ6">
        <v>-64.766666666666666</v>
      </c>
      <c r="AR6" s="48">
        <f>VLOOKUP(D6,'Projeção - Demanda PAX'!$C$3:$H$37,6,FALSE)</f>
        <v>5912</v>
      </c>
      <c r="AS6" t="str">
        <f>VLOOKUP(D6,'FLUXO DE CAIXA DESC.-BLOCOS PAN'!$D$3:$AU$52,44,FALSE)</f>
        <v>Bloco 1 - AC/AM</v>
      </c>
    </row>
    <row r="7" spans="1:45" x14ac:dyDescent="0.35">
      <c r="A7" t="s">
        <v>86</v>
      </c>
      <c r="B7" s="5" t="s">
        <v>268</v>
      </c>
      <c r="C7">
        <v>130390</v>
      </c>
      <c r="D7" t="s">
        <v>290</v>
      </c>
      <c r="E7" t="s">
        <v>232</v>
      </c>
      <c r="F7" t="s">
        <v>35</v>
      </c>
      <c r="G7" t="s">
        <v>259</v>
      </c>
      <c r="H7" t="s">
        <v>33</v>
      </c>
      <c r="I7" s="1">
        <f>('RECEITAS - BLOCOS PAN'!H39-'OPEX - BLOCOS PAN'!H39-VLOOKUP('BLOCO ACRE + AMAZONAS'!$D7,'CAPEX - BLOCOS PAN'!$C$3:$H$52,6,FALSE))*I$14</f>
        <v>-9244063.0718212556</v>
      </c>
      <c r="J7" s="1">
        <f>('RECEITAS - BLOCOS PAN'!I39-'OPEX - BLOCOS PAN'!I39-VLOOKUP('BLOCO ACRE + AMAZONAS'!$D7,'CAPEX - BLOCOS PAN'!$C$3:$I$52,7,FALSE))*J$14</f>
        <v>-8438213.6666556429</v>
      </c>
      <c r="K7" s="1">
        <f>('RECEITAS - BLOCOS PAN'!J39-'OPEX - BLOCOS PAN'!J39-VLOOKUP('BLOCO ACRE + AMAZONAS'!$D7,'CAPEX - BLOCOS PAN'!$C$3:$J$52,8,FALSE))*K$14</f>
        <v>-7702614.027070418</v>
      </c>
      <c r="L7" s="1">
        <f>('RECEITAS - BLOCOS PAN'!K39-'OPEX - BLOCOS PAN'!K39-VLOOKUP('BLOCO ACRE + AMAZONAS'!$D7,'CAPEX - BLOCOS PAN'!$C$3:$K$52,9,FALSE))*L$14</f>
        <v>-445754.59685049282</v>
      </c>
      <c r="M7" s="1">
        <f>('RECEITAS - BLOCOS PAN'!L39-'OPEX - BLOCOS PAN'!L39-VLOOKUP('BLOCO ACRE + AMAZONAS'!$D7,'CAPEX - BLOCOS PAN'!$C$3:$L$52,10,FALSE))*M$14</f>
        <v>-406896.0263354567</v>
      </c>
      <c r="N7" s="1">
        <f>('RECEITAS - BLOCOS PAN'!M39-'OPEX - BLOCOS PAN'!M39-VLOOKUP('BLOCO ACRE + AMAZONAS'!$D7,'CAPEX - BLOCOS PAN'!$C$3:$M$52,11,FALSE))*N$14</f>
        <v>-371424.94416746392</v>
      </c>
      <c r="O7" s="1">
        <f>('RECEITAS - BLOCOS PAN'!N39-'OPEX - BLOCOS PAN'!N39-VLOOKUP('BLOCO ACRE + AMAZONAS'!$D7,'CAPEX - BLOCOS PAN'!$C$3:$N$52,12,FALSE))*O$14</f>
        <v>-339046.04670695018</v>
      </c>
      <c r="P7" s="1">
        <f>('RECEITAS - BLOCOS PAN'!O39-'OPEX - BLOCOS PAN'!O39-VLOOKUP('BLOCO ACRE + AMAZONAS'!$D7,'CAPEX - BLOCOS PAN'!$C$3:$O$52,13,FALSE))*P$14</f>
        <v>-309489.77335184865</v>
      </c>
      <c r="Q7" s="1">
        <f>('RECEITAS - BLOCOS PAN'!P39-'OPEX - BLOCOS PAN'!P39-VLOOKUP('BLOCO ACRE + AMAZONAS'!$D7,'CAPEX - BLOCOS PAN'!$C$3:$P$52,14,FALSE))*Q$14</f>
        <v>-282510.06239328953</v>
      </c>
      <c r="R7" s="1">
        <f>('RECEITAS - BLOCOS PAN'!Q39-'OPEX - BLOCOS PAN'!Q39-VLOOKUP('BLOCO ACRE + AMAZONAS'!$D7,'CAPEX - BLOCOS PAN'!$C$3:$Q$52,15,FALSE))*R$14</f>
        <v>-257882.30250414379</v>
      </c>
      <c r="S7" s="1">
        <f>('RECEITAS - BLOCOS PAN'!R39-'OPEX - BLOCOS PAN'!R39-VLOOKUP('BLOCO ACRE + AMAZONAS'!$D7,'CAPEX - BLOCOS PAN'!$C$3:$R$52,16,FALSE))*S$14</f>
        <v>-235401.46280615596</v>
      </c>
      <c r="T7" s="1">
        <f>('RECEITAS - BLOCOS PAN'!S39-'OPEX - BLOCOS PAN'!S39-VLOOKUP('BLOCO ACRE + AMAZONAS'!$D7,'CAPEX - BLOCOS PAN'!$C$3:$S$52,17,FALSE))*T$14</f>
        <v>-214880.38594811133</v>
      </c>
      <c r="U7" s="1">
        <f>('RECEITAS - BLOCOS PAN'!T39-'OPEX - BLOCOS PAN'!T39-VLOOKUP('BLOCO ACRE + AMAZONAS'!$D7,'CAPEX - BLOCOS PAN'!$C$3:$T$52,18,FALSE))*U$14</f>
        <v>-196148.2299845836</v>
      </c>
      <c r="V7" s="1">
        <f>('RECEITAS - BLOCOS PAN'!U39-'OPEX - BLOCOS PAN'!U39-VLOOKUP('BLOCO ACRE + AMAZONAS'!$D7,'CAPEX - BLOCOS PAN'!$C$3:$U$52,19,FALSE))*V$14</f>
        <v>-179049.04608359982</v>
      </c>
      <c r="W7" s="1">
        <f>('RECEITAS - BLOCOS PAN'!V39-'OPEX - BLOCOS PAN'!V39-VLOOKUP('BLOCO ACRE + AMAZONAS'!$D7,'CAPEX - BLOCOS PAN'!$C$3:$V$52,20,FALSE))*W$14</f>
        <v>-163440.48022236404</v>
      </c>
      <c r="X7" s="1">
        <f>('RECEITAS - BLOCOS PAN'!W39-'OPEX - BLOCOS PAN'!W39-VLOOKUP('BLOCO ACRE + AMAZONAS'!$D7,'CAPEX - BLOCOS PAN'!$C$3:$W$52,21,FALSE))*X$14</f>
        <v>-149192.58806240442</v>
      </c>
      <c r="Y7" s="1">
        <f>('RECEITAS - BLOCOS PAN'!X39-'OPEX - BLOCOS PAN'!X39-VLOOKUP('BLOCO ACRE + AMAZONAS'!$D7,'CAPEX - BLOCOS PAN'!$C$3:$X$52,22,FALSE))*Y$14</f>
        <v>-136186.75313774939</v>
      </c>
      <c r="Z7" s="1">
        <f>('RECEITAS - BLOCOS PAN'!Y39-'OPEX - BLOCOS PAN'!Y39-VLOOKUP('BLOCO ACRE + AMAZONAS'!$D7,'CAPEX - BLOCOS PAN'!$C$3:$Y$52,23,FALSE))*Z$14</f>
        <v>-124314.69934983969</v>
      </c>
      <c r="AA7" s="1">
        <f>('RECEITAS - BLOCOS PAN'!Z39-'OPEX - BLOCOS PAN'!Z39-VLOOKUP('BLOCO ACRE + AMAZONAS'!$D7,'CAPEX - BLOCOS PAN'!$C$3:$Z$52,24,FALSE))*AA$14</f>
        <v>-113477.58954800523</v>
      </c>
      <c r="AB7" s="1">
        <f>('RECEITAS - BLOCOS PAN'!AA39-'OPEX - BLOCOS PAN'!AA39-VLOOKUP('BLOCO ACRE + AMAZONAS'!$D7,'CAPEX - BLOCOS PAN'!$C$3:$AA$52,25,FALSE))*AB$14</f>
        <v>-103585.20269101343</v>
      </c>
      <c r="AC7" s="1">
        <f>('RECEITAS - BLOCOS PAN'!AB39-'OPEX - BLOCOS PAN'!AB39-VLOOKUP('BLOCO ACRE + AMAZONAS'!$D7,'CAPEX - BLOCOS PAN'!$C$3:$AB$52,26,FALSE))*AC$14</f>
        <v>-94555.182739400683</v>
      </c>
      <c r="AD7" s="1">
        <f>('RECEITAS - BLOCOS PAN'!AC39-'OPEX - BLOCOS PAN'!AC39-VLOOKUP('BLOCO ACRE + AMAZONAS'!$D7,'CAPEX - BLOCOS PAN'!$C$3:$AC$52,27,FALSE))*AD$14</f>
        <v>-86312.353025468445</v>
      </c>
      <c r="AE7" s="1">
        <f>('RECEITAS - BLOCOS PAN'!AD39-'OPEX - BLOCOS PAN'!AD39-VLOOKUP('BLOCO ACRE + AMAZONAS'!$D7,'CAPEX - BLOCOS PAN'!$C$3:$AD$52,28,FALSE))*AE$14</f>
        <v>-78788.090392942438</v>
      </c>
      <c r="AF7" s="1">
        <f>('RECEITAS - BLOCOS PAN'!AE39-'OPEX - BLOCOS PAN'!AE39-VLOOKUP('BLOCO ACRE + AMAZONAS'!$D7,'CAPEX - BLOCOS PAN'!$C$3:$AE$52,29,FALSE))*AF$14</f>
        <v>-71919.753895885398</v>
      </c>
      <c r="AG7" s="1">
        <f>('RECEITAS - BLOCOS PAN'!AF39-'OPEX - BLOCOS PAN'!AF39-VLOOKUP('BLOCO ACRE + AMAZONAS'!$D7,'CAPEX - BLOCOS PAN'!$C$3:$AF$52,30,FALSE))*AG$14</f>
        <v>-65650.163300671295</v>
      </c>
      <c r="AH7" s="1">
        <f>('RECEITAS - BLOCOS PAN'!AG39-'OPEX - BLOCOS PAN'!AG39-VLOOKUP('BLOCO ACRE + AMAZONAS'!$D7,'CAPEX - BLOCOS PAN'!$C$3:$AG$52,31,FALSE))*AH$14</f>
        <v>-59927.123049448921</v>
      </c>
      <c r="AI7" s="1">
        <f>('RECEITAS - BLOCOS PAN'!AH39-'OPEX - BLOCOS PAN'!AH39-VLOOKUP('BLOCO ACRE + AMAZONAS'!$D7,'CAPEX - BLOCOS PAN'!$C$3:$AH$52,32,FALSE))*AI$14</f>
        <v>-54702.987721998099</v>
      </c>
      <c r="AJ7" s="1">
        <f>('RECEITAS - BLOCOS PAN'!AI39-'OPEX - BLOCOS PAN'!AI39-VLOOKUP('BLOCO ACRE + AMAZONAS'!$D7,'CAPEX - BLOCOS PAN'!$C$3:$AI$52,33,FALSE))*AJ$14</f>
        <v>-49934.265378364318</v>
      </c>
      <c r="AK7" s="1">
        <f>('RECEITAS - BLOCOS PAN'!AJ39-'OPEX - BLOCOS PAN'!AJ39-VLOOKUP('BLOCO ACRE + AMAZONAS'!$D7,'CAPEX - BLOCOS PAN'!$C$3:$AJ$52,34,FALSE))*AK$14</f>
        <v>-45581.255480022199</v>
      </c>
      <c r="AL7" s="1">
        <f>('RECEITAS - BLOCOS PAN'!AK39-'OPEX - BLOCOS PAN'!AK39-VLOOKUP('BLOCO ACRE + AMAZONAS'!$D7,'CAPEX - BLOCOS PAN'!$C$3:$AK$52,35,FALSE))*AL$14</f>
        <v>-41607.718375191413</v>
      </c>
      <c r="AM7" s="44">
        <f t="shared" si="0"/>
        <v>-30062549.849050183</v>
      </c>
      <c r="AN7">
        <v>1</v>
      </c>
      <c r="AO7" t="s">
        <v>308</v>
      </c>
      <c r="AP7">
        <v>-3.4666666666666668</v>
      </c>
      <c r="AQ7">
        <v>-68.916666666666671</v>
      </c>
      <c r="AR7" s="48">
        <v>0</v>
      </c>
      <c r="AS7" t="str">
        <f>VLOOKUP(D7,'FLUXO DE CAIXA DESC.-BLOCOS PAN'!$D$3:$AU$52,44,FALSE)</f>
        <v>Bloco 1 - AC/AM</v>
      </c>
    </row>
    <row r="8" spans="1:45" x14ac:dyDescent="0.35">
      <c r="A8" t="s">
        <v>114</v>
      </c>
      <c r="B8" s="5" t="s">
        <v>278</v>
      </c>
      <c r="C8">
        <v>120035</v>
      </c>
      <c r="D8" t="s">
        <v>294</v>
      </c>
      <c r="E8" t="s">
        <v>236</v>
      </c>
      <c r="F8" t="s">
        <v>41</v>
      </c>
      <c r="G8" t="s">
        <v>259</v>
      </c>
      <c r="H8" t="s">
        <v>33</v>
      </c>
      <c r="I8" s="1">
        <f>'FLUXO DE CAIXA DESC.-BLOCOS PAN'!I41</f>
        <v>-7567340.5377000002</v>
      </c>
      <c r="J8" s="1">
        <f>'FLUXO DE CAIXA DESC.-BLOCOS PAN'!J41</f>
        <v>-6907659.0942035606</v>
      </c>
      <c r="K8" s="1">
        <f>'FLUXO DE CAIXA DESC.-BLOCOS PAN'!K41</f>
        <v>-6305485.2525819819</v>
      </c>
      <c r="L8" s="1">
        <f>'FLUXO DE CAIXA DESC.-BLOCOS PAN'!L41</f>
        <v>-393777.96348925913</v>
      </c>
      <c r="M8" s="1">
        <f>'FLUXO DE CAIXA DESC.-BLOCOS PAN'!M41</f>
        <v>-359450.44590530277</v>
      </c>
      <c r="N8" s="1">
        <f>'FLUXO DE CAIXA DESC.-BLOCOS PAN'!N41</f>
        <v>-328115.42300803534</v>
      </c>
      <c r="O8" s="1">
        <f>'FLUXO DE CAIXA DESC.-BLOCOS PAN'!O41</f>
        <v>-299512.02465361514</v>
      </c>
      <c r="P8" s="1">
        <f>'FLUXO DE CAIXA DESC.-BLOCOS PAN'!P41</f>
        <v>-273402.12200238719</v>
      </c>
      <c r="Q8" s="1">
        <f>'FLUXO DE CAIXA DESC.-BLOCOS PAN'!Q41</f>
        <v>-249568.34505010242</v>
      </c>
      <c r="R8" s="1">
        <f>'FLUXO DE CAIXA DESC.-BLOCOS PAN'!R41</f>
        <v>-227812.27298046774</v>
      </c>
      <c r="S8" s="1">
        <f>'FLUXO DE CAIXA DESC.-BLOCOS PAN'!S41</f>
        <v>-207952.78227336172</v>
      </c>
      <c r="T8" s="1">
        <f>'FLUXO DE CAIXA DESC.-BLOCOS PAN'!T41</f>
        <v>-189824.53881639591</v>
      </c>
      <c r="U8" s="1">
        <f>'FLUXO DE CAIXA DESC.-BLOCOS PAN'!U41</f>
        <v>-173276.62146635869</v>
      </c>
      <c r="V8" s="1">
        <f>'FLUXO DE CAIXA DESC.-BLOCOS PAN'!V41</f>
        <v>-158171.26560142281</v>
      </c>
      <c r="W8" s="1">
        <f>'FLUXO DE CAIXA DESC.-BLOCOS PAN'!W41</f>
        <v>-144382.71620394595</v>
      </c>
      <c r="X8" s="1">
        <f>'FLUXO DE CAIXA DESC.-BLOCOS PAN'!X41</f>
        <v>-131796.18092555544</v>
      </c>
      <c r="Y8" s="1">
        <f>'FLUXO DE CAIXA DESC.-BLOCOS PAN'!Y41</f>
        <v>-120306.87441858096</v>
      </c>
      <c r="Z8" s="1">
        <f>'FLUXO DE CAIXA DESC.-BLOCOS PAN'!Z41</f>
        <v>-109819.14597770968</v>
      </c>
      <c r="AA8" s="1">
        <f>'FLUXO DE CAIXA DESC.-BLOCOS PAN'!AA41</f>
        <v>-100245.68322931055</v>
      </c>
      <c r="AB8" s="1">
        <f>'FLUXO DE CAIXA DESC.-BLOCOS PAN'!AB41</f>
        <v>-91506.785238987257</v>
      </c>
      <c r="AC8" s="1">
        <f>'FLUXO DE CAIXA DESC.-BLOCOS PAN'!AC41</f>
        <v>-83529.698985839597</v>
      </c>
      <c r="AD8" s="1">
        <f>'FLUXO DE CAIXA DESC.-BLOCOS PAN'!AD41</f>
        <v>-76248.013679451935</v>
      </c>
      <c r="AE8" s="1">
        <f>'FLUXO DE CAIXA DESC.-BLOCOS PAN'!AE41</f>
        <v>-69601.10787718113</v>
      </c>
      <c r="AF8" s="1">
        <f>'FLUXO DE CAIXA DESC.-BLOCOS PAN'!AF41</f>
        <v>-63533.644798887399</v>
      </c>
      <c r="AG8" s="1">
        <f>'FLUXO DE CAIXA DESC.-BLOCOS PAN'!AG41</f>
        <v>-57995.111637505615</v>
      </c>
      <c r="AH8" s="1">
        <f>'FLUXO DE CAIXA DESC.-BLOCOS PAN'!AH41</f>
        <v>-52939.399030128356</v>
      </c>
      <c r="AI8" s="1">
        <f>'FLUXO DE CAIXA DESC.-BLOCOS PAN'!AI41</f>
        <v>-48324.417188615567</v>
      </c>
      <c r="AJ8" s="1">
        <f>'FLUXO DE CAIXA DESC.-BLOCOS PAN'!AJ41</f>
        <v>-44111.745493943934</v>
      </c>
      <c r="AK8" s="1">
        <f>'FLUXO DE CAIXA DESC.-BLOCOS PAN'!AK41</f>
        <v>-40266.312637100804</v>
      </c>
      <c r="AL8" s="1">
        <f>'FLUXO DE CAIXA DESC.-BLOCOS PAN'!AL41</f>
        <v>-36756.104643633778</v>
      </c>
      <c r="AM8" s="44">
        <f t="shared" si="0"/>
        <v>-24912711.631698634</v>
      </c>
      <c r="AN8">
        <v>1</v>
      </c>
      <c r="AO8" t="s">
        <v>308</v>
      </c>
      <c r="AP8" s="49">
        <v>-8.9499999999999993</v>
      </c>
      <c r="AQ8" s="49">
        <v>-72.766666666666666</v>
      </c>
      <c r="AR8" s="48">
        <v>0</v>
      </c>
      <c r="AS8" t="str">
        <f>VLOOKUP(D8,'FLUXO DE CAIXA DESC.-BLOCOS PAN'!$D$3:$AU$52,44,FALSE)</f>
        <v>Bloco 1 - AC/AM</v>
      </c>
    </row>
    <row r="9" spans="1:45" x14ac:dyDescent="0.35">
      <c r="A9" t="s">
        <v>134</v>
      </c>
      <c r="B9" s="5" t="s">
        <v>273</v>
      </c>
      <c r="C9">
        <v>130370</v>
      </c>
      <c r="D9" t="s">
        <v>296</v>
      </c>
      <c r="E9" t="s">
        <v>237</v>
      </c>
      <c r="F9" t="s">
        <v>35</v>
      </c>
      <c r="G9" t="s">
        <v>259</v>
      </c>
      <c r="H9" t="s">
        <v>33</v>
      </c>
      <c r="I9" s="1">
        <f>'FLUXO DE CAIXA DESC.-BLOCOS PAN'!I48</f>
        <v>-14053445.479048483</v>
      </c>
      <c r="J9" s="1">
        <f>'FLUXO DE CAIXA DESC.-BLOCOS PAN'!J48</f>
        <v>-12828339.095434491</v>
      </c>
      <c r="K9" s="1">
        <f>'FLUXO DE CAIXA DESC.-BLOCOS PAN'!K48</f>
        <v>-11710031.123171603</v>
      </c>
      <c r="L9" s="1">
        <f>'FLUXO DE CAIXA DESC.-BLOCOS PAN'!L48</f>
        <v>-458678.40857740701</v>
      </c>
      <c r="M9" s="1">
        <f>'FLUXO DE CAIXA DESC.-BLOCOS PAN'!M48</f>
        <v>-418693.20728197816</v>
      </c>
      <c r="N9" s="1">
        <f>'FLUXO DE CAIXA DESC.-BLOCOS PAN'!N48</f>
        <v>-382193.70815333468</v>
      </c>
      <c r="O9" s="1">
        <f>'FLUXO DE CAIXA DESC.-BLOCOS PAN'!O48</f>
        <v>-348876.04578122747</v>
      </c>
      <c r="P9" s="1">
        <f>'FLUXO DE CAIXA DESC.-BLOCOS PAN'!P48</f>
        <v>-318462.84416360338</v>
      </c>
      <c r="Q9" s="1">
        <f>'FLUXO DE CAIXA DESC.-BLOCOS PAN'!Q48</f>
        <v>-290700.90749758412</v>
      </c>
      <c r="R9" s="1">
        <f>'FLUXO DE CAIXA DESC.-BLOCOS PAN'!R48</f>
        <v>-265359.11227529356</v>
      </c>
      <c r="S9" s="1">
        <f>'FLUXO DE CAIXA DESC.-BLOCOS PAN'!S48</f>
        <v>-242226.48313582258</v>
      </c>
      <c r="T9" s="1">
        <f>'FLUXO DE CAIXA DESC.-BLOCOS PAN'!T48</f>
        <v>-221110.43645442498</v>
      </c>
      <c r="U9" s="1">
        <f>'FLUXO DE CAIXA DESC.-BLOCOS PAN'!U48</f>
        <v>-201835.17704648562</v>
      </c>
      <c r="V9" s="1">
        <f>'FLUXO DE CAIXA DESC.-BLOCOS PAN'!V48</f>
        <v>-184240.23463850809</v>
      </c>
      <c r="W9" s="1">
        <f>'FLUXO DE CAIXA DESC.-BLOCOS PAN'!W48</f>
        <v>-168179.12792196084</v>
      </c>
      <c r="X9" s="1">
        <f>'FLUXO DE CAIXA DESC.-BLOCOS PAN'!X48</f>
        <v>-153518.14506796974</v>
      </c>
      <c r="Y9" s="1">
        <f>'FLUXO DE CAIXA DESC.-BLOCOS PAN'!Y48</f>
        <v>-140135.23055040598</v>
      </c>
      <c r="Z9" s="1">
        <f>'FLUXO DE CAIXA DESC.-BLOCOS PAN'!Z48</f>
        <v>-127918.96900995525</v>
      </c>
      <c r="AA9" s="1">
        <f>'FLUXO DE CAIXA DESC.-BLOCOS PAN'!AA48</f>
        <v>-116767.65769963969</v>
      </c>
      <c r="AB9" s="1">
        <f>'FLUXO DE CAIXA DESC.-BLOCOS PAN'!AB48</f>
        <v>-106588.4597897213</v>
      </c>
      <c r="AC9" s="1">
        <f>'FLUXO DE CAIXA DESC.-BLOCOS PAN'!AC48</f>
        <v>-97296.631483086545</v>
      </c>
      <c r="AD9" s="1">
        <f>'FLUXO DE CAIXA DESC.-BLOCOS PAN'!AD48</f>
        <v>-88814.816506696981</v>
      </c>
      <c r="AE9" s="1">
        <f>'FLUXO DE CAIXA DESC.-BLOCOS PAN'!AE48</f>
        <v>-81072.402105611123</v>
      </c>
      <c r="AF9" s="1">
        <f>'FLUXO DE CAIXA DESC.-BLOCOS PAN'!AF48</f>
        <v>-74004.931178102357</v>
      </c>
      <c r="AG9" s="1">
        <f>'FLUXO DE CAIXA DESC.-BLOCOS PAN'!AG48</f>
        <v>-67553.565657783998</v>
      </c>
      <c r="AH9" s="1">
        <f>'FLUXO DE CAIXA DESC.-BLOCOS PAN'!AH48</f>
        <v>-61664.596675293462</v>
      </c>
      <c r="AI9" s="1">
        <f>'FLUXO DE CAIXA DESC.-BLOCOS PAN'!AI48</f>
        <v>-56288.997421536711</v>
      </c>
      <c r="AJ9" s="1">
        <f>'FLUXO DE CAIXA DESC.-BLOCOS PAN'!AJ48</f>
        <v>-51382.014989992444</v>
      </c>
      <c r="AK9" s="1">
        <f>'FLUXO DE CAIXA DESC.-BLOCOS PAN'!AK48</f>
        <v>-46902.79780008438</v>
      </c>
      <c r="AL9" s="1">
        <f>'FLUXO DE CAIXA DESC.-BLOCOS PAN'!AL48</f>
        <v>-42814.055499848815</v>
      </c>
      <c r="AM9" s="44">
        <f t="shared" ref="AM9" si="1">SUM(I9:AL9)</f>
        <v>-43405094.662017941</v>
      </c>
      <c r="AN9">
        <v>1</v>
      </c>
      <c r="AO9" t="s">
        <v>308</v>
      </c>
      <c r="AP9">
        <v>-2.9333333333333336</v>
      </c>
      <c r="AQ9">
        <v>-69.683333333333337</v>
      </c>
      <c r="AR9" s="48">
        <v>0</v>
      </c>
      <c r="AS9" t="str">
        <f>VLOOKUP(D9,'FLUXO DE CAIXA DESC.-BLOCOS PAN'!$D$3:$AU$52,44,FALSE)</f>
        <v>Bloco 1 - AC/AM</v>
      </c>
    </row>
    <row r="10" spans="1:45" x14ac:dyDescent="0.35">
      <c r="B10" s="6"/>
      <c r="C10" s="6"/>
      <c r="D10" s="6"/>
      <c r="H10" s="47" t="s">
        <v>250</v>
      </c>
      <c r="I10" s="8">
        <f t="shared" ref="I10:AM10" si="2">SUBTOTAL(109,I3:I9)</f>
        <v>-115416696.51586974</v>
      </c>
      <c r="J10" s="8">
        <f t="shared" si="2"/>
        <v>-105275083.51772682</v>
      </c>
      <c r="K10" s="8">
        <f t="shared" si="2"/>
        <v>-96041960.745325103</v>
      </c>
      <c r="L10" s="8">
        <f t="shared" si="2"/>
        <v>-8832458.0259991344</v>
      </c>
      <c r="M10" s="8">
        <f t="shared" si="2"/>
        <v>-8034662.4990424002</v>
      </c>
      <c r="N10" s="8">
        <f t="shared" si="2"/>
        <v>-7310977.2422014661</v>
      </c>
      <c r="O10" s="8">
        <f t="shared" si="2"/>
        <v>-6737400.7654600684</v>
      </c>
      <c r="P10" s="8">
        <f t="shared" si="2"/>
        <v>-6133492.8656317554</v>
      </c>
      <c r="Q10" s="8">
        <f t="shared" si="2"/>
        <v>-5584687.3989558211</v>
      </c>
      <c r="R10" s="8">
        <f t="shared" si="2"/>
        <v>-5086381.5754173584</v>
      </c>
      <c r="S10" s="8">
        <f t="shared" si="2"/>
        <v>-4633428.6857995894</v>
      </c>
      <c r="T10" s="8">
        <f t="shared" si="2"/>
        <v>-4220899.0774404369</v>
      </c>
      <c r="U10" s="8">
        <f t="shared" si="2"/>
        <v>-3845273.5394868646</v>
      </c>
      <c r="V10" s="8">
        <f t="shared" si="2"/>
        <v>-3502876.5457982975</v>
      </c>
      <c r="W10" s="8">
        <f t="shared" si="2"/>
        <v>-3190995.6367518147</v>
      </c>
      <c r="X10" s="8">
        <f t="shared" si="2"/>
        <v>-2907001.7381595722</v>
      </c>
      <c r="Y10" s="8">
        <f t="shared" si="2"/>
        <v>-2648154.9298548312</v>
      </c>
      <c r="Z10" s="8">
        <f t="shared" si="2"/>
        <v>-2412321.7086334052</v>
      </c>
      <c r="AA10" s="8">
        <f t="shared" si="2"/>
        <v>-2197322.2402486242</v>
      </c>
      <c r="AB10" s="8">
        <f t="shared" si="2"/>
        <v>-2001550.3426145518</v>
      </c>
      <c r="AC10" s="8">
        <f t="shared" si="2"/>
        <v>-1823321.9234755116</v>
      </c>
      <c r="AD10" s="8">
        <f t="shared" si="2"/>
        <v>-1660912.6221718858</v>
      </c>
      <c r="AE10" s="8">
        <f t="shared" si="2"/>
        <v>-1513056.073356444</v>
      </c>
      <c r="AF10" s="8">
        <f t="shared" si="2"/>
        <v>-1378309.0910717098</v>
      </c>
      <c r="AG10" s="8">
        <f t="shared" si="2"/>
        <v>-1255603.743998321</v>
      </c>
      <c r="AH10" s="8">
        <f t="shared" si="2"/>
        <v>-1143825.0144498679</v>
      </c>
      <c r="AI10" s="8">
        <f t="shared" si="2"/>
        <v>-1042151.0995351402</v>
      </c>
      <c r="AJ10" s="8">
        <f t="shared" si="2"/>
        <v>-949516.74051545293</v>
      </c>
      <c r="AK10" s="8">
        <f t="shared" si="2"/>
        <v>-876288.17175490723</v>
      </c>
      <c r="AL10" s="8">
        <f t="shared" si="2"/>
        <v>-798363.87946113455</v>
      </c>
      <c r="AM10" s="44">
        <f t="shared" si="2"/>
        <v>-408454973.95620805</v>
      </c>
      <c r="AR10" s="66">
        <f>SUBTOTAL(109,AR3:AR9)</f>
        <v>46211</v>
      </c>
    </row>
    <row r="11" spans="1:45" x14ac:dyDescent="0.35">
      <c r="A11" s="83" t="s">
        <v>368</v>
      </c>
      <c r="B11" s="83"/>
      <c r="C11" s="83"/>
      <c r="D11" s="83"/>
      <c r="E11" s="47"/>
      <c r="H11" s="47" t="s">
        <v>285</v>
      </c>
      <c r="I11" s="8">
        <f>I10</f>
        <v>-115416696.51586974</v>
      </c>
      <c r="J11" s="8">
        <f t="shared" ref="J11:AL11" si="3">J10+I11</f>
        <v>-220691780.03359658</v>
      </c>
      <c r="K11" s="8">
        <f t="shared" si="3"/>
        <v>-316733740.77892166</v>
      </c>
      <c r="L11" s="8">
        <f t="shared" si="3"/>
        <v>-325566198.80492079</v>
      </c>
      <c r="M11" s="8">
        <f t="shared" si="3"/>
        <v>-333600861.30396318</v>
      </c>
      <c r="N11" s="8">
        <f t="shared" si="3"/>
        <v>-340911838.54616463</v>
      </c>
      <c r="O11" s="8">
        <f t="shared" si="3"/>
        <v>-347649239.31162471</v>
      </c>
      <c r="P11" s="8">
        <f t="shared" si="3"/>
        <v>-353782732.17725646</v>
      </c>
      <c r="Q11" s="8">
        <f t="shared" si="3"/>
        <v>-359367419.57621229</v>
      </c>
      <c r="R11" s="8">
        <f t="shared" si="3"/>
        <v>-364453801.15162963</v>
      </c>
      <c r="S11" s="8">
        <f t="shared" si="3"/>
        <v>-369087229.83742923</v>
      </c>
      <c r="T11" s="8">
        <f t="shared" si="3"/>
        <v>-373308128.91486967</v>
      </c>
      <c r="U11" s="8">
        <f t="shared" si="3"/>
        <v>-377153402.45435655</v>
      </c>
      <c r="V11" s="8">
        <f t="shared" si="3"/>
        <v>-380656279.00015485</v>
      </c>
      <c r="W11" s="8">
        <f t="shared" si="3"/>
        <v>-383847274.63690668</v>
      </c>
      <c r="X11" s="8">
        <f t="shared" si="3"/>
        <v>-386754276.37506628</v>
      </c>
      <c r="Y11" s="8">
        <f t="shared" si="3"/>
        <v>-389402431.30492109</v>
      </c>
      <c r="Z11" s="8">
        <f t="shared" si="3"/>
        <v>-391814753.01355451</v>
      </c>
      <c r="AA11" s="8">
        <f t="shared" si="3"/>
        <v>-394012075.25380313</v>
      </c>
      <c r="AB11" s="8">
        <f t="shared" si="3"/>
        <v>-396013625.59641767</v>
      </c>
      <c r="AC11" s="8">
        <f t="shared" si="3"/>
        <v>-397836947.51989317</v>
      </c>
      <c r="AD11" s="8">
        <f t="shared" si="3"/>
        <v>-399497860.14206505</v>
      </c>
      <c r="AE11" s="8">
        <f t="shared" si="3"/>
        <v>-401010916.2154215</v>
      </c>
      <c r="AF11" s="8">
        <f t="shared" si="3"/>
        <v>-402389225.30649322</v>
      </c>
      <c r="AG11" s="8">
        <f t="shared" si="3"/>
        <v>-403644829.05049157</v>
      </c>
      <c r="AH11" s="8">
        <f t="shared" si="3"/>
        <v>-404788654.06494147</v>
      </c>
      <c r="AI11" s="8">
        <f t="shared" si="3"/>
        <v>-405830805.16447663</v>
      </c>
      <c r="AJ11" s="8">
        <f t="shared" si="3"/>
        <v>-406780321.9049921</v>
      </c>
      <c r="AK11" s="8">
        <f t="shared" si="3"/>
        <v>-407656610.076747</v>
      </c>
      <c r="AL11" s="8">
        <f t="shared" si="3"/>
        <v>-408454973.95620811</v>
      </c>
      <c r="AM11" s="44"/>
    </row>
    <row r="12" spans="1:45" x14ac:dyDescent="0.35"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45" x14ac:dyDescent="0.35">
      <c r="H13" s="47" t="s">
        <v>284</v>
      </c>
      <c r="I13" s="2">
        <v>0</v>
      </c>
      <c r="J13" s="2">
        <v>1</v>
      </c>
      <c r="K13" s="2">
        <v>2</v>
      </c>
      <c r="L13" s="2">
        <v>3</v>
      </c>
      <c r="M13" s="2">
        <v>4</v>
      </c>
      <c r="N13" s="2">
        <v>5</v>
      </c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2">
        <v>11</v>
      </c>
      <c r="U13" s="2">
        <v>12</v>
      </c>
      <c r="V13" s="2">
        <v>13</v>
      </c>
      <c r="W13" s="2">
        <v>14</v>
      </c>
      <c r="X13" s="2">
        <v>15</v>
      </c>
      <c r="Y13" s="2">
        <v>16</v>
      </c>
      <c r="Z13" s="2">
        <v>17</v>
      </c>
      <c r="AA13" s="2">
        <v>18</v>
      </c>
      <c r="AB13" s="2">
        <v>19</v>
      </c>
      <c r="AC13" s="2">
        <v>20</v>
      </c>
      <c r="AD13" s="2">
        <v>21</v>
      </c>
      <c r="AE13" s="2">
        <v>22</v>
      </c>
      <c r="AF13" s="2">
        <v>23</v>
      </c>
      <c r="AG13" s="2">
        <v>24</v>
      </c>
      <c r="AH13" s="2">
        <v>25</v>
      </c>
      <c r="AI13" s="2">
        <v>26</v>
      </c>
      <c r="AJ13" s="2">
        <v>27</v>
      </c>
      <c r="AK13" s="2">
        <v>28</v>
      </c>
      <c r="AL13" s="2">
        <v>29</v>
      </c>
    </row>
    <row r="14" spans="1:45" x14ac:dyDescent="0.35">
      <c r="A14" s="2" t="s">
        <v>254</v>
      </c>
      <c r="B14" s="46">
        <v>9.5500000000000002E-2</v>
      </c>
      <c r="C14" s="2" t="s">
        <v>255</v>
      </c>
      <c r="I14" s="2">
        <f>1/(1+$B$14)^I13</f>
        <v>1</v>
      </c>
      <c r="J14" s="2">
        <f t="shared" ref="J14:AL14" si="4">1/(1+$B$14)^J13</f>
        <v>0.91282519397535378</v>
      </c>
      <c r="K14" s="2">
        <f t="shared" si="4"/>
        <v>0.83324983475614223</v>
      </c>
      <c r="L14" s="2">
        <f t="shared" si="4"/>
        <v>0.76061144204120701</v>
      </c>
      <c r="M14" s="2">
        <f t="shared" si="4"/>
        <v>0.69430528712113837</v>
      </c>
      <c r="N14" s="2">
        <f t="shared" si="4"/>
        <v>0.63377935839446675</v>
      </c>
      <c r="O14" s="2">
        <f t="shared" si="4"/>
        <v>0.57852976576400439</v>
      </c>
      <c r="P14" s="2">
        <f t="shared" si="4"/>
        <v>0.52809654565404329</v>
      </c>
      <c r="Q14" s="2">
        <f t="shared" si="4"/>
        <v>0.48205983172436634</v>
      </c>
      <c r="R14" s="2">
        <f t="shared" si="4"/>
        <v>0.44003635940152108</v>
      </c>
      <c r="S14" s="2">
        <f t="shared" si="4"/>
        <v>0.40167627512690202</v>
      </c>
      <c r="T14" s="2">
        <f t="shared" si="4"/>
        <v>0.36666022375801188</v>
      </c>
      <c r="U14" s="2">
        <f t="shared" si="4"/>
        <v>0.33469668987495382</v>
      </c>
      <c r="V14" s="2">
        <f t="shared" si="4"/>
        <v>0.30551957085801351</v>
      </c>
      <c r="W14" s="2">
        <f t="shared" si="4"/>
        <v>0.27888596153173301</v>
      </c>
      <c r="X14" s="2">
        <f t="shared" si="4"/>
        <v>0.25457413193220724</v>
      </c>
      <c r="Y14" s="2">
        <f t="shared" si="4"/>
        <v>0.23238168136212439</v>
      </c>
      <c r="Z14" s="2">
        <f t="shared" si="4"/>
        <v>0.21212385336570003</v>
      </c>
      <c r="AA14" s="2">
        <f t="shared" si="4"/>
        <v>0.19363199759534466</v>
      </c>
      <c r="AB14" s="2">
        <f t="shared" si="4"/>
        <v>0.17675216576480571</v>
      </c>
      <c r="AC14" s="2">
        <f t="shared" si="4"/>
        <v>0.16134382999982266</v>
      </c>
      <c r="AD14" s="2">
        <f t="shared" si="4"/>
        <v>0.14727871291631461</v>
      </c>
      <c r="AE14" s="2">
        <f t="shared" si="4"/>
        <v>0.13443971968627533</v>
      </c>
      <c r="AF14" s="2">
        <f t="shared" si="4"/>
        <v>0.12271996320061647</v>
      </c>
      <c r="AG14" s="2">
        <f t="shared" si="4"/>
        <v>0.11202187421325101</v>
      </c>
      <c r="AH14" s="2">
        <f t="shared" si="4"/>
        <v>0.10225638905819352</v>
      </c>
      <c r="AI14" s="2">
        <f t="shared" si="4"/>
        <v>9.3342208177264741E-2</v>
      </c>
      <c r="AJ14" s="2">
        <f t="shared" si="4"/>
        <v>8.520511928549955E-2</v>
      </c>
      <c r="AK14" s="2">
        <f t="shared" si="4"/>
        <v>7.7777379539479274E-2</v>
      </c>
      <c r="AL14" s="2">
        <f t="shared" si="4"/>
        <v>7.0997151565019873E-2</v>
      </c>
    </row>
    <row r="16" spans="1:45" x14ac:dyDescent="0.35">
      <c r="A16" s="63" t="s">
        <v>354</v>
      </c>
    </row>
  </sheetData>
  <autoFilter ref="A2:AR11" xr:uid="{6A8C1C86-F6EA-4C2D-A641-3758738A5F02}"/>
  <mergeCells count="1">
    <mergeCell ref="A11:D11"/>
  </mergeCells>
  <phoneticPr fontId="17" type="noConversion"/>
  <conditionalFormatting sqref="D9">
    <cfRule type="duplicateValues" dxfId="34" priority="260"/>
  </conditionalFormatting>
  <hyperlinks>
    <hyperlink ref="A16" location="Introdução!A1" display="Introdução!A1" xr:uid="{1093D04A-F9E1-41F7-812C-C3756480853E}"/>
  </hyperlink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1977-FEAD-40EB-B411-6E12E776B4B5}">
  <sheetPr>
    <tabColor rgb="FF92D050"/>
  </sheetPr>
  <dimension ref="A1:F23"/>
  <sheetViews>
    <sheetView workbookViewId="0">
      <pane ySplit="1" topLeftCell="A2" activePane="bottomLeft" state="frozen"/>
      <selection pane="bottomLeft" activeCell="A5" sqref="A5:XFD5"/>
    </sheetView>
  </sheetViews>
  <sheetFormatPr defaultRowHeight="14.5" x14ac:dyDescent="0.35"/>
  <cols>
    <col min="1" max="1" width="11.7265625" bestFit="1" customWidth="1"/>
    <col min="2" max="2" width="17" customWidth="1"/>
    <col min="3" max="3" width="18.7265625" customWidth="1"/>
    <col min="4" max="4" width="18.26953125" bestFit="1" customWidth="1"/>
    <col min="5" max="5" width="17.7265625" customWidth="1"/>
    <col min="6" max="6" width="18.81640625" bestFit="1" customWidth="1"/>
  </cols>
  <sheetData>
    <row r="1" spans="1:6" x14ac:dyDescent="0.35">
      <c r="A1" t="s">
        <v>243</v>
      </c>
      <c r="B1" t="s">
        <v>244</v>
      </c>
      <c r="C1" s="24" t="s">
        <v>245</v>
      </c>
      <c r="D1" s="24" t="s">
        <v>246</v>
      </c>
      <c r="E1" s="24" t="s">
        <v>247</v>
      </c>
      <c r="F1" s="25" t="s">
        <v>248</v>
      </c>
    </row>
    <row r="2" spans="1:6" x14ac:dyDescent="0.35">
      <c r="A2" s="6" t="s">
        <v>53</v>
      </c>
      <c r="B2">
        <v>1</v>
      </c>
      <c r="C2" s="26">
        <v>1600</v>
      </c>
      <c r="D2" s="26">
        <f t="shared" ref="D2:D12" si="0">C2*3</f>
        <v>4800</v>
      </c>
      <c r="E2" s="28">
        <v>345.25</v>
      </c>
      <c r="F2" s="28">
        <f t="shared" ref="F2:F12" si="1">D2*E2</f>
        <v>1657200</v>
      </c>
    </row>
    <row r="3" spans="1:6" x14ac:dyDescent="0.35">
      <c r="A3" s="6" t="s">
        <v>86</v>
      </c>
      <c r="B3">
        <v>1</v>
      </c>
      <c r="C3" s="26">
        <v>1200</v>
      </c>
      <c r="D3" s="26">
        <f t="shared" si="0"/>
        <v>3600</v>
      </c>
      <c r="E3" s="28">
        <v>345.25</v>
      </c>
      <c r="F3" s="28">
        <f t="shared" si="1"/>
        <v>1242900</v>
      </c>
    </row>
    <row r="4" spans="1:6" x14ac:dyDescent="0.35">
      <c r="A4" s="6" t="s">
        <v>161</v>
      </c>
      <c r="B4">
        <v>1</v>
      </c>
      <c r="C4" s="26">
        <v>1600</v>
      </c>
      <c r="D4" s="26">
        <f t="shared" si="0"/>
        <v>4800</v>
      </c>
      <c r="E4" s="28">
        <v>345.25</v>
      </c>
      <c r="F4" s="28">
        <f t="shared" si="1"/>
        <v>1657200</v>
      </c>
    </row>
    <row r="5" spans="1:6" x14ac:dyDescent="0.35">
      <c r="A5" s="6" t="s">
        <v>114</v>
      </c>
      <c r="B5">
        <v>1</v>
      </c>
      <c r="C5" s="27">
        <v>1200</v>
      </c>
      <c r="D5" s="26">
        <f t="shared" si="0"/>
        <v>3600</v>
      </c>
      <c r="E5" s="28">
        <v>345.25</v>
      </c>
      <c r="F5" s="28">
        <f t="shared" si="1"/>
        <v>1242900</v>
      </c>
    </row>
    <row r="6" spans="1:6" x14ac:dyDescent="0.35">
      <c r="A6" s="6" t="s">
        <v>87</v>
      </c>
      <c r="B6">
        <v>1</v>
      </c>
      <c r="C6" s="26">
        <v>1300</v>
      </c>
      <c r="D6" s="26">
        <f t="shared" si="0"/>
        <v>3900</v>
      </c>
      <c r="E6" s="28">
        <v>345.25</v>
      </c>
      <c r="F6" s="28">
        <f t="shared" si="1"/>
        <v>1346475</v>
      </c>
    </row>
    <row r="7" spans="1:6" x14ac:dyDescent="0.35">
      <c r="A7" s="6" t="s">
        <v>369</v>
      </c>
      <c r="C7" s="26">
        <v>1247</v>
      </c>
      <c r="D7" s="26">
        <f t="shared" si="0"/>
        <v>3741</v>
      </c>
      <c r="E7" s="28">
        <v>261.5</v>
      </c>
      <c r="F7" s="28">
        <f t="shared" si="1"/>
        <v>978271.5</v>
      </c>
    </row>
    <row r="8" spans="1:6" x14ac:dyDescent="0.35">
      <c r="A8" s="6" t="s">
        <v>88</v>
      </c>
      <c r="B8">
        <v>1</v>
      </c>
      <c r="C8" s="26">
        <v>1600</v>
      </c>
      <c r="D8" s="26">
        <f t="shared" si="0"/>
        <v>4800</v>
      </c>
      <c r="E8" s="28">
        <v>345.25</v>
      </c>
      <c r="F8" s="28">
        <f t="shared" si="1"/>
        <v>1657200</v>
      </c>
    </row>
    <row r="9" spans="1:6" x14ac:dyDescent="0.35">
      <c r="A9" s="6" t="s">
        <v>89</v>
      </c>
      <c r="B9">
        <v>1</v>
      </c>
      <c r="C9" s="26">
        <v>970</v>
      </c>
      <c r="D9" s="26">
        <f t="shared" si="0"/>
        <v>2910</v>
      </c>
      <c r="E9" s="28">
        <v>345.25</v>
      </c>
      <c r="F9" s="28">
        <f t="shared" si="1"/>
        <v>1004677.5</v>
      </c>
    </row>
    <row r="10" spans="1:6" x14ac:dyDescent="0.35">
      <c r="A10" s="6" t="s">
        <v>373</v>
      </c>
      <c r="C10" s="26">
        <v>1259</v>
      </c>
      <c r="D10" s="26">
        <f t="shared" si="0"/>
        <v>3777</v>
      </c>
      <c r="E10" s="28">
        <v>261.5</v>
      </c>
      <c r="F10" s="28">
        <f t="shared" si="1"/>
        <v>987685.5</v>
      </c>
    </row>
    <row r="11" spans="1:6" x14ac:dyDescent="0.35">
      <c r="A11" s="6" t="s">
        <v>125</v>
      </c>
      <c r="B11">
        <v>1</v>
      </c>
      <c r="C11" s="26">
        <v>1495</v>
      </c>
      <c r="D11" s="26">
        <f t="shared" si="0"/>
        <v>4485</v>
      </c>
      <c r="E11" s="28">
        <v>345.25</v>
      </c>
      <c r="F11" s="28">
        <f t="shared" si="1"/>
        <v>1548446.25</v>
      </c>
    </row>
    <row r="12" spans="1:6" x14ac:dyDescent="0.35">
      <c r="A12" s="6" t="s">
        <v>134</v>
      </c>
      <c r="B12">
        <v>1</v>
      </c>
      <c r="C12" s="26">
        <v>1500</v>
      </c>
      <c r="D12" s="26">
        <f t="shared" si="0"/>
        <v>4500</v>
      </c>
      <c r="E12" s="28">
        <v>345.25</v>
      </c>
      <c r="F12" s="28">
        <f t="shared" si="1"/>
        <v>1553625</v>
      </c>
    </row>
    <row r="13" spans="1:6" x14ac:dyDescent="0.35">
      <c r="A13" s="6" t="s">
        <v>151</v>
      </c>
      <c r="B13">
        <v>1</v>
      </c>
      <c r="C13" s="26">
        <v>1270</v>
      </c>
      <c r="D13" s="26">
        <f t="shared" ref="D13:D16" si="2">C13*3</f>
        <v>3810</v>
      </c>
      <c r="E13" s="28">
        <v>345.25</v>
      </c>
      <c r="F13" s="28">
        <f t="shared" ref="F13:F16" si="3">D13*E13</f>
        <v>1315402.5</v>
      </c>
    </row>
    <row r="14" spans="1:6" x14ac:dyDescent="0.35">
      <c r="A14" s="6" t="s">
        <v>155</v>
      </c>
      <c r="B14">
        <v>1</v>
      </c>
      <c r="C14" s="26">
        <v>1100</v>
      </c>
      <c r="D14" s="26">
        <f t="shared" si="2"/>
        <v>3300</v>
      </c>
      <c r="E14" s="28">
        <v>345.25</v>
      </c>
      <c r="F14" s="28">
        <f t="shared" si="3"/>
        <v>1139325</v>
      </c>
    </row>
    <row r="15" spans="1:6" x14ac:dyDescent="0.35">
      <c r="A15" s="6" t="s">
        <v>156</v>
      </c>
      <c r="B15">
        <v>1</v>
      </c>
      <c r="C15" s="26">
        <v>1200</v>
      </c>
      <c r="D15" s="26">
        <f t="shared" si="2"/>
        <v>3600</v>
      </c>
      <c r="E15" s="28">
        <v>345.25</v>
      </c>
      <c r="F15" s="28">
        <f t="shared" si="3"/>
        <v>1242900</v>
      </c>
    </row>
    <row r="16" spans="1:6" x14ac:dyDescent="0.35">
      <c r="A16" s="6" t="s">
        <v>160</v>
      </c>
      <c r="B16">
        <v>1</v>
      </c>
      <c r="C16" s="26">
        <v>1200</v>
      </c>
      <c r="D16" s="26">
        <f t="shared" si="2"/>
        <v>3600</v>
      </c>
      <c r="E16" s="28">
        <v>345.25</v>
      </c>
      <c r="F16" s="28">
        <f t="shared" si="3"/>
        <v>1242900</v>
      </c>
    </row>
    <row r="23" spans="1:1" x14ac:dyDescent="0.35">
      <c r="A23" s="63" t="s">
        <v>354</v>
      </c>
    </row>
  </sheetData>
  <autoFilter ref="A1:F16" xr:uid="{02441977-FEAD-40EB-B411-6E12E776B4B5}"/>
  <hyperlinks>
    <hyperlink ref="A23" location="Introdução!A1" display="Introdução!A1" xr:uid="{48E138C7-A4F0-402B-9456-E8CE999C2564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6A43-29B1-4800-B19B-72E7F9AB5448}">
  <sheetPr>
    <tabColor rgb="FF92D050"/>
  </sheetPr>
  <dimension ref="A1:CY24"/>
  <sheetViews>
    <sheetView workbookViewId="0">
      <selection activeCell="G33" sqref="G33"/>
    </sheetView>
  </sheetViews>
  <sheetFormatPr defaultRowHeight="14.5" x14ac:dyDescent="0.35"/>
  <cols>
    <col min="1" max="1" width="7.453125" bestFit="1" customWidth="1"/>
    <col min="2" max="2" width="38.7265625" customWidth="1"/>
    <col min="3" max="3" width="7" bestFit="1" customWidth="1"/>
    <col min="4" max="4" width="12.54296875" bestFit="1" customWidth="1"/>
    <col min="5" max="5" width="23.453125" bestFit="1" customWidth="1"/>
    <col min="6" max="6" width="4" bestFit="1" customWidth="1"/>
    <col min="7" max="7" width="6.26953125" customWidth="1"/>
    <col min="8" max="8" width="18" customWidth="1"/>
    <col min="9" max="10" width="13" customWidth="1"/>
    <col min="11" max="11" width="11.7265625" bestFit="1" customWidth="1"/>
    <col min="12" max="12" width="18.81640625" bestFit="1" customWidth="1"/>
    <col min="13" max="13" width="25" bestFit="1" customWidth="1"/>
    <col min="14" max="14" width="11.7265625" bestFit="1" customWidth="1"/>
    <col min="15" max="15" width="18.81640625" bestFit="1" customWidth="1"/>
    <col min="16" max="16" width="25" bestFit="1" customWidth="1"/>
    <col min="17" max="17" width="11.7265625" bestFit="1" customWidth="1"/>
    <col min="18" max="18" width="18.81640625" bestFit="1" customWidth="1"/>
    <col min="19" max="19" width="25" bestFit="1" customWidth="1"/>
    <col min="20" max="20" width="11.7265625" bestFit="1" customWidth="1"/>
    <col min="21" max="21" width="18.81640625" bestFit="1" customWidth="1"/>
    <col min="22" max="22" width="25" bestFit="1" customWidth="1"/>
    <col min="23" max="23" width="11.7265625" bestFit="1" customWidth="1"/>
    <col min="24" max="24" width="18.81640625" bestFit="1" customWidth="1"/>
    <col min="25" max="25" width="25" bestFit="1" customWidth="1"/>
    <col min="26" max="26" width="11.7265625" bestFit="1" customWidth="1"/>
    <col min="27" max="27" width="18.81640625" bestFit="1" customWidth="1"/>
    <col min="28" max="28" width="25" bestFit="1" customWidth="1"/>
    <col min="29" max="29" width="11.7265625" bestFit="1" customWidth="1"/>
    <col min="30" max="30" width="18.81640625" bestFit="1" customWidth="1"/>
    <col min="31" max="31" width="25" bestFit="1" customWidth="1"/>
    <col min="32" max="32" width="11.7265625" bestFit="1" customWidth="1"/>
    <col min="33" max="33" width="18.81640625" bestFit="1" customWidth="1"/>
    <col min="34" max="34" width="25" bestFit="1" customWidth="1"/>
    <col min="35" max="35" width="11.7265625" bestFit="1" customWidth="1"/>
    <col min="36" max="36" width="18.81640625" bestFit="1" customWidth="1"/>
    <col min="37" max="37" width="25" bestFit="1" customWidth="1"/>
    <col min="38" max="38" width="11.7265625" bestFit="1" customWidth="1"/>
    <col min="39" max="39" width="18.81640625" bestFit="1" customWidth="1"/>
    <col min="40" max="40" width="25" bestFit="1" customWidth="1"/>
    <col min="41" max="41" width="11.7265625" bestFit="1" customWidth="1"/>
    <col min="42" max="42" width="18.81640625" bestFit="1" customWidth="1"/>
    <col min="43" max="43" width="25" bestFit="1" customWidth="1"/>
    <col min="44" max="44" width="11.7265625" bestFit="1" customWidth="1"/>
    <col min="45" max="45" width="18.81640625" bestFit="1" customWidth="1"/>
    <col min="46" max="46" width="25" bestFit="1" customWidth="1"/>
    <col min="47" max="47" width="11.7265625" bestFit="1" customWidth="1"/>
    <col min="48" max="48" width="18.81640625" bestFit="1" customWidth="1"/>
    <col min="49" max="49" width="25" bestFit="1" customWidth="1"/>
    <col min="50" max="50" width="11.7265625" bestFit="1" customWidth="1"/>
    <col min="51" max="51" width="18.81640625" bestFit="1" customWidth="1"/>
    <col min="52" max="52" width="25" bestFit="1" customWidth="1"/>
    <col min="53" max="53" width="11.7265625" bestFit="1" customWidth="1"/>
    <col min="54" max="54" width="18.81640625" bestFit="1" customWidth="1"/>
    <col min="55" max="55" width="25" bestFit="1" customWidth="1"/>
    <col min="56" max="56" width="11.7265625" bestFit="1" customWidth="1"/>
    <col min="57" max="57" width="18.81640625" bestFit="1" customWidth="1"/>
    <col min="58" max="58" width="25" bestFit="1" customWidth="1"/>
    <col min="59" max="59" width="11.7265625" bestFit="1" customWidth="1"/>
    <col min="60" max="60" width="18.81640625" bestFit="1" customWidth="1"/>
    <col min="61" max="61" width="25" bestFit="1" customWidth="1"/>
    <col min="62" max="62" width="11.7265625" bestFit="1" customWidth="1"/>
    <col min="63" max="63" width="18.81640625" bestFit="1" customWidth="1"/>
    <col min="64" max="64" width="25" bestFit="1" customWidth="1"/>
    <col min="65" max="65" width="11.7265625" bestFit="1" customWidth="1"/>
    <col min="66" max="66" width="18.81640625" bestFit="1" customWidth="1"/>
    <col min="67" max="67" width="25" bestFit="1" customWidth="1"/>
    <col min="68" max="68" width="11.7265625" bestFit="1" customWidth="1"/>
    <col min="69" max="69" width="18.81640625" bestFit="1" customWidth="1"/>
    <col min="70" max="70" width="25" bestFit="1" customWidth="1"/>
    <col min="71" max="71" width="11.7265625" bestFit="1" customWidth="1"/>
    <col min="72" max="72" width="18.81640625" bestFit="1" customWidth="1"/>
    <col min="73" max="73" width="25" bestFit="1" customWidth="1"/>
    <col min="74" max="74" width="11.7265625" bestFit="1" customWidth="1"/>
    <col min="75" max="75" width="18.81640625" bestFit="1" customWidth="1"/>
    <col min="76" max="76" width="25" bestFit="1" customWidth="1"/>
    <col min="77" max="77" width="11.7265625" bestFit="1" customWidth="1"/>
    <col min="78" max="78" width="18.81640625" bestFit="1" customWidth="1"/>
    <col min="79" max="79" width="25" bestFit="1" customWidth="1"/>
    <col min="80" max="80" width="11.7265625" bestFit="1" customWidth="1"/>
    <col min="81" max="81" width="18.81640625" bestFit="1" customWidth="1"/>
    <col min="82" max="82" width="25" bestFit="1" customWidth="1"/>
    <col min="83" max="83" width="11.7265625" bestFit="1" customWidth="1"/>
    <col min="84" max="84" width="18.81640625" bestFit="1" customWidth="1"/>
    <col min="85" max="85" width="25" bestFit="1" customWidth="1"/>
    <col min="86" max="86" width="11.7265625" bestFit="1" customWidth="1"/>
    <col min="87" max="87" width="18.81640625" bestFit="1" customWidth="1"/>
    <col min="88" max="88" width="25" bestFit="1" customWidth="1"/>
    <col min="89" max="89" width="11.7265625" bestFit="1" customWidth="1"/>
    <col min="90" max="90" width="18.81640625" bestFit="1" customWidth="1"/>
    <col min="91" max="91" width="25" bestFit="1" customWidth="1"/>
    <col min="92" max="92" width="11.7265625" bestFit="1" customWidth="1"/>
    <col min="93" max="93" width="18.81640625" bestFit="1" customWidth="1"/>
    <col min="94" max="94" width="25" bestFit="1" customWidth="1"/>
    <col min="95" max="95" width="11.7265625" bestFit="1" customWidth="1"/>
    <col min="96" max="96" width="18.81640625" bestFit="1" customWidth="1"/>
    <col min="97" max="97" width="25" bestFit="1" customWidth="1"/>
    <col min="98" max="98" width="11.7265625" bestFit="1" customWidth="1"/>
    <col min="99" max="99" width="18.81640625" bestFit="1" customWidth="1"/>
    <col min="100" max="100" width="25" bestFit="1" customWidth="1"/>
    <col min="101" max="101" width="11.7265625" bestFit="1" customWidth="1"/>
    <col min="102" max="102" width="18.81640625" bestFit="1" customWidth="1"/>
    <col min="103" max="103" width="25" bestFit="1" customWidth="1"/>
  </cols>
  <sheetData>
    <row r="1" spans="1:103" x14ac:dyDescent="0.35">
      <c r="K1" s="58">
        <v>2023</v>
      </c>
      <c r="N1">
        <v>2024</v>
      </c>
      <c r="Q1" s="58">
        <v>2025</v>
      </c>
      <c r="T1">
        <v>2026</v>
      </c>
      <c r="W1" s="58">
        <v>2027</v>
      </c>
      <c r="Z1">
        <v>2028</v>
      </c>
      <c r="AC1" s="58">
        <v>2029</v>
      </c>
      <c r="AF1">
        <v>2030</v>
      </c>
      <c r="AI1" s="58">
        <v>2031</v>
      </c>
      <c r="AL1">
        <v>2032</v>
      </c>
      <c r="AO1" s="58">
        <v>2033</v>
      </c>
      <c r="AR1">
        <v>2034</v>
      </c>
      <c r="AU1" s="58">
        <v>2035</v>
      </c>
      <c r="AX1">
        <v>2036</v>
      </c>
      <c r="BA1" s="58">
        <v>2037</v>
      </c>
      <c r="BD1">
        <v>2038</v>
      </c>
      <c r="BG1" s="58">
        <v>2039</v>
      </c>
      <c r="BJ1">
        <v>2040</v>
      </c>
      <c r="BM1" s="58">
        <v>2041</v>
      </c>
      <c r="BP1">
        <v>2042</v>
      </c>
      <c r="BS1" s="58">
        <v>2043</v>
      </c>
      <c r="BV1">
        <v>2044</v>
      </c>
      <c r="BY1" s="58">
        <v>2045</v>
      </c>
      <c r="CB1">
        <v>2046</v>
      </c>
      <c r="CE1" s="58">
        <v>2047</v>
      </c>
      <c r="CH1">
        <v>2048</v>
      </c>
      <c r="CK1" s="58">
        <v>2049</v>
      </c>
      <c r="CN1">
        <v>2050</v>
      </c>
      <c r="CQ1" s="58">
        <v>2051</v>
      </c>
      <c r="CT1">
        <v>2052</v>
      </c>
      <c r="CW1" s="58">
        <v>2053</v>
      </c>
    </row>
    <row r="2" spans="1:103" x14ac:dyDescent="0.35">
      <c r="A2" s="5" t="s">
        <v>0</v>
      </c>
      <c r="B2" s="5" t="s">
        <v>162</v>
      </c>
      <c r="C2" s="5" t="s">
        <v>163</v>
      </c>
      <c r="D2" s="5" t="s">
        <v>2</v>
      </c>
      <c r="E2" s="5" t="s">
        <v>3</v>
      </c>
      <c r="F2" s="5" t="s">
        <v>4</v>
      </c>
      <c r="G2" s="5" t="s">
        <v>164</v>
      </c>
      <c r="H2" s="5" t="s">
        <v>318</v>
      </c>
      <c r="I2" s="5" t="s">
        <v>319</v>
      </c>
      <c r="J2" s="5" t="s">
        <v>320</v>
      </c>
      <c r="K2" s="59" t="s">
        <v>180</v>
      </c>
      <c r="L2" s="59" t="s">
        <v>321</v>
      </c>
      <c r="M2" s="59" t="s">
        <v>182</v>
      </c>
      <c r="N2" s="59" t="s">
        <v>180</v>
      </c>
      <c r="O2" s="59" t="s">
        <v>321</v>
      </c>
      <c r="P2" s="59" t="s">
        <v>182</v>
      </c>
      <c r="Q2" s="59" t="s">
        <v>180</v>
      </c>
      <c r="R2" s="59" t="s">
        <v>321</v>
      </c>
      <c r="S2" s="59" t="s">
        <v>182</v>
      </c>
      <c r="T2" s="59" t="s">
        <v>180</v>
      </c>
      <c r="U2" s="59" t="s">
        <v>321</v>
      </c>
      <c r="V2" s="59" t="s">
        <v>182</v>
      </c>
      <c r="W2" s="59" t="s">
        <v>180</v>
      </c>
      <c r="X2" s="59" t="s">
        <v>321</v>
      </c>
      <c r="Y2" s="59" t="s">
        <v>182</v>
      </c>
      <c r="Z2" s="59" t="s">
        <v>180</v>
      </c>
      <c r="AA2" s="59" t="s">
        <v>321</v>
      </c>
      <c r="AB2" s="59" t="s">
        <v>182</v>
      </c>
      <c r="AC2" s="59" t="s">
        <v>180</v>
      </c>
      <c r="AD2" s="59" t="s">
        <v>321</v>
      </c>
      <c r="AE2" s="59" t="s">
        <v>182</v>
      </c>
      <c r="AF2" s="59" t="s">
        <v>180</v>
      </c>
      <c r="AG2" s="59" t="s">
        <v>321</v>
      </c>
      <c r="AH2" s="59" t="s">
        <v>182</v>
      </c>
      <c r="AI2" s="59" t="s">
        <v>180</v>
      </c>
      <c r="AJ2" s="59" t="s">
        <v>321</v>
      </c>
      <c r="AK2" s="59" t="s">
        <v>182</v>
      </c>
      <c r="AL2" s="59" t="s">
        <v>180</v>
      </c>
      <c r="AM2" s="59" t="s">
        <v>321</v>
      </c>
      <c r="AN2" s="59" t="s">
        <v>182</v>
      </c>
      <c r="AO2" s="59" t="s">
        <v>180</v>
      </c>
      <c r="AP2" s="59" t="s">
        <v>321</v>
      </c>
      <c r="AQ2" s="59" t="s">
        <v>182</v>
      </c>
      <c r="AR2" s="59" t="s">
        <v>180</v>
      </c>
      <c r="AS2" s="59" t="s">
        <v>321</v>
      </c>
      <c r="AT2" s="59" t="s">
        <v>182</v>
      </c>
      <c r="AU2" s="59" t="s">
        <v>180</v>
      </c>
      <c r="AV2" s="59" t="s">
        <v>321</v>
      </c>
      <c r="AW2" s="59" t="s">
        <v>182</v>
      </c>
      <c r="AX2" s="59" t="s">
        <v>180</v>
      </c>
      <c r="AY2" s="59" t="s">
        <v>321</v>
      </c>
      <c r="AZ2" s="59" t="s">
        <v>182</v>
      </c>
      <c r="BA2" s="59" t="s">
        <v>180</v>
      </c>
      <c r="BB2" s="59" t="s">
        <v>321</v>
      </c>
      <c r="BC2" s="59" t="s">
        <v>182</v>
      </c>
      <c r="BD2" s="59" t="s">
        <v>180</v>
      </c>
      <c r="BE2" s="59" t="s">
        <v>321</v>
      </c>
      <c r="BF2" s="59" t="s">
        <v>182</v>
      </c>
      <c r="BG2" s="59" t="s">
        <v>180</v>
      </c>
      <c r="BH2" s="59" t="s">
        <v>321</v>
      </c>
      <c r="BI2" s="59" t="s">
        <v>182</v>
      </c>
      <c r="BJ2" s="59" t="s">
        <v>180</v>
      </c>
      <c r="BK2" s="59" t="s">
        <v>321</v>
      </c>
      <c r="BL2" s="59" t="s">
        <v>182</v>
      </c>
      <c r="BM2" s="59" t="s">
        <v>180</v>
      </c>
      <c r="BN2" s="59" t="s">
        <v>321</v>
      </c>
      <c r="BO2" s="59" t="s">
        <v>182</v>
      </c>
      <c r="BP2" s="59" t="s">
        <v>180</v>
      </c>
      <c r="BQ2" s="59" t="s">
        <v>321</v>
      </c>
      <c r="BR2" s="59" t="s">
        <v>182</v>
      </c>
      <c r="BS2" s="59" t="s">
        <v>180</v>
      </c>
      <c r="BT2" s="59" t="s">
        <v>321</v>
      </c>
      <c r="BU2" s="59" t="s">
        <v>182</v>
      </c>
      <c r="BV2" s="59" t="s">
        <v>180</v>
      </c>
      <c r="BW2" s="59" t="s">
        <v>321</v>
      </c>
      <c r="BX2" s="59" t="s">
        <v>182</v>
      </c>
      <c r="BY2" s="59" t="s">
        <v>180</v>
      </c>
      <c r="BZ2" s="59" t="s">
        <v>321</v>
      </c>
      <c r="CA2" s="59" t="s">
        <v>182</v>
      </c>
      <c r="CB2" s="59" t="s">
        <v>180</v>
      </c>
      <c r="CC2" s="59" t="s">
        <v>321</v>
      </c>
      <c r="CD2" s="59" t="s">
        <v>182</v>
      </c>
      <c r="CE2" s="59" t="s">
        <v>180</v>
      </c>
      <c r="CF2" s="59" t="s">
        <v>321</v>
      </c>
      <c r="CG2" s="59" t="s">
        <v>182</v>
      </c>
      <c r="CH2" s="59" t="s">
        <v>180</v>
      </c>
      <c r="CI2" s="59" t="s">
        <v>321</v>
      </c>
      <c r="CJ2" s="59" t="s">
        <v>182</v>
      </c>
      <c r="CK2" s="59" t="s">
        <v>180</v>
      </c>
      <c r="CL2" s="59" t="s">
        <v>321</v>
      </c>
      <c r="CM2" s="59" t="s">
        <v>182</v>
      </c>
      <c r="CN2" s="59" t="s">
        <v>180</v>
      </c>
      <c r="CO2" s="59" t="s">
        <v>321</v>
      </c>
      <c r="CP2" s="59" t="s">
        <v>182</v>
      </c>
      <c r="CQ2" s="59" t="s">
        <v>180</v>
      </c>
      <c r="CR2" s="59" t="s">
        <v>321</v>
      </c>
      <c r="CS2" s="59" t="s">
        <v>182</v>
      </c>
      <c r="CT2" s="59" t="s">
        <v>180</v>
      </c>
      <c r="CU2" s="59" t="s">
        <v>321</v>
      </c>
      <c r="CV2" s="59" t="s">
        <v>182</v>
      </c>
      <c r="CW2" s="59" t="s">
        <v>180</v>
      </c>
      <c r="CX2" s="59" t="s">
        <v>321</v>
      </c>
      <c r="CY2" s="59" t="s">
        <v>182</v>
      </c>
    </row>
    <row r="3" spans="1:103" x14ac:dyDescent="0.35">
      <c r="A3" t="s">
        <v>155</v>
      </c>
      <c r="B3" t="s">
        <v>265</v>
      </c>
      <c r="C3">
        <v>510704</v>
      </c>
      <c r="D3" t="s">
        <v>298</v>
      </c>
      <c r="E3" t="s">
        <v>265</v>
      </c>
      <c r="F3" t="s">
        <v>37</v>
      </c>
      <c r="G3" t="s">
        <v>33</v>
      </c>
      <c r="H3" t="s">
        <v>264</v>
      </c>
      <c r="I3">
        <v>1</v>
      </c>
      <c r="J3">
        <v>1867</v>
      </c>
      <c r="K3" s="28">
        <v>122401.28200000001</v>
      </c>
      <c r="L3" s="28">
        <v>270361.2721</v>
      </c>
      <c r="M3" s="28">
        <v>-147959.9901</v>
      </c>
      <c r="N3" s="28">
        <v>122401.28200000001</v>
      </c>
      <c r="O3" s="28">
        <v>270361.2721</v>
      </c>
      <c r="P3" s="28">
        <v>-147959.9901</v>
      </c>
      <c r="Q3" s="28">
        <v>122401.28200000001</v>
      </c>
      <c r="R3" s="28">
        <v>270361.2721</v>
      </c>
      <c r="S3" s="28">
        <v>-147959.9901</v>
      </c>
      <c r="T3" s="28">
        <v>122401.28200000001</v>
      </c>
      <c r="U3" s="28">
        <v>270361.2721</v>
      </c>
      <c r="V3" s="28">
        <v>-147959.9901</v>
      </c>
      <c r="W3" s="28">
        <v>122401.28200000001</v>
      </c>
      <c r="X3" s="28">
        <v>270361.2721</v>
      </c>
      <c r="Y3" s="28">
        <v>-147959.9901</v>
      </c>
      <c r="Z3" s="28">
        <v>122401.28200000001</v>
      </c>
      <c r="AA3" s="28">
        <v>270361.2721</v>
      </c>
      <c r="AB3" s="28">
        <v>-147959.9901</v>
      </c>
      <c r="AC3" s="28">
        <v>122401.28200000001</v>
      </c>
      <c r="AD3" s="28">
        <v>270361.2721</v>
      </c>
      <c r="AE3" s="28">
        <v>-147959.9901</v>
      </c>
      <c r="AF3" s="28">
        <v>122401.28200000001</v>
      </c>
      <c r="AG3" s="28">
        <v>270361.2721</v>
      </c>
      <c r="AH3" s="28">
        <v>-147959.9901</v>
      </c>
      <c r="AI3" s="28">
        <v>122401.28200000001</v>
      </c>
      <c r="AJ3" s="28">
        <v>270361.2721</v>
      </c>
      <c r="AK3" s="28">
        <v>-147959.9901</v>
      </c>
      <c r="AL3" s="28">
        <v>122401.28200000001</v>
      </c>
      <c r="AM3" s="28">
        <v>270361.2721</v>
      </c>
      <c r="AN3" s="28">
        <v>-147959.9901</v>
      </c>
      <c r="AO3" s="28">
        <v>122401.28200000001</v>
      </c>
      <c r="AP3" s="28">
        <v>270361.2721</v>
      </c>
      <c r="AQ3" s="28">
        <v>-147959.9901</v>
      </c>
      <c r="AR3" s="28">
        <v>122401.28200000001</v>
      </c>
      <c r="AS3" s="28">
        <v>270361.2721</v>
      </c>
      <c r="AT3" s="28">
        <v>-147959.9901</v>
      </c>
      <c r="AU3" s="28">
        <v>122401.28200000001</v>
      </c>
      <c r="AV3" s="28">
        <v>270361.2721</v>
      </c>
      <c r="AW3" s="28">
        <v>-147959.9901</v>
      </c>
      <c r="AX3" s="28">
        <v>122401.28200000001</v>
      </c>
      <c r="AY3" s="28">
        <v>270361.2721</v>
      </c>
      <c r="AZ3" s="28">
        <v>-147959.9901</v>
      </c>
      <c r="BA3" s="28">
        <v>122401.28200000001</v>
      </c>
      <c r="BB3" s="28">
        <v>270361.2721</v>
      </c>
      <c r="BC3" s="28">
        <v>-147959.9901</v>
      </c>
      <c r="BD3" s="28">
        <v>122401.28200000001</v>
      </c>
      <c r="BE3" s="28">
        <v>270361.2721</v>
      </c>
      <c r="BF3" s="28">
        <v>-147959.9901</v>
      </c>
      <c r="BG3" s="28">
        <v>122401.28200000001</v>
      </c>
      <c r="BH3" s="28">
        <v>270361.2721</v>
      </c>
      <c r="BI3" s="28">
        <v>-147959.9901</v>
      </c>
      <c r="BJ3" s="28">
        <v>122401.28200000001</v>
      </c>
      <c r="BK3" s="28">
        <v>270361.2721</v>
      </c>
      <c r="BL3" s="28">
        <v>-147959.9901</v>
      </c>
      <c r="BM3" s="28">
        <v>122401.28200000001</v>
      </c>
      <c r="BN3" s="28">
        <v>270361.2721</v>
      </c>
      <c r="BO3" s="28">
        <v>-147959.9901</v>
      </c>
      <c r="BP3" s="28">
        <v>122401.28200000001</v>
      </c>
      <c r="BQ3" s="28">
        <v>270361.2721</v>
      </c>
      <c r="BR3" s="28">
        <v>-147959.9901</v>
      </c>
      <c r="BS3" s="28">
        <v>122401.28200000001</v>
      </c>
      <c r="BT3" s="28">
        <v>270361.2721</v>
      </c>
      <c r="BU3" s="28">
        <v>-147959.9901</v>
      </c>
      <c r="BV3" s="28">
        <v>122401.28200000001</v>
      </c>
      <c r="BW3" s="28">
        <v>270361.2721</v>
      </c>
      <c r="BX3" s="28">
        <v>-147959.9901</v>
      </c>
      <c r="BY3" s="28">
        <v>122401.28200000001</v>
      </c>
      <c r="BZ3" s="28">
        <v>270361.2721</v>
      </c>
      <c r="CA3" s="28">
        <v>-147959.9901</v>
      </c>
      <c r="CB3" s="28">
        <v>122401.28200000001</v>
      </c>
      <c r="CC3" s="28">
        <v>270361.2721</v>
      </c>
      <c r="CD3" s="28">
        <v>-147959.9901</v>
      </c>
      <c r="CE3" s="28">
        <v>122401.28200000001</v>
      </c>
      <c r="CF3" s="28">
        <v>270361.2721</v>
      </c>
      <c r="CG3" s="28">
        <v>-147959.9901</v>
      </c>
      <c r="CH3" s="28">
        <v>122401.28200000001</v>
      </c>
      <c r="CI3" s="28">
        <v>270361.2721</v>
      </c>
      <c r="CJ3" s="28">
        <v>-147959.9901</v>
      </c>
      <c r="CK3" s="28">
        <v>122401.28200000001</v>
      </c>
      <c r="CL3" s="28">
        <v>270361.2721</v>
      </c>
      <c r="CM3" s="28">
        <v>-147959.9901</v>
      </c>
      <c r="CN3" s="28">
        <v>122401.28200000001</v>
      </c>
      <c r="CO3" s="28">
        <v>270361.2721</v>
      </c>
      <c r="CP3" s="28">
        <v>-147959.9901</v>
      </c>
      <c r="CQ3" s="28">
        <v>122401.28200000001</v>
      </c>
      <c r="CR3" s="28">
        <v>270361.2721</v>
      </c>
      <c r="CS3" s="28">
        <v>-147959.9901</v>
      </c>
      <c r="CT3" s="28">
        <v>122401.28200000001</v>
      </c>
      <c r="CU3" s="28">
        <v>270361.2721</v>
      </c>
      <c r="CV3" s="28">
        <v>-147959.9901</v>
      </c>
      <c r="CW3" s="28">
        <v>122401.28200000001</v>
      </c>
      <c r="CX3" s="28">
        <v>270361.2721</v>
      </c>
      <c r="CY3" s="28">
        <v>-147959.9901</v>
      </c>
    </row>
    <row r="4" spans="1:103" x14ac:dyDescent="0.35">
      <c r="A4" t="s">
        <v>53</v>
      </c>
      <c r="B4" t="s">
        <v>266</v>
      </c>
      <c r="C4">
        <v>150375</v>
      </c>
      <c r="D4" t="s">
        <v>289</v>
      </c>
      <c r="E4" t="s">
        <v>266</v>
      </c>
      <c r="F4" t="s">
        <v>29</v>
      </c>
      <c r="G4" t="s">
        <v>33</v>
      </c>
      <c r="H4" t="s">
        <v>267</v>
      </c>
      <c r="I4">
        <v>1000</v>
      </c>
      <c r="J4">
        <v>3190</v>
      </c>
      <c r="K4" s="28">
        <v>224871.7415</v>
      </c>
      <c r="L4" s="28">
        <v>562121.24639999995</v>
      </c>
      <c r="M4" s="28">
        <v>-337249.5049</v>
      </c>
      <c r="N4" s="28">
        <v>224871.7415</v>
      </c>
      <c r="O4" s="28">
        <v>562121.24639999995</v>
      </c>
      <c r="P4" s="28">
        <v>-337249.5049</v>
      </c>
      <c r="Q4" s="28">
        <v>224871.7415</v>
      </c>
      <c r="R4" s="28">
        <v>562121.24639999995</v>
      </c>
      <c r="S4" s="28">
        <v>-337249.5049</v>
      </c>
      <c r="T4" s="28">
        <v>224871.7415</v>
      </c>
      <c r="U4" s="28">
        <v>562121.24639999995</v>
      </c>
      <c r="V4" s="28">
        <v>-337249.5049</v>
      </c>
      <c r="W4" s="28">
        <v>224871.7415</v>
      </c>
      <c r="X4" s="28">
        <v>562121.24639999995</v>
      </c>
      <c r="Y4" s="28">
        <v>-337249.5049</v>
      </c>
      <c r="Z4" s="28">
        <v>224871.7415</v>
      </c>
      <c r="AA4" s="28">
        <v>562121.24639999995</v>
      </c>
      <c r="AB4" s="28">
        <v>-337249.5049</v>
      </c>
      <c r="AC4" s="28">
        <v>224871.7415</v>
      </c>
      <c r="AD4" s="28">
        <v>562121.24639999995</v>
      </c>
      <c r="AE4" s="28">
        <v>-337249.5049</v>
      </c>
      <c r="AF4" s="28">
        <v>224871.7415</v>
      </c>
      <c r="AG4" s="28">
        <v>562121.24639999995</v>
      </c>
      <c r="AH4" s="28">
        <v>-337249.5049</v>
      </c>
      <c r="AI4" s="28">
        <v>224871.7415</v>
      </c>
      <c r="AJ4" s="28">
        <v>562121.24639999995</v>
      </c>
      <c r="AK4" s="28">
        <v>-337249.5049</v>
      </c>
      <c r="AL4" s="28">
        <v>224871.7415</v>
      </c>
      <c r="AM4" s="28">
        <v>562121.24639999995</v>
      </c>
      <c r="AN4" s="28">
        <v>-337249.5049</v>
      </c>
      <c r="AO4" s="28">
        <v>224871.7415</v>
      </c>
      <c r="AP4" s="28">
        <v>562121.24639999995</v>
      </c>
      <c r="AQ4" s="28">
        <v>-337249.5049</v>
      </c>
      <c r="AR4" s="28">
        <v>224871.7415</v>
      </c>
      <c r="AS4" s="28">
        <v>562121.24639999995</v>
      </c>
      <c r="AT4" s="28">
        <v>-337249.5049</v>
      </c>
      <c r="AU4" s="28">
        <v>224871.7415</v>
      </c>
      <c r="AV4" s="28">
        <v>562121.24639999995</v>
      </c>
      <c r="AW4" s="28">
        <v>-337249.5049</v>
      </c>
      <c r="AX4" s="28">
        <v>224871.7415</v>
      </c>
      <c r="AY4" s="28">
        <v>562121.24639999995</v>
      </c>
      <c r="AZ4" s="28">
        <v>-337249.5049</v>
      </c>
      <c r="BA4" s="28">
        <v>224871.7415</v>
      </c>
      <c r="BB4" s="28">
        <v>562121.24639999995</v>
      </c>
      <c r="BC4" s="28">
        <v>-337249.5049</v>
      </c>
      <c r="BD4" s="28">
        <v>224871.7415</v>
      </c>
      <c r="BE4" s="28">
        <v>562121.24639999995</v>
      </c>
      <c r="BF4" s="28">
        <v>-337249.5049</v>
      </c>
      <c r="BG4" s="28">
        <v>224871.7415</v>
      </c>
      <c r="BH4" s="28">
        <v>562121.24639999995</v>
      </c>
      <c r="BI4" s="28">
        <v>-337249.5049</v>
      </c>
      <c r="BJ4" s="28">
        <v>224871.7415</v>
      </c>
      <c r="BK4" s="28">
        <v>562121.24639999995</v>
      </c>
      <c r="BL4" s="28">
        <v>-337249.5049</v>
      </c>
      <c r="BM4" s="28">
        <v>224871.7415</v>
      </c>
      <c r="BN4" s="28">
        <v>562121.24639999995</v>
      </c>
      <c r="BO4" s="28">
        <v>-337249.5049</v>
      </c>
      <c r="BP4" s="28">
        <v>224871.7415</v>
      </c>
      <c r="BQ4" s="28">
        <v>562121.24639999995</v>
      </c>
      <c r="BR4" s="28">
        <v>-337249.5049</v>
      </c>
      <c r="BS4" s="28">
        <v>224871.7415</v>
      </c>
      <c r="BT4" s="28">
        <v>562121.24639999995</v>
      </c>
      <c r="BU4" s="28">
        <v>-337249.5049</v>
      </c>
      <c r="BV4" s="28">
        <v>224871.7415</v>
      </c>
      <c r="BW4" s="28">
        <v>562121.24639999995</v>
      </c>
      <c r="BX4" s="28">
        <v>-337249.5049</v>
      </c>
      <c r="BY4" s="28">
        <v>224871.7415</v>
      </c>
      <c r="BZ4" s="28">
        <v>562121.24639999995</v>
      </c>
      <c r="CA4" s="28">
        <v>-337249.5049</v>
      </c>
      <c r="CB4" s="28">
        <v>224871.7415</v>
      </c>
      <c r="CC4" s="28">
        <v>562121.24639999995</v>
      </c>
      <c r="CD4" s="28">
        <v>-337249.5049</v>
      </c>
      <c r="CE4" s="28">
        <v>224871.7415</v>
      </c>
      <c r="CF4" s="28">
        <v>562121.24639999995</v>
      </c>
      <c r="CG4" s="28">
        <v>-337249.5049</v>
      </c>
      <c r="CH4" s="28">
        <v>224871.7415</v>
      </c>
      <c r="CI4" s="28">
        <v>562121.24639999995</v>
      </c>
      <c r="CJ4" s="28">
        <v>-337249.5049</v>
      </c>
      <c r="CK4" s="28">
        <v>224871.7415</v>
      </c>
      <c r="CL4" s="28">
        <v>562121.24639999995</v>
      </c>
      <c r="CM4" s="28">
        <v>-337249.5049</v>
      </c>
      <c r="CN4" s="28">
        <v>224871.7415</v>
      </c>
      <c r="CO4" s="28">
        <v>562121.24639999995</v>
      </c>
      <c r="CP4" s="28">
        <v>-337249.5049</v>
      </c>
      <c r="CQ4" s="28">
        <v>224871.7415</v>
      </c>
      <c r="CR4" s="28">
        <v>562121.24639999995</v>
      </c>
      <c r="CS4" s="28">
        <v>-337249.5049</v>
      </c>
      <c r="CT4" s="28">
        <v>224871.7415</v>
      </c>
      <c r="CU4" s="28">
        <v>562121.24639999995</v>
      </c>
      <c r="CV4" s="28">
        <v>-337249.5049</v>
      </c>
      <c r="CW4" s="28">
        <v>224871.7415</v>
      </c>
      <c r="CX4" s="28">
        <v>562121.24639999995</v>
      </c>
      <c r="CY4" s="28">
        <v>-337249.5049</v>
      </c>
    </row>
    <row r="5" spans="1:103" x14ac:dyDescent="0.35">
      <c r="A5" t="s">
        <v>86</v>
      </c>
      <c r="B5" t="s">
        <v>268</v>
      </c>
      <c r="C5">
        <v>130390</v>
      </c>
      <c r="D5" t="s">
        <v>290</v>
      </c>
      <c r="E5" t="s">
        <v>322</v>
      </c>
      <c r="F5" t="s">
        <v>35</v>
      </c>
      <c r="G5" t="s">
        <v>33</v>
      </c>
      <c r="H5" t="s">
        <v>267</v>
      </c>
      <c r="I5">
        <v>1000</v>
      </c>
      <c r="J5">
        <v>342</v>
      </c>
      <c r="K5" s="28">
        <v>38176.712</v>
      </c>
      <c r="L5" s="28">
        <v>624224.42599999998</v>
      </c>
      <c r="M5" s="28">
        <v>-586047.71400000004</v>
      </c>
      <c r="N5" s="28">
        <v>38176.712</v>
      </c>
      <c r="O5" s="28">
        <v>624224.42599999998</v>
      </c>
      <c r="P5" s="28">
        <v>-586047.71400000004</v>
      </c>
      <c r="Q5" s="28">
        <v>38176.712</v>
      </c>
      <c r="R5" s="28">
        <v>624224.42599999998</v>
      </c>
      <c r="S5" s="28">
        <v>-586047.71400000004</v>
      </c>
      <c r="T5" s="28">
        <v>38176.712</v>
      </c>
      <c r="U5" s="28">
        <v>624224.42599999998</v>
      </c>
      <c r="V5" s="28">
        <v>-586047.71400000004</v>
      </c>
      <c r="W5" s="28">
        <v>38176.712</v>
      </c>
      <c r="X5" s="28">
        <v>624224.42599999998</v>
      </c>
      <c r="Y5" s="28">
        <v>-586047.71400000004</v>
      </c>
      <c r="Z5" s="28">
        <v>38176.712</v>
      </c>
      <c r="AA5" s="28">
        <v>624224.42599999998</v>
      </c>
      <c r="AB5" s="28">
        <v>-586047.71400000004</v>
      </c>
      <c r="AC5" s="28">
        <v>38176.712</v>
      </c>
      <c r="AD5" s="28">
        <v>624224.42599999998</v>
      </c>
      <c r="AE5" s="28">
        <v>-586047.71400000004</v>
      </c>
      <c r="AF5" s="28">
        <v>38176.712</v>
      </c>
      <c r="AG5" s="28">
        <v>624224.42599999998</v>
      </c>
      <c r="AH5" s="28">
        <v>-586047.71400000004</v>
      </c>
      <c r="AI5" s="28">
        <v>38176.712</v>
      </c>
      <c r="AJ5" s="28">
        <v>624224.42599999998</v>
      </c>
      <c r="AK5" s="28">
        <v>-586047.71400000004</v>
      </c>
      <c r="AL5" s="28">
        <v>38176.712</v>
      </c>
      <c r="AM5" s="28">
        <v>624224.42599999998</v>
      </c>
      <c r="AN5" s="28">
        <v>-586047.71400000004</v>
      </c>
      <c r="AO5" s="28">
        <v>38176.712</v>
      </c>
      <c r="AP5" s="28">
        <v>624224.42599999998</v>
      </c>
      <c r="AQ5" s="28">
        <v>-586047.71400000004</v>
      </c>
      <c r="AR5" s="28">
        <v>38176.712</v>
      </c>
      <c r="AS5" s="28">
        <v>624224.42599999998</v>
      </c>
      <c r="AT5" s="28">
        <v>-586047.71400000004</v>
      </c>
      <c r="AU5" s="28">
        <v>38176.712</v>
      </c>
      <c r="AV5" s="28">
        <v>624224.42599999998</v>
      </c>
      <c r="AW5" s="28">
        <v>-586047.71400000004</v>
      </c>
      <c r="AX5" s="28">
        <v>38176.712</v>
      </c>
      <c r="AY5" s="28">
        <v>624224.42599999998</v>
      </c>
      <c r="AZ5" s="28">
        <v>-586047.71400000004</v>
      </c>
      <c r="BA5" s="28">
        <v>38176.712</v>
      </c>
      <c r="BB5" s="28">
        <v>624224.42599999998</v>
      </c>
      <c r="BC5" s="28">
        <v>-586047.71400000004</v>
      </c>
      <c r="BD5" s="28">
        <v>38176.712</v>
      </c>
      <c r="BE5" s="28">
        <v>624224.42599999998</v>
      </c>
      <c r="BF5" s="28">
        <v>-586047.71400000004</v>
      </c>
      <c r="BG5" s="28">
        <v>38176.712</v>
      </c>
      <c r="BH5" s="28">
        <v>624224.42599999998</v>
      </c>
      <c r="BI5" s="28">
        <v>-586047.71400000004</v>
      </c>
      <c r="BJ5" s="28">
        <v>38176.712</v>
      </c>
      <c r="BK5" s="28">
        <v>624224.42599999998</v>
      </c>
      <c r="BL5" s="28">
        <v>-586047.71400000004</v>
      </c>
      <c r="BM5" s="28">
        <v>38176.712</v>
      </c>
      <c r="BN5" s="28">
        <v>624224.42599999998</v>
      </c>
      <c r="BO5" s="28">
        <v>-586047.71400000004</v>
      </c>
      <c r="BP5" s="28">
        <v>38176.712</v>
      </c>
      <c r="BQ5" s="28">
        <v>624224.42599999998</v>
      </c>
      <c r="BR5" s="28">
        <v>-586047.71400000004</v>
      </c>
      <c r="BS5" s="28">
        <v>38176.712</v>
      </c>
      <c r="BT5" s="28">
        <v>624224.42599999998</v>
      </c>
      <c r="BU5" s="28">
        <v>-586047.71400000004</v>
      </c>
      <c r="BV5" s="28">
        <v>38176.712</v>
      </c>
      <c r="BW5" s="28">
        <v>624224.42599999998</v>
      </c>
      <c r="BX5" s="28">
        <v>-586047.71400000004</v>
      </c>
      <c r="BY5" s="28">
        <v>38176.712</v>
      </c>
      <c r="BZ5" s="28">
        <v>624224.42599999998</v>
      </c>
      <c r="CA5" s="28">
        <v>-586047.71400000004</v>
      </c>
      <c r="CB5" s="28">
        <v>38176.712</v>
      </c>
      <c r="CC5" s="28">
        <v>624224.42599999998</v>
      </c>
      <c r="CD5" s="28">
        <v>-586047.71400000004</v>
      </c>
      <c r="CE5" s="28">
        <v>38176.712</v>
      </c>
      <c r="CF5" s="28">
        <v>624224.42599999998</v>
      </c>
      <c r="CG5" s="28">
        <v>-586047.71400000004</v>
      </c>
      <c r="CH5" s="28">
        <v>38176.712</v>
      </c>
      <c r="CI5" s="28">
        <v>624224.42599999998</v>
      </c>
      <c r="CJ5" s="28">
        <v>-586047.71400000004</v>
      </c>
      <c r="CK5" s="28">
        <v>38176.712</v>
      </c>
      <c r="CL5" s="28">
        <v>624224.42599999998</v>
      </c>
      <c r="CM5" s="28">
        <v>-586047.71400000004</v>
      </c>
      <c r="CN5" s="28">
        <v>38176.712</v>
      </c>
      <c r="CO5" s="28">
        <v>624224.42599999998</v>
      </c>
      <c r="CP5" s="28">
        <v>-586047.71400000004</v>
      </c>
      <c r="CQ5" s="28">
        <v>38176.712</v>
      </c>
      <c r="CR5" s="28">
        <v>624224.42599999998</v>
      </c>
      <c r="CS5" s="28">
        <v>-586047.71400000004</v>
      </c>
      <c r="CT5" s="28">
        <v>38176.712</v>
      </c>
      <c r="CU5" s="28">
        <v>624224.42599999998</v>
      </c>
      <c r="CV5" s="28">
        <v>-586047.71400000004</v>
      </c>
      <c r="CW5" s="28">
        <v>38176.712</v>
      </c>
      <c r="CX5" s="28">
        <v>624224.42599999998</v>
      </c>
      <c r="CY5" s="28">
        <v>-586047.71400000004</v>
      </c>
    </row>
    <row r="6" spans="1:103" x14ac:dyDescent="0.35">
      <c r="A6" t="s">
        <v>87</v>
      </c>
      <c r="B6" t="s">
        <v>279</v>
      </c>
      <c r="C6">
        <v>150503</v>
      </c>
      <c r="D6" t="s">
        <v>291</v>
      </c>
      <c r="E6" t="s">
        <v>279</v>
      </c>
      <c r="F6" t="s">
        <v>29</v>
      </c>
      <c r="G6" t="s">
        <v>33</v>
      </c>
      <c r="H6" t="s">
        <v>277</v>
      </c>
      <c r="I6">
        <v>1000</v>
      </c>
      <c r="J6">
        <v>377</v>
      </c>
      <c r="K6" s="28">
        <v>40471.068099999997</v>
      </c>
      <c r="L6" s="28">
        <v>543681.179</v>
      </c>
      <c r="M6" s="28">
        <v>-503210.11099999998</v>
      </c>
      <c r="N6" s="28">
        <v>40471.068099999997</v>
      </c>
      <c r="O6" s="28">
        <v>543681.179</v>
      </c>
      <c r="P6" s="28">
        <v>-503210.11099999998</v>
      </c>
      <c r="Q6" s="28">
        <v>40471.068099999997</v>
      </c>
      <c r="R6" s="28">
        <v>543681.179</v>
      </c>
      <c r="S6" s="28">
        <v>-503210.11099999998</v>
      </c>
      <c r="T6" s="28">
        <v>40471.068099999997</v>
      </c>
      <c r="U6" s="28">
        <v>543681.179</v>
      </c>
      <c r="V6" s="28">
        <v>-503210.11099999998</v>
      </c>
      <c r="W6" s="28">
        <v>40471.068099999997</v>
      </c>
      <c r="X6" s="28">
        <v>543681.179</v>
      </c>
      <c r="Y6" s="28">
        <v>-503210.11099999998</v>
      </c>
      <c r="Z6" s="28">
        <v>40471.068099999997</v>
      </c>
      <c r="AA6" s="28">
        <v>543681.179</v>
      </c>
      <c r="AB6" s="28">
        <v>-503210.11099999998</v>
      </c>
      <c r="AC6" s="28">
        <v>40471.068099999997</v>
      </c>
      <c r="AD6" s="28">
        <v>543681.179</v>
      </c>
      <c r="AE6" s="28">
        <v>-503210.11099999998</v>
      </c>
      <c r="AF6" s="28">
        <v>40471.068099999997</v>
      </c>
      <c r="AG6" s="28">
        <v>543681.179</v>
      </c>
      <c r="AH6" s="28">
        <v>-503210.11099999998</v>
      </c>
      <c r="AI6" s="28">
        <v>40471.068099999997</v>
      </c>
      <c r="AJ6" s="28">
        <v>543681.179</v>
      </c>
      <c r="AK6" s="28">
        <v>-503210.11099999998</v>
      </c>
      <c r="AL6" s="28">
        <v>40471.068099999997</v>
      </c>
      <c r="AM6" s="28">
        <v>543681.179</v>
      </c>
      <c r="AN6" s="28">
        <v>-503210.11099999998</v>
      </c>
      <c r="AO6" s="28">
        <v>40471.068099999997</v>
      </c>
      <c r="AP6" s="28">
        <v>543681.179</v>
      </c>
      <c r="AQ6" s="28">
        <v>-503210.11099999998</v>
      </c>
      <c r="AR6" s="28">
        <v>40471.068099999997</v>
      </c>
      <c r="AS6" s="28">
        <v>543681.179</v>
      </c>
      <c r="AT6" s="28">
        <v>-503210.11099999998</v>
      </c>
      <c r="AU6" s="28">
        <v>40471.068099999997</v>
      </c>
      <c r="AV6" s="28">
        <v>543681.179</v>
      </c>
      <c r="AW6" s="28">
        <v>-503210.11099999998</v>
      </c>
      <c r="AX6" s="28">
        <v>40471.068099999997</v>
      </c>
      <c r="AY6" s="28">
        <v>543681.179</v>
      </c>
      <c r="AZ6" s="28">
        <v>-503210.11099999998</v>
      </c>
      <c r="BA6" s="28">
        <v>40471.068099999997</v>
      </c>
      <c r="BB6" s="28">
        <v>543681.179</v>
      </c>
      <c r="BC6" s="28">
        <v>-503210.11099999998</v>
      </c>
      <c r="BD6" s="28">
        <v>40471.068099999997</v>
      </c>
      <c r="BE6" s="28">
        <v>543681.179</v>
      </c>
      <c r="BF6" s="28">
        <v>-503210.11099999998</v>
      </c>
      <c r="BG6" s="28">
        <v>40471.068099999997</v>
      </c>
      <c r="BH6" s="28">
        <v>543681.179</v>
      </c>
      <c r="BI6" s="28">
        <v>-503210.11099999998</v>
      </c>
      <c r="BJ6" s="28">
        <v>40471.068099999997</v>
      </c>
      <c r="BK6" s="28">
        <v>543681.179</v>
      </c>
      <c r="BL6" s="28">
        <v>-503210.11099999998</v>
      </c>
      <c r="BM6" s="28">
        <v>40471.068099999997</v>
      </c>
      <c r="BN6" s="28">
        <v>543681.179</v>
      </c>
      <c r="BO6" s="28">
        <v>-503210.11099999998</v>
      </c>
      <c r="BP6" s="28">
        <v>40471.068099999997</v>
      </c>
      <c r="BQ6" s="28">
        <v>543681.179</v>
      </c>
      <c r="BR6" s="28">
        <v>-503210.11099999998</v>
      </c>
      <c r="BS6" s="28">
        <v>40471.068099999997</v>
      </c>
      <c r="BT6" s="28">
        <v>543681.179</v>
      </c>
      <c r="BU6" s="28">
        <v>-503210.11099999998</v>
      </c>
      <c r="BV6" s="28">
        <v>40471.068099999997</v>
      </c>
      <c r="BW6" s="28">
        <v>543681.179</v>
      </c>
      <c r="BX6" s="28">
        <v>-503210.11099999998</v>
      </c>
      <c r="BY6" s="28">
        <v>40471.068099999997</v>
      </c>
      <c r="BZ6" s="28">
        <v>543681.179</v>
      </c>
      <c r="CA6" s="28">
        <v>-503210.11099999998</v>
      </c>
      <c r="CB6" s="28">
        <v>40471.068099999997</v>
      </c>
      <c r="CC6" s="28">
        <v>543681.179</v>
      </c>
      <c r="CD6" s="28">
        <v>-503210.11099999998</v>
      </c>
      <c r="CE6" s="28">
        <v>40471.068099999997</v>
      </c>
      <c r="CF6" s="28">
        <v>543681.179</v>
      </c>
      <c r="CG6" s="28">
        <v>-503210.11099999998</v>
      </c>
      <c r="CH6" s="28">
        <v>40471.068099999997</v>
      </c>
      <c r="CI6" s="28">
        <v>543681.179</v>
      </c>
      <c r="CJ6" s="28">
        <v>-503210.11099999998</v>
      </c>
      <c r="CK6" s="28">
        <v>40471.068099999997</v>
      </c>
      <c r="CL6" s="28">
        <v>543681.179</v>
      </c>
      <c r="CM6" s="28">
        <v>-503210.11099999998</v>
      </c>
      <c r="CN6" s="28">
        <v>40471.068099999997</v>
      </c>
      <c r="CO6" s="28">
        <v>543681.179</v>
      </c>
      <c r="CP6" s="28">
        <v>-503210.11099999998</v>
      </c>
      <c r="CQ6" s="28">
        <v>40471.068099999997</v>
      </c>
      <c r="CR6" s="28">
        <v>543681.179</v>
      </c>
      <c r="CS6" s="28">
        <v>-503210.11099999998</v>
      </c>
      <c r="CT6" s="28">
        <v>40471.068099999997</v>
      </c>
      <c r="CU6" s="28">
        <v>543681.179</v>
      </c>
      <c r="CV6" s="28">
        <v>-503210.11099999998</v>
      </c>
      <c r="CW6" s="28">
        <v>40471.068099999997</v>
      </c>
      <c r="CX6" s="28">
        <v>543681.179</v>
      </c>
      <c r="CY6" s="28">
        <v>-503210.11099999998</v>
      </c>
    </row>
    <row r="7" spans="1:103" s="49" customFormat="1" x14ac:dyDescent="0.35">
      <c r="A7" s="49" t="s">
        <v>369</v>
      </c>
      <c r="B7" s="49" t="s">
        <v>370</v>
      </c>
      <c r="C7" s="49">
        <v>260110</v>
      </c>
      <c r="D7" s="49" t="s">
        <v>371</v>
      </c>
      <c r="E7" s="49" t="s">
        <v>370</v>
      </c>
      <c r="F7" s="49" t="s">
        <v>36</v>
      </c>
      <c r="G7" s="49" t="s">
        <v>33</v>
      </c>
      <c r="H7" s="49" t="s">
        <v>372</v>
      </c>
      <c r="I7" s="49">
        <v>1000</v>
      </c>
      <c r="J7" s="49">
        <v>40</v>
      </c>
      <c r="K7" s="85">
        <v>18379.697</v>
      </c>
      <c r="L7" s="85">
        <v>682303.32310000004</v>
      </c>
      <c r="M7" s="85">
        <v>-663923.62609999999</v>
      </c>
      <c r="N7" s="85">
        <v>18379.697</v>
      </c>
      <c r="O7" s="85">
        <v>682303.32310000004</v>
      </c>
      <c r="P7" s="85">
        <v>-663923.62609999999</v>
      </c>
      <c r="Q7" s="85">
        <v>18379.697</v>
      </c>
      <c r="R7" s="85">
        <v>682303.32310000004</v>
      </c>
      <c r="S7" s="85">
        <v>-663923.62609999999</v>
      </c>
      <c r="T7" s="85">
        <v>18379.697</v>
      </c>
      <c r="U7" s="85">
        <v>682303.32310000004</v>
      </c>
      <c r="V7" s="85">
        <v>-663923.62609999999</v>
      </c>
      <c r="W7" s="85">
        <v>18379.697</v>
      </c>
      <c r="X7" s="85">
        <v>682303.32310000004</v>
      </c>
      <c r="Y7" s="85">
        <v>-663923.62609999999</v>
      </c>
      <c r="Z7" s="85">
        <v>18379.697</v>
      </c>
      <c r="AA7" s="85">
        <v>682303.32310000004</v>
      </c>
      <c r="AB7" s="85">
        <v>-663923.62609999999</v>
      </c>
      <c r="AC7" s="85">
        <v>18379.697</v>
      </c>
      <c r="AD7" s="85">
        <v>682303.32310000004</v>
      </c>
      <c r="AE7" s="85">
        <v>-663923.62609999999</v>
      </c>
      <c r="AF7" s="85">
        <v>18379.697</v>
      </c>
      <c r="AG7" s="85">
        <v>682303.32310000004</v>
      </c>
      <c r="AH7" s="85">
        <v>-663923.62609999999</v>
      </c>
      <c r="AI7" s="85">
        <v>18379.697</v>
      </c>
      <c r="AJ7" s="85">
        <v>682303.32310000004</v>
      </c>
      <c r="AK7" s="85">
        <v>-663923.62609999999</v>
      </c>
      <c r="AL7" s="85">
        <v>18379.697</v>
      </c>
      <c r="AM7" s="85">
        <v>682303.32310000004</v>
      </c>
      <c r="AN7" s="85">
        <v>-663923.62609999999</v>
      </c>
      <c r="AO7" s="85">
        <v>18379.697</v>
      </c>
      <c r="AP7" s="85">
        <v>682303.32310000004</v>
      </c>
      <c r="AQ7" s="85">
        <v>-663923.62609999999</v>
      </c>
      <c r="AR7" s="85">
        <v>18379.697</v>
      </c>
      <c r="AS7" s="85">
        <v>682303.32310000004</v>
      </c>
      <c r="AT7" s="85">
        <v>-663923.62609999999</v>
      </c>
      <c r="AU7" s="85">
        <v>18379.697</v>
      </c>
      <c r="AV7" s="85">
        <v>682303.32310000004</v>
      </c>
      <c r="AW7" s="85">
        <v>-663923.62609999999</v>
      </c>
      <c r="AX7" s="85">
        <v>18379.697</v>
      </c>
      <c r="AY7" s="85">
        <v>682303.32310000004</v>
      </c>
      <c r="AZ7" s="85">
        <v>-663923.62609999999</v>
      </c>
      <c r="BA7" s="85">
        <v>18379.697</v>
      </c>
      <c r="BB7" s="85">
        <v>682303.32310000004</v>
      </c>
      <c r="BC7" s="85">
        <v>-663923.62609999999</v>
      </c>
      <c r="BD7" s="85">
        <v>18379.697</v>
      </c>
      <c r="BE7" s="85">
        <v>682303.32310000004</v>
      </c>
      <c r="BF7" s="85">
        <v>-663923.62609999999</v>
      </c>
      <c r="BG7" s="85">
        <v>18379.697</v>
      </c>
      <c r="BH7" s="85">
        <v>682303.32310000004</v>
      </c>
      <c r="BI7" s="85">
        <v>-663923.62609999999</v>
      </c>
      <c r="BJ7" s="85">
        <v>18379.697</v>
      </c>
      <c r="BK7" s="85">
        <v>682303.32310000004</v>
      </c>
      <c r="BL7" s="85">
        <v>-663923.62609999999</v>
      </c>
      <c r="BM7" s="85">
        <v>18379.697</v>
      </c>
      <c r="BN7" s="85">
        <v>682303.32310000004</v>
      </c>
      <c r="BO7" s="85">
        <v>-663923.62609999999</v>
      </c>
      <c r="BP7" s="85">
        <v>18379.697</v>
      </c>
      <c r="BQ7" s="85">
        <v>682303.32310000004</v>
      </c>
      <c r="BR7" s="85">
        <v>-663923.62609999999</v>
      </c>
      <c r="BS7" s="85">
        <v>18379.697</v>
      </c>
      <c r="BT7" s="85">
        <v>682303.32310000004</v>
      </c>
      <c r="BU7" s="85">
        <v>-663923.62609999999</v>
      </c>
      <c r="BV7" s="85">
        <v>18379.697</v>
      </c>
      <c r="BW7" s="85">
        <v>682303.32310000004</v>
      </c>
      <c r="BX7" s="85">
        <v>-663923.62609999999</v>
      </c>
      <c r="BY7" s="85">
        <v>18379.697</v>
      </c>
      <c r="BZ7" s="85">
        <v>682303.32310000004</v>
      </c>
      <c r="CA7" s="85">
        <v>-663923.62609999999</v>
      </c>
      <c r="CB7" s="85">
        <v>18379.697</v>
      </c>
      <c r="CC7" s="85">
        <v>682303.32310000004</v>
      </c>
      <c r="CD7" s="85">
        <v>-663923.62609999999</v>
      </c>
      <c r="CE7" s="85">
        <v>18379.697</v>
      </c>
      <c r="CF7" s="85">
        <v>682303.32310000004</v>
      </c>
      <c r="CG7" s="85">
        <v>-663923.62609999999</v>
      </c>
      <c r="CH7" s="85">
        <v>18379.697</v>
      </c>
      <c r="CI7" s="85">
        <v>682303.32310000004</v>
      </c>
      <c r="CJ7" s="85">
        <v>-663923.62609999999</v>
      </c>
      <c r="CK7" s="85">
        <v>18379.697</v>
      </c>
      <c r="CL7" s="85">
        <v>682303.32310000004</v>
      </c>
      <c r="CM7" s="85">
        <v>-663923.62609999999</v>
      </c>
      <c r="CN7" s="85">
        <v>18379.697</v>
      </c>
      <c r="CO7" s="85">
        <v>682303.32310000004</v>
      </c>
      <c r="CP7" s="85">
        <v>-663923.62609999999</v>
      </c>
      <c r="CQ7" s="85">
        <v>18379.697</v>
      </c>
      <c r="CR7" s="85">
        <v>682303.32310000004</v>
      </c>
      <c r="CS7" s="85">
        <v>-663923.62609999999</v>
      </c>
      <c r="CT7" s="85">
        <v>18379.697</v>
      </c>
      <c r="CU7" s="85">
        <v>682303.32310000004</v>
      </c>
      <c r="CV7" s="85">
        <v>-663923.62609999999</v>
      </c>
      <c r="CW7" s="85">
        <v>18379.697</v>
      </c>
      <c r="CX7" s="85">
        <v>682303.32310000004</v>
      </c>
      <c r="CY7" s="85">
        <v>-663923.62609999999</v>
      </c>
    </row>
    <row r="8" spans="1:103" s="49" customFormat="1" x14ac:dyDescent="0.35">
      <c r="A8" s="49" t="s">
        <v>88</v>
      </c>
      <c r="B8" s="49" t="s">
        <v>270</v>
      </c>
      <c r="C8" s="49">
        <v>210120</v>
      </c>
      <c r="D8" s="49" t="s">
        <v>292</v>
      </c>
      <c r="E8" s="49" t="s">
        <v>270</v>
      </c>
      <c r="F8" s="49" t="s">
        <v>31</v>
      </c>
      <c r="G8" s="49" t="s">
        <v>33</v>
      </c>
      <c r="H8" s="49" t="s">
        <v>267</v>
      </c>
      <c r="I8" s="49">
        <v>1000</v>
      </c>
      <c r="J8" s="49">
        <v>757</v>
      </c>
      <c r="K8" s="85">
        <v>65381.219499999999</v>
      </c>
      <c r="L8" s="85">
        <v>552409.18870000006</v>
      </c>
      <c r="M8" s="85">
        <v>-487027.96919999999</v>
      </c>
      <c r="N8" s="85">
        <v>65381.219499999999</v>
      </c>
      <c r="O8" s="85">
        <v>552409.18870000006</v>
      </c>
      <c r="P8" s="85">
        <v>-487027.96919999999</v>
      </c>
      <c r="Q8" s="85">
        <v>65381.219499999999</v>
      </c>
      <c r="R8" s="85">
        <v>552409.18870000006</v>
      </c>
      <c r="S8" s="85">
        <v>-487027.96919999999</v>
      </c>
      <c r="T8" s="85">
        <v>65381.219499999999</v>
      </c>
      <c r="U8" s="85">
        <v>552409.18870000006</v>
      </c>
      <c r="V8" s="85">
        <v>-487027.96919999999</v>
      </c>
      <c r="W8" s="85">
        <v>65381.219499999999</v>
      </c>
      <c r="X8" s="85">
        <v>552409.18870000006</v>
      </c>
      <c r="Y8" s="85">
        <v>-487027.96919999999</v>
      </c>
      <c r="Z8" s="85">
        <v>65381.219499999999</v>
      </c>
      <c r="AA8" s="85">
        <v>552409.18870000006</v>
      </c>
      <c r="AB8" s="85">
        <v>-487027.96919999999</v>
      </c>
      <c r="AC8" s="85">
        <v>65381.219499999999</v>
      </c>
      <c r="AD8" s="85">
        <v>552409.18870000006</v>
      </c>
      <c r="AE8" s="85">
        <v>-487027.96919999999</v>
      </c>
      <c r="AF8" s="85">
        <v>65381.219499999999</v>
      </c>
      <c r="AG8" s="85">
        <v>552409.18870000006</v>
      </c>
      <c r="AH8" s="85">
        <v>-487027.96919999999</v>
      </c>
      <c r="AI8" s="85">
        <v>65381.219499999999</v>
      </c>
      <c r="AJ8" s="85">
        <v>552409.18870000006</v>
      </c>
      <c r="AK8" s="85">
        <v>-487027.96919999999</v>
      </c>
      <c r="AL8" s="85">
        <v>65381.219499999999</v>
      </c>
      <c r="AM8" s="85">
        <v>552409.18870000006</v>
      </c>
      <c r="AN8" s="85">
        <v>-487027.96919999999</v>
      </c>
      <c r="AO8" s="85">
        <v>65381.219499999999</v>
      </c>
      <c r="AP8" s="85">
        <v>552409.18870000006</v>
      </c>
      <c r="AQ8" s="85">
        <v>-487027.96919999999</v>
      </c>
      <c r="AR8" s="85">
        <v>65381.219499999999</v>
      </c>
      <c r="AS8" s="85">
        <v>552409.18870000006</v>
      </c>
      <c r="AT8" s="85">
        <v>-487027.96919999999</v>
      </c>
      <c r="AU8" s="85">
        <v>65381.219499999999</v>
      </c>
      <c r="AV8" s="85">
        <v>552409.18870000006</v>
      </c>
      <c r="AW8" s="85">
        <v>-487027.96919999999</v>
      </c>
      <c r="AX8" s="85">
        <v>65381.219499999999</v>
      </c>
      <c r="AY8" s="85">
        <v>552409.18870000006</v>
      </c>
      <c r="AZ8" s="85">
        <v>-487027.96919999999</v>
      </c>
      <c r="BA8" s="85">
        <v>65381.219499999999</v>
      </c>
      <c r="BB8" s="85">
        <v>552409.18870000006</v>
      </c>
      <c r="BC8" s="85">
        <v>-487027.96919999999</v>
      </c>
      <c r="BD8" s="85">
        <v>65381.219499999999</v>
      </c>
      <c r="BE8" s="85">
        <v>552409.18870000006</v>
      </c>
      <c r="BF8" s="85">
        <v>-487027.96919999999</v>
      </c>
      <c r="BG8" s="85">
        <v>65381.219499999999</v>
      </c>
      <c r="BH8" s="85">
        <v>552409.18870000006</v>
      </c>
      <c r="BI8" s="85">
        <v>-487027.96919999999</v>
      </c>
      <c r="BJ8" s="85">
        <v>65381.219499999999</v>
      </c>
      <c r="BK8" s="85">
        <v>552409.18870000006</v>
      </c>
      <c r="BL8" s="85">
        <v>-487027.96919999999</v>
      </c>
      <c r="BM8" s="85">
        <v>65381.219499999999</v>
      </c>
      <c r="BN8" s="85">
        <v>552409.18870000006</v>
      </c>
      <c r="BO8" s="85">
        <v>-487027.96919999999</v>
      </c>
      <c r="BP8" s="85">
        <v>65381.219499999999</v>
      </c>
      <c r="BQ8" s="85">
        <v>552409.18870000006</v>
      </c>
      <c r="BR8" s="85">
        <v>-487027.96919999999</v>
      </c>
      <c r="BS8" s="85">
        <v>65381.219499999999</v>
      </c>
      <c r="BT8" s="85">
        <v>552409.18870000006</v>
      </c>
      <c r="BU8" s="85">
        <v>-487027.96919999999</v>
      </c>
      <c r="BV8" s="85">
        <v>65381.219499999999</v>
      </c>
      <c r="BW8" s="85">
        <v>552409.18870000006</v>
      </c>
      <c r="BX8" s="85">
        <v>-487027.96919999999</v>
      </c>
      <c r="BY8" s="85">
        <v>65381.219499999999</v>
      </c>
      <c r="BZ8" s="85">
        <v>552409.18870000006</v>
      </c>
      <c r="CA8" s="85">
        <v>-487027.96919999999</v>
      </c>
      <c r="CB8" s="85">
        <v>65381.219499999999</v>
      </c>
      <c r="CC8" s="85">
        <v>552409.18870000006</v>
      </c>
      <c r="CD8" s="85">
        <v>-487027.96919999999</v>
      </c>
      <c r="CE8" s="85">
        <v>65381.219499999999</v>
      </c>
      <c r="CF8" s="85">
        <v>552409.18870000006</v>
      </c>
      <c r="CG8" s="85">
        <v>-487027.96919999999</v>
      </c>
      <c r="CH8" s="85">
        <v>65381.219499999999</v>
      </c>
      <c r="CI8" s="85">
        <v>552409.18870000006</v>
      </c>
      <c r="CJ8" s="85">
        <v>-487027.96919999999</v>
      </c>
      <c r="CK8" s="85">
        <v>65381.219499999999</v>
      </c>
      <c r="CL8" s="85">
        <v>552409.18870000006</v>
      </c>
      <c r="CM8" s="85">
        <v>-487027.96919999999</v>
      </c>
      <c r="CN8" s="85">
        <v>65381.219499999999</v>
      </c>
      <c r="CO8" s="85">
        <v>552409.18870000006</v>
      </c>
      <c r="CP8" s="85">
        <v>-487027.96919999999</v>
      </c>
      <c r="CQ8" s="85">
        <v>65381.219499999999</v>
      </c>
      <c r="CR8" s="85">
        <v>552409.18870000006</v>
      </c>
      <c r="CS8" s="85">
        <v>-487027.96919999999</v>
      </c>
      <c r="CT8" s="85">
        <v>65381.219499999999</v>
      </c>
      <c r="CU8" s="85">
        <v>552409.18870000006</v>
      </c>
      <c r="CV8" s="85">
        <v>-487027.96919999999</v>
      </c>
      <c r="CW8" s="85">
        <v>65381.219499999999</v>
      </c>
      <c r="CX8" s="85">
        <v>552409.18870000006</v>
      </c>
      <c r="CY8" s="85">
        <v>-487027.96919999999</v>
      </c>
    </row>
    <row r="9" spans="1:103" s="49" customFormat="1" x14ac:dyDescent="0.35">
      <c r="A9" s="49" t="s">
        <v>89</v>
      </c>
      <c r="B9" s="49" t="s">
        <v>271</v>
      </c>
      <c r="C9" s="49">
        <v>210140</v>
      </c>
      <c r="D9" s="49" t="s">
        <v>293</v>
      </c>
      <c r="E9" s="49" t="s">
        <v>271</v>
      </c>
      <c r="F9" s="49" t="s">
        <v>31</v>
      </c>
      <c r="G9" s="49" t="s">
        <v>33</v>
      </c>
      <c r="H9" s="49" t="s">
        <v>267</v>
      </c>
      <c r="I9" s="49">
        <v>1000</v>
      </c>
      <c r="J9" s="49">
        <v>1678</v>
      </c>
      <c r="K9" s="85">
        <v>125755.5601</v>
      </c>
      <c r="L9" s="85">
        <v>558446.62280000001</v>
      </c>
      <c r="M9" s="85">
        <v>-432691.06270000001</v>
      </c>
      <c r="N9" s="85">
        <v>125755.5601</v>
      </c>
      <c r="O9" s="85">
        <v>558446.62280000001</v>
      </c>
      <c r="P9" s="85">
        <v>-432691.06270000001</v>
      </c>
      <c r="Q9" s="85">
        <v>125755.5601</v>
      </c>
      <c r="R9" s="85">
        <v>558446.62280000001</v>
      </c>
      <c r="S9" s="85">
        <v>-432691.06270000001</v>
      </c>
      <c r="T9" s="85">
        <v>125755.5601</v>
      </c>
      <c r="U9" s="85">
        <v>558446.62280000001</v>
      </c>
      <c r="V9" s="85">
        <v>-432691.06270000001</v>
      </c>
      <c r="W9" s="85">
        <v>125755.5601</v>
      </c>
      <c r="X9" s="85">
        <v>558446.62280000001</v>
      </c>
      <c r="Y9" s="85">
        <v>-432691.06270000001</v>
      </c>
      <c r="Z9" s="85">
        <v>125755.5601</v>
      </c>
      <c r="AA9" s="85">
        <v>558446.62280000001</v>
      </c>
      <c r="AB9" s="85">
        <v>-432691.06270000001</v>
      </c>
      <c r="AC9" s="85">
        <v>125755.5601</v>
      </c>
      <c r="AD9" s="85">
        <v>558446.62280000001</v>
      </c>
      <c r="AE9" s="85">
        <v>-432691.06270000001</v>
      </c>
      <c r="AF9" s="85">
        <v>125755.5601</v>
      </c>
      <c r="AG9" s="85">
        <v>558446.62280000001</v>
      </c>
      <c r="AH9" s="85">
        <v>-432691.06270000001</v>
      </c>
      <c r="AI9" s="85">
        <v>125755.5601</v>
      </c>
      <c r="AJ9" s="85">
        <v>558446.62280000001</v>
      </c>
      <c r="AK9" s="85">
        <v>-432691.06270000001</v>
      </c>
      <c r="AL9" s="85">
        <v>125755.5601</v>
      </c>
      <c r="AM9" s="85">
        <v>558446.62280000001</v>
      </c>
      <c r="AN9" s="85">
        <v>-432691.06270000001</v>
      </c>
      <c r="AO9" s="85">
        <v>125755.5601</v>
      </c>
      <c r="AP9" s="85">
        <v>558446.62280000001</v>
      </c>
      <c r="AQ9" s="85">
        <v>-432691.06270000001</v>
      </c>
      <c r="AR9" s="85">
        <v>125755.5601</v>
      </c>
      <c r="AS9" s="85">
        <v>558446.62280000001</v>
      </c>
      <c r="AT9" s="85">
        <v>-432691.06270000001</v>
      </c>
      <c r="AU9" s="85">
        <v>125755.5601</v>
      </c>
      <c r="AV9" s="85">
        <v>558446.62280000001</v>
      </c>
      <c r="AW9" s="85">
        <v>-432691.06270000001</v>
      </c>
      <c r="AX9" s="85">
        <v>125755.5601</v>
      </c>
      <c r="AY9" s="85">
        <v>558446.62280000001</v>
      </c>
      <c r="AZ9" s="85">
        <v>-432691.06270000001</v>
      </c>
      <c r="BA9" s="85">
        <v>125755.5601</v>
      </c>
      <c r="BB9" s="85">
        <v>558446.62280000001</v>
      </c>
      <c r="BC9" s="85">
        <v>-432691.06270000001</v>
      </c>
      <c r="BD9" s="85">
        <v>125755.5601</v>
      </c>
      <c r="BE9" s="85">
        <v>558446.62280000001</v>
      </c>
      <c r="BF9" s="85">
        <v>-432691.06270000001</v>
      </c>
      <c r="BG9" s="85">
        <v>125755.5601</v>
      </c>
      <c r="BH9" s="85">
        <v>558446.62280000001</v>
      </c>
      <c r="BI9" s="85">
        <v>-432691.06270000001</v>
      </c>
      <c r="BJ9" s="85">
        <v>125755.5601</v>
      </c>
      <c r="BK9" s="85">
        <v>558446.62280000001</v>
      </c>
      <c r="BL9" s="85">
        <v>-432691.06270000001</v>
      </c>
      <c r="BM9" s="85">
        <v>125755.5601</v>
      </c>
      <c r="BN9" s="85">
        <v>558446.62280000001</v>
      </c>
      <c r="BO9" s="85">
        <v>-432691.06270000001</v>
      </c>
      <c r="BP9" s="85">
        <v>125755.5601</v>
      </c>
      <c r="BQ9" s="85">
        <v>558446.62280000001</v>
      </c>
      <c r="BR9" s="85">
        <v>-432691.06270000001</v>
      </c>
      <c r="BS9" s="85">
        <v>125755.5601</v>
      </c>
      <c r="BT9" s="85">
        <v>558446.62280000001</v>
      </c>
      <c r="BU9" s="85">
        <v>-432691.06270000001</v>
      </c>
      <c r="BV9" s="85">
        <v>125755.5601</v>
      </c>
      <c r="BW9" s="85">
        <v>558446.62280000001</v>
      </c>
      <c r="BX9" s="85">
        <v>-432691.06270000001</v>
      </c>
      <c r="BY9" s="85">
        <v>125755.5601</v>
      </c>
      <c r="BZ9" s="85">
        <v>558446.62280000001</v>
      </c>
      <c r="CA9" s="85">
        <v>-432691.06270000001</v>
      </c>
      <c r="CB9" s="85">
        <v>125755.5601</v>
      </c>
      <c r="CC9" s="85">
        <v>558446.62280000001</v>
      </c>
      <c r="CD9" s="85">
        <v>-432691.06270000001</v>
      </c>
      <c r="CE9" s="85">
        <v>125755.5601</v>
      </c>
      <c r="CF9" s="85">
        <v>558446.62280000001</v>
      </c>
      <c r="CG9" s="85">
        <v>-432691.06270000001</v>
      </c>
      <c r="CH9" s="85">
        <v>125755.5601</v>
      </c>
      <c r="CI9" s="85">
        <v>558446.62280000001</v>
      </c>
      <c r="CJ9" s="85">
        <v>-432691.06270000001</v>
      </c>
      <c r="CK9" s="85">
        <v>125755.5601</v>
      </c>
      <c r="CL9" s="85">
        <v>558446.62280000001</v>
      </c>
      <c r="CM9" s="85">
        <v>-432691.06270000001</v>
      </c>
      <c r="CN9" s="85">
        <v>125755.5601</v>
      </c>
      <c r="CO9" s="85">
        <v>558446.62280000001</v>
      </c>
      <c r="CP9" s="85">
        <v>-432691.06270000001</v>
      </c>
      <c r="CQ9" s="85">
        <v>125755.5601</v>
      </c>
      <c r="CR9" s="85">
        <v>558446.62280000001</v>
      </c>
      <c r="CS9" s="85">
        <v>-432691.06270000001</v>
      </c>
      <c r="CT9" s="85">
        <v>125755.5601</v>
      </c>
      <c r="CU9" s="85">
        <v>558446.62280000001</v>
      </c>
      <c r="CV9" s="85">
        <v>-432691.06270000001</v>
      </c>
      <c r="CW9" s="85">
        <v>125755.5601</v>
      </c>
      <c r="CX9" s="85">
        <v>558446.62280000001</v>
      </c>
      <c r="CY9" s="85">
        <v>-432691.06270000001</v>
      </c>
    </row>
    <row r="10" spans="1:103" s="49" customFormat="1" x14ac:dyDescent="0.35">
      <c r="A10" s="49" t="s">
        <v>373</v>
      </c>
      <c r="B10" s="49" t="s">
        <v>374</v>
      </c>
      <c r="C10" s="49">
        <v>260600</v>
      </c>
      <c r="D10" s="49" t="s">
        <v>375</v>
      </c>
      <c r="E10" s="49" t="s">
        <v>374</v>
      </c>
      <c r="F10" s="49" t="s">
        <v>36</v>
      </c>
      <c r="G10" s="49" t="s">
        <v>33</v>
      </c>
      <c r="H10" s="49" t="s">
        <v>372</v>
      </c>
      <c r="I10" s="49">
        <v>1000</v>
      </c>
      <c r="J10" s="49">
        <v>75</v>
      </c>
      <c r="K10" s="85">
        <v>20674.053</v>
      </c>
      <c r="L10" s="85">
        <v>682532.75870000001</v>
      </c>
      <c r="M10" s="85">
        <v>-661858.70570000005</v>
      </c>
      <c r="N10" s="85">
        <v>20674.053</v>
      </c>
      <c r="O10" s="85">
        <v>682532.75870000001</v>
      </c>
      <c r="P10" s="85">
        <v>-661858.70570000005</v>
      </c>
      <c r="Q10" s="85">
        <v>20674.053</v>
      </c>
      <c r="R10" s="85">
        <v>682532.75870000001</v>
      </c>
      <c r="S10" s="85">
        <v>-661858.70570000005</v>
      </c>
      <c r="T10" s="85">
        <v>20674.053</v>
      </c>
      <c r="U10" s="85">
        <v>682532.75870000001</v>
      </c>
      <c r="V10" s="85">
        <v>-661858.70570000005</v>
      </c>
      <c r="W10" s="85">
        <v>20674.053</v>
      </c>
      <c r="X10" s="85">
        <v>682532.75870000001</v>
      </c>
      <c r="Y10" s="85">
        <v>-661858.70570000005</v>
      </c>
      <c r="Z10" s="85">
        <v>20674.053</v>
      </c>
      <c r="AA10" s="85">
        <v>682532.75870000001</v>
      </c>
      <c r="AB10" s="85">
        <v>-661858.70570000005</v>
      </c>
      <c r="AC10" s="85">
        <v>20674.053</v>
      </c>
      <c r="AD10" s="85">
        <v>682532.75870000001</v>
      </c>
      <c r="AE10" s="85">
        <v>-661858.70570000005</v>
      </c>
      <c r="AF10" s="85">
        <v>20674.053</v>
      </c>
      <c r="AG10" s="85">
        <v>682532.75870000001</v>
      </c>
      <c r="AH10" s="85">
        <v>-661858.70570000005</v>
      </c>
      <c r="AI10" s="85">
        <v>20674.053</v>
      </c>
      <c r="AJ10" s="85">
        <v>682532.75870000001</v>
      </c>
      <c r="AK10" s="85">
        <v>-661858.70570000005</v>
      </c>
      <c r="AL10" s="85">
        <v>20674.053</v>
      </c>
      <c r="AM10" s="85">
        <v>682532.75870000001</v>
      </c>
      <c r="AN10" s="85">
        <v>-661858.70570000005</v>
      </c>
      <c r="AO10" s="85">
        <v>20674.053</v>
      </c>
      <c r="AP10" s="85">
        <v>682532.75870000001</v>
      </c>
      <c r="AQ10" s="85">
        <v>-661858.70570000005</v>
      </c>
      <c r="AR10" s="85">
        <v>20674.053</v>
      </c>
      <c r="AS10" s="85">
        <v>682532.75870000001</v>
      </c>
      <c r="AT10" s="85">
        <v>-661858.70570000005</v>
      </c>
      <c r="AU10" s="85">
        <v>20674.053</v>
      </c>
      <c r="AV10" s="85">
        <v>682532.75870000001</v>
      </c>
      <c r="AW10" s="85">
        <v>-661858.70570000005</v>
      </c>
      <c r="AX10" s="85">
        <v>20674.053</v>
      </c>
      <c r="AY10" s="85">
        <v>682532.75870000001</v>
      </c>
      <c r="AZ10" s="85">
        <v>-661858.70570000005</v>
      </c>
      <c r="BA10" s="85">
        <v>20674.053</v>
      </c>
      <c r="BB10" s="85">
        <v>682532.75870000001</v>
      </c>
      <c r="BC10" s="85">
        <v>-661858.70570000005</v>
      </c>
      <c r="BD10" s="85">
        <v>20674.053</v>
      </c>
      <c r="BE10" s="85">
        <v>682532.75870000001</v>
      </c>
      <c r="BF10" s="85">
        <v>-661858.70570000005</v>
      </c>
      <c r="BG10" s="85">
        <v>20674.053</v>
      </c>
      <c r="BH10" s="85">
        <v>682532.75870000001</v>
      </c>
      <c r="BI10" s="85">
        <v>-661858.70570000005</v>
      </c>
      <c r="BJ10" s="85">
        <v>20674.053</v>
      </c>
      <c r="BK10" s="85">
        <v>682532.75870000001</v>
      </c>
      <c r="BL10" s="85">
        <v>-661858.70570000005</v>
      </c>
      <c r="BM10" s="85">
        <v>20674.053</v>
      </c>
      <c r="BN10" s="85">
        <v>682532.75870000001</v>
      </c>
      <c r="BO10" s="85">
        <v>-661858.70570000005</v>
      </c>
      <c r="BP10" s="85">
        <v>20674.053</v>
      </c>
      <c r="BQ10" s="85">
        <v>682532.75870000001</v>
      </c>
      <c r="BR10" s="85">
        <v>-661858.70570000005</v>
      </c>
      <c r="BS10" s="85">
        <v>20674.053</v>
      </c>
      <c r="BT10" s="85">
        <v>682532.75870000001</v>
      </c>
      <c r="BU10" s="85">
        <v>-661858.70570000005</v>
      </c>
      <c r="BV10" s="85">
        <v>20674.053</v>
      </c>
      <c r="BW10" s="85">
        <v>682532.75870000001</v>
      </c>
      <c r="BX10" s="85">
        <v>-661858.70570000005</v>
      </c>
      <c r="BY10" s="85">
        <v>20674.053</v>
      </c>
      <c r="BZ10" s="85">
        <v>682532.75870000001</v>
      </c>
      <c r="CA10" s="85">
        <v>-661858.70570000005</v>
      </c>
      <c r="CB10" s="85">
        <v>20674.053</v>
      </c>
      <c r="CC10" s="85">
        <v>682532.75870000001</v>
      </c>
      <c r="CD10" s="85">
        <v>-661858.70570000005</v>
      </c>
      <c r="CE10" s="85">
        <v>20674.053</v>
      </c>
      <c r="CF10" s="85">
        <v>682532.75870000001</v>
      </c>
      <c r="CG10" s="85">
        <v>-661858.70570000005</v>
      </c>
      <c r="CH10" s="85">
        <v>20674.053</v>
      </c>
      <c r="CI10" s="85">
        <v>682532.75870000001</v>
      </c>
      <c r="CJ10" s="85">
        <v>-661858.70570000005</v>
      </c>
      <c r="CK10" s="85">
        <v>20674.053</v>
      </c>
      <c r="CL10" s="85">
        <v>682532.75870000001</v>
      </c>
      <c r="CM10" s="85">
        <v>-661858.70570000005</v>
      </c>
      <c r="CN10" s="85">
        <v>20674.053</v>
      </c>
      <c r="CO10" s="85">
        <v>682532.75870000001</v>
      </c>
      <c r="CP10" s="85">
        <v>-661858.70570000005</v>
      </c>
      <c r="CQ10" s="85">
        <v>20674.053</v>
      </c>
      <c r="CR10" s="85">
        <v>682532.75870000001</v>
      </c>
      <c r="CS10" s="85">
        <v>-661858.70570000005</v>
      </c>
      <c r="CT10" s="85">
        <v>20674.053</v>
      </c>
      <c r="CU10" s="85">
        <v>682532.75870000001</v>
      </c>
      <c r="CV10" s="85">
        <v>-661858.70570000005</v>
      </c>
      <c r="CW10" s="85">
        <v>20674.053</v>
      </c>
      <c r="CX10" s="85">
        <v>682532.75870000001</v>
      </c>
      <c r="CY10" s="85">
        <v>-661858.70570000005</v>
      </c>
    </row>
    <row r="11" spans="1:103" x14ac:dyDescent="0.35">
      <c r="A11" t="s">
        <v>114</v>
      </c>
      <c r="B11" t="s">
        <v>278</v>
      </c>
      <c r="C11">
        <v>120035</v>
      </c>
      <c r="D11" t="s">
        <v>294</v>
      </c>
      <c r="E11" t="s">
        <v>278</v>
      </c>
      <c r="F11" t="s">
        <v>41</v>
      </c>
      <c r="G11" t="s">
        <v>33</v>
      </c>
      <c r="H11" t="s">
        <v>277</v>
      </c>
      <c r="I11">
        <v>1000</v>
      </c>
      <c r="J11">
        <v>502</v>
      </c>
      <c r="K11" s="28">
        <v>48665.196799999998</v>
      </c>
      <c r="L11" s="28">
        <v>566377.58149999997</v>
      </c>
      <c r="M11" s="28">
        <v>-517712.3847</v>
      </c>
      <c r="N11" s="28">
        <v>48665.196799999998</v>
      </c>
      <c r="O11" s="28">
        <v>566377.58149999997</v>
      </c>
      <c r="P11" s="28">
        <v>-517712.3847</v>
      </c>
      <c r="Q11" s="28">
        <v>48665.196799999998</v>
      </c>
      <c r="R11" s="28">
        <v>566377.58149999997</v>
      </c>
      <c r="S11" s="28">
        <v>-517712.3847</v>
      </c>
      <c r="T11" s="28">
        <v>48665.196799999998</v>
      </c>
      <c r="U11" s="28">
        <v>566377.58149999997</v>
      </c>
      <c r="V11" s="28">
        <v>-517712.3847</v>
      </c>
      <c r="W11" s="28">
        <v>48665.196799999998</v>
      </c>
      <c r="X11" s="28">
        <v>566377.58149999997</v>
      </c>
      <c r="Y11" s="28">
        <v>-517712.3847</v>
      </c>
      <c r="Z11" s="28">
        <v>48665.196799999998</v>
      </c>
      <c r="AA11" s="28">
        <v>566377.58149999997</v>
      </c>
      <c r="AB11" s="28">
        <v>-517712.3847</v>
      </c>
      <c r="AC11" s="28">
        <v>48665.196799999998</v>
      </c>
      <c r="AD11" s="28">
        <v>566377.58149999997</v>
      </c>
      <c r="AE11" s="28">
        <v>-517712.3847</v>
      </c>
      <c r="AF11" s="28">
        <v>48665.196799999998</v>
      </c>
      <c r="AG11" s="28">
        <v>566377.58149999997</v>
      </c>
      <c r="AH11" s="28">
        <v>-517712.3847</v>
      </c>
      <c r="AI11" s="28">
        <v>48665.196799999998</v>
      </c>
      <c r="AJ11" s="28">
        <v>566377.58149999997</v>
      </c>
      <c r="AK11" s="28">
        <v>-517712.3847</v>
      </c>
      <c r="AL11" s="28">
        <v>48665.196799999998</v>
      </c>
      <c r="AM11" s="28">
        <v>566377.58149999997</v>
      </c>
      <c r="AN11" s="28">
        <v>-517712.3847</v>
      </c>
      <c r="AO11" s="28">
        <v>48665.196799999998</v>
      </c>
      <c r="AP11" s="28">
        <v>566377.58149999997</v>
      </c>
      <c r="AQ11" s="28">
        <v>-517712.3847</v>
      </c>
      <c r="AR11" s="28">
        <v>48665.196799999998</v>
      </c>
      <c r="AS11" s="28">
        <v>566377.58149999997</v>
      </c>
      <c r="AT11" s="28">
        <v>-517712.3847</v>
      </c>
      <c r="AU11" s="28">
        <v>48665.196799999998</v>
      </c>
      <c r="AV11" s="28">
        <v>566377.58149999997</v>
      </c>
      <c r="AW11" s="28">
        <v>-517712.3847</v>
      </c>
      <c r="AX11" s="28">
        <v>48665.196799999998</v>
      </c>
      <c r="AY11" s="28">
        <v>566377.58149999997</v>
      </c>
      <c r="AZ11" s="28">
        <v>-517712.3847</v>
      </c>
      <c r="BA11" s="28">
        <v>48665.196799999998</v>
      </c>
      <c r="BB11" s="28">
        <v>566377.58149999997</v>
      </c>
      <c r="BC11" s="28">
        <v>-517712.3847</v>
      </c>
      <c r="BD11" s="28">
        <v>48665.196799999998</v>
      </c>
      <c r="BE11" s="28">
        <v>566377.58149999997</v>
      </c>
      <c r="BF11" s="28">
        <v>-517712.3847</v>
      </c>
      <c r="BG11" s="28">
        <v>48665.196799999998</v>
      </c>
      <c r="BH11" s="28">
        <v>566377.58149999997</v>
      </c>
      <c r="BI11" s="28">
        <v>-517712.3847</v>
      </c>
      <c r="BJ11" s="28">
        <v>48665.196799999998</v>
      </c>
      <c r="BK11" s="28">
        <v>566377.58149999997</v>
      </c>
      <c r="BL11" s="28">
        <v>-517712.3847</v>
      </c>
      <c r="BM11" s="28">
        <v>48665.196799999998</v>
      </c>
      <c r="BN11" s="28">
        <v>566377.58149999997</v>
      </c>
      <c r="BO11" s="28">
        <v>-517712.3847</v>
      </c>
      <c r="BP11" s="28">
        <v>48665.196799999998</v>
      </c>
      <c r="BQ11" s="28">
        <v>566377.58149999997</v>
      </c>
      <c r="BR11" s="28">
        <v>-517712.3847</v>
      </c>
      <c r="BS11" s="28">
        <v>48665.196799999998</v>
      </c>
      <c r="BT11" s="28">
        <v>566377.58149999997</v>
      </c>
      <c r="BU11" s="28">
        <v>-517712.3847</v>
      </c>
      <c r="BV11" s="28">
        <v>48665.196799999998</v>
      </c>
      <c r="BW11" s="28">
        <v>566377.58149999997</v>
      </c>
      <c r="BX11" s="28">
        <v>-517712.3847</v>
      </c>
      <c r="BY11" s="28">
        <v>48665.196799999998</v>
      </c>
      <c r="BZ11" s="28">
        <v>566377.58149999997</v>
      </c>
      <c r="CA11" s="28">
        <v>-517712.3847</v>
      </c>
      <c r="CB11" s="28">
        <v>48665.196799999998</v>
      </c>
      <c r="CC11" s="28">
        <v>566377.58149999997</v>
      </c>
      <c r="CD11" s="28">
        <v>-517712.3847</v>
      </c>
      <c r="CE11" s="28">
        <v>48665.196799999998</v>
      </c>
      <c r="CF11" s="28">
        <v>566377.58149999997</v>
      </c>
      <c r="CG11" s="28">
        <v>-517712.3847</v>
      </c>
      <c r="CH11" s="28">
        <v>48665.196799999998</v>
      </c>
      <c r="CI11" s="28">
        <v>566377.58149999997</v>
      </c>
      <c r="CJ11" s="28">
        <v>-517712.3847</v>
      </c>
      <c r="CK11" s="28">
        <v>48665.196799999998</v>
      </c>
      <c r="CL11" s="28">
        <v>566377.58149999997</v>
      </c>
      <c r="CM11" s="28">
        <v>-517712.3847</v>
      </c>
      <c r="CN11" s="28">
        <v>48665.196799999998</v>
      </c>
      <c r="CO11" s="28">
        <v>566377.58149999997</v>
      </c>
      <c r="CP11" s="28">
        <v>-517712.3847</v>
      </c>
      <c r="CQ11" s="28">
        <v>48665.196799999998</v>
      </c>
      <c r="CR11" s="28">
        <v>566377.58149999997</v>
      </c>
      <c r="CS11" s="28">
        <v>-517712.3847</v>
      </c>
      <c r="CT11" s="28">
        <v>48665.196799999998</v>
      </c>
      <c r="CU11" s="28">
        <v>566377.58149999997</v>
      </c>
      <c r="CV11" s="28">
        <v>-517712.3847</v>
      </c>
      <c r="CW11" s="28">
        <v>48665.196799999998</v>
      </c>
      <c r="CX11" s="28">
        <v>566377.58149999997</v>
      </c>
      <c r="CY11" s="28">
        <v>-517712.3847</v>
      </c>
    </row>
    <row r="12" spans="1:103" x14ac:dyDescent="0.35">
      <c r="A12" t="s">
        <v>125</v>
      </c>
      <c r="B12" t="s">
        <v>272</v>
      </c>
      <c r="C12">
        <v>110008</v>
      </c>
      <c r="D12" t="s">
        <v>295</v>
      </c>
      <c r="E12" t="s">
        <v>272</v>
      </c>
      <c r="F12" t="s">
        <v>30</v>
      </c>
      <c r="G12" t="s">
        <v>33</v>
      </c>
      <c r="H12" t="s">
        <v>267</v>
      </c>
      <c r="I12">
        <v>1000</v>
      </c>
      <c r="J12">
        <v>51</v>
      </c>
      <c r="K12" s="28">
        <v>19100.780299999999</v>
      </c>
      <c r="L12" s="28">
        <v>517001.92979999998</v>
      </c>
      <c r="M12" s="28">
        <v>-497901.1495</v>
      </c>
      <c r="N12" s="28">
        <v>19100.780299999999</v>
      </c>
      <c r="O12" s="28">
        <v>517001.92979999998</v>
      </c>
      <c r="P12" s="28">
        <v>-497901.1495</v>
      </c>
      <c r="Q12" s="28">
        <v>19100.780299999999</v>
      </c>
      <c r="R12" s="28">
        <v>517001.92979999998</v>
      </c>
      <c r="S12" s="28">
        <v>-497901.1495</v>
      </c>
      <c r="T12" s="28">
        <v>19100.780299999999</v>
      </c>
      <c r="U12" s="28">
        <v>517001.92979999998</v>
      </c>
      <c r="V12" s="28">
        <v>-497901.1495</v>
      </c>
      <c r="W12" s="28">
        <v>19100.780299999999</v>
      </c>
      <c r="X12" s="28">
        <v>517001.92979999998</v>
      </c>
      <c r="Y12" s="28">
        <v>-497901.1495</v>
      </c>
      <c r="Z12" s="28">
        <v>19100.780299999999</v>
      </c>
      <c r="AA12" s="28">
        <v>517001.92979999998</v>
      </c>
      <c r="AB12" s="28">
        <v>-497901.1495</v>
      </c>
      <c r="AC12" s="28">
        <v>19100.780299999999</v>
      </c>
      <c r="AD12" s="28">
        <v>517001.92979999998</v>
      </c>
      <c r="AE12" s="28">
        <v>-497901.1495</v>
      </c>
      <c r="AF12" s="28">
        <v>19100.780299999999</v>
      </c>
      <c r="AG12" s="28">
        <v>517001.92979999998</v>
      </c>
      <c r="AH12" s="28">
        <v>-497901.1495</v>
      </c>
      <c r="AI12" s="28">
        <v>19100.780299999999</v>
      </c>
      <c r="AJ12" s="28">
        <v>517001.92979999998</v>
      </c>
      <c r="AK12" s="28">
        <v>-497901.1495</v>
      </c>
      <c r="AL12" s="28">
        <v>19100.780299999999</v>
      </c>
      <c r="AM12" s="28">
        <v>517001.92979999998</v>
      </c>
      <c r="AN12" s="28">
        <v>-497901.1495</v>
      </c>
      <c r="AO12" s="28">
        <v>19100.780299999999</v>
      </c>
      <c r="AP12" s="28">
        <v>517001.92979999998</v>
      </c>
      <c r="AQ12" s="28">
        <v>-497901.1495</v>
      </c>
      <c r="AR12" s="28">
        <v>19100.780299999999</v>
      </c>
      <c r="AS12" s="28">
        <v>517001.92979999998</v>
      </c>
      <c r="AT12" s="28">
        <v>-497901.1495</v>
      </c>
      <c r="AU12" s="28">
        <v>19100.780299999999</v>
      </c>
      <c r="AV12" s="28">
        <v>517001.92979999998</v>
      </c>
      <c r="AW12" s="28">
        <v>-497901.1495</v>
      </c>
      <c r="AX12" s="28">
        <v>19100.780299999999</v>
      </c>
      <c r="AY12" s="28">
        <v>517001.92979999998</v>
      </c>
      <c r="AZ12" s="28">
        <v>-497901.1495</v>
      </c>
      <c r="BA12" s="28">
        <v>19100.780299999999</v>
      </c>
      <c r="BB12" s="28">
        <v>517001.92979999998</v>
      </c>
      <c r="BC12" s="28">
        <v>-497901.1495</v>
      </c>
      <c r="BD12" s="28">
        <v>19100.780299999999</v>
      </c>
      <c r="BE12" s="28">
        <v>517001.92979999998</v>
      </c>
      <c r="BF12" s="28">
        <v>-497901.1495</v>
      </c>
      <c r="BG12" s="28">
        <v>19100.780299999999</v>
      </c>
      <c r="BH12" s="28">
        <v>517001.92979999998</v>
      </c>
      <c r="BI12" s="28">
        <v>-497901.1495</v>
      </c>
      <c r="BJ12" s="28">
        <v>19100.780299999999</v>
      </c>
      <c r="BK12" s="28">
        <v>517001.92979999998</v>
      </c>
      <c r="BL12" s="28">
        <v>-497901.1495</v>
      </c>
      <c r="BM12" s="28">
        <v>19100.780299999999</v>
      </c>
      <c r="BN12" s="28">
        <v>517001.92979999998</v>
      </c>
      <c r="BO12" s="28">
        <v>-497901.1495</v>
      </c>
      <c r="BP12" s="28">
        <v>19100.780299999999</v>
      </c>
      <c r="BQ12" s="28">
        <v>517001.92979999998</v>
      </c>
      <c r="BR12" s="28">
        <v>-497901.1495</v>
      </c>
      <c r="BS12" s="28">
        <v>19100.780299999999</v>
      </c>
      <c r="BT12" s="28">
        <v>517001.92979999998</v>
      </c>
      <c r="BU12" s="28">
        <v>-497901.1495</v>
      </c>
      <c r="BV12" s="28">
        <v>19100.780299999999</v>
      </c>
      <c r="BW12" s="28">
        <v>517001.92979999998</v>
      </c>
      <c r="BX12" s="28">
        <v>-497901.1495</v>
      </c>
      <c r="BY12" s="28">
        <v>19100.780299999999</v>
      </c>
      <c r="BZ12" s="28">
        <v>517001.92979999998</v>
      </c>
      <c r="CA12" s="28">
        <v>-497901.1495</v>
      </c>
      <c r="CB12" s="28">
        <v>19100.780299999999</v>
      </c>
      <c r="CC12" s="28">
        <v>517001.92979999998</v>
      </c>
      <c r="CD12" s="28">
        <v>-497901.1495</v>
      </c>
      <c r="CE12" s="28">
        <v>19100.780299999999</v>
      </c>
      <c r="CF12" s="28">
        <v>517001.92979999998</v>
      </c>
      <c r="CG12" s="28">
        <v>-497901.1495</v>
      </c>
      <c r="CH12" s="28">
        <v>19100.780299999999</v>
      </c>
      <c r="CI12" s="28">
        <v>517001.92979999998</v>
      </c>
      <c r="CJ12" s="28">
        <v>-497901.1495</v>
      </c>
      <c r="CK12" s="28">
        <v>19100.780299999999</v>
      </c>
      <c r="CL12" s="28">
        <v>517001.92979999998</v>
      </c>
      <c r="CM12" s="28">
        <v>-497901.1495</v>
      </c>
      <c r="CN12" s="28">
        <v>19100.780299999999</v>
      </c>
      <c r="CO12" s="28">
        <v>517001.92979999998</v>
      </c>
      <c r="CP12" s="28">
        <v>-497901.1495</v>
      </c>
      <c r="CQ12" s="28">
        <v>19100.780299999999</v>
      </c>
      <c r="CR12" s="28">
        <v>517001.92979999998</v>
      </c>
      <c r="CS12" s="28">
        <v>-497901.1495</v>
      </c>
      <c r="CT12" s="28">
        <v>19100.780299999999</v>
      </c>
      <c r="CU12" s="28">
        <v>517001.92979999998</v>
      </c>
      <c r="CV12" s="28">
        <v>-497901.1495</v>
      </c>
      <c r="CW12" s="28">
        <v>19100.780299999999</v>
      </c>
      <c r="CX12" s="28">
        <v>517001.92979999998</v>
      </c>
      <c r="CY12" s="28">
        <v>-497901.1495</v>
      </c>
    </row>
    <row r="13" spans="1:103" x14ac:dyDescent="0.35">
      <c r="A13" t="s">
        <v>134</v>
      </c>
      <c r="B13" t="s">
        <v>273</v>
      </c>
      <c r="C13">
        <v>130370</v>
      </c>
      <c r="D13" t="s">
        <v>296</v>
      </c>
      <c r="E13" t="s">
        <v>323</v>
      </c>
      <c r="F13" t="s">
        <v>35</v>
      </c>
      <c r="G13" t="s">
        <v>33</v>
      </c>
      <c r="H13" t="s">
        <v>267</v>
      </c>
      <c r="I13">
        <v>1000</v>
      </c>
      <c r="J13">
        <v>54</v>
      </c>
      <c r="K13" s="28">
        <v>19297.439399999999</v>
      </c>
      <c r="L13" s="28">
        <v>622336.49879999994</v>
      </c>
      <c r="M13" s="28">
        <v>-603039.05940000003</v>
      </c>
      <c r="N13" s="28">
        <v>19297.439399999999</v>
      </c>
      <c r="O13" s="28">
        <v>622336.49879999994</v>
      </c>
      <c r="P13" s="28">
        <v>-603039.05940000003</v>
      </c>
      <c r="Q13" s="28">
        <v>19297.439399999999</v>
      </c>
      <c r="R13" s="28">
        <v>622336.49879999994</v>
      </c>
      <c r="S13" s="28">
        <v>-603039.05940000003</v>
      </c>
      <c r="T13" s="28">
        <v>19297.439399999999</v>
      </c>
      <c r="U13" s="28">
        <v>622336.49879999994</v>
      </c>
      <c r="V13" s="28">
        <v>-603039.05940000003</v>
      </c>
      <c r="W13" s="28">
        <v>19297.439399999999</v>
      </c>
      <c r="X13" s="28">
        <v>622336.49879999994</v>
      </c>
      <c r="Y13" s="28">
        <v>-603039.05940000003</v>
      </c>
      <c r="Z13" s="28">
        <v>19297.439399999999</v>
      </c>
      <c r="AA13" s="28">
        <v>622336.49879999994</v>
      </c>
      <c r="AB13" s="28">
        <v>-603039.05940000003</v>
      </c>
      <c r="AC13" s="28">
        <v>19297.439399999999</v>
      </c>
      <c r="AD13" s="28">
        <v>622336.49879999994</v>
      </c>
      <c r="AE13" s="28">
        <v>-603039.05940000003</v>
      </c>
      <c r="AF13" s="28">
        <v>19297.439399999999</v>
      </c>
      <c r="AG13" s="28">
        <v>622336.49879999994</v>
      </c>
      <c r="AH13" s="28">
        <v>-603039.05940000003</v>
      </c>
      <c r="AI13" s="28">
        <v>19297.439399999999</v>
      </c>
      <c r="AJ13" s="28">
        <v>622336.49879999994</v>
      </c>
      <c r="AK13" s="28">
        <v>-603039.05940000003</v>
      </c>
      <c r="AL13" s="28">
        <v>19297.439399999999</v>
      </c>
      <c r="AM13" s="28">
        <v>622336.49879999994</v>
      </c>
      <c r="AN13" s="28">
        <v>-603039.05940000003</v>
      </c>
      <c r="AO13" s="28">
        <v>19297.439399999999</v>
      </c>
      <c r="AP13" s="28">
        <v>622336.49879999994</v>
      </c>
      <c r="AQ13" s="28">
        <v>-603039.05940000003</v>
      </c>
      <c r="AR13" s="28">
        <v>19297.439399999999</v>
      </c>
      <c r="AS13" s="28">
        <v>622336.49879999994</v>
      </c>
      <c r="AT13" s="28">
        <v>-603039.05940000003</v>
      </c>
      <c r="AU13" s="28">
        <v>19297.439399999999</v>
      </c>
      <c r="AV13" s="28">
        <v>622336.49879999994</v>
      </c>
      <c r="AW13" s="28">
        <v>-603039.05940000003</v>
      </c>
      <c r="AX13" s="28">
        <v>19297.439399999999</v>
      </c>
      <c r="AY13" s="28">
        <v>622336.49879999994</v>
      </c>
      <c r="AZ13" s="28">
        <v>-603039.05940000003</v>
      </c>
      <c r="BA13" s="28">
        <v>19297.439399999999</v>
      </c>
      <c r="BB13" s="28">
        <v>622336.49879999994</v>
      </c>
      <c r="BC13" s="28">
        <v>-603039.05940000003</v>
      </c>
      <c r="BD13" s="28">
        <v>19297.439399999999</v>
      </c>
      <c r="BE13" s="28">
        <v>622336.49879999994</v>
      </c>
      <c r="BF13" s="28">
        <v>-603039.05940000003</v>
      </c>
      <c r="BG13" s="28">
        <v>19297.439399999999</v>
      </c>
      <c r="BH13" s="28">
        <v>622336.49879999994</v>
      </c>
      <c r="BI13" s="28">
        <v>-603039.05940000003</v>
      </c>
      <c r="BJ13" s="28">
        <v>19297.439399999999</v>
      </c>
      <c r="BK13" s="28">
        <v>622336.49879999994</v>
      </c>
      <c r="BL13" s="28">
        <v>-603039.05940000003</v>
      </c>
      <c r="BM13" s="28">
        <v>19297.439399999999</v>
      </c>
      <c r="BN13" s="28">
        <v>622336.49879999994</v>
      </c>
      <c r="BO13" s="28">
        <v>-603039.05940000003</v>
      </c>
      <c r="BP13" s="28">
        <v>19297.439399999999</v>
      </c>
      <c r="BQ13" s="28">
        <v>622336.49879999994</v>
      </c>
      <c r="BR13" s="28">
        <v>-603039.05940000003</v>
      </c>
      <c r="BS13" s="28">
        <v>19297.439399999999</v>
      </c>
      <c r="BT13" s="28">
        <v>622336.49879999994</v>
      </c>
      <c r="BU13" s="28">
        <v>-603039.05940000003</v>
      </c>
      <c r="BV13" s="28">
        <v>19297.439399999999</v>
      </c>
      <c r="BW13" s="28">
        <v>622336.49879999994</v>
      </c>
      <c r="BX13" s="28">
        <v>-603039.05940000003</v>
      </c>
      <c r="BY13" s="28">
        <v>19297.439399999999</v>
      </c>
      <c r="BZ13" s="28">
        <v>622336.49879999994</v>
      </c>
      <c r="CA13" s="28">
        <v>-603039.05940000003</v>
      </c>
      <c r="CB13" s="28">
        <v>19297.439399999999</v>
      </c>
      <c r="CC13" s="28">
        <v>622336.49879999994</v>
      </c>
      <c r="CD13" s="28">
        <v>-603039.05940000003</v>
      </c>
      <c r="CE13" s="28">
        <v>19297.439399999999</v>
      </c>
      <c r="CF13" s="28">
        <v>622336.49879999994</v>
      </c>
      <c r="CG13" s="28">
        <v>-603039.05940000003</v>
      </c>
      <c r="CH13" s="28">
        <v>19297.439399999999</v>
      </c>
      <c r="CI13" s="28">
        <v>622336.49879999994</v>
      </c>
      <c r="CJ13" s="28">
        <v>-603039.05940000003</v>
      </c>
      <c r="CK13" s="28">
        <v>19297.439399999999</v>
      </c>
      <c r="CL13" s="28">
        <v>622336.49879999994</v>
      </c>
      <c r="CM13" s="28">
        <v>-603039.05940000003</v>
      </c>
      <c r="CN13" s="28">
        <v>19297.439399999999</v>
      </c>
      <c r="CO13" s="28">
        <v>622336.49879999994</v>
      </c>
      <c r="CP13" s="28">
        <v>-603039.05940000003</v>
      </c>
      <c r="CQ13" s="28">
        <v>19297.439399999999</v>
      </c>
      <c r="CR13" s="28">
        <v>622336.49879999994</v>
      </c>
      <c r="CS13" s="28">
        <v>-603039.05940000003</v>
      </c>
      <c r="CT13" s="28">
        <v>19297.439399999999</v>
      </c>
      <c r="CU13" s="28">
        <v>622336.49879999994</v>
      </c>
      <c r="CV13" s="28">
        <v>-603039.05940000003</v>
      </c>
      <c r="CW13" s="28">
        <v>19297.439399999999</v>
      </c>
      <c r="CX13" s="28">
        <v>622336.49879999994</v>
      </c>
      <c r="CY13" s="28">
        <v>-603039.05940000003</v>
      </c>
    </row>
    <row r="14" spans="1:103" x14ac:dyDescent="0.35">
      <c r="A14" t="s">
        <v>151</v>
      </c>
      <c r="B14" t="s">
        <v>274</v>
      </c>
      <c r="C14">
        <v>130160</v>
      </c>
      <c r="D14" t="s">
        <v>297</v>
      </c>
      <c r="E14" t="s">
        <v>274</v>
      </c>
      <c r="F14" t="s">
        <v>35</v>
      </c>
      <c r="G14" t="s">
        <v>33</v>
      </c>
      <c r="H14" t="s">
        <v>267</v>
      </c>
      <c r="I14">
        <v>1000</v>
      </c>
      <c r="J14">
        <v>145</v>
      </c>
      <c r="K14" s="28">
        <v>25262.765100000001</v>
      </c>
      <c r="L14" s="28">
        <v>622933.03130000003</v>
      </c>
      <c r="M14" s="28">
        <v>-597670.26619999995</v>
      </c>
      <c r="N14" s="28">
        <v>25262.765100000001</v>
      </c>
      <c r="O14" s="28">
        <v>622933.03130000003</v>
      </c>
      <c r="P14" s="28">
        <v>-597670.26619999995</v>
      </c>
      <c r="Q14" s="28">
        <v>25262.765100000001</v>
      </c>
      <c r="R14" s="28">
        <v>622933.03130000003</v>
      </c>
      <c r="S14" s="28">
        <v>-597670.26619999995</v>
      </c>
      <c r="T14" s="28">
        <v>25262.765100000001</v>
      </c>
      <c r="U14" s="28">
        <v>622933.03130000003</v>
      </c>
      <c r="V14" s="28">
        <v>-597670.26619999995</v>
      </c>
      <c r="W14" s="28">
        <v>25262.765100000001</v>
      </c>
      <c r="X14" s="28">
        <v>622933.03130000003</v>
      </c>
      <c r="Y14" s="28">
        <v>-597670.26619999995</v>
      </c>
      <c r="Z14" s="28">
        <v>25262.765100000001</v>
      </c>
      <c r="AA14" s="28">
        <v>622933.03130000003</v>
      </c>
      <c r="AB14" s="28">
        <v>-597670.26619999995</v>
      </c>
      <c r="AC14" s="28">
        <v>25262.765100000001</v>
      </c>
      <c r="AD14" s="28">
        <v>622933.03130000003</v>
      </c>
      <c r="AE14" s="28">
        <v>-597670.26619999995</v>
      </c>
      <c r="AF14" s="28">
        <v>25262.765100000001</v>
      </c>
      <c r="AG14" s="28">
        <v>622933.03130000003</v>
      </c>
      <c r="AH14" s="28">
        <v>-597670.26619999995</v>
      </c>
      <c r="AI14" s="28">
        <v>25262.765100000001</v>
      </c>
      <c r="AJ14" s="28">
        <v>622933.03130000003</v>
      </c>
      <c r="AK14" s="28">
        <v>-597670.26619999995</v>
      </c>
      <c r="AL14" s="28">
        <v>25262.765100000001</v>
      </c>
      <c r="AM14" s="28">
        <v>622933.03130000003</v>
      </c>
      <c r="AN14" s="28">
        <v>-597670.26619999995</v>
      </c>
      <c r="AO14" s="28">
        <v>25262.765100000001</v>
      </c>
      <c r="AP14" s="28">
        <v>622933.03130000003</v>
      </c>
      <c r="AQ14" s="28">
        <v>-597670.26619999995</v>
      </c>
      <c r="AR14" s="28">
        <v>25262.765100000001</v>
      </c>
      <c r="AS14" s="28">
        <v>622933.03130000003</v>
      </c>
      <c r="AT14" s="28">
        <v>-597670.26619999995</v>
      </c>
      <c r="AU14" s="28">
        <v>25262.765100000001</v>
      </c>
      <c r="AV14" s="28">
        <v>622933.03130000003</v>
      </c>
      <c r="AW14" s="28">
        <v>-597670.26619999995</v>
      </c>
      <c r="AX14" s="28">
        <v>25262.765100000001</v>
      </c>
      <c r="AY14" s="28">
        <v>622933.03130000003</v>
      </c>
      <c r="AZ14" s="28">
        <v>-597670.26619999995</v>
      </c>
      <c r="BA14" s="28">
        <v>25262.765100000001</v>
      </c>
      <c r="BB14" s="28">
        <v>622933.03130000003</v>
      </c>
      <c r="BC14" s="28">
        <v>-597670.26619999995</v>
      </c>
      <c r="BD14" s="28">
        <v>25262.765100000001</v>
      </c>
      <c r="BE14" s="28">
        <v>622933.03130000003</v>
      </c>
      <c r="BF14" s="28">
        <v>-597670.26619999995</v>
      </c>
      <c r="BG14" s="28">
        <v>25262.765100000001</v>
      </c>
      <c r="BH14" s="28">
        <v>622933.03130000003</v>
      </c>
      <c r="BI14" s="28">
        <v>-597670.26619999995</v>
      </c>
      <c r="BJ14" s="28">
        <v>25262.765100000001</v>
      </c>
      <c r="BK14" s="28">
        <v>622933.03130000003</v>
      </c>
      <c r="BL14" s="28">
        <v>-597670.26619999995</v>
      </c>
      <c r="BM14" s="28">
        <v>25262.765100000001</v>
      </c>
      <c r="BN14" s="28">
        <v>622933.03130000003</v>
      </c>
      <c r="BO14" s="28">
        <v>-597670.26619999995</v>
      </c>
      <c r="BP14" s="28">
        <v>25262.765100000001</v>
      </c>
      <c r="BQ14" s="28">
        <v>622933.03130000003</v>
      </c>
      <c r="BR14" s="28">
        <v>-597670.26619999995</v>
      </c>
      <c r="BS14" s="28">
        <v>25262.765100000001</v>
      </c>
      <c r="BT14" s="28">
        <v>622933.03130000003</v>
      </c>
      <c r="BU14" s="28">
        <v>-597670.26619999995</v>
      </c>
      <c r="BV14" s="28">
        <v>25262.765100000001</v>
      </c>
      <c r="BW14" s="28">
        <v>622933.03130000003</v>
      </c>
      <c r="BX14" s="28">
        <v>-597670.26619999995</v>
      </c>
      <c r="BY14" s="28">
        <v>25262.765100000001</v>
      </c>
      <c r="BZ14" s="28">
        <v>622933.03130000003</v>
      </c>
      <c r="CA14" s="28">
        <v>-597670.26619999995</v>
      </c>
      <c r="CB14" s="28">
        <v>25262.765100000001</v>
      </c>
      <c r="CC14" s="28">
        <v>622933.03130000003</v>
      </c>
      <c r="CD14" s="28">
        <v>-597670.26619999995</v>
      </c>
      <c r="CE14" s="28">
        <v>25262.765100000001</v>
      </c>
      <c r="CF14" s="28">
        <v>622933.03130000003</v>
      </c>
      <c r="CG14" s="28">
        <v>-597670.26619999995</v>
      </c>
      <c r="CH14" s="28">
        <v>25262.765100000001</v>
      </c>
      <c r="CI14" s="28">
        <v>622933.03130000003</v>
      </c>
      <c r="CJ14" s="28">
        <v>-597670.26619999995</v>
      </c>
      <c r="CK14" s="28">
        <v>25262.765100000001</v>
      </c>
      <c r="CL14" s="28">
        <v>622933.03130000003</v>
      </c>
      <c r="CM14" s="28">
        <v>-597670.26619999995</v>
      </c>
      <c r="CN14" s="28">
        <v>25262.765100000001</v>
      </c>
      <c r="CO14" s="28">
        <v>622933.03130000003</v>
      </c>
      <c r="CP14" s="28">
        <v>-597670.26619999995</v>
      </c>
      <c r="CQ14" s="28">
        <v>25262.765100000001</v>
      </c>
      <c r="CR14" s="28">
        <v>622933.03130000003</v>
      </c>
      <c r="CS14" s="28">
        <v>-597670.26619999995</v>
      </c>
      <c r="CT14" s="28">
        <v>25262.765100000001</v>
      </c>
      <c r="CU14" s="28">
        <v>622933.03130000003</v>
      </c>
      <c r="CV14" s="28">
        <v>-597670.26619999995</v>
      </c>
      <c r="CW14" s="28">
        <v>25262.765100000001</v>
      </c>
      <c r="CX14" s="28">
        <v>622933.03130000003</v>
      </c>
      <c r="CY14" s="28">
        <v>-597670.26619999995</v>
      </c>
    </row>
    <row r="15" spans="1:103" x14ac:dyDescent="0.35">
      <c r="A15" t="s">
        <v>156</v>
      </c>
      <c r="B15" t="s">
        <v>275</v>
      </c>
      <c r="C15">
        <v>130360</v>
      </c>
      <c r="D15" t="s">
        <v>299</v>
      </c>
      <c r="E15" t="s">
        <v>275</v>
      </c>
      <c r="F15" t="s">
        <v>35</v>
      </c>
      <c r="G15" t="s">
        <v>33</v>
      </c>
      <c r="H15" t="s">
        <v>267</v>
      </c>
      <c r="I15">
        <v>1000</v>
      </c>
      <c r="J15">
        <v>311</v>
      </c>
      <c r="K15" s="28">
        <v>36144.568099999997</v>
      </c>
      <c r="L15" s="28">
        <v>624021.21160000004</v>
      </c>
      <c r="M15" s="28">
        <v>-587876.64359999995</v>
      </c>
      <c r="N15" s="28">
        <v>36144.568099999997</v>
      </c>
      <c r="O15" s="28">
        <v>624021.21160000004</v>
      </c>
      <c r="P15" s="28">
        <v>-587876.64359999995</v>
      </c>
      <c r="Q15" s="28">
        <v>36144.568099999997</v>
      </c>
      <c r="R15" s="28">
        <v>624021.21160000004</v>
      </c>
      <c r="S15" s="28">
        <v>-587876.64359999995</v>
      </c>
      <c r="T15" s="28">
        <v>36144.568099999997</v>
      </c>
      <c r="U15" s="28">
        <v>624021.21160000004</v>
      </c>
      <c r="V15" s="28">
        <v>-587876.64359999995</v>
      </c>
      <c r="W15" s="28">
        <v>36144.568099999997</v>
      </c>
      <c r="X15" s="28">
        <v>624021.21160000004</v>
      </c>
      <c r="Y15" s="28">
        <v>-587876.64359999995</v>
      </c>
      <c r="Z15" s="28">
        <v>36144.568099999997</v>
      </c>
      <c r="AA15" s="28">
        <v>624021.21160000004</v>
      </c>
      <c r="AB15" s="28">
        <v>-587876.64359999995</v>
      </c>
      <c r="AC15" s="28">
        <v>36144.568099999997</v>
      </c>
      <c r="AD15" s="28">
        <v>624021.21160000004</v>
      </c>
      <c r="AE15" s="28">
        <v>-587876.64359999995</v>
      </c>
      <c r="AF15" s="28">
        <v>36144.568099999997</v>
      </c>
      <c r="AG15" s="28">
        <v>624021.21160000004</v>
      </c>
      <c r="AH15" s="28">
        <v>-587876.64359999995</v>
      </c>
      <c r="AI15" s="28">
        <v>36144.568099999997</v>
      </c>
      <c r="AJ15" s="28">
        <v>624021.21160000004</v>
      </c>
      <c r="AK15" s="28">
        <v>-587876.64359999995</v>
      </c>
      <c r="AL15" s="28">
        <v>36144.568099999997</v>
      </c>
      <c r="AM15" s="28">
        <v>624021.21160000004</v>
      </c>
      <c r="AN15" s="28">
        <v>-587876.64359999995</v>
      </c>
      <c r="AO15" s="28">
        <v>36144.568099999997</v>
      </c>
      <c r="AP15" s="28">
        <v>624021.21160000004</v>
      </c>
      <c r="AQ15" s="28">
        <v>-587876.64359999995</v>
      </c>
      <c r="AR15" s="28">
        <v>36144.568099999997</v>
      </c>
      <c r="AS15" s="28">
        <v>624021.21160000004</v>
      </c>
      <c r="AT15" s="28">
        <v>-587876.64359999995</v>
      </c>
      <c r="AU15" s="28">
        <v>36144.568099999997</v>
      </c>
      <c r="AV15" s="28">
        <v>624021.21160000004</v>
      </c>
      <c r="AW15" s="28">
        <v>-587876.64359999995</v>
      </c>
      <c r="AX15" s="28">
        <v>36144.568099999997</v>
      </c>
      <c r="AY15" s="28">
        <v>624021.21160000004</v>
      </c>
      <c r="AZ15" s="28">
        <v>-587876.64359999995</v>
      </c>
      <c r="BA15" s="28">
        <v>36144.568099999997</v>
      </c>
      <c r="BB15" s="28">
        <v>624021.21160000004</v>
      </c>
      <c r="BC15" s="28">
        <v>-587876.64359999995</v>
      </c>
      <c r="BD15" s="28">
        <v>36144.568099999997</v>
      </c>
      <c r="BE15" s="28">
        <v>624021.21160000004</v>
      </c>
      <c r="BF15" s="28">
        <v>-587876.64359999995</v>
      </c>
      <c r="BG15" s="28">
        <v>36144.568099999997</v>
      </c>
      <c r="BH15" s="28">
        <v>624021.21160000004</v>
      </c>
      <c r="BI15" s="28">
        <v>-587876.64359999995</v>
      </c>
      <c r="BJ15" s="28">
        <v>36144.568099999997</v>
      </c>
      <c r="BK15" s="28">
        <v>624021.21160000004</v>
      </c>
      <c r="BL15" s="28">
        <v>-587876.64359999995</v>
      </c>
      <c r="BM15" s="28">
        <v>36144.568099999997</v>
      </c>
      <c r="BN15" s="28">
        <v>624021.21160000004</v>
      </c>
      <c r="BO15" s="28">
        <v>-587876.64359999995</v>
      </c>
      <c r="BP15" s="28">
        <v>36144.568099999997</v>
      </c>
      <c r="BQ15" s="28">
        <v>624021.21160000004</v>
      </c>
      <c r="BR15" s="28">
        <v>-587876.64359999995</v>
      </c>
      <c r="BS15" s="28">
        <v>36144.568099999997</v>
      </c>
      <c r="BT15" s="28">
        <v>624021.21160000004</v>
      </c>
      <c r="BU15" s="28">
        <v>-587876.64359999995</v>
      </c>
      <c r="BV15" s="28">
        <v>36144.568099999997</v>
      </c>
      <c r="BW15" s="28">
        <v>624021.21160000004</v>
      </c>
      <c r="BX15" s="28">
        <v>-587876.64359999995</v>
      </c>
      <c r="BY15" s="28">
        <v>36144.568099999997</v>
      </c>
      <c r="BZ15" s="28">
        <v>624021.21160000004</v>
      </c>
      <c r="CA15" s="28">
        <v>-587876.64359999995</v>
      </c>
      <c r="CB15" s="28">
        <v>36144.568099999997</v>
      </c>
      <c r="CC15" s="28">
        <v>624021.21160000004</v>
      </c>
      <c r="CD15" s="28">
        <v>-587876.64359999995</v>
      </c>
      <c r="CE15" s="28">
        <v>36144.568099999997</v>
      </c>
      <c r="CF15" s="28">
        <v>624021.21160000004</v>
      </c>
      <c r="CG15" s="28">
        <v>-587876.64359999995</v>
      </c>
      <c r="CH15" s="28">
        <v>36144.568099999997</v>
      </c>
      <c r="CI15" s="28">
        <v>624021.21160000004</v>
      </c>
      <c r="CJ15" s="28">
        <v>-587876.64359999995</v>
      </c>
      <c r="CK15" s="28">
        <v>36144.568099999997</v>
      </c>
      <c r="CL15" s="28">
        <v>624021.21160000004</v>
      </c>
      <c r="CM15" s="28">
        <v>-587876.64359999995</v>
      </c>
      <c r="CN15" s="28">
        <v>36144.568099999997</v>
      </c>
      <c r="CO15" s="28">
        <v>624021.21160000004</v>
      </c>
      <c r="CP15" s="28">
        <v>-587876.64359999995</v>
      </c>
      <c r="CQ15" s="28">
        <v>36144.568099999997</v>
      </c>
      <c r="CR15" s="28">
        <v>624021.21160000004</v>
      </c>
      <c r="CS15" s="28">
        <v>-587876.64359999995</v>
      </c>
      <c r="CT15" s="28">
        <v>36144.568099999997</v>
      </c>
      <c r="CU15" s="28">
        <v>624021.21160000004</v>
      </c>
      <c r="CV15" s="28">
        <v>-587876.64359999995</v>
      </c>
      <c r="CW15" s="28">
        <v>36144.568099999997</v>
      </c>
      <c r="CX15" s="28">
        <v>624021.21160000004</v>
      </c>
      <c r="CY15" s="28">
        <v>-587876.64359999995</v>
      </c>
    </row>
    <row r="16" spans="1:103" x14ac:dyDescent="0.35">
      <c r="A16" t="s">
        <v>160</v>
      </c>
      <c r="B16" t="s">
        <v>276</v>
      </c>
      <c r="C16">
        <v>130014</v>
      </c>
      <c r="D16" t="s">
        <v>300</v>
      </c>
      <c r="E16" t="s">
        <v>276</v>
      </c>
      <c r="F16" t="s">
        <v>35</v>
      </c>
      <c r="G16" t="s">
        <v>33</v>
      </c>
      <c r="H16" t="s">
        <v>267</v>
      </c>
      <c r="I16">
        <v>1000</v>
      </c>
      <c r="J16">
        <v>250</v>
      </c>
      <c r="K16" s="28">
        <v>32145.833299999998</v>
      </c>
      <c r="L16" s="28">
        <v>623621.3382</v>
      </c>
      <c r="M16" s="28">
        <v>-591475.50490000006</v>
      </c>
      <c r="N16" s="28">
        <v>32145.833299999998</v>
      </c>
      <c r="O16" s="28">
        <v>623621.3382</v>
      </c>
      <c r="P16" s="28">
        <v>-591475.50490000006</v>
      </c>
      <c r="Q16" s="28">
        <v>32145.833299999998</v>
      </c>
      <c r="R16" s="28">
        <v>623621.3382</v>
      </c>
      <c r="S16" s="28">
        <v>-591475.50490000006</v>
      </c>
      <c r="T16" s="28">
        <v>32145.833299999998</v>
      </c>
      <c r="U16" s="28">
        <v>623621.3382</v>
      </c>
      <c r="V16" s="28">
        <v>-591475.50490000006</v>
      </c>
      <c r="W16" s="28">
        <v>32145.833299999998</v>
      </c>
      <c r="X16" s="28">
        <v>623621.3382</v>
      </c>
      <c r="Y16" s="28">
        <v>-591475.50490000006</v>
      </c>
      <c r="Z16" s="28">
        <v>32145.833299999998</v>
      </c>
      <c r="AA16" s="28">
        <v>623621.3382</v>
      </c>
      <c r="AB16" s="28">
        <v>-591475.50490000006</v>
      </c>
      <c r="AC16" s="28">
        <v>32145.833299999998</v>
      </c>
      <c r="AD16" s="28">
        <v>623621.3382</v>
      </c>
      <c r="AE16" s="28">
        <v>-591475.50490000006</v>
      </c>
      <c r="AF16" s="28">
        <v>32145.833299999998</v>
      </c>
      <c r="AG16" s="28">
        <v>623621.3382</v>
      </c>
      <c r="AH16" s="28">
        <v>-591475.50490000006</v>
      </c>
      <c r="AI16" s="28">
        <v>32145.833299999998</v>
      </c>
      <c r="AJ16" s="28">
        <v>623621.3382</v>
      </c>
      <c r="AK16" s="28">
        <v>-591475.50490000006</v>
      </c>
      <c r="AL16" s="28">
        <v>32145.833299999998</v>
      </c>
      <c r="AM16" s="28">
        <v>623621.3382</v>
      </c>
      <c r="AN16" s="28">
        <v>-591475.50490000006</v>
      </c>
      <c r="AO16" s="28">
        <v>32145.833299999998</v>
      </c>
      <c r="AP16" s="28">
        <v>623621.3382</v>
      </c>
      <c r="AQ16" s="28">
        <v>-591475.50490000006</v>
      </c>
      <c r="AR16" s="28">
        <v>32145.833299999998</v>
      </c>
      <c r="AS16" s="28">
        <v>623621.3382</v>
      </c>
      <c r="AT16" s="28">
        <v>-591475.50490000006</v>
      </c>
      <c r="AU16" s="28">
        <v>32145.833299999998</v>
      </c>
      <c r="AV16" s="28">
        <v>623621.3382</v>
      </c>
      <c r="AW16" s="28">
        <v>-591475.50490000006</v>
      </c>
      <c r="AX16" s="28">
        <v>32145.833299999998</v>
      </c>
      <c r="AY16" s="28">
        <v>623621.3382</v>
      </c>
      <c r="AZ16" s="28">
        <v>-591475.50490000006</v>
      </c>
      <c r="BA16" s="28">
        <v>32145.833299999998</v>
      </c>
      <c r="BB16" s="28">
        <v>623621.3382</v>
      </c>
      <c r="BC16" s="28">
        <v>-591475.50490000006</v>
      </c>
      <c r="BD16" s="28">
        <v>32145.833299999998</v>
      </c>
      <c r="BE16" s="28">
        <v>623621.3382</v>
      </c>
      <c r="BF16" s="28">
        <v>-591475.50490000006</v>
      </c>
      <c r="BG16" s="28">
        <v>32145.833299999998</v>
      </c>
      <c r="BH16" s="28">
        <v>623621.3382</v>
      </c>
      <c r="BI16" s="28">
        <v>-591475.50490000006</v>
      </c>
      <c r="BJ16" s="28">
        <v>32145.833299999998</v>
      </c>
      <c r="BK16" s="28">
        <v>623621.3382</v>
      </c>
      <c r="BL16" s="28">
        <v>-591475.50490000006</v>
      </c>
      <c r="BM16" s="28">
        <v>32145.833299999998</v>
      </c>
      <c r="BN16" s="28">
        <v>623621.3382</v>
      </c>
      <c r="BO16" s="28">
        <v>-591475.50490000006</v>
      </c>
      <c r="BP16" s="28">
        <v>32145.833299999998</v>
      </c>
      <c r="BQ16" s="28">
        <v>623621.3382</v>
      </c>
      <c r="BR16" s="28">
        <v>-591475.50490000006</v>
      </c>
      <c r="BS16" s="28">
        <v>32145.833299999998</v>
      </c>
      <c r="BT16" s="28">
        <v>623621.3382</v>
      </c>
      <c r="BU16" s="28">
        <v>-591475.50490000006</v>
      </c>
      <c r="BV16" s="28">
        <v>32145.833299999998</v>
      </c>
      <c r="BW16" s="28">
        <v>623621.3382</v>
      </c>
      <c r="BX16" s="28">
        <v>-591475.50490000006</v>
      </c>
      <c r="BY16" s="28">
        <v>32145.833299999998</v>
      </c>
      <c r="BZ16" s="28">
        <v>623621.3382</v>
      </c>
      <c r="CA16" s="28">
        <v>-591475.50490000006</v>
      </c>
      <c r="CB16" s="28">
        <v>32145.833299999998</v>
      </c>
      <c r="CC16" s="28">
        <v>623621.3382</v>
      </c>
      <c r="CD16" s="28">
        <v>-591475.50490000006</v>
      </c>
      <c r="CE16" s="28">
        <v>32145.833299999998</v>
      </c>
      <c r="CF16" s="28">
        <v>623621.3382</v>
      </c>
      <c r="CG16" s="28">
        <v>-591475.50490000006</v>
      </c>
      <c r="CH16" s="28">
        <v>32145.833299999998</v>
      </c>
      <c r="CI16" s="28">
        <v>623621.3382</v>
      </c>
      <c r="CJ16" s="28">
        <v>-591475.50490000006</v>
      </c>
      <c r="CK16" s="28">
        <v>32145.833299999998</v>
      </c>
      <c r="CL16" s="28">
        <v>623621.3382</v>
      </c>
      <c r="CM16" s="28">
        <v>-591475.50490000006</v>
      </c>
      <c r="CN16" s="28">
        <v>32145.833299999998</v>
      </c>
      <c r="CO16" s="28">
        <v>623621.3382</v>
      </c>
      <c r="CP16" s="28">
        <v>-591475.50490000006</v>
      </c>
      <c r="CQ16" s="28">
        <v>32145.833299999998</v>
      </c>
      <c r="CR16" s="28">
        <v>623621.3382</v>
      </c>
      <c r="CS16" s="28">
        <v>-591475.50490000006</v>
      </c>
      <c r="CT16" s="28">
        <v>32145.833299999998</v>
      </c>
      <c r="CU16" s="28">
        <v>623621.3382</v>
      </c>
      <c r="CV16" s="28">
        <v>-591475.50490000006</v>
      </c>
      <c r="CW16" s="28">
        <v>32145.833299999998</v>
      </c>
      <c r="CX16" s="28">
        <v>623621.3382</v>
      </c>
      <c r="CY16" s="28">
        <v>-591475.50490000006</v>
      </c>
    </row>
    <row r="17" spans="1:103" x14ac:dyDescent="0.35">
      <c r="A17" t="s">
        <v>161</v>
      </c>
      <c r="B17" t="s">
        <v>269</v>
      </c>
      <c r="C17">
        <v>510677</v>
      </c>
      <c r="D17" t="s">
        <v>301</v>
      </c>
      <c r="E17" t="s">
        <v>269</v>
      </c>
      <c r="F17" t="s">
        <v>37</v>
      </c>
      <c r="G17" t="s">
        <v>33</v>
      </c>
      <c r="H17" t="s">
        <v>267</v>
      </c>
      <c r="I17">
        <v>1000</v>
      </c>
      <c r="J17">
        <v>62.5</v>
      </c>
      <c r="K17" s="28">
        <v>19854.640100000001</v>
      </c>
      <c r="L17" s="28">
        <v>544793.52280000004</v>
      </c>
      <c r="M17" s="28">
        <v>-524938.88269999996</v>
      </c>
      <c r="N17" s="28">
        <v>19854.640100000001</v>
      </c>
      <c r="O17" s="28">
        <v>544793.52280000004</v>
      </c>
      <c r="P17" s="28">
        <v>-524938.88269999996</v>
      </c>
      <c r="Q17" s="28">
        <v>19854.640100000001</v>
      </c>
      <c r="R17" s="28">
        <v>544793.52280000004</v>
      </c>
      <c r="S17" s="28">
        <v>-524938.88269999996</v>
      </c>
      <c r="T17" s="28">
        <v>19854.640100000001</v>
      </c>
      <c r="U17" s="28">
        <v>544793.52280000004</v>
      </c>
      <c r="V17" s="28">
        <v>-524938.88269999996</v>
      </c>
      <c r="W17" s="28">
        <v>19854.640100000001</v>
      </c>
      <c r="X17" s="28">
        <v>544793.52280000004</v>
      </c>
      <c r="Y17" s="28">
        <v>-524938.88269999996</v>
      </c>
      <c r="Z17" s="28">
        <v>19854.640100000001</v>
      </c>
      <c r="AA17" s="28">
        <v>544793.52280000004</v>
      </c>
      <c r="AB17" s="28">
        <v>-524938.88269999996</v>
      </c>
      <c r="AC17" s="28">
        <v>19854.640100000001</v>
      </c>
      <c r="AD17" s="28">
        <v>544793.52280000004</v>
      </c>
      <c r="AE17" s="28">
        <v>-524938.88269999996</v>
      </c>
      <c r="AF17" s="28">
        <v>19854.640100000001</v>
      </c>
      <c r="AG17" s="28">
        <v>544793.52280000004</v>
      </c>
      <c r="AH17" s="28">
        <v>-524938.88269999996</v>
      </c>
      <c r="AI17" s="28">
        <v>19854.640100000001</v>
      </c>
      <c r="AJ17" s="28">
        <v>544793.52280000004</v>
      </c>
      <c r="AK17" s="28">
        <v>-524938.88269999996</v>
      </c>
      <c r="AL17" s="28">
        <v>19854.640100000001</v>
      </c>
      <c r="AM17" s="28">
        <v>544793.52280000004</v>
      </c>
      <c r="AN17" s="28">
        <v>-524938.88269999996</v>
      </c>
      <c r="AO17" s="28">
        <v>19854.640100000001</v>
      </c>
      <c r="AP17" s="28">
        <v>544793.52280000004</v>
      </c>
      <c r="AQ17" s="28">
        <v>-524938.88269999996</v>
      </c>
      <c r="AR17" s="28">
        <v>19854.640100000001</v>
      </c>
      <c r="AS17" s="28">
        <v>544793.52280000004</v>
      </c>
      <c r="AT17" s="28">
        <v>-524938.88269999996</v>
      </c>
      <c r="AU17" s="28">
        <v>19854.640100000001</v>
      </c>
      <c r="AV17" s="28">
        <v>544793.52280000004</v>
      </c>
      <c r="AW17" s="28">
        <v>-524938.88269999996</v>
      </c>
      <c r="AX17" s="28">
        <v>19854.640100000001</v>
      </c>
      <c r="AY17" s="28">
        <v>544793.52280000004</v>
      </c>
      <c r="AZ17" s="28">
        <v>-524938.88269999996</v>
      </c>
      <c r="BA17" s="28">
        <v>19854.640100000001</v>
      </c>
      <c r="BB17" s="28">
        <v>544793.52280000004</v>
      </c>
      <c r="BC17" s="28">
        <v>-524938.88269999996</v>
      </c>
      <c r="BD17" s="28">
        <v>19854.640100000001</v>
      </c>
      <c r="BE17" s="28">
        <v>544793.52280000004</v>
      </c>
      <c r="BF17" s="28">
        <v>-524938.88269999996</v>
      </c>
      <c r="BG17" s="28">
        <v>19854.640100000001</v>
      </c>
      <c r="BH17" s="28">
        <v>544793.52280000004</v>
      </c>
      <c r="BI17" s="28">
        <v>-524938.88269999996</v>
      </c>
      <c r="BJ17" s="28">
        <v>19854.640100000001</v>
      </c>
      <c r="BK17" s="28">
        <v>544793.52280000004</v>
      </c>
      <c r="BL17" s="28">
        <v>-524938.88269999996</v>
      </c>
      <c r="BM17" s="28">
        <v>19854.640100000001</v>
      </c>
      <c r="BN17" s="28">
        <v>544793.52280000004</v>
      </c>
      <c r="BO17" s="28">
        <v>-524938.88269999996</v>
      </c>
      <c r="BP17" s="28">
        <v>19854.640100000001</v>
      </c>
      <c r="BQ17" s="28">
        <v>544793.52280000004</v>
      </c>
      <c r="BR17" s="28">
        <v>-524938.88269999996</v>
      </c>
      <c r="BS17" s="28">
        <v>19854.640100000001</v>
      </c>
      <c r="BT17" s="28">
        <v>544793.52280000004</v>
      </c>
      <c r="BU17" s="28">
        <v>-524938.88269999996</v>
      </c>
      <c r="BV17" s="28">
        <v>19854.640100000001</v>
      </c>
      <c r="BW17" s="28">
        <v>544793.52280000004</v>
      </c>
      <c r="BX17" s="28">
        <v>-524938.88269999996</v>
      </c>
      <c r="BY17" s="28">
        <v>19854.640100000001</v>
      </c>
      <c r="BZ17" s="28">
        <v>544793.52280000004</v>
      </c>
      <c r="CA17" s="28">
        <v>-524938.88269999996</v>
      </c>
      <c r="CB17" s="28">
        <v>19854.640100000001</v>
      </c>
      <c r="CC17" s="28">
        <v>544793.52280000004</v>
      </c>
      <c r="CD17" s="28">
        <v>-524938.88269999996</v>
      </c>
      <c r="CE17" s="28">
        <v>19854.640100000001</v>
      </c>
      <c r="CF17" s="28">
        <v>544793.52280000004</v>
      </c>
      <c r="CG17" s="28">
        <v>-524938.88269999996</v>
      </c>
      <c r="CH17" s="28">
        <v>19854.640100000001</v>
      </c>
      <c r="CI17" s="28">
        <v>544793.52280000004</v>
      </c>
      <c r="CJ17" s="28">
        <v>-524938.88269999996</v>
      </c>
      <c r="CK17" s="28">
        <v>19854.640100000001</v>
      </c>
      <c r="CL17" s="28">
        <v>544793.52280000004</v>
      </c>
      <c r="CM17" s="28">
        <v>-524938.88269999996</v>
      </c>
      <c r="CN17" s="28">
        <v>19854.640100000001</v>
      </c>
      <c r="CO17" s="28">
        <v>544793.52280000004</v>
      </c>
      <c r="CP17" s="28">
        <v>-524938.88269999996</v>
      </c>
      <c r="CQ17" s="28">
        <v>19854.640100000001</v>
      </c>
      <c r="CR17" s="28">
        <v>544793.52280000004</v>
      </c>
      <c r="CS17" s="28">
        <v>-524938.88269999996</v>
      </c>
      <c r="CT17" s="28">
        <v>19854.640100000001</v>
      </c>
      <c r="CU17" s="28">
        <v>544793.52280000004</v>
      </c>
      <c r="CV17" s="28">
        <v>-524938.88269999996</v>
      </c>
      <c r="CW17" s="28">
        <v>19854.640100000001</v>
      </c>
      <c r="CX17" s="28">
        <v>544793.52280000004</v>
      </c>
      <c r="CY17" s="28">
        <v>-524938.88269999996</v>
      </c>
    </row>
    <row r="24" spans="1:103" x14ac:dyDescent="0.35">
      <c r="A24" s="63" t="s">
        <v>354</v>
      </c>
    </row>
  </sheetData>
  <autoFilter ref="A2:CY17" xr:uid="{69766A43-29B1-4800-B19B-72E7F9AB5448}"/>
  <hyperlinks>
    <hyperlink ref="A24" location="Introdução!A1" display="Introdução!A1" xr:uid="{C4CE335B-F45A-4161-A247-E11E1F81C619}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D079-8E36-4A56-85C3-959E1DBB286D}">
  <sheetPr codeName="Planilha25">
    <tabColor rgb="FF92D050"/>
    <pageSetUpPr autoPageBreaks="0"/>
  </sheetPr>
  <dimension ref="A1:BS44"/>
  <sheetViews>
    <sheetView showGridLines="0" workbookViewId="0">
      <selection activeCell="A10" sqref="A10:XFD10"/>
    </sheetView>
  </sheetViews>
  <sheetFormatPr defaultColWidth="9.1796875" defaultRowHeight="14.5" x14ac:dyDescent="0.35"/>
  <cols>
    <col min="1" max="1" width="7.7265625" customWidth="1"/>
    <col min="2" max="2" width="75.7265625" customWidth="1"/>
    <col min="3" max="3" width="15.7265625" customWidth="1"/>
    <col min="4" max="4" width="5.7265625" customWidth="1"/>
    <col min="5" max="5" width="20.7265625" style="3" customWidth="1"/>
    <col min="6" max="6" width="8.453125" customWidth="1"/>
    <col min="7" max="7" width="11.26953125" style="55" bestFit="1" customWidth="1"/>
    <col min="8" max="24" width="10.7265625" style="55" customWidth="1"/>
    <col min="25" max="25" width="12.453125" style="55" customWidth="1"/>
    <col min="26" max="37" width="10.7265625" style="55" customWidth="1"/>
    <col min="38" max="38" width="14" customWidth="1"/>
    <col min="39" max="56" width="15.7265625" bestFit="1" customWidth="1"/>
    <col min="57" max="57" width="15.1796875" customWidth="1"/>
    <col min="58" max="58" width="17.1796875" customWidth="1"/>
    <col min="59" max="59" width="14.1796875" customWidth="1"/>
    <col min="61" max="61" width="13.453125" bestFit="1" customWidth="1"/>
    <col min="62" max="62" width="15.81640625" bestFit="1" customWidth="1"/>
    <col min="63" max="63" width="14.81640625" bestFit="1" customWidth="1"/>
    <col min="64" max="66" width="15.81640625" bestFit="1" customWidth="1"/>
    <col min="67" max="67" width="14.81640625" bestFit="1" customWidth="1"/>
    <col min="68" max="69" width="15.81640625" bestFit="1" customWidth="1"/>
    <col min="70" max="72" width="14.81640625" bestFit="1" customWidth="1"/>
    <col min="73" max="77" width="15.81640625" bestFit="1" customWidth="1"/>
    <col min="78" max="78" width="14.81640625" bestFit="1" customWidth="1"/>
    <col min="79" max="79" width="14.7265625" bestFit="1" customWidth="1"/>
    <col min="80" max="80" width="10.7265625" customWidth="1"/>
    <col min="81" max="81" width="14.54296875" customWidth="1"/>
    <col min="83" max="104" width="13.54296875" bestFit="1" customWidth="1"/>
    <col min="105" max="114" width="13.54296875" customWidth="1"/>
    <col min="117" max="117" width="15.81640625" bestFit="1" customWidth="1"/>
    <col min="118" max="118" width="14.81640625" bestFit="1" customWidth="1"/>
    <col min="119" max="121" width="15.81640625" bestFit="1" customWidth="1"/>
    <col min="122" max="122" width="14.81640625" bestFit="1" customWidth="1"/>
    <col min="123" max="125" width="15.81640625" bestFit="1" customWidth="1"/>
    <col min="126" max="126" width="14.81640625" bestFit="1" customWidth="1"/>
    <col min="127" max="127" width="15.81640625" bestFit="1" customWidth="1"/>
    <col min="128" max="128" width="14.81640625" bestFit="1" customWidth="1"/>
    <col min="129" max="133" width="15.81640625" bestFit="1" customWidth="1"/>
    <col min="134" max="134" width="14.81640625" bestFit="1" customWidth="1"/>
    <col min="135" max="135" width="14.7265625" bestFit="1" customWidth="1"/>
    <col min="136" max="136" width="12.7265625" bestFit="1" customWidth="1"/>
    <col min="137" max="147" width="14.54296875" customWidth="1"/>
    <col min="16357" max="16357" width="28" bestFit="1" customWidth="1"/>
  </cols>
  <sheetData>
    <row r="1" spans="1:69" ht="21.5" thickBot="1" x14ac:dyDescent="0.4">
      <c r="A1" s="30"/>
      <c r="G1" s="50" t="s">
        <v>288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M1" s="51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5" customHeight="1" x14ac:dyDescent="0.35">
      <c r="A2" s="31" t="s">
        <v>0</v>
      </c>
      <c r="B2" s="31" t="s">
        <v>1</v>
      </c>
      <c r="C2" s="31" t="s">
        <v>2</v>
      </c>
      <c r="D2" s="31"/>
      <c r="E2" s="32" t="s">
        <v>5</v>
      </c>
      <c r="F2" t="s">
        <v>0</v>
      </c>
      <c r="G2" s="33">
        <v>2022</v>
      </c>
      <c r="H2" s="33">
        <v>2023</v>
      </c>
      <c r="I2" s="33">
        <v>2024</v>
      </c>
      <c r="J2" s="33">
        <v>2025</v>
      </c>
      <c r="K2" s="33">
        <v>2026</v>
      </c>
      <c r="L2" s="33">
        <v>2027</v>
      </c>
      <c r="M2" s="33">
        <v>2028</v>
      </c>
      <c r="N2" s="33">
        <v>2029</v>
      </c>
      <c r="O2" s="33">
        <v>2030</v>
      </c>
      <c r="P2" s="33">
        <v>2031</v>
      </c>
      <c r="Q2" s="33">
        <v>2032</v>
      </c>
      <c r="R2" s="33">
        <v>2033</v>
      </c>
      <c r="S2" s="33">
        <v>2034</v>
      </c>
      <c r="T2" s="33">
        <v>2035</v>
      </c>
      <c r="U2" s="33">
        <v>2036</v>
      </c>
      <c r="V2" s="33">
        <v>2037</v>
      </c>
      <c r="W2" s="33">
        <v>2038</v>
      </c>
      <c r="X2" s="33">
        <v>2039</v>
      </c>
      <c r="Y2" s="33">
        <v>2040</v>
      </c>
      <c r="Z2" s="33">
        <v>2041</v>
      </c>
      <c r="AA2" s="34">
        <v>2042</v>
      </c>
      <c r="AB2" s="33">
        <v>2043</v>
      </c>
      <c r="AC2" s="34">
        <v>2044</v>
      </c>
      <c r="AD2" s="33">
        <v>2045</v>
      </c>
      <c r="AE2" s="34">
        <v>2046</v>
      </c>
      <c r="AF2" s="33">
        <v>2047</v>
      </c>
      <c r="AG2" s="34">
        <v>2048</v>
      </c>
      <c r="AH2" s="33">
        <v>2049</v>
      </c>
      <c r="AI2" s="34">
        <v>2050</v>
      </c>
      <c r="AJ2" s="33">
        <v>2051</v>
      </c>
      <c r="AK2" s="34">
        <v>2052</v>
      </c>
      <c r="AL2" s="52"/>
      <c r="AM2" s="33">
        <v>2022</v>
      </c>
      <c r="AN2" s="33">
        <v>2023</v>
      </c>
      <c r="AO2" s="33">
        <v>2024</v>
      </c>
      <c r="AP2" s="33">
        <v>2025</v>
      </c>
      <c r="AQ2" s="33">
        <v>2026</v>
      </c>
      <c r="AR2" s="33">
        <v>2027</v>
      </c>
      <c r="AS2" s="33">
        <v>2028</v>
      </c>
      <c r="AT2" s="33">
        <v>2029</v>
      </c>
      <c r="AU2" s="33">
        <v>2030</v>
      </c>
      <c r="AV2" s="33">
        <v>2031</v>
      </c>
      <c r="AW2" s="33">
        <v>2032</v>
      </c>
      <c r="AX2" s="33">
        <v>2033</v>
      </c>
      <c r="AY2" s="33">
        <v>2034</v>
      </c>
      <c r="AZ2" s="33">
        <v>2035</v>
      </c>
      <c r="BA2" s="33">
        <v>2036</v>
      </c>
      <c r="BB2" s="33">
        <v>2037</v>
      </c>
      <c r="BC2" s="33">
        <v>2038</v>
      </c>
      <c r="BD2" s="33">
        <v>2039</v>
      </c>
      <c r="BE2" s="33">
        <v>2040</v>
      </c>
      <c r="BF2" s="33">
        <v>2041</v>
      </c>
      <c r="BG2" s="34">
        <v>2042</v>
      </c>
      <c r="BH2" s="33">
        <v>2043</v>
      </c>
      <c r="BI2" s="34">
        <v>2044</v>
      </c>
      <c r="BJ2" s="33">
        <v>2045</v>
      </c>
      <c r="BK2" s="34">
        <v>2046</v>
      </c>
      <c r="BL2" s="33">
        <v>2047</v>
      </c>
      <c r="BM2" s="34">
        <v>2048</v>
      </c>
      <c r="BN2" s="33">
        <v>2049</v>
      </c>
      <c r="BO2" s="34">
        <v>2050</v>
      </c>
      <c r="BP2" s="33">
        <v>2051</v>
      </c>
      <c r="BQ2" s="34">
        <v>2052</v>
      </c>
    </row>
    <row r="3" spans="1:69" x14ac:dyDescent="0.35">
      <c r="A3" s="39" t="s">
        <v>43</v>
      </c>
      <c r="B3" s="39" t="s">
        <v>44</v>
      </c>
      <c r="C3" s="39" t="s">
        <v>45</v>
      </c>
      <c r="D3" s="40"/>
      <c r="E3" s="41" t="str">
        <f t="shared" ref="E3:E5" si="0">IF(SUM(G3:AK3)&gt;0,CHAR(252),CHAR(251))</f>
        <v>ü</v>
      </c>
      <c r="F3" t="s">
        <v>43</v>
      </c>
      <c r="G3" s="42">
        <v>16889</v>
      </c>
      <c r="H3" s="42">
        <v>22897</v>
      </c>
      <c r="I3" s="42">
        <v>27199</v>
      </c>
      <c r="J3" s="42">
        <v>30231.999999999996</v>
      </c>
      <c r="K3" s="42">
        <v>32293.999999999996</v>
      </c>
      <c r="L3" s="42">
        <v>33912</v>
      </c>
      <c r="M3" s="42">
        <v>35314</v>
      </c>
      <c r="N3" s="42">
        <v>36586.999999999993</v>
      </c>
      <c r="O3" s="42">
        <v>37769.999999999993</v>
      </c>
      <c r="P3" s="42">
        <v>38844.999999999993</v>
      </c>
      <c r="Q3" s="42">
        <v>39807.999999999993</v>
      </c>
      <c r="R3" s="42">
        <v>40676.999999999985</v>
      </c>
      <c r="S3" s="42">
        <v>41536.999999999985</v>
      </c>
      <c r="T3" s="42">
        <v>42376.999999999978</v>
      </c>
      <c r="U3" s="42">
        <v>43238.999999999978</v>
      </c>
      <c r="V3" s="42">
        <v>44068.999999999978</v>
      </c>
      <c r="W3" s="42">
        <v>44904.999999999978</v>
      </c>
      <c r="X3" s="42">
        <v>45732.999999999985</v>
      </c>
      <c r="Y3" s="42">
        <v>46582.999999999978</v>
      </c>
      <c r="Z3" s="42">
        <v>47435.999999999971</v>
      </c>
      <c r="AA3" s="42">
        <v>48298.999999999971</v>
      </c>
      <c r="AB3" s="42">
        <v>49118.999999999971</v>
      </c>
      <c r="AC3" s="42">
        <v>49945.999999999971</v>
      </c>
      <c r="AD3" s="42">
        <v>50749.999999999971</v>
      </c>
      <c r="AE3" s="42">
        <v>51524.999999999971</v>
      </c>
      <c r="AF3" s="42">
        <v>52269.999999999971</v>
      </c>
      <c r="AG3" s="42">
        <v>53009.999999999964</v>
      </c>
      <c r="AH3" s="42">
        <v>53702.999999999956</v>
      </c>
      <c r="AI3" s="42">
        <v>54388.999999999956</v>
      </c>
      <c r="AJ3" s="42">
        <v>55089.999999999956</v>
      </c>
      <c r="AK3" s="42">
        <v>55805.999999999949</v>
      </c>
      <c r="AM3" s="42" t="s">
        <v>304</v>
      </c>
      <c r="AN3" s="42" t="s">
        <v>304</v>
      </c>
      <c r="AO3" s="42" t="s">
        <v>304</v>
      </c>
      <c r="AP3" s="42" t="s">
        <v>305</v>
      </c>
      <c r="AQ3" s="42" t="s">
        <v>305</v>
      </c>
      <c r="AR3" s="42" t="s">
        <v>305</v>
      </c>
      <c r="AS3" s="42" t="s">
        <v>305</v>
      </c>
      <c r="AT3" s="42" t="s">
        <v>305</v>
      </c>
      <c r="AU3" s="42" t="s">
        <v>305</v>
      </c>
      <c r="AV3" s="42" t="s">
        <v>305</v>
      </c>
      <c r="AW3" s="42" t="s">
        <v>305</v>
      </c>
      <c r="AX3" s="42" t="s">
        <v>305</v>
      </c>
      <c r="AY3" s="42" t="s">
        <v>305</v>
      </c>
      <c r="AZ3" s="42" t="s">
        <v>305</v>
      </c>
      <c r="BA3" s="42" t="s">
        <v>305</v>
      </c>
      <c r="BB3" s="42" t="s">
        <v>305</v>
      </c>
      <c r="BC3" s="42" t="s">
        <v>305</v>
      </c>
      <c r="BD3" s="42" t="s">
        <v>305</v>
      </c>
      <c r="BE3" s="42" t="s">
        <v>305</v>
      </c>
      <c r="BF3" s="42" t="s">
        <v>305</v>
      </c>
      <c r="BG3" s="42" t="s">
        <v>305</v>
      </c>
      <c r="BH3" s="42" t="s">
        <v>305</v>
      </c>
      <c r="BI3" s="42" t="s">
        <v>305</v>
      </c>
      <c r="BJ3" s="42" t="s">
        <v>306</v>
      </c>
      <c r="BK3" s="42" t="s">
        <v>306</v>
      </c>
      <c r="BL3" s="42" t="s">
        <v>306</v>
      </c>
      <c r="BM3" s="42" t="s">
        <v>306</v>
      </c>
      <c r="BN3" s="42" t="s">
        <v>306</v>
      </c>
      <c r="BO3" s="42" t="s">
        <v>306</v>
      </c>
      <c r="BP3" s="42" t="s">
        <v>306</v>
      </c>
      <c r="BQ3" s="42" t="s">
        <v>306</v>
      </c>
    </row>
    <row r="4" spans="1:69" x14ac:dyDescent="0.35">
      <c r="A4" s="39" t="s">
        <v>46</v>
      </c>
      <c r="B4" s="39" t="s">
        <v>47</v>
      </c>
      <c r="C4" s="39" t="s">
        <v>48</v>
      </c>
      <c r="D4" s="40"/>
      <c r="E4" s="41" t="str">
        <f t="shared" si="0"/>
        <v>ü</v>
      </c>
      <c r="F4" t="s">
        <v>46</v>
      </c>
      <c r="G4" s="42">
        <v>21099</v>
      </c>
      <c r="H4" s="42">
        <v>25525</v>
      </c>
      <c r="I4" s="42">
        <v>28932</v>
      </c>
      <c r="J4" s="42">
        <v>31608.000000000004</v>
      </c>
      <c r="K4" s="42">
        <v>33605.000000000007</v>
      </c>
      <c r="L4" s="42">
        <v>35302.000000000007</v>
      </c>
      <c r="M4" s="42">
        <v>36855.000000000007</v>
      </c>
      <c r="N4" s="42">
        <v>38326.000000000007</v>
      </c>
      <c r="O4" s="42">
        <v>39754.000000000007</v>
      </c>
      <c r="P4" s="42">
        <v>41096.000000000007</v>
      </c>
      <c r="Q4" s="42">
        <v>42329.000000000007</v>
      </c>
      <c r="R4" s="42">
        <v>43485.000000000015</v>
      </c>
      <c r="S4" s="42">
        <v>44636.000000000015</v>
      </c>
      <c r="T4" s="42">
        <v>45782.000000000015</v>
      </c>
      <c r="U4" s="42">
        <v>46956.000000000015</v>
      </c>
      <c r="V4" s="42">
        <v>48117.000000000007</v>
      </c>
      <c r="W4" s="42">
        <v>49295.000000000015</v>
      </c>
      <c r="X4" s="42">
        <v>50478.000000000015</v>
      </c>
      <c r="Y4" s="42">
        <v>51697.000000000022</v>
      </c>
      <c r="Z4" s="42">
        <v>52936.000000000029</v>
      </c>
      <c r="AA4" s="42">
        <v>54195.000000000036</v>
      </c>
      <c r="AB4" s="42">
        <v>55431.000000000029</v>
      </c>
      <c r="AC4" s="42">
        <v>56685.000000000036</v>
      </c>
      <c r="AD4" s="42">
        <v>57936.000000000036</v>
      </c>
      <c r="AE4" s="42">
        <v>59209.000000000036</v>
      </c>
      <c r="AF4" s="42">
        <v>60492.000000000036</v>
      </c>
      <c r="AG4" s="42">
        <v>61790.000000000036</v>
      </c>
      <c r="AH4" s="42">
        <v>63060.000000000036</v>
      </c>
      <c r="AI4" s="42">
        <v>64337.000000000036</v>
      </c>
      <c r="AJ4" s="42">
        <v>65641.000000000029</v>
      </c>
      <c r="AK4" s="42">
        <v>66972.000000000029</v>
      </c>
      <c r="AM4" s="42" t="s">
        <v>304</v>
      </c>
      <c r="AN4" s="42" t="s">
        <v>304</v>
      </c>
      <c r="AO4" s="42" t="s">
        <v>304</v>
      </c>
      <c r="AP4" s="42" t="s">
        <v>305</v>
      </c>
      <c r="AQ4" s="42" t="s">
        <v>305</v>
      </c>
      <c r="AR4" s="42" t="s">
        <v>305</v>
      </c>
      <c r="AS4" s="42" t="s">
        <v>305</v>
      </c>
      <c r="AT4" s="42" t="s">
        <v>305</v>
      </c>
      <c r="AU4" s="42" t="s">
        <v>305</v>
      </c>
      <c r="AV4" s="42" t="s">
        <v>305</v>
      </c>
      <c r="AW4" s="42" t="s">
        <v>305</v>
      </c>
      <c r="AX4" s="42" t="s">
        <v>305</v>
      </c>
      <c r="AY4" s="42" t="s">
        <v>305</v>
      </c>
      <c r="AZ4" s="42" t="s">
        <v>305</v>
      </c>
      <c r="BA4" s="42" t="s">
        <v>305</v>
      </c>
      <c r="BB4" s="42" t="s">
        <v>305</v>
      </c>
      <c r="BC4" s="42" t="s">
        <v>305</v>
      </c>
      <c r="BD4" s="42" t="s">
        <v>306</v>
      </c>
      <c r="BE4" s="42" t="s">
        <v>306</v>
      </c>
      <c r="BF4" s="42" t="s">
        <v>306</v>
      </c>
      <c r="BG4" s="42" t="s">
        <v>306</v>
      </c>
      <c r="BH4" s="42" t="s">
        <v>306</v>
      </c>
      <c r="BI4" s="42" t="s">
        <v>306</v>
      </c>
      <c r="BJ4" s="42" t="s">
        <v>306</v>
      </c>
      <c r="BK4" s="42" t="s">
        <v>306</v>
      </c>
      <c r="BL4" s="42" t="s">
        <v>306</v>
      </c>
      <c r="BM4" s="42" t="s">
        <v>306</v>
      </c>
      <c r="BN4" s="42" t="s">
        <v>306</v>
      </c>
      <c r="BO4" s="42" t="s">
        <v>306</v>
      </c>
      <c r="BP4" s="42" t="s">
        <v>306</v>
      </c>
      <c r="BQ4" s="42" t="s">
        <v>306</v>
      </c>
    </row>
    <row r="5" spans="1:69" x14ac:dyDescent="0.35">
      <c r="A5" s="39" t="s">
        <v>50</v>
      </c>
      <c r="B5" s="39" t="s">
        <v>51</v>
      </c>
      <c r="C5" s="39" t="s">
        <v>52</v>
      </c>
      <c r="D5" s="40"/>
      <c r="E5" s="41" t="str">
        <f t="shared" si="0"/>
        <v>ü</v>
      </c>
      <c r="F5" t="s">
        <v>50</v>
      </c>
      <c r="G5" s="42">
        <v>1182</v>
      </c>
      <c r="H5" s="42">
        <v>1501</v>
      </c>
      <c r="I5" s="42">
        <v>1733.9999999999998</v>
      </c>
      <c r="J5" s="42">
        <v>1909.9999999999995</v>
      </c>
      <c r="K5" s="42">
        <v>2037.9999999999993</v>
      </c>
      <c r="L5" s="42">
        <v>2142.9999999999991</v>
      </c>
      <c r="M5" s="42">
        <v>2239.9999999999991</v>
      </c>
      <c r="N5" s="42">
        <v>2329.9999999999991</v>
      </c>
      <c r="O5" s="42">
        <v>2415.9999999999991</v>
      </c>
      <c r="P5" s="42">
        <v>2493.9999999999991</v>
      </c>
      <c r="Q5" s="42">
        <v>2565.9999999999991</v>
      </c>
      <c r="R5" s="42">
        <v>2632.9999999999986</v>
      </c>
      <c r="S5" s="42">
        <v>2698.9999999999986</v>
      </c>
      <c r="T5" s="42">
        <v>2763.9999999999986</v>
      </c>
      <c r="U5" s="42">
        <v>2829.9999999999986</v>
      </c>
      <c r="V5" s="42">
        <v>2895.9999999999986</v>
      </c>
      <c r="W5" s="42">
        <v>2961.9999999999991</v>
      </c>
      <c r="X5" s="42">
        <v>3025.9999999999991</v>
      </c>
      <c r="Y5" s="42">
        <v>3092.9999999999986</v>
      </c>
      <c r="Z5" s="42">
        <v>3159.9999999999986</v>
      </c>
      <c r="AA5" s="42">
        <v>3228.9999999999982</v>
      </c>
      <c r="AB5" s="42">
        <v>3292.9999999999982</v>
      </c>
      <c r="AC5" s="42">
        <v>3357.9999999999977</v>
      </c>
      <c r="AD5" s="42">
        <v>3421.9999999999977</v>
      </c>
      <c r="AE5" s="42">
        <v>3482.9999999999982</v>
      </c>
      <c r="AF5" s="42">
        <v>3540.9999999999982</v>
      </c>
      <c r="AG5" s="42">
        <v>3598.9999999999977</v>
      </c>
      <c r="AH5" s="42">
        <v>3653.9999999999973</v>
      </c>
      <c r="AI5" s="42">
        <v>3707.9999999999977</v>
      </c>
      <c r="AJ5" s="42">
        <v>3761.9999999999977</v>
      </c>
      <c r="AK5" s="42">
        <v>3816.9999999999977</v>
      </c>
      <c r="AM5" s="38" t="s">
        <v>307</v>
      </c>
      <c r="AN5" s="38" t="s">
        <v>307</v>
      </c>
      <c r="AO5" s="38" t="s">
        <v>307</v>
      </c>
      <c r="AP5" s="38" t="s">
        <v>307</v>
      </c>
      <c r="AQ5" s="38" t="s">
        <v>304</v>
      </c>
      <c r="AR5" s="38" t="s">
        <v>304</v>
      </c>
      <c r="AS5" s="38" t="s">
        <v>304</v>
      </c>
      <c r="AT5" s="38" t="s">
        <v>304</v>
      </c>
      <c r="AU5" s="38" t="s">
        <v>304</v>
      </c>
      <c r="AV5" s="38" t="s">
        <v>304</v>
      </c>
      <c r="AW5" s="38" t="s">
        <v>304</v>
      </c>
      <c r="AX5" s="38" t="s">
        <v>304</v>
      </c>
      <c r="AY5" s="38" t="s">
        <v>304</v>
      </c>
      <c r="AZ5" s="38" t="s">
        <v>304</v>
      </c>
      <c r="BA5" s="38" t="s">
        <v>304</v>
      </c>
      <c r="BB5" s="38" t="s">
        <v>304</v>
      </c>
      <c r="BC5" s="38" t="s">
        <v>304</v>
      </c>
      <c r="BD5" s="38" t="s">
        <v>304</v>
      </c>
      <c r="BE5" s="38" t="s">
        <v>304</v>
      </c>
      <c r="BF5" s="38" t="s">
        <v>304</v>
      </c>
      <c r="BG5" s="38" t="s">
        <v>304</v>
      </c>
      <c r="BH5" s="38" t="s">
        <v>304</v>
      </c>
      <c r="BI5" s="38" t="s">
        <v>304</v>
      </c>
      <c r="BJ5" s="38" t="s">
        <v>304</v>
      </c>
      <c r="BK5" s="38" t="s">
        <v>304</v>
      </c>
      <c r="BL5" s="38" t="s">
        <v>304</v>
      </c>
      <c r="BM5" s="38" t="s">
        <v>304</v>
      </c>
      <c r="BN5" s="38" t="s">
        <v>304</v>
      </c>
      <c r="BO5" s="38" t="s">
        <v>304</v>
      </c>
      <c r="BP5" s="38" t="s">
        <v>304</v>
      </c>
      <c r="BQ5" s="53" t="s">
        <v>304</v>
      </c>
    </row>
    <row r="6" spans="1:69" x14ac:dyDescent="0.35">
      <c r="A6" s="35" t="s">
        <v>54</v>
      </c>
      <c r="B6" s="35" t="s">
        <v>168</v>
      </c>
      <c r="C6" s="35" t="s">
        <v>56</v>
      </c>
      <c r="D6" s="36"/>
      <c r="E6" s="37" t="str">
        <f t="shared" ref="E6:E7" si="1">IF(SUM(G6:AK6)&gt;0,CHAR(252),CHAR(251))</f>
        <v>ü</v>
      </c>
      <c r="F6" t="s">
        <v>54</v>
      </c>
      <c r="G6" s="38">
        <v>11702</v>
      </c>
      <c r="H6" s="38">
        <v>14179</v>
      </c>
      <c r="I6" s="38">
        <v>16148.000000000002</v>
      </c>
      <c r="J6" s="38">
        <v>17773.000000000004</v>
      </c>
      <c r="K6" s="38">
        <v>19044.000000000004</v>
      </c>
      <c r="L6" s="38">
        <v>20175.000000000004</v>
      </c>
      <c r="M6" s="38">
        <v>21236.000000000007</v>
      </c>
      <c r="N6" s="38">
        <v>22256.000000000007</v>
      </c>
      <c r="O6" s="38">
        <v>23262.000000000007</v>
      </c>
      <c r="P6" s="38">
        <v>24200.000000000007</v>
      </c>
      <c r="Q6" s="38">
        <v>25091.000000000007</v>
      </c>
      <c r="R6" s="38">
        <v>25941.000000000007</v>
      </c>
      <c r="S6" s="38">
        <v>26795.000000000007</v>
      </c>
      <c r="T6" s="38">
        <v>27636.000000000004</v>
      </c>
      <c r="U6" s="38">
        <v>28512.000000000004</v>
      </c>
      <c r="V6" s="38">
        <v>29376.000000000004</v>
      </c>
      <c r="W6" s="38">
        <v>30259.000000000007</v>
      </c>
      <c r="X6" s="38">
        <v>31140.000000000007</v>
      </c>
      <c r="Y6" s="38">
        <v>32055.000000000011</v>
      </c>
      <c r="Z6" s="38">
        <v>32992.000000000007</v>
      </c>
      <c r="AA6" s="38">
        <v>33928.000000000007</v>
      </c>
      <c r="AB6" s="38">
        <v>34863.000000000007</v>
      </c>
      <c r="AC6" s="38">
        <v>35816.000000000015</v>
      </c>
      <c r="AD6" s="38">
        <v>36759.000000000015</v>
      </c>
      <c r="AE6" s="38">
        <v>37650.000000000015</v>
      </c>
      <c r="AF6" s="38">
        <v>38503.000000000015</v>
      </c>
      <c r="AG6" s="38">
        <v>39353.000000000015</v>
      </c>
      <c r="AH6" s="38">
        <v>40178.000000000015</v>
      </c>
      <c r="AI6" s="38">
        <v>41015.000000000015</v>
      </c>
      <c r="AJ6" s="38">
        <v>41869.000000000015</v>
      </c>
      <c r="AK6" s="53">
        <v>42740.000000000015</v>
      </c>
      <c r="AM6" s="42" t="s">
        <v>304</v>
      </c>
      <c r="AN6" s="42" t="s">
        <v>304</v>
      </c>
      <c r="AO6" s="42" t="s">
        <v>304</v>
      </c>
      <c r="AP6" s="42" t="s">
        <v>304</v>
      </c>
      <c r="AQ6" s="42" t="s">
        <v>304</v>
      </c>
      <c r="AR6" s="42" t="s">
        <v>304</v>
      </c>
      <c r="AS6" s="42" t="s">
        <v>304</v>
      </c>
      <c r="AT6" s="42" t="s">
        <v>304</v>
      </c>
      <c r="AU6" s="42" t="s">
        <v>304</v>
      </c>
      <c r="AV6" s="42" t="s">
        <v>304</v>
      </c>
      <c r="AW6" s="42" t="s">
        <v>304</v>
      </c>
      <c r="AX6" s="42" t="s">
        <v>304</v>
      </c>
      <c r="AY6" s="42" t="s">
        <v>304</v>
      </c>
      <c r="AZ6" s="42" t="s">
        <v>304</v>
      </c>
      <c r="BA6" s="42" t="s">
        <v>304</v>
      </c>
      <c r="BB6" s="42" t="s">
        <v>304</v>
      </c>
      <c r="BC6" s="42" t="s">
        <v>305</v>
      </c>
      <c r="BD6" s="42" t="s">
        <v>305</v>
      </c>
      <c r="BE6" s="42" t="s">
        <v>305</v>
      </c>
      <c r="BF6" s="42" t="s">
        <v>305</v>
      </c>
      <c r="BG6" s="42" t="s">
        <v>305</v>
      </c>
      <c r="BH6" s="42" t="s">
        <v>305</v>
      </c>
      <c r="BI6" s="42" t="s">
        <v>305</v>
      </c>
      <c r="BJ6" s="42" t="s">
        <v>305</v>
      </c>
      <c r="BK6" s="42" t="s">
        <v>305</v>
      </c>
      <c r="BL6" s="42" t="s">
        <v>305</v>
      </c>
      <c r="BM6" s="42" t="s">
        <v>305</v>
      </c>
      <c r="BN6" s="42" t="s">
        <v>305</v>
      </c>
      <c r="BO6" s="42" t="s">
        <v>305</v>
      </c>
      <c r="BP6" s="42" t="s">
        <v>305</v>
      </c>
      <c r="BQ6" s="42" t="s">
        <v>305</v>
      </c>
    </row>
    <row r="7" spans="1:69" x14ac:dyDescent="0.35">
      <c r="A7" s="35" t="s">
        <v>57</v>
      </c>
      <c r="B7" s="35" t="s">
        <v>58</v>
      </c>
      <c r="C7" s="35" t="s">
        <v>59</v>
      </c>
      <c r="D7" s="36"/>
      <c r="E7" s="37" t="str">
        <f t="shared" si="1"/>
        <v>ü</v>
      </c>
      <c r="F7" t="s">
        <v>57</v>
      </c>
      <c r="G7" s="38">
        <v>42304</v>
      </c>
      <c r="H7" s="38">
        <v>51486</v>
      </c>
      <c r="I7" s="38">
        <v>60626.000000000007</v>
      </c>
      <c r="J7" s="38">
        <v>69162</v>
      </c>
      <c r="K7" s="38">
        <v>78328</v>
      </c>
      <c r="L7" s="38">
        <v>84351</v>
      </c>
      <c r="M7" s="38">
        <v>89226</v>
      </c>
      <c r="N7" s="38">
        <v>93294</v>
      </c>
      <c r="O7" s="38">
        <v>97576</v>
      </c>
      <c r="P7" s="38">
        <v>101281</v>
      </c>
      <c r="Q7" s="38">
        <v>105113.00000000001</v>
      </c>
      <c r="R7" s="38">
        <v>108345.00000000003</v>
      </c>
      <c r="S7" s="38">
        <v>111974.00000000003</v>
      </c>
      <c r="T7" s="38">
        <v>115154.00000000001</v>
      </c>
      <c r="U7" s="38">
        <v>118924.00000000003</v>
      </c>
      <c r="V7" s="38">
        <v>122173.00000000003</v>
      </c>
      <c r="W7" s="38">
        <v>125921.00000000003</v>
      </c>
      <c r="X7" s="38">
        <v>129158.00000000004</v>
      </c>
      <c r="Y7" s="38">
        <v>133042.00000000006</v>
      </c>
      <c r="Z7" s="38">
        <v>136270.00000000006</v>
      </c>
      <c r="AA7" s="38">
        <v>140156.00000000006</v>
      </c>
      <c r="AB7" s="38">
        <v>143510.00000000006</v>
      </c>
      <c r="AC7" s="38">
        <v>147434.00000000006</v>
      </c>
      <c r="AD7" s="38">
        <v>150887.00000000006</v>
      </c>
      <c r="AE7" s="38">
        <v>154444.00000000006</v>
      </c>
      <c r="AF7" s="38">
        <v>157501.00000000006</v>
      </c>
      <c r="AG7" s="38">
        <v>161211.00000000009</v>
      </c>
      <c r="AH7" s="38">
        <v>164191.00000000009</v>
      </c>
      <c r="AI7" s="38">
        <v>167805.00000000009</v>
      </c>
      <c r="AJ7" s="38">
        <v>171499.00000000009</v>
      </c>
      <c r="AK7" s="53">
        <v>175274.00000000012</v>
      </c>
      <c r="AM7" s="38" t="s">
        <v>305</v>
      </c>
      <c r="AN7" s="38" t="s">
        <v>306</v>
      </c>
      <c r="AO7" s="38" t="s">
        <v>306</v>
      </c>
      <c r="AP7" s="38" t="s">
        <v>306</v>
      </c>
      <c r="AQ7" s="38" t="s">
        <v>306</v>
      </c>
      <c r="AR7" s="38" t="s">
        <v>306</v>
      </c>
      <c r="AS7" s="38" t="s">
        <v>306</v>
      </c>
      <c r="AT7" s="38" t="s">
        <v>306</v>
      </c>
      <c r="AU7" s="38" t="s">
        <v>306</v>
      </c>
      <c r="AV7" s="38" t="s">
        <v>306</v>
      </c>
      <c r="AW7" s="38" t="s">
        <v>306</v>
      </c>
      <c r="AX7" s="38" t="s">
        <v>306</v>
      </c>
      <c r="AY7" s="38" t="s">
        <v>306</v>
      </c>
      <c r="AZ7" s="38" t="s">
        <v>306</v>
      </c>
      <c r="BA7" s="38" t="s">
        <v>306</v>
      </c>
      <c r="BB7" s="38" t="s">
        <v>306</v>
      </c>
      <c r="BC7" s="38" t="s">
        <v>306</v>
      </c>
      <c r="BD7" s="38" t="s">
        <v>306</v>
      </c>
      <c r="BE7" s="38" t="s">
        <v>306</v>
      </c>
      <c r="BF7" s="38" t="s">
        <v>306</v>
      </c>
      <c r="BG7" s="38" t="s">
        <v>306</v>
      </c>
      <c r="BH7" s="38" t="s">
        <v>306</v>
      </c>
      <c r="BI7" s="38" t="s">
        <v>306</v>
      </c>
      <c r="BJ7" s="38" t="s">
        <v>306</v>
      </c>
      <c r="BK7" s="38" t="s">
        <v>306</v>
      </c>
      <c r="BL7" s="38" t="s">
        <v>306</v>
      </c>
      <c r="BM7" s="38" t="s">
        <v>306</v>
      </c>
      <c r="BN7" s="38" t="s">
        <v>306</v>
      </c>
      <c r="BO7" s="38" t="s">
        <v>306</v>
      </c>
      <c r="BP7" s="38" t="s">
        <v>306</v>
      </c>
      <c r="BQ7" s="53" t="s">
        <v>306</v>
      </c>
    </row>
    <row r="8" spans="1:69" x14ac:dyDescent="0.35">
      <c r="A8" s="35" t="s">
        <v>60</v>
      </c>
      <c r="B8" s="35" t="s">
        <v>61</v>
      </c>
      <c r="C8" s="35" t="s">
        <v>62</v>
      </c>
      <c r="D8" s="36"/>
      <c r="E8" s="37" t="str">
        <f t="shared" ref="E8:E9" si="2">IF(SUM(G8:AK8)&gt;0,CHAR(252),CHAR(251))</f>
        <v>ü</v>
      </c>
      <c r="F8" t="s">
        <v>60</v>
      </c>
      <c r="G8" s="38">
        <v>16234</v>
      </c>
      <c r="H8" s="38">
        <v>19347</v>
      </c>
      <c r="I8" s="38">
        <v>21911</v>
      </c>
      <c r="J8" s="38">
        <v>24066.999999999996</v>
      </c>
      <c r="K8" s="38">
        <v>25816.999999999996</v>
      </c>
      <c r="L8" s="38">
        <v>27402</v>
      </c>
      <c r="M8" s="38">
        <v>28924.000000000004</v>
      </c>
      <c r="N8" s="38">
        <v>30424</v>
      </c>
      <c r="O8" s="38">
        <v>31917.999999999996</v>
      </c>
      <c r="P8" s="38">
        <v>33389</v>
      </c>
      <c r="Q8" s="38">
        <v>34799</v>
      </c>
      <c r="R8" s="38">
        <v>36172</v>
      </c>
      <c r="S8" s="38">
        <v>37585</v>
      </c>
      <c r="T8" s="38">
        <v>39033</v>
      </c>
      <c r="U8" s="38">
        <v>40539.999999999993</v>
      </c>
      <c r="V8" s="38">
        <v>42059.999999999993</v>
      </c>
      <c r="W8" s="38">
        <v>43656.999999999993</v>
      </c>
      <c r="X8" s="38">
        <v>45272.999999999993</v>
      </c>
      <c r="Y8" s="38">
        <v>46988.999999999993</v>
      </c>
      <c r="Z8" s="38">
        <v>48751</v>
      </c>
      <c r="AA8" s="38">
        <v>50574</v>
      </c>
      <c r="AB8" s="38">
        <v>52430.999999999993</v>
      </c>
      <c r="AC8" s="38">
        <v>54342.999999999993</v>
      </c>
      <c r="AD8" s="38">
        <v>56306.999999999993</v>
      </c>
      <c r="AE8" s="38">
        <v>58396</v>
      </c>
      <c r="AF8" s="38">
        <v>60573</v>
      </c>
      <c r="AG8" s="38">
        <v>62814.000000000007</v>
      </c>
      <c r="AH8" s="38">
        <v>65076.000000000015</v>
      </c>
      <c r="AI8" s="38">
        <v>67416.000000000015</v>
      </c>
      <c r="AJ8" s="38">
        <v>69847.000000000015</v>
      </c>
      <c r="AK8" s="53">
        <v>72371.000000000015</v>
      </c>
      <c r="AM8" s="42" t="s">
        <v>304</v>
      </c>
      <c r="AN8" s="42" t="s">
        <v>304</v>
      </c>
      <c r="AO8" s="42" t="s">
        <v>304</v>
      </c>
      <c r="AP8" s="42" t="s">
        <v>304</v>
      </c>
      <c r="AQ8" s="42" t="s">
        <v>304</v>
      </c>
      <c r="AR8" s="42" t="s">
        <v>304</v>
      </c>
      <c r="AS8" s="42" t="s">
        <v>304</v>
      </c>
      <c r="AT8" s="42" t="s">
        <v>305</v>
      </c>
      <c r="AU8" s="42" t="s">
        <v>305</v>
      </c>
      <c r="AV8" s="42" t="s">
        <v>305</v>
      </c>
      <c r="AW8" s="42" t="s">
        <v>305</v>
      </c>
      <c r="AX8" s="42" t="s">
        <v>305</v>
      </c>
      <c r="AY8" s="42" t="s">
        <v>305</v>
      </c>
      <c r="AZ8" s="42" t="s">
        <v>305</v>
      </c>
      <c r="BA8" s="42" t="s">
        <v>305</v>
      </c>
      <c r="BB8" s="42" t="s">
        <v>305</v>
      </c>
      <c r="BC8" s="42" t="s">
        <v>305</v>
      </c>
      <c r="BD8" s="42" t="s">
        <v>305</v>
      </c>
      <c r="BE8" s="42" t="s">
        <v>305</v>
      </c>
      <c r="BF8" s="42" t="s">
        <v>305</v>
      </c>
      <c r="BG8" s="42" t="s">
        <v>306</v>
      </c>
      <c r="BH8" s="42" t="s">
        <v>306</v>
      </c>
      <c r="BI8" s="42" t="s">
        <v>306</v>
      </c>
      <c r="BJ8" s="42" t="s">
        <v>306</v>
      </c>
      <c r="BK8" s="42" t="s">
        <v>306</v>
      </c>
      <c r="BL8" s="42" t="s">
        <v>306</v>
      </c>
      <c r="BM8" s="42" t="s">
        <v>306</v>
      </c>
      <c r="BN8" s="42" t="s">
        <v>306</v>
      </c>
      <c r="BO8" s="42" t="s">
        <v>306</v>
      </c>
      <c r="BP8" s="42" t="s">
        <v>306</v>
      </c>
      <c r="BQ8" s="42" t="s">
        <v>306</v>
      </c>
    </row>
    <row r="9" spans="1:69" x14ac:dyDescent="0.35">
      <c r="A9" s="35" t="s">
        <v>64</v>
      </c>
      <c r="B9" s="35" t="s">
        <v>65</v>
      </c>
      <c r="C9" s="35" t="s">
        <v>66</v>
      </c>
      <c r="D9" s="36"/>
      <c r="E9" s="37" t="str">
        <f t="shared" si="2"/>
        <v>ü</v>
      </c>
      <c r="F9" t="s">
        <v>64</v>
      </c>
      <c r="G9" s="38">
        <v>9273</v>
      </c>
      <c r="H9" s="38">
        <v>11043</v>
      </c>
      <c r="I9" s="38">
        <v>12514.999999999998</v>
      </c>
      <c r="J9" s="38">
        <v>13757.999999999996</v>
      </c>
      <c r="K9" s="38">
        <v>14745.999999999995</v>
      </c>
      <c r="L9" s="38">
        <v>15632.999999999993</v>
      </c>
      <c r="M9" s="38">
        <v>16506.999999999993</v>
      </c>
      <c r="N9" s="38">
        <v>17298.999999999993</v>
      </c>
      <c r="O9" s="38">
        <v>18142.999999999989</v>
      </c>
      <c r="P9" s="38">
        <v>18966.999999999989</v>
      </c>
      <c r="Q9" s="38">
        <v>19701.999999999985</v>
      </c>
      <c r="R9" s="38">
        <v>20420.999999999985</v>
      </c>
      <c r="S9" s="38">
        <v>21191.999999999985</v>
      </c>
      <c r="T9" s="38">
        <v>21920.999999999982</v>
      </c>
      <c r="U9" s="38">
        <v>22710.999999999978</v>
      </c>
      <c r="V9" s="38">
        <v>23535.999999999978</v>
      </c>
      <c r="W9" s="38">
        <v>24326.999999999978</v>
      </c>
      <c r="X9" s="38">
        <v>25166.999999999978</v>
      </c>
      <c r="Y9" s="38">
        <v>26025.999999999978</v>
      </c>
      <c r="Z9" s="38">
        <v>26894.999999999975</v>
      </c>
      <c r="AA9" s="38">
        <v>27818.999999999975</v>
      </c>
      <c r="AB9" s="38">
        <v>28729.999999999971</v>
      </c>
      <c r="AC9" s="38">
        <v>29698.999999999971</v>
      </c>
      <c r="AD9" s="38">
        <v>30612.999999999971</v>
      </c>
      <c r="AE9" s="38">
        <v>31580.999999999971</v>
      </c>
      <c r="AF9" s="38">
        <v>32640.999999999971</v>
      </c>
      <c r="AG9" s="38">
        <v>33653.999999999971</v>
      </c>
      <c r="AH9" s="38">
        <v>34687.999999999971</v>
      </c>
      <c r="AI9" s="38">
        <v>35767.999999999971</v>
      </c>
      <c r="AJ9" s="38">
        <v>36880.999999999971</v>
      </c>
      <c r="AK9" s="53">
        <v>38028.999999999971</v>
      </c>
      <c r="AM9" s="42" t="s">
        <v>304</v>
      </c>
      <c r="AN9" s="42" t="s">
        <v>304</v>
      </c>
      <c r="AO9" s="42" t="s">
        <v>304</v>
      </c>
      <c r="AP9" s="42" t="s">
        <v>304</v>
      </c>
      <c r="AQ9" s="42" t="s">
        <v>304</v>
      </c>
      <c r="AR9" s="42" t="s">
        <v>304</v>
      </c>
      <c r="AS9" s="42" t="s">
        <v>304</v>
      </c>
      <c r="AT9" s="42" t="s">
        <v>304</v>
      </c>
      <c r="AU9" s="42" t="s">
        <v>304</v>
      </c>
      <c r="AV9" s="42" t="s">
        <v>304</v>
      </c>
      <c r="AW9" s="42" t="s">
        <v>304</v>
      </c>
      <c r="AX9" s="42" t="s">
        <v>304</v>
      </c>
      <c r="AY9" s="42" t="s">
        <v>304</v>
      </c>
      <c r="AZ9" s="42" t="s">
        <v>304</v>
      </c>
      <c r="BA9" s="42" t="s">
        <v>304</v>
      </c>
      <c r="BB9" s="42" t="s">
        <v>304</v>
      </c>
      <c r="BC9" s="42" t="s">
        <v>304</v>
      </c>
      <c r="BD9" s="42" t="s">
        <v>304</v>
      </c>
      <c r="BE9" s="42" t="s">
        <v>304</v>
      </c>
      <c r="BF9" s="42" t="s">
        <v>304</v>
      </c>
      <c r="BG9" s="42" t="s">
        <v>304</v>
      </c>
      <c r="BH9" s="42" t="s">
        <v>304</v>
      </c>
      <c r="BI9" s="42" t="s">
        <v>304</v>
      </c>
      <c r="BJ9" s="42" t="s">
        <v>305</v>
      </c>
      <c r="BK9" s="42" t="s">
        <v>305</v>
      </c>
      <c r="BL9" s="42" t="s">
        <v>305</v>
      </c>
      <c r="BM9" s="42" t="s">
        <v>305</v>
      </c>
      <c r="BN9" s="42" t="s">
        <v>305</v>
      </c>
      <c r="BO9" s="42" t="s">
        <v>305</v>
      </c>
      <c r="BP9" s="42" t="s">
        <v>305</v>
      </c>
      <c r="BQ9" s="42" t="s">
        <v>305</v>
      </c>
    </row>
    <row r="10" spans="1:69" x14ac:dyDescent="0.35">
      <c r="A10" s="35" t="s">
        <v>67</v>
      </c>
      <c r="B10" s="35" t="s">
        <v>68</v>
      </c>
      <c r="C10" s="35" t="s">
        <v>69</v>
      </c>
      <c r="D10" s="36"/>
      <c r="E10" s="37" t="str">
        <f t="shared" ref="E10:E15" si="3">IF(SUM(G10:AK10)&gt;0,CHAR(252),CHAR(251))</f>
        <v>ü</v>
      </c>
      <c r="F10" t="s">
        <v>67</v>
      </c>
      <c r="G10" s="38">
        <v>12681</v>
      </c>
      <c r="H10" s="38">
        <v>15585</v>
      </c>
      <c r="I10" s="38">
        <v>17957</v>
      </c>
      <c r="J10" s="38">
        <v>19885</v>
      </c>
      <c r="K10" s="38">
        <v>21397.000000000004</v>
      </c>
      <c r="L10" s="38">
        <v>22734.000000000004</v>
      </c>
      <c r="M10" s="38">
        <v>23994.000000000007</v>
      </c>
      <c r="N10" s="38">
        <v>25214.000000000007</v>
      </c>
      <c r="O10" s="38">
        <v>26419.000000000011</v>
      </c>
      <c r="P10" s="38">
        <v>27572.000000000011</v>
      </c>
      <c r="Q10" s="38">
        <v>28680.000000000011</v>
      </c>
      <c r="R10" s="38">
        <v>29750.000000000011</v>
      </c>
      <c r="S10" s="38">
        <v>30833.000000000011</v>
      </c>
      <c r="T10" s="38">
        <v>31925.000000000011</v>
      </c>
      <c r="U10" s="38">
        <v>33061.000000000015</v>
      </c>
      <c r="V10" s="38">
        <v>34205.000000000015</v>
      </c>
      <c r="W10" s="38">
        <v>35383.000000000015</v>
      </c>
      <c r="X10" s="38">
        <v>36576.000000000015</v>
      </c>
      <c r="Y10" s="38">
        <v>37821.000000000015</v>
      </c>
      <c r="Z10" s="38">
        <v>39100.000000000022</v>
      </c>
      <c r="AA10" s="38">
        <v>40416.000000000022</v>
      </c>
      <c r="AB10" s="38">
        <v>41734.000000000022</v>
      </c>
      <c r="AC10" s="38">
        <v>43089.000000000022</v>
      </c>
      <c r="AD10" s="38">
        <v>44459.000000000022</v>
      </c>
      <c r="AE10" s="38">
        <v>45850.000000000022</v>
      </c>
      <c r="AF10" s="38">
        <v>47271.000000000029</v>
      </c>
      <c r="AG10" s="38">
        <v>48725.000000000029</v>
      </c>
      <c r="AH10" s="38">
        <v>50184.000000000029</v>
      </c>
      <c r="AI10" s="38">
        <v>51673.000000000029</v>
      </c>
      <c r="AJ10" s="38">
        <v>53210.000000000029</v>
      </c>
      <c r="AK10" s="53">
        <v>54800.000000000029</v>
      </c>
      <c r="AM10" s="38" t="s">
        <v>304</v>
      </c>
      <c r="AN10" s="38" t="s">
        <v>304</v>
      </c>
      <c r="AO10" s="38" t="s">
        <v>304</v>
      </c>
      <c r="AP10" s="38" t="s">
        <v>304</v>
      </c>
      <c r="AQ10" s="38" t="s">
        <v>304</v>
      </c>
      <c r="AR10" s="38" t="s">
        <v>304</v>
      </c>
      <c r="AS10" s="38" t="s">
        <v>304</v>
      </c>
      <c r="AT10" s="38" t="s">
        <v>304</v>
      </c>
      <c r="AU10" s="38" t="s">
        <v>304</v>
      </c>
      <c r="AV10" s="38" t="s">
        <v>304</v>
      </c>
      <c r="AW10" s="38" t="s">
        <v>304</v>
      </c>
      <c r="AX10" s="38" t="s">
        <v>304</v>
      </c>
      <c r="AY10" s="38" t="s">
        <v>305</v>
      </c>
      <c r="AZ10" s="38" t="s">
        <v>305</v>
      </c>
      <c r="BA10" s="38" t="s">
        <v>305</v>
      </c>
      <c r="BB10" s="38" t="s">
        <v>305</v>
      </c>
      <c r="BC10" s="38" t="s">
        <v>305</v>
      </c>
      <c r="BD10" s="38" t="s">
        <v>305</v>
      </c>
      <c r="BE10" s="38" t="s">
        <v>305</v>
      </c>
      <c r="BF10" s="38" t="s">
        <v>305</v>
      </c>
      <c r="BG10" s="38" t="s">
        <v>305</v>
      </c>
      <c r="BH10" s="38" t="s">
        <v>305</v>
      </c>
      <c r="BI10" s="38" t="s">
        <v>305</v>
      </c>
      <c r="BJ10" s="38" t="s">
        <v>305</v>
      </c>
      <c r="BK10" s="38" t="s">
        <v>305</v>
      </c>
      <c r="BL10" s="38" t="s">
        <v>305</v>
      </c>
      <c r="BM10" s="38" t="s">
        <v>305</v>
      </c>
      <c r="BN10" s="38" t="s">
        <v>306</v>
      </c>
      <c r="BO10" s="38" t="s">
        <v>306</v>
      </c>
      <c r="BP10" s="38" t="s">
        <v>306</v>
      </c>
      <c r="BQ10" s="53" t="s">
        <v>306</v>
      </c>
    </row>
    <row r="11" spans="1:69" x14ac:dyDescent="0.35">
      <c r="A11" s="39" t="s">
        <v>71</v>
      </c>
      <c r="B11" s="39" t="s">
        <v>169</v>
      </c>
      <c r="C11" s="39" t="s">
        <v>73</v>
      </c>
      <c r="D11" s="40"/>
      <c r="E11" s="41" t="str">
        <f t="shared" si="3"/>
        <v>ü</v>
      </c>
      <c r="F11" t="s">
        <v>71</v>
      </c>
      <c r="G11" s="42">
        <v>4052</v>
      </c>
      <c r="H11" s="42">
        <v>4961</v>
      </c>
      <c r="I11" s="42">
        <v>5677</v>
      </c>
      <c r="J11" s="42">
        <v>6261.9999999999991</v>
      </c>
      <c r="K11" s="42">
        <v>6712.9999999999982</v>
      </c>
      <c r="L11" s="42">
        <v>7105.9999999999973</v>
      </c>
      <c r="M11" s="42">
        <v>7483.9999999999973</v>
      </c>
      <c r="N11" s="42">
        <v>7843.9999999999973</v>
      </c>
      <c r="O11" s="42">
        <v>8186.9999999999973</v>
      </c>
      <c r="P11" s="42">
        <v>8523.9999999999982</v>
      </c>
      <c r="Q11" s="42">
        <v>8844.9999999999982</v>
      </c>
      <c r="R11" s="42">
        <v>9131.9999999999982</v>
      </c>
      <c r="S11" s="42">
        <v>9442.9999999999982</v>
      </c>
      <c r="T11" s="42">
        <v>9745.9999999999964</v>
      </c>
      <c r="U11" s="42">
        <v>10048.999999999996</v>
      </c>
      <c r="V11" s="42">
        <v>10352.999999999996</v>
      </c>
      <c r="W11" s="42">
        <v>10673.999999999996</v>
      </c>
      <c r="X11" s="42">
        <v>11000.999999999996</v>
      </c>
      <c r="Y11" s="42">
        <v>11325.999999999996</v>
      </c>
      <c r="Z11" s="42">
        <v>11655.999999999996</v>
      </c>
      <c r="AA11" s="42">
        <v>12002.999999999996</v>
      </c>
      <c r="AB11" s="42">
        <v>12341.999999999996</v>
      </c>
      <c r="AC11" s="42">
        <v>12670.999999999996</v>
      </c>
      <c r="AD11" s="42">
        <v>13014.999999999995</v>
      </c>
      <c r="AE11" s="42">
        <v>13324.999999999995</v>
      </c>
      <c r="AF11" s="42">
        <v>13644.999999999995</v>
      </c>
      <c r="AG11" s="42">
        <v>13947.999999999993</v>
      </c>
      <c r="AH11" s="42">
        <v>14241.999999999993</v>
      </c>
      <c r="AI11" s="42">
        <v>14538.999999999993</v>
      </c>
      <c r="AJ11" s="42">
        <v>14841.999999999993</v>
      </c>
      <c r="AK11" s="42">
        <v>15149.999999999993</v>
      </c>
      <c r="AM11" s="42" t="s">
        <v>304</v>
      </c>
      <c r="AN11" s="42" t="s">
        <v>304</v>
      </c>
      <c r="AO11" s="42" t="s">
        <v>304</v>
      </c>
      <c r="AP11" s="42" t="s">
        <v>304</v>
      </c>
      <c r="AQ11" s="42" t="s">
        <v>304</v>
      </c>
      <c r="AR11" s="42" t="s">
        <v>304</v>
      </c>
      <c r="AS11" s="42" t="s">
        <v>304</v>
      </c>
      <c r="AT11" s="42" t="s">
        <v>304</v>
      </c>
      <c r="AU11" s="42" t="s">
        <v>304</v>
      </c>
      <c r="AV11" s="42" t="s">
        <v>304</v>
      </c>
      <c r="AW11" s="42" t="s">
        <v>304</v>
      </c>
      <c r="AX11" s="42" t="s">
        <v>304</v>
      </c>
      <c r="AY11" s="42" t="s">
        <v>304</v>
      </c>
      <c r="AZ11" s="42" t="s">
        <v>304</v>
      </c>
      <c r="BA11" s="42" t="s">
        <v>304</v>
      </c>
      <c r="BB11" s="42" t="s">
        <v>304</v>
      </c>
      <c r="BC11" s="42" t="s">
        <v>304</v>
      </c>
      <c r="BD11" s="42" t="s">
        <v>304</v>
      </c>
      <c r="BE11" s="42" t="s">
        <v>304</v>
      </c>
      <c r="BF11" s="42" t="s">
        <v>304</v>
      </c>
      <c r="BG11" s="42" t="s">
        <v>304</v>
      </c>
      <c r="BH11" s="42" t="s">
        <v>304</v>
      </c>
      <c r="BI11" s="42" t="s">
        <v>304</v>
      </c>
      <c r="BJ11" s="42" t="s">
        <v>304</v>
      </c>
      <c r="BK11" s="42" t="s">
        <v>304</v>
      </c>
      <c r="BL11" s="42" t="s">
        <v>304</v>
      </c>
      <c r="BM11" s="42" t="s">
        <v>304</v>
      </c>
      <c r="BN11" s="42" t="s">
        <v>304</v>
      </c>
      <c r="BO11" s="42" t="s">
        <v>304</v>
      </c>
      <c r="BP11" s="42" t="s">
        <v>304</v>
      </c>
      <c r="BQ11" s="42" t="s">
        <v>304</v>
      </c>
    </row>
    <row r="12" spans="1:69" x14ac:dyDescent="0.35">
      <c r="A12" s="39" t="s">
        <v>74</v>
      </c>
      <c r="B12" s="39" t="s">
        <v>75</v>
      </c>
      <c r="C12" s="39" t="s">
        <v>76</v>
      </c>
      <c r="D12" s="40"/>
      <c r="E12" s="41" t="str">
        <f t="shared" si="3"/>
        <v>ü</v>
      </c>
      <c r="F12" t="s">
        <v>74</v>
      </c>
      <c r="G12" s="42">
        <v>19582</v>
      </c>
      <c r="H12" s="42">
        <v>23561</v>
      </c>
      <c r="I12" s="42">
        <v>26402</v>
      </c>
      <c r="J12" s="42">
        <v>28622</v>
      </c>
      <c r="K12" s="42">
        <v>30094.999999999996</v>
      </c>
      <c r="L12" s="42">
        <v>31390</v>
      </c>
      <c r="M12" s="42">
        <v>32447</v>
      </c>
      <c r="N12" s="42">
        <v>33545</v>
      </c>
      <c r="O12" s="42">
        <v>34505</v>
      </c>
      <c r="P12" s="42">
        <v>35526</v>
      </c>
      <c r="Q12" s="42">
        <v>36320</v>
      </c>
      <c r="R12" s="42">
        <v>37179</v>
      </c>
      <c r="S12" s="42">
        <v>37923</v>
      </c>
      <c r="T12" s="42">
        <v>38776</v>
      </c>
      <c r="U12" s="42">
        <v>39534</v>
      </c>
      <c r="V12" s="42">
        <v>40413</v>
      </c>
      <c r="W12" s="42">
        <v>41164</v>
      </c>
      <c r="X12" s="42">
        <v>42066</v>
      </c>
      <c r="Y12" s="42">
        <v>42823</v>
      </c>
      <c r="Z12" s="42">
        <v>43749</v>
      </c>
      <c r="AA12" s="42">
        <v>44544.000000000007</v>
      </c>
      <c r="AB12" s="42">
        <v>45456.000000000007</v>
      </c>
      <c r="AC12" s="42">
        <v>46242.000000000007</v>
      </c>
      <c r="AD12" s="42">
        <v>47184.000000000015</v>
      </c>
      <c r="AE12" s="42">
        <v>48032.000000000015</v>
      </c>
      <c r="AF12" s="42">
        <v>49036.000000000015</v>
      </c>
      <c r="AG12" s="42">
        <v>49912.000000000022</v>
      </c>
      <c r="AH12" s="42">
        <v>50914.000000000022</v>
      </c>
      <c r="AI12" s="42">
        <v>51729.000000000022</v>
      </c>
      <c r="AJ12" s="42">
        <v>52557.000000000022</v>
      </c>
      <c r="AK12" s="42">
        <v>53400.000000000022</v>
      </c>
      <c r="AM12" s="42" t="s">
        <v>304</v>
      </c>
      <c r="AN12" s="42" t="s">
        <v>304</v>
      </c>
      <c r="AO12" s="42" t="s">
        <v>304</v>
      </c>
      <c r="AP12" s="42" t="s">
        <v>304</v>
      </c>
      <c r="AQ12" s="42" t="s">
        <v>305</v>
      </c>
      <c r="AR12" s="42" t="s">
        <v>305</v>
      </c>
      <c r="AS12" s="42" t="s">
        <v>305</v>
      </c>
      <c r="AT12" s="42" t="s">
        <v>305</v>
      </c>
      <c r="AU12" s="42" t="s">
        <v>305</v>
      </c>
      <c r="AV12" s="42" t="s">
        <v>305</v>
      </c>
      <c r="AW12" s="42" t="s">
        <v>305</v>
      </c>
      <c r="AX12" s="42" t="s">
        <v>305</v>
      </c>
      <c r="AY12" s="42" t="s">
        <v>305</v>
      </c>
      <c r="AZ12" s="42" t="s">
        <v>305</v>
      </c>
      <c r="BA12" s="42" t="s">
        <v>305</v>
      </c>
      <c r="BB12" s="42" t="s">
        <v>305</v>
      </c>
      <c r="BC12" s="42" t="s">
        <v>305</v>
      </c>
      <c r="BD12" s="42" t="s">
        <v>305</v>
      </c>
      <c r="BE12" s="42" t="s">
        <v>305</v>
      </c>
      <c r="BF12" s="42" t="s">
        <v>305</v>
      </c>
      <c r="BG12" s="42" t="s">
        <v>305</v>
      </c>
      <c r="BH12" s="42" t="s">
        <v>305</v>
      </c>
      <c r="BI12" s="42" t="s">
        <v>305</v>
      </c>
      <c r="BJ12" s="42" t="s">
        <v>305</v>
      </c>
      <c r="BK12" s="42" t="s">
        <v>305</v>
      </c>
      <c r="BL12" s="42" t="s">
        <v>305</v>
      </c>
      <c r="BM12" s="42" t="s">
        <v>305</v>
      </c>
      <c r="BN12" s="42" t="s">
        <v>306</v>
      </c>
      <c r="BO12" s="42" t="s">
        <v>306</v>
      </c>
      <c r="BP12" s="42" t="s">
        <v>306</v>
      </c>
      <c r="BQ12" s="42" t="s">
        <v>306</v>
      </c>
    </row>
    <row r="13" spans="1:69" x14ac:dyDescent="0.35">
      <c r="A13" s="35" t="s">
        <v>77</v>
      </c>
      <c r="B13" s="35" t="s">
        <v>78</v>
      </c>
      <c r="C13" s="35" t="s">
        <v>79</v>
      </c>
      <c r="D13" s="36"/>
      <c r="E13" s="37" t="str">
        <f t="shared" si="3"/>
        <v>ü</v>
      </c>
      <c r="F13" t="s">
        <v>77</v>
      </c>
      <c r="G13" s="38">
        <v>17493</v>
      </c>
      <c r="H13" s="38">
        <v>25074</v>
      </c>
      <c r="I13" s="38">
        <v>30192.000000000004</v>
      </c>
      <c r="J13" s="38">
        <v>33600</v>
      </c>
      <c r="K13" s="38">
        <v>35703</v>
      </c>
      <c r="L13" s="38">
        <v>37146</v>
      </c>
      <c r="M13" s="38">
        <v>38397</v>
      </c>
      <c r="N13" s="38">
        <v>39440</v>
      </c>
      <c r="O13" s="38">
        <v>40364</v>
      </c>
      <c r="P13" s="38">
        <v>41099</v>
      </c>
      <c r="Q13" s="38">
        <v>41757</v>
      </c>
      <c r="R13" s="38">
        <v>42310.000000000007</v>
      </c>
      <c r="S13" s="38">
        <v>42745.000000000007</v>
      </c>
      <c r="T13" s="38">
        <v>43242.000000000007</v>
      </c>
      <c r="U13" s="38">
        <v>43759.000000000007</v>
      </c>
      <c r="V13" s="38">
        <v>44181.000000000007</v>
      </c>
      <c r="W13" s="38">
        <v>44664</v>
      </c>
      <c r="X13" s="38">
        <v>45172</v>
      </c>
      <c r="Y13" s="38">
        <v>45601.999999999993</v>
      </c>
      <c r="Z13" s="38">
        <v>46073.999999999993</v>
      </c>
      <c r="AA13" s="38">
        <v>46579.999999999993</v>
      </c>
      <c r="AB13" s="38">
        <v>46944.999999999993</v>
      </c>
      <c r="AC13" s="38">
        <v>47396</v>
      </c>
      <c r="AD13" s="38">
        <v>47760</v>
      </c>
      <c r="AE13" s="38">
        <v>48156</v>
      </c>
      <c r="AF13" s="38">
        <v>48575.999999999993</v>
      </c>
      <c r="AG13" s="38">
        <v>48944.999999999993</v>
      </c>
      <c r="AH13" s="38">
        <v>49289.999999999985</v>
      </c>
      <c r="AI13" s="38">
        <v>49627.999999999985</v>
      </c>
      <c r="AJ13" s="38">
        <v>49966.999999999993</v>
      </c>
      <c r="AK13" s="53">
        <v>50308.999999999993</v>
      </c>
      <c r="AM13" s="38" t="s">
        <v>304</v>
      </c>
      <c r="AN13" s="38" t="s">
        <v>304</v>
      </c>
      <c r="AO13" s="38" t="s">
        <v>305</v>
      </c>
      <c r="AP13" s="38" t="s">
        <v>305</v>
      </c>
      <c r="AQ13" s="38" t="s">
        <v>305</v>
      </c>
      <c r="AR13" s="38" t="s">
        <v>305</v>
      </c>
      <c r="AS13" s="38" t="s">
        <v>305</v>
      </c>
      <c r="AT13" s="38" t="s">
        <v>305</v>
      </c>
      <c r="AU13" s="38" t="s">
        <v>305</v>
      </c>
      <c r="AV13" s="38" t="s">
        <v>305</v>
      </c>
      <c r="AW13" s="38" t="s">
        <v>305</v>
      </c>
      <c r="AX13" s="38" t="s">
        <v>305</v>
      </c>
      <c r="AY13" s="38" t="s">
        <v>305</v>
      </c>
      <c r="AZ13" s="38" t="s">
        <v>305</v>
      </c>
      <c r="BA13" s="38" t="s">
        <v>305</v>
      </c>
      <c r="BB13" s="38" t="s">
        <v>305</v>
      </c>
      <c r="BC13" s="38" t="s">
        <v>305</v>
      </c>
      <c r="BD13" s="38" t="s">
        <v>305</v>
      </c>
      <c r="BE13" s="38" t="s">
        <v>305</v>
      </c>
      <c r="BF13" s="38" t="s">
        <v>305</v>
      </c>
      <c r="BG13" s="38" t="s">
        <v>305</v>
      </c>
      <c r="BH13" s="38" t="s">
        <v>305</v>
      </c>
      <c r="BI13" s="38" t="s">
        <v>305</v>
      </c>
      <c r="BJ13" s="38" t="s">
        <v>305</v>
      </c>
      <c r="BK13" s="38" t="s">
        <v>305</v>
      </c>
      <c r="BL13" s="38" t="s">
        <v>305</v>
      </c>
      <c r="BM13" s="38" t="s">
        <v>305</v>
      </c>
      <c r="BN13" s="38" t="s">
        <v>305</v>
      </c>
      <c r="BO13" s="38" t="s">
        <v>305</v>
      </c>
      <c r="BP13" s="38" t="s">
        <v>305</v>
      </c>
      <c r="BQ13" s="53" t="s">
        <v>306</v>
      </c>
    </row>
    <row r="14" spans="1:69" x14ac:dyDescent="0.35">
      <c r="A14" s="39" t="s">
        <v>80</v>
      </c>
      <c r="B14" s="39" t="s">
        <v>81</v>
      </c>
      <c r="C14" s="39" t="s">
        <v>82</v>
      </c>
      <c r="D14" s="40"/>
      <c r="E14" s="41" t="str">
        <f t="shared" si="3"/>
        <v>ü</v>
      </c>
      <c r="F14" t="s">
        <v>80</v>
      </c>
      <c r="G14" s="42">
        <v>15097.248614072494</v>
      </c>
      <c r="H14" s="42">
        <v>17631</v>
      </c>
      <c r="I14" s="42">
        <v>19766.268230277186</v>
      </c>
      <c r="J14" s="42">
        <v>21590.769722814501</v>
      </c>
      <c r="K14" s="42">
        <v>23071.924093816633</v>
      </c>
      <c r="L14" s="42">
        <v>24410.22601279318</v>
      </c>
      <c r="M14" s="42">
        <v>25700.910447761198</v>
      </c>
      <c r="N14" s="42">
        <v>26954.002132196165</v>
      </c>
      <c r="O14" s="42">
        <v>28202.081449893391</v>
      </c>
      <c r="P14" s="42">
        <v>29405.049466950961</v>
      </c>
      <c r="Q14" s="42">
        <v>30552.88144989339</v>
      </c>
      <c r="R14" s="42">
        <v>31660.614498933897</v>
      </c>
      <c r="S14" s="42">
        <v>32778.372281449891</v>
      </c>
      <c r="T14" s="42">
        <v>33908.660980810237</v>
      </c>
      <c r="U14" s="42">
        <v>35081.554797441371</v>
      </c>
      <c r="V14" s="42">
        <v>36249.436247334757</v>
      </c>
      <c r="W14" s="42">
        <v>37459.922814498939</v>
      </c>
      <c r="X14" s="42">
        <v>38682.94029850747</v>
      </c>
      <c r="Y14" s="42">
        <v>39951.069083155657</v>
      </c>
      <c r="Z14" s="42">
        <v>41246.765884861416</v>
      </c>
      <c r="AA14" s="42">
        <v>42580.055437100222</v>
      </c>
      <c r="AB14" s="42">
        <v>43900.814072494679</v>
      </c>
      <c r="AC14" s="42">
        <v>45261.671641791057</v>
      </c>
      <c r="AD14" s="42">
        <v>46622.529211087429</v>
      </c>
      <c r="AE14" s="42">
        <v>48008.448614072506</v>
      </c>
      <c r="AF14" s="42">
        <v>49389.355650319842</v>
      </c>
      <c r="AG14" s="42">
        <v>50795.324520255883</v>
      </c>
      <c r="AH14" s="42">
        <v>52181.243923240967</v>
      </c>
      <c r="AI14" s="42">
        <v>53589.718976545875</v>
      </c>
      <c r="AJ14" s="42">
        <v>55033.280597014964</v>
      </c>
      <c r="AK14" s="42">
        <v>56519.447334754841</v>
      </c>
      <c r="AM14" s="42" t="s">
        <v>304</v>
      </c>
      <c r="AN14" s="42" t="s">
        <v>304</v>
      </c>
      <c r="AO14" s="42" t="s">
        <v>304</v>
      </c>
      <c r="AP14" s="42" t="s">
        <v>304</v>
      </c>
      <c r="AQ14" s="42" t="s">
        <v>304</v>
      </c>
      <c r="AR14" s="42" t="s">
        <v>304</v>
      </c>
      <c r="AS14" s="42" t="s">
        <v>304</v>
      </c>
      <c r="AT14" s="42" t="s">
        <v>304</v>
      </c>
      <c r="AU14" s="42" t="s">
        <v>304</v>
      </c>
      <c r="AV14" s="42" t="s">
        <v>304</v>
      </c>
      <c r="AW14" s="42" t="s">
        <v>305</v>
      </c>
      <c r="AX14" s="42" t="s">
        <v>305</v>
      </c>
      <c r="AY14" s="42" t="s">
        <v>305</v>
      </c>
      <c r="AZ14" s="42" t="s">
        <v>305</v>
      </c>
      <c r="BA14" s="42" t="s">
        <v>305</v>
      </c>
      <c r="BB14" s="42" t="s">
        <v>305</v>
      </c>
      <c r="BC14" s="42" t="s">
        <v>305</v>
      </c>
      <c r="BD14" s="42" t="s">
        <v>305</v>
      </c>
      <c r="BE14" s="42" t="s">
        <v>305</v>
      </c>
      <c r="BF14" s="42" t="s">
        <v>305</v>
      </c>
      <c r="BG14" s="42" t="s">
        <v>305</v>
      </c>
      <c r="BH14" s="42" t="s">
        <v>305</v>
      </c>
      <c r="BI14" s="42" t="s">
        <v>305</v>
      </c>
      <c r="BJ14" s="42" t="s">
        <v>305</v>
      </c>
      <c r="BK14" s="42" t="s">
        <v>305</v>
      </c>
      <c r="BL14" s="42" t="s">
        <v>305</v>
      </c>
      <c r="BM14" s="42" t="s">
        <v>306</v>
      </c>
      <c r="BN14" s="42" t="s">
        <v>306</v>
      </c>
      <c r="BO14" s="42" t="s">
        <v>306</v>
      </c>
      <c r="BP14" s="42" t="s">
        <v>306</v>
      </c>
      <c r="BQ14" s="42" t="s">
        <v>306</v>
      </c>
    </row>
    <row r="15" spans="1:69" x14ac:dyDescent="0.35">
      <c r="A15" s="39" t="s">
        <v>83</v>
      </c>
      <c r="B15" s="39" t="s">
        <v>170</v>
      </c>
      <c r="C15" s="39" t="s">
        <v>85</v>
      </c>
      <c r="D15" s="40"/>
      <c r="E15" s="41" t="str">
        <f t="shared" si="3"/>
        <v>ü</v>
      </c>
      <c r="F15" t="s">
        <v>83</v>
      </c>
      <c r="G15" s="42">
        <v>31489.437693099899</v>
      </c>
      <c r="H15" s="42">
        <v>37278</v>
      </c>
      <c r="I15" s="42">
        <v>41910.556127703399</v>
      </c>
      <c r="J15" s="42">
        <v>45709.166838311015</v>
      </c>
      <c r="K15" s="42">
        <v>48667.433573635419</v>
      </c>
      <c r="L15" s="42">
        <v>51280.178166838305</v>
      </c>
      <c r="M15" s="42">
        <v>53728.693099896998</v>
      </c>
      <c r="N15" s="42">
        <v>56070.565396498445</v>
      </c>
      <c r="O15" s="42">
        <v>58333.52214212151</v>
      </c>
      <c r="P15" s="42">
        <v>60464.242018537574</v>
      </c>
      <c r="Q15" s="42">
        <v>62449.927909371763</v>
      </c>
      <c r="R15" s="42">
        <v>64331.104016477839</v>
      </c>
      <c r="S15" s="42">
        <v>66210.147270854766</v>
      </c>
      <c r="T15" s="42">
        <v>68078.526261585968</v>
      </c>
      <c r="U15" s="42">
        <v>70008.75798146239</v>
      </c>
      <c r="V15" s="42">
        <v>71913.395468589064</v>
      </c>
      <c r="W15" s="42">
        <v>73862.822863027788</v>
      </c>
      <c r="X15" s="42">
        <v>75812.250257466512</v>
      </c>
      <c r="Y15" s="42">
        <v>77823.530381050441</v>
      </c>
      <c r="Z15" s="42">
        <v>79873.20185375899</v>
      </c>
      <c r="AA15" s="42">
        <v>81963.397528321293</v>
      </c>
      <c r="AB15" s="42">
        <v>84015.20185375899</v>
      </c>
      <c r="AC15" s="42">
        <v>86098.998970133849</v>
      </c>
      <c r="AD15" s="42">
        <v>88174.264675592131</v>
      </c>
      <c r="AE15" s="42">
        <v>90174.880535530348</v>
      </c>
      <c r="AF15" s="42">
        <v>92102.979402677607</v>
      </c>
      <c r="AG15" s="42">
        <v>94033.211122554028</v>
      </c>
      <c r="AH15" s="42">
        <v>95897.324407826949</v>
      </c>
      <c r="AI15" s="42">
        <v>97772.101956745595</v>
      </c>
      <c r="AJ15" s="42">
        <v>99681.005149330565</v>
      </c>
      <c r="AK15" s="42">
        <v>101626.16683831099</v>
      </c>
      <c r="AM15" s="38" t="s">
        <v>305</v>
      </c>
      <c r="AN15" s="38" t="s">
        <v>305</v>
      </c>
      <c r="AO15" s="38" t="s">
        <v>305</v>
      </c>
      <c r="AP15" s="38" t="s">
        <v>305</v>
      </c>
      <c r="AQ15" s="38" t="s">
        <v>305</v>
      </c>
      <c r="AR15" s="38" t="s">
        <v>306</v>
      </c>
      <c r="AS15" s="38" t="s">
        <v>306</v>
      </c>
      <c r="AT15" s="38" t="s">
        <v>306</v>
      </c>
      <c r="AU15" s="38" t="s">
        <v>306</v>
      </c>
      <c r="AV15" s="38" t="s">
        <v>306</v>
      </c>
      <c r="AW15" s="38" t="s">
        <v>306</v>
      </c>
      <c r="AX15" s="38" t="s">
        <v>306</v>
      </c>
      <c r="AY15" s="38" t="s">
        <v>306</v>
      </c>
      <c r="AZ15" s="38" t="s">
        <v>306</v>
      </c>
      <c r="BA15" s="38" t="s">
        <v>306</v>
      </c>
      <c r="BB15" s="38" t="s">
        <v>306</v>
      </c>
      <c r="BC15" s="38" t="s">
        <v>306</v>
      </c>
      <c r="BD15" s="38" t="s">
        <v>306</v>
      </c>
      <c r="BE15" s="38" t="s">
        <v>306</v>
      </c>
      <c r="BF15" s="38" t="s">
        <v>306</v>
      </c>
      <c r="BG15" s="38" t="s">
        <v>306</v>
      </c>
      <c r="BH15" s="38" t="s">
        <v>306</v>
      </c>
      <c r="BI15" s="38" t="s">
        <v>306</v>
      </c>
      <c r="BJ15" s="38" t="s">
        <v>306</v>
      </c>
      <c r="BK15" s="38" t="s">
        <v>306</v>
      </c>
      <c r="BL15" s="38" t="s">
        <v>306</v>
      </c>
      <c r="BM15" s="38" t="s">
        <v>306</v>
      </c>
      <c r="BN15" s="38" t="s">
        <v>306</v>
      </c>
      <c r="BO15" s="38" t="s">
        <v>306</v>
      </c>
      <c r="BP15" s="38" t="s">
        <v>306</v>
      </c>
      <c r="BQ15" s="53" t="s">
        <v>306</v>
      </c>
    </row>
    <row r="16" spans="1:69" x14ac:dyDescent="0.35">
      <c r="A16" s="39" t="s">
        <v>90</v>
      </c>
      <c r="B16" s="39" t="s">
        <v>91</v>
      </c>
      <c r="C16" s="39" t="s">
        <v>92</v>
      </c>
      <c r="D16" s="40"/>
      <c r="E16" s="41" t="str">
        <f t="shared" ref="E16:E27" si="4">IF(SUM(G16:AK16)&gt;0,CHAR(252),CHAR(251))</f>
        <v>ü</v>
      </c>
      <c r="F16" t="s">
        <v>90</v>
      </c>
      <c r="G16" s="42">
        <v>8275</v>
      </c>
      <c r="H16" s="42">
        <v>9874</v>
      </c>
      <c r="I16" s="42">
        <v>11100.000000000002</v>
      </c>
      <c r="J16" s="42">
        <v>12075.000000000004</v>
      </c>
      <c r="K16" s="42">
        <v>12805.000000000005</v>
      </c>
      <c r="L16" s="42">
        <v>13433.000000000005</v>
      </c>
      <c r="M16" s="42">
        <v>13988.000000000005</v>
      </c>
      <c r="N16" s="42">
        <v>14560.000000000005</v>
      </c>
      <c r="O16" s="42">
        <v>15154.000000000007</v>
      </c>
      <c r="P16" s="42">
        <v>15724.000000000007</v>
      </c>
      <c r="Q16" s="42">
        <v>16281.000000000009</v>
      </c>
      <c r="R16" s="42">
        <v>16802.000000000007</v>
      </c>
      <c r="S16" s="42">
        <v>17349.000000000007</v>
      </c>
      <c r="T16" s="42">
        <v>17890.000000000011</v>
      </c>
      <c r="U16" s="42">
        <v>18451.000000000011</v>
      </c>
      <c r="V16" s="42">
        <v>19011.000000000015</v>
      </c>
      <c r="W16" s="42">
        <v>19581.000000000018</v>
      </c>
      <c r="X16" s="42">
        <v>20175.000000000022</v>
      </c>
      <c r="Y16" s="42">
        <v>20775.000000000025</v>
      </c>
      <c r="Z16" s="42">
        <v>21411.000000000025</v>
      </c>
      <c r="AA16" s="42">
        <v>22046.000000000025</v>
      </c>
      <c r="AB16" s="42">
        <v>22698.000000000025</v>
      </c>
      <c r="AC16" s="42">
        <v>23354.000000000025</v>
      </c>
      <c r="AD16" s="42">
        <v>24033.000000000029</v>
      </c>
      <c r="AE16" s="42">
        <v>24713.000000000033</v>
      </c>
      <c r="AF16" s="42">
        <v>25398.000000000033</v>
      </c>
      <c r="AG16" s="42">
        <v>26109.000000000036</v>
      </c>
      <c r="AH16" s="42">
        <v>26810.000000000036</v>
      </c>
      <c r="AI16" s="42">
        <v>27494.00000000004</v>
      </c>
      <c r="AJ16" s="42">
        <v>28196.00000000004</v>
      </c>
      <c r="AK16" s="42">
        <v>28917.000000000044</v>
      </c>
      <c r="AM16" s="38" t="s">
        <v>304</v>
      </c>
      <c r="AN16" s="38" t="s">
        <v>304</v>
      </c>
      <c r="AO16" s="38" t="s">
        <v>304</v>
      </c>
      <c r="AP16" s="38" t="s">
        <v>304</v>
      </c>
      <c r="AQ16" s="38" t="s">
        <v>304</v>
      </c>
      <c r="AR16" s="38" t="s">
        <v>304</v>
      </c>
      <c r="AS16" s="38" t="s">
        <v>304</v>
      </c>
      <c r="AT16" s="38" t="s">
        <v>304</v>
      </c>
      <c r="AU16" s="38" t="s">
        <v>304</v>
      </c>
      <c r="AV16" s="38" t="s">
        <v>304</v>
      </c>
      <c r="AW16" s="38" t="s">
        <v>304</v>
      </c>
      <c r="AX16" s="38" t="s">
        <v>304</v>
      </c>
      <c r="AY16" s="38" t="s">
        <v>304</v>
      </c>
      <c r="AZ16" s="38" t="s">
        <v>304</v>
      </c>
      <c r="BA16" s="38" t="s">
        <v>304</v>
      </c>
      <c r="BB16" s="38" t="s">
        <v>304</v>
      </c>
      <c r="BC16" s="38" t="s">
        <v>304</v>
      </c>
      <c r="BD16" s="38" t="s">
        <v>304</v>
      </c>
      <c r="BE16" s="38" t="s">
        <v>304</v>
      </c>
      <c r="BF16" s="38" t="s">
        <v>304</v>
      </c>
      <c r="BG16" s="38" t="s">
        <v>304</v>
      </c>
      <c r="BH16" s="38" t="s">
        <v>304</v>
      </c>
      <c r="BI16" s="38" t="s">
        <v>304</v>
      </c>
      <c r="BJ16" s="38" t="s">
        <v>304</v>
      </c>
      <c r="BK16" s="38" t="s">
        <v>304</v>
      </c>
      <c r="BL16" s="38" t="s">
        <v>304</v>
      </c>
      <c r="BM16" s="38" t="s">
        <v>304</v>
      </c>
      <c r="BN16" s="38" t="s">
        <v>304</v>
      </c>
      <c r="BO16" s="38" t="s">
        <v>304</v>
      </c>
      <c r="BP16" s="38" t="s">
        <v>304</v>
      </c>
      <c r="BQ16" s="53" t="s">
        <v>304</v>
      </c>
    </row>
    <row r="17" spans="1:71" x14ac:dyDescent="0.35">
      <c r="A17" s="35" t="s">
        <v>93</v>
      </c>
      <c r="B17" s="35" t="s">
        <v>172</v>
      </c>
      <c r="C17" s="35" t="s">
        <v>95</v>
      </c>
      <c r="D17" s="36"/>
      <c r="E17" s="37" t="str">
        <f t="shared" si="4"/>
        <v>ü</v>
      </c>
      <c r="F17" t="s">
        <v>93</v>
      </c>
      <c r="G17" s="38">
        <v>10926</v>
      </c>
      <c r="H17" s="38">
        <v>13750</v>
      </c>
      <c r="I17" s="38">
        <v>15976</v>
      </c>
      <c r="J17" s="38">
        <v>17925</v>
      </c>
      <c r="K17" s="38">
        <v>19430</v>
      </c>
      <c r="L17" s="38">
        <v>20887</v>
      </c>
      <c r="M17" s="38">
        <v>22195</v>
      </c>
      <c r="N17" s="38">
        <v>23600</v>
      </c>
      <c r="O17" s="38">
        <v>24913</v>
      </c>
      <c r="P17" s="38">
        <v>26324.999999999996</v>
      </c>
      <c r="Q17" s="38">
        <v>27583.999999999996</v>
      </c>
      <c r="R17" s="38">
        <v>28923.999999999996</v>
      </c>
      <c r="S17" s="38">
        <v>30161.999999999996</v>
      </c>
      <c r="T17" s="38">
        <v>31544.999999999996</v>
      </c>
      <c r="U17" s="38">
        <v>32822</v>
      </c>
      <c r="V17" s="38">
        <v>34250</v>
      </c>
      <c r="W17" s="38">
        <v>35571</v>
      </c>
      <c r="X17" s="38">
        <v>37040</v>
      </c>
      <c r="Y17" s="38">
        <v>38375</v>
      </c>
      <c r="Z17" s="38">
        <v>39906</v>
      </c>
      <c r="AA17" s="38">
        <v>41275</v>
      </c>
      <c r="AB17" s="38">
        <v>42829</v>
      </c>
      <c r="AC17" s="38">
        <v>44229</v>
      </c>
      <c r="AD17" s="38">
        <v>45838</v>
      </c>
      <c r="AE17" s="38">
        <v>46969</v>
      </c>
      <c r="AF17" s="38">
        <v>48297</v>
      </c>
      <c r="AG17" s="38">
        <v>49471</v>
      </c>
      <c r="AH17" s="38">
        <v>50834</v>
      </c>
      <c r="AI17" s="38">
        <v>52007.000000000007</v>
      </c>
      <c r="AJ17" s="38">
        <v>53207</v>
      </c>
      <c r="AK17" s="53">
        <v>54434.999999999993</v>
      </c>
      <c r="AM17" s="38" t="s">
        <v>304</v>
      </c>
      <c r="AN17" s="38" t="s">
        <v>304</v>
      </c>
      <c r="AO17" s="38" t="s">
        <v>304</v>
      </c>
      <c r="AP17" s="38" t="s">
        <v>304</v>
      </c>
      <c r="AQ17" s="38" t="s">
        <v>304</v>
      </c>
      <c r="AR17" s="38" t="s">
        <v>304</v>
      </c>
      <c r="AS17" s="38" t="s">
        <v>304</v>
      </c>
      <c r="AT17" s="38" t="s">
        <v>304</v>
      </c>
      <c r="AU17" s="38" t="s">
        <v>304</v>
      </c>
      <c r="AV17" s="38" t="s">
        <v>304</v>
      </c>
      <c r="AW17" s="38" t="s">
        <v>304</v>
      </c>
      <c r="AX17" s="38" t="s">
        <v>304</v>
      </c>
      <c r="AY17" s="38" t="s">
        <v>305</v>
      </c>
      <c r="AZ17" s="38" t="s">
        <v>305</v>
      </c>
      <c r="BA17" s="38" t="s">
        <v>305</v>
      </c>
      <c r="BB17" s="38" t="s">
        <v>305</v>
      </c>
      <c r="BC17" s="38" t="s">
        <v>305</v>
      </c>
      <c r="BD17" s="38" t="s">
        <v>305</v>
      </c>
      <c r="BE17" s="38" t="s">
        <v>305</v>
      </c>
      <c r="BF17" s="38" t="s">
        <v>305</v>
      </c>
      <c r="BG17" s="38" t="s">
        <v>305</v>
      </c>
      <c r="BH17" s="38" t="s">
        <v>305</v>
      </c>
      <c r="BI17" s="38" t="s">
        <v>305</v>
      </c>
      <c r="BJ17" s="38" t="s">
        <v>305</v>
      </c>
      <c r="BK17" s="38" t="s">
        <v>305</v>
      </c>
      <c r="BL17" s="38" t="s">
        <v>305</v>
      </c>
      <c r="BM17" s="38" t="s">
        <v>305</v>
      </c>
      <c r="BN17" s="38" t="s">
        <v>306</v>
      </c>
      <c r="BO17" s="38" t="s">
        <v>306</v>
      </c>
      <c r="BP17" s="38" t="s">
        <v>306</v>
      </c>
      <c r="BQ17" s="53" t="s">
        <v>306</v>
      </c>
    </row>
    <row r="18" spans="1:71" x14ac:dyDescent="0.35">
      <c r="A18" s="35" t="s">
        <v>97</v>
      </c>
      <c r="B18" s="35" t="s">
        <v>98</v>
      </c>
      <c r="C18" s="35" t="s">
        <v>99</v>
      </c>
      <c r="D18" s="36"/>
      <c r="E18" s="37" t="str">
        <f t="shared" si="4"/>
        <v>ü</v>
      </c>
      <c r="F18" t="s">
        <v>97</v>
      </c>
      <c r="G18" s="38">
        <v>5696</v>
      </c>
      <c r="H18" s="38">
        <v>6832</v>
      </c>
      <c r="I18" s="38">
        <v>7693.0000000000009</v>
      </c>
      <c r="J18" s="38">
        <v>8379</v>
      </c>
      <c r="K18" s="38">
        <v>8884</v>
      </c>
      <c r="L18" s="38">
        <v>9314</v>
      </c>
      <c r="M18" s="38">
        <v>9704.9999999999982</v>
      </c>
      <c r="N18" s="38">
        <v>10089.999999999998</v>
      </c>
      <c r="O18" s="38">
        <v>10486.999999999998</v>
      </c>
      <c r="P18" s="38">
        <v>10874.999999999996</v>
      </c>
      <c r="Q18" s="38">
        <v>11237.999999999996</v>
      </c>
      <c r="R18" s="38">
        <v>11587.999999999996</v>
      </c>
      <c r="S18" s="38">
        <v>11941.999999999996</v>
      </c>
      <c r="T18" s="38">
        <v>12295.999999999996</v>
      </c>
      <c r="U18" s="38">
        <v>12664.999999999996</v>
      </c>
      <c r="V18" s="38">
        <v>13030.999999999996</v>
      </c>
      <c r="W18" s="38">
        <v>13408.999999999996</v>
      </c>
      <c r="X18" s="38">
        <v>13788.999999999995</v>
      </c>
      <c r="Y18" s="38">
        <v>14184.999999999993</v>
      </c>
      <c r="Z18" s="38">
        <v>14591.999999999991</v>
      </c>
      <c r="AA18" s="38">
        <v>15009.999999999989</v>
      </c>
      <c r="AB18" s="38">
        <v>15422.999999999989</v>
      </c>
      <c r="AC18" s="38">
        <v>15852.999999999989</v>
      </c>
      <c r="AD18" s="38">
        <v>16282.999999999987</v>
      </c>
      <c r="AE18" s="38">
        <v>16723.999999999985</v>
      </c>
      <c r="AF18" s="38">
        <v>17165.999999999985</v>
      </c>
      <c r="AG18" s="38">
        <v>17625.999999999985</v>
      </c>
      <c r="AH18" s="38">
        <v>18075.999999999985</v>
      </c>
      <c r="AI18" s="38">
        <v>18514.999999999985</v>
      </c>
      <c r="AJ18" s="38">
        <v>18965.999999999985</v>
      </c>
      <c r="AK18" s="53">
        <v>19428.999999999985</v>
      </c>
      <c r="AM18" s="42" t="s">
        <v>304</v>
      </c>
      <c r="AN18" s="42" t="s">
        <v>304</v>
      </c>
      <c r="AO18" s="42" t="s">
        <v>304</v>
      </c>
      <c r="AP18" s="42" t="s">
        <v>304</v>
      </c>
      <c r="AQ18" s="42" t="s">
        <v>304</v>
      </c>
      <c r="AR18" s="42" t="s">
        <v>304</v>
      </c>
      <c r="AS18" s="42" t="s">
        <v>304</v>
      </c>
      <c r="AT18" s="42" t="s">
        <v>304</v>
      </c>
      <c r="AU18" s="42" t="s">
        <v>304</v>
      </c>
      <c r="AV18" s="42" t="s">
        <v>304</v>
      </c>
      <c r="AW18" s="42" t="s">
        <v>304</v>
      </c>
      <c r="AX18" s="42" t="s">
        <v>304</v>
      </c>
      <c r="AY18" s="42" t="s">
        <v>304</v>
      </c>
      <c r="AZ18" s="42" t="s">
        <v>304</v>
      </c>
      <c r="BA18" s="42" t="s">
        <v>304</v>
      </c>
      <c r="BB18" s="42" t="s">
        <v>304</v>
      </c>
      <c r="BC18" s="42" t="s">
        <v>304</v>
      </c>
      <c r="BD18" s="42" t="s">
        <v>304</v>
      </c>
      <c r="BE18" s="42" t="s">
        <v>304</v>
      </c>
      <c r="BF18" s="42" t="s">
        <v>304</v>
      </c>
      <c r="BG18" s="42" t="s">
        <v>304</v>
      </c>
      <c r="BH18" s="42" t="s">
        <v>304</v>
      </c>
      <c r="BI18" s="42" t="s">
        <v>304</v>
      </c>
      <c r="BJ18" s="42" t="s">
        <v>304</v>
      </c>
      <c r="BK18" s="42" t="s">
        <v>304</v>
      </c>
      <c r="BL18" s="42" t="s">
        <v>304</v>
      </c>
      <c r="BM18" s="42" t="s">
        <v>304</v>
      </c>
      <c r="BN18" s="42" t="s">
        <v>304</v>
      </c>
      <c r="BO18" s="42" t="s">
        <v>304</v>
      </c>
      <c r="BP18" s="42" t="s">
        <v>304</v>
      </c>
      <c r="BQ18" s="42" t="s">
        <v>304</v>
      </c>
    </row>
    <row r="19" spans="1:71" x14ac:dyDescent="0.35">
      <c r="A19" s="39" t="s">
        <v>100</v>
      </c>
      <c r="B19" s="39" t="s">
        <v>103</v>
      </c>
      <c r="C19" s="39" t="s">
        <v>102</v>
      </c>
      <c r="D19" s="40"/>
      <c r="E19" s="41" t="str">
        <f t="shared" si="4"/>
        <v>ü</v>
      </c>
      <c r="F19" t="s">
        <v>100</v>
      </c>
      <c r="G19" s="42">
        <v>31741.73333333333</v>
      </c>
      <c r="H19" s="42">
        <v>37772</v>
      </c>
      <c r="I19" s="42">
        <v>42476.933333333334</v>
      </c>
      <c r="J19" s="42">
        <v>46320.4</v>
      </c>
      <c r="K19" s="42">
        <v>49434.933333333342</v>
      </c>
      <c r="L19" s="42">
        <v>51953.06666666668</v>
      </c>
      <c r="M19" s="42">
        <v>54338.666666666679</v>
      </c>
      <c r="N19" s="42">
        <v>56790.533333333347</v>
      </c>
      <c r="O19" s="42">
        <v>59109.866666666676</v>
      </c>
      <c r="P19" s="42">
        <v>61164.133333333346</v>
      </c>
      <c r="Q19" s="42">
        <v>63218.400000000023</v>
      </c>
      <c r="R19" s="42">
        <v>65140.13333333336</v>
      </c>
      <c r="S19" s="42">
        <v>66995.600000000035</v>
      </c>
      <c r="T19" s="42">
        <v>68851.066666666695</v>
      </c>
      <c r="U19" s="42">
        <v>70706.533333333355</v>
      </c>
      <c r="V19" s="42">
        <v>72628.266666666692</v>
      </c>
      <c r="W19" s="42">
        <v>74616.266666666706</v>
      </c>
      <c r="X19" s="42">
        <v>76604.266666666706</v>
      </c>
      <c r="Y19" s="42">
        <v>78658.533333333369</v>
      </c>
      <c r="Z19" s="42">
        <v>80712.800000000032</v>
      </c>
      <c r="AA19" s="42">
        <v>82833.333333333358</v>
      </c>
      <c r="AB19" s="42">
        <v>84887.60000000002</v>
      </c>
      <c r="AC19" s="42">
        <v>87008.13333333336</v>
      </c>
      <c r="AD19" s="42">
        <v>89194.933333333363</v>
      </c>
      <c r="AE19" s="42">
        <v>91381.733333333352</v>
      </c>
      <c r="AF19" s="42">
        <v>93436.000000000015</v>
      </c>
      <c r="AG19" s="42">
        <v>95689.06666666668</v>
      </c>
      <c r="AH19" s="42">
        <v>97743.333333333358</v>
      </c>
      <c r="AI19" s="42">
        <v>100062.6666666667</v>
      </c>
      <c r="AJ19" s="42">
        <v>102382.00000000003</v>
      </c>
      <c r="AK19" s="42">
        <v>104833.8666666667</v>
      </c>
      <c r="AM19" s="38" t="s">
        <v>305</v>
      </c>
      <c r="AN19" s="38" t="s">
        <v>305</v>
      </c>
      <c r="AO19" s="38" t="s">
        <v>305</v>
      </c>
      <c r="AP19" s="38" t="s">
        <v>305</v>
      </c>
      <c r="AQ19" s="38" t="s">
        <v>305</v>
      </c>
      <c r="AR19" s="38" t="s">
        <v>306</v>
      </c>
      <c r="AS19" s="38" t="s">
        <v>306</v>
      </c>
      <c r="AT19" s="38" t="s">
        <v>306</v>
      </c>
      <c r="AU19" s="38" t="s">
        <v>306</v>
      </c>
      <c r="AV19" s="38" t="s">
        <v>306</v>
      </c>
      <c r="AW19" s="38" t="s">
        <v>306</v>
      </c>
      <c r="AX19" s="38" t="s">
        <v>306</v>
      </c>
      <c r="AY19" s="38" t="s">
        <v>306</v>
      </c>
      <c r="AZ19" s="38" t="s">
        <v>306</v>
      </c>
      <c r="BA19" s="38" t="s">
        <v>306</v>
      </c>
      <c r="BB19" s="38" t="s">
        <v>306</v>
      </c>
      <c r="BC19" s="38" t="s">
        <v>306</v>
      </c>
      <c r="BD19" s="38" t="s">
        <v>306</v>
      </c>
      <c r="BE19" s="38" t="s">
        <v>306</v>
      </c>
      <c r="BF19" s="38" t="s">
        <v>306</v>
      </c>
      <c r="BG19" s="38" t="s">
        <v>306</v>
      </c>
      <c r="BH19" s="38" t="s">
        <v>306</v>
      </c>
      <c r="BI19" s="38" t="s">
        <v>306</v>
      </c>
      <c r="BJ19" s="38" t="s">
        <v>306</v>
      </c>
      <c r="BK19" s="38" t="s">
        <v>306</v>
      </c>
      <c r="BL19" s="38" t="s">
        <v>306</v>
      </c>
      <c r="BM19" s="38" t="s">
        <v>306</v>
      </c>
      <c r="BN19" s="38" t="s">
        <v>306</v>
      </c>
      <c r="BO19" s="38" t="s">
        <v>306</v>
      </c>
      <c r="BP19" s="38" t="s">
        <v>306</v>
      </c>
      <c r="BQ19" s="53" t="s">
        <v>306</v>
      </c>
    </row>
    <row r="20" spans="1:71" x14ac:dyDescent="0.35">
      <c r="A20" s="35" t="s">
        <v>104</v>
      </c>
      <c r="B20" s="35" t="s">
        <v>173</v>
      </c>
      <c r="C20" s="35" t="s">
        <v>106</v>
      </c>
      <c r="D20" s="36"/>
      <c r="E20" s="37" t="str">
        <f t="shared" si="4"/>
        <v>ü</v>
      </c>
      <c r="F20" t="s">
        <v>104</v>
      </c>
      <c r="G20" s="38">
        <v>3347</v>
      </c>
      <c r="H20" s="38">
        <v>4022</v>
      </c>
      <c r="I20" s="38">
        <v>4548</v>
      </c>
      <c r="J20" s="38">
        <v>4964</v>
      </c>
      <c r="K20" s="38">
        <v>5277</v>
      </c>
      <c r="L20" s="38">
        <v>5543</v>
      </c>
      <c r="M20" s="38">
        <v>5788</v>
      </c>
      <c r="N20" s="38">
        <v>6022.9999999999991</v>
      </c>
      <c r="O20" s="38">
        <v>6247.9999999999991</v>
      </c>
      <c r="P20" s="38">
        <v>6461.9999999999982</v>
      </c>
      <c r="Q20" s="38">
        <v>6663.9999999999982</v>
      </c>
      <c r="R20" s="38">
        <v>6844.9999999999991</v>
      </c>
      <c r="S20" s="38">
        <v>7025.9999999999982</v>
      </c>
      <c r="T20" s="38">
        <v>7207.9999999999982</v>
      </c>
      <c r="U20" s="38">
        <v>7393.9999999999991</v>
      </c>
      <c r="V20" s="38">
        <v>7574.9999999999982</v>
      </c>
      <c r="W20" s="38">
        <v>7757.9999999999982</v>
      </c>
      <c r="X20" s="38">
        <v>7943.9999999999991</v>
      </c>
      <c r="Y20" s="38">
        <v>8131.9999999999991</v>
      </c>
      <c r="Z20" s="38">
        <v>8313.9999999999982</v>
      </c>
      <c r="AA20" s="38">
        <v>8503.9999999999982</v>
      </c>
      <c r="AB20" s="38">
        <v>8689.9999999999982</v>
      </c>
      <c r="AC20" s="38">
        <v>8876.9999999999964</v>
      </c>
      <c r="AD20" s="38">
        <v>9063.9999999999964</v>
      </c>
      <c r="AE20" s="38">
        <v>9248.9999999999964</v>
      </c>
      <c r="AF20" s="38">
        <v>9429.9999999999964</v>
      </c>
      <c r="AG20" s="38">
        <v>9614.9999999999964</v>
      </c>
      <c r="AH20" s="38">
        <v>9791.9999999999964</v>
      </c>
      <c r="AI20" s="38">
        <v>9967.9999999999964</v>
      </c>
      <c r="AJ20" s="38">
        <v>10148.999999999996</v>
      </c>
      <c r="AK20" s="53">
        <v>10331.999999999996</v>
      </c>
      <c r="AM20" s="42" t="s">
        <v>304</v>
      </c>
      <c r="AN20" s="42" t="s">
        <v>304</v>
      </c>
      <c r="AO20" s="42" t="s">
        <v>304</v>
      </c>
      <c r="AP20" s="42" t="s">
        <v>304</v>
      </c>
      <c r="AQ20" s="42" t="s">
        <v>304</v>
      </c>
      <c r="AR20" s="42" t="s">
        <v>304</v>
      </c>
      <c r="AS20" s="42" t="s">
        <v>304</v>
      </c>
      <c r="AT20" s="42" t="s">
        <v>304</v>
      </c>
      <c r="AU20" s="42" t="s">
        <v>304</v>
      </c>
      <c r="AV20" s="42" t="s">
        <v>304</v>
      </c>
      <c r="AW20" s="42" t="s">
        <v>304</v>
      </c>
      <c r="AX20" s="42" t="s">
        <v>304</v>
      </c>
      <c r="AY20" s="42" t="s">
        <v>304</v>
      </c>
      <c r="AZ20" s="42" t="s">
        <v>304</v>
      </c>
      <c r="BA20" s="42" t="s">
        <v>304</v>
      </c>
      <c r="BB20" s="42" t="s">
        <v>304</v>
      </c>
      <c r="BC20" s="42" t="s">
        <v>304</v>
      </c>
      <c r="BD20" s="42" t="s">
        <v>304</v>
      </c>
      <c r="BE20" s="42" t="s">
        <v>304</v>
      </c>
      <c r="BF20" s="42" t="s">
        <v>304</v>
      </c>
      <c r="BG20" s="42" t="s">
        <v>304</v>
      </c>
      <c r="BH20" s="42" t="s">
        <v>304</v>
      </c>
      <c r="BI20" s="42" t="s">
        <v>304</v>
      </c>
      <c r="BJ20" s="42" t="s">
        <v>304</v>
      </c>
      <c r="BK20" s="42" t="s">
        <v>304</v>
      </c>
      <c r="BL20" s="42" t="s">
        <v>304</v>
      </c>
      <c r="BM20" s="42" t="s">
        <v>304</v>
      </c>
      <c r="BN20" s="42" t="s">
        <v>304</v>
      </c>
      <c r="BO20" s="42" t="s">
        <v>304</v>
      </c>
      <c r="BP20" s="42" t="s">
        <v>304</v>
      </c>
      <c r="BQ20" s="42" t="s">
        <v>304</v>
      </c>
    </row>
    <row r="21" spans="1:71" x14ac:dyDescent="0.35">
      <c r="A21" s="35" t="s">
        <v>260</v>
      </c>
      <c r="B21" s="35" t="s">
        <v>261</v>
      </c>
      <c r="C21" s="35" t="s">
        <v>286</v>
      </c>
      <c r="D21" s="36"/>
      <c r="E21" s="37" t="str">
        <f t="shared" si="4"/>
        <v>ü</v>
      </c>
      <c r="F21" t="s">
        <v>260</v>
      </c>
      <c r="G21" s="38">
        <v>31549</v>
      </c>
      <c r="H21" s="38">
        <v>39679</v>
      </c>
      <c r="I21" s="38">
        <v>46002.999999999993</v>
      </c>
      <c r="J21" s="38">
        <v>51476.999999999993</v>
      </c>
      <c r="K21" s="38">
        <v>55506</v>
      </c>
      <c r="L21" s="38">
        <v>59472</v>
      </c>
      <c r="M21" s="38">
        <v>62847.999999999993</v>
      </c>
      <c r="N21" s="38">
        <v>66556</v>
      </c>
      <c r="O21" s="38">
        <v>69823</v>
      </c>
      <c r="P21" s="38">
        <v>73489</v>
      </c>
      <c r="Q21" s="38">
        <v>76501</v>
      </c>
      <c r="R21" s="38">
        <v>79702</v>
      </c>
      <c r="S21" s="38">
        <v>82654</v>
      </c>
      <c r="T21" s="38">
        <v>85902</v>
      </c>
      <c r="U21" s="38">
        <v>88879.999999999985</v>
      </c>
      <c r="V21" s="38">
        <v>92214.999999999985</v>
      </c>
      <c r="W21" s="38">
        <v>95199.999999999985</v>
      </c>
      <c r="X21" s="38">
        <v>98550.999999999971</v>
      </c>
      <c r="Y21" s="38">
        <v>101521.99999999997</v>
      </c>
      <c r="Z21" s="38">
        <v>104934.99999999997</v>
      </c>
      <c r="AA21" s="38">
        <v>107864.99999999997</v>
      </c>
      <c r="AB21" s="38">
        <v>111259.99999999997</v>
      </c>
      <c r="AC21" s="38">
        <v>114171.99999999997</v>
      </c>
      <c r="AD21" s="38">
        <v>117669.99999999996</v>
      </c>
      <c r="AE21" s="38">
        <v>120012.99999999994</v>
      </c>
      <c r="AF21" s="38">
        <v>122956.99999999994</v>
      </c>
      <c r="AG21" s="38">
        <v>131683.99999999994</v>
      </c>
      <c r="AH21" s="38">
        <v>134879.99999999994</v>
      </c>
      <c r="AI21" s="38">
        <v>137267.99999999994</v>
      </c>
      <c r="AJ21" s="38">
        <v>139696.99999999994</v>
      </c>
      <c r="AK21" s="53">
        <v>142170.99999999994</v>
      </c>
      <c r="AM21" s="38" t="s">
        <v>305</v>
      </c>
      <c r="AN21" s="38" t="s">
        <v>305</v>
      </c>
      <c r="AO21" s="38" t="s">
        <v>305</v>
      </c>
      <c r="AP21" s="38" t="s">
        <v>306</v>
      </c>
      <c r="AQ21" s="38" t="s">
        <v>306</v>
      </c>
      <c r="AR21" s="38" t="s">
        <v>306</v>
      </c>
      <c r="AS21" s="38" t="s">
        <v>306</v>
      </c>
      <c r="AT21" s="38" t="s">
        <v>306</v>
      </c>
      <c r="AU21" s="38" t="s">
        <v>306</v>
      </c>
      <c r="AV21" s="38" t="s">
        <v>306</v>
      </c>
      <c r="AW21" s="38" t="s">
        <v>306</v>
      </c>
      <c r="AX21" s="38" t="s">
        <v>306</v>
      </c>
      <c r="AY21" s="38" t="s">
        <v>306</v>
      </c>
      <c r="AZ21" s="38" t="s">
        <v>306</v>
      </c>
      <c r="BA21" s="38" t="s">
        <v>306</v>
      </c>
      <c r="BB21" s="38" t="s">
        <v>306</v>
      </c>
      <c r="BC21" s="38" t="s">
        <v>306</v>
      </c>
      <c r="BD21" s="38" t="s">
        <v>306</v>
      </c>
      <c r="BE21" s="38" t="s">
        <v>306</v>
      </c>
      <c r="BF21" s="38" t="s">
        <v>306</v>
      </c>
      <c r="BG21" s="38" t="s">
        <v>306</v>
      </c>
      <c r="BH21" s="38" t="s">
        <v>306</v>
      </c>
      <c r="BI21" s="38" t="s">
        <v>306</v>
      </c>
      <c r="BJ21" s="38" t="s">
        <v>306</v>
      </c>
      <c r="BK21" s="38" t="s">
        <v>306</v>
      </c>
      <c r="BL21" s="38" t="s">
        <v>306</v>
      </c>
      <c r="BM21" s="38" t="s">
        <v>306</v>
      </c>
      <c r="BN21" s="38" t="s">
        <v>306</v>
      </c>
      <c r="BO21" s="38" t="s">
        <v>306</v>
      </c>
      <c r="BP21" s="38" t="s">
        <v>306</v>
      </c>
      <c r="BQ21" s="53" t="s">
        <v>306</v>
      </c>
      <c r="BS21" t="s">
        <v>256</v>
      </c>
    </row>
    <row r="22" spans="1:71" x14ac:dyDescent="0.35">
      <c r="A22" s="35" t="s">
        <v>108</v>
      </c>
      <c r="B22" s="35" t="s">
        <v>109</v>
      </c>
      <c r="C22" s="35" t="s">
        <v>110</v>
      </c>
      <c r="D22" s="36"/>
      <c r="E22" s="37" t="str">
        <f t="shared" si="4"/>
        <v>ü</v>
      </c>
      <c r="F22" t="s">
        <v>108</v>
      </c>
      <c r="G22" s="38">
        <v>15105</v>
      </c>
      <c r="H22" s="38">
        <v>18258</v>
      </c>
      <c r="I22" s="38">
        <v>20712</v>
      </c>
      <c r="J22" s="38">
        <v>22668</v>
      </c>
      <c r="K22" s="38">
        <v>24156</v>
      </c>
      <c r="L22" s="38">
        <v>25463</v>
      </c>
      <c r="M22" s="38">
        <v>26647</v>
      </c>
      <c r="N22" s="38">
        <v>27803</v>
      </c>
      <c r="O22" s="38">
        <v>28901</v>
      </c>
      <c r="P22" s="38">
        <v>29948.999999999996</v>
      </c>
      <c r="Q22" s="38">
        <v>30900.999999999993</v>
      </c>
      <c r="R22" s="38">
        <v>31838.999999999993</v>
      </c>
      <c r="S22" s="38">
        <v>32721.999999999996</v>
      </c>
      <c r="T22" s="38">
        <v>33644</v>
      </c>
      <c r="U22" s="38">
        <v>34529</v>
      </c>
      <c r="V22" s="38">
        <v>35453</v>
      </c>
      <c r="W22" s="38">
        <v>36367</v>
      </c>
      <c r="X22" s="38">
        <v>37301</v>
      </c>
      <c r="Y22" s="38">
        <v>38227</v>
      </c>
      <c r="Z22" s="38">
        <v>39195</v>
      </c>
      <c r="AA22" s="38">
        <v>40145</v>
      </c>
      <c r="AB22" s="38">
        <v>41113</v>
      </c>
      <c r="AC22" s="38">
        <v>42059.000000000007</v>
      </c>
      <c r="AD22" s="38">
        <v>43026.000000000015</v>
      </c>
      <c r="AE22" s="38">
        <v>43870.000000000015</v>
      </c>
      <c r="AF22" s="38">
        <v>44787.000000000015</v>
      </c>
      <c r="AG22" s="38">
        <v>45654.000000000022</v>
      </c>
      <c r="AH22" s="38">
        <v>46556.000000000022</v>
      </c>
      <c r="AI22" s="38">
        <v>47400.000000000015</v>
      </c>
      <c r="AJ22" s="38">
        <v>48259.000000000007</v>
      </c>
      <c r="AK22" s="53">
        <v>49134</v>
      </c>
      <c r="AM22" s="42" t="s">
        <v>304</v>
      </c>
      <c r="AN22" s="42" t="s">
        <v>304</v>
      </c>
      <c r="AO22" s="42" t="s">
        <v>304</v>
      </c>
      <c r="AP22" s="42" t="s">
        <v>304</v>
      </c>
      <c r="AQ22" s="42" t="s">
        <v>304</v>
      </c>
      <c r="AR22" s="42" t="s">
        <v>304</v>
      </c>
      <c r="AS22" s="42" t="s">
        <v>304</v>
      </c>
      <c r="AT22" s="42" t="s">
        <v>304</v>
      </c>
      <c r="AU22" s="42" t="s">
        <v>304</v>
      </c>
      <c r="AV22" s="42" t="s">
        <v>304</v>
      </c>
      <c r="AW22" s="42" t="s">
        <v>305</v>
      </c>
      <c r="AX22" s="42" t="s">
        <v>305</v>
      </c>
      <c r="AY22" s="42" t="s">
        <v>305</v>
      </c>
      <c r="AZ22" s="42" t="s">
        <v>305</v>
      </c>
      <c r="BA22" s="42" t="s">
        <v>305</v>
      </c>
      <c r="BB22" s="42" t="s">
        <v>305</v>
      </c>
      <c r="BC22" s="42" t="s">
        <v>305</v>
      </c>
      <c r="BD22" s="42" t="s">
        <v>305</v>
      </c>
      <c r="BE22" s="42" t="s">
        <v>305</v>
      </c>
      <c r="BF22" s="42" t="s">
        <v>305</v>
      </c>
      <c r="BG22" s="42" t="s">
        <v>305</v>
      </c>
      <c r="BH22" s="42" t="s">
        <v>305</v>
      </c>
      <c r="BI22" s="42" t="s">
        <v>305</v>
      </c>
      <c r="BJ22" s="42" t="s">
        <v>305</v>
      </c>
      <c r="BK22" s="42" t="s">
        <v>305</v>
      </c>
      <c r="BL22" s="42" t="s">
        <v>305</v>
      </c>
      <c r="BM22" s="42" t="s">
        <v>305</v>
      </c>
      <c r="BN22" s="42" t="s">
        <v>305</v>
      </c>
      <c r="BO22" s="42" t="s">
        <v>305</v>
      </c>
      <c r="BP22" s="42" t="s">
        <v>305</v>
      </c>
      <c r="BQ22" s="42" t="s">
        <v>305</v>
      </c>
      <c r="BS22" t="s">
        <v>256</v>
      </c>
    </row>
    <row r="23" spans="1:71" x14ac:dyDescent="0.35">
      <c r="A23" s="39" t="s">
        <v>111</v>
      </c>
      <c r="B23" s="39" t="s">
        <v>174</v>
      </c>
      <c r="C23" s="39" t="s">
        <v>113</v>
      </c>
      <c r="D23" s="40"/>
      <c r="E23" s="41" t="str">
        <f t="shared" si="4"/>
        <v>ü</v>
      </c>
      <c r="F23" t="s">
        <v>111</v>
      </c>
      <c r="G23" s="42">
        <v>34054.51242339547</v>
      </c>
      <c r="H23" s="42">
        <v>41162</v>
      </c>
      <c r="I23" s="42">
        <v>46651.462858022001</v>
      </c>
      <c r="J23" s="42">
        <v>51015.802200056409</v>
      </c>
      <c r="K23" s="42">
        <v>54326.789507423266</v>
      </c>
      <c r="L23" s="42">
        <v>57195.537834303446</v>
      </c>
      <c r="M23" s="42">
        <v>59862.692735711171</v>
      </c>
      <c r="N23" s="42">
        <v>62396.859304084719</v>
      </c>
      <c r="O23" s="42">
        <v>64826.53503935998</v>
      </c>
      <c r="P23" s="42">
        <v>67110.556886074002</v>
      </c>
      <c r="Q23" s="42">
        <v>69228.871047975583</v>
      </c>
      <c r="R23" s="42">
        <v>71215.25233980357</v>
      </c>
      <c r="S23" s="42">
        <v>73198.467242749786</v>
      </c>
      <c r="T23" s="42">
        <v>75174.293904971899</v>
      </c>
      <c r="U23" s="42">
        <v>77206.0601041052</v>
      </c>
      <c r="V23" s="42">
        <v>79208.273340342028</v>
      </c>
      <c r="W23" s="42">
        <v>81252.705095002399</v>
      </c>
      <c r="X23" s="42">
        <v>83286.58222005688</v>
      </c>
      <c r="Y23" s="42">
        <v>85394.341752352586</v>
      </c>
      <c r="Z23" s="42">
        <v>87534.820636426535</v>
      </c>
      <c r="AA23" s="42">
        <v>89705.907946357562</v>
      </c>
      <c r="AB23" s="42">
        <v>91824.222108259157</v>
      </c>
      <c r="AC23" s="42">
        <v>93976.311084899571</v>
      </c>
      <c r="AD23" s="42">
        <v>96114.679043052354</v>
      </c>
      <c r="AE23" s="42">
        <v>98105.282186722703</v>
      </c>
      <c r="AF23" s="42">
        <v>100007.22644170361</v>
      </c>
      <c r="AG23" s="42">
        <v>101895.44967819686</v>
      </c>
      <c r="AH23" s="42">
        <v>103703.45772968535</v>
      </c>
      <c r="AI23" s="42">
        <v>105517.79855893739</v>
      </c>
      <c r="AJ23" s="42">
        <v>107368.02512884943</v>
      </c>
      <c r="AK23" s="42">
        <v>109249.91558757915</v>
      </c>
      <c r="AM23" s="38" t="s">
        <v>305</v>
      </c>
      <c r="AN23" s="38" t="s">
        <v>305</v>
      </c>
      <c r="AO23" s="38" t="s">
        <v>305</v>
      </c>
      <c r="AP23" s="38" t="s">
        <v>306</v>
      </c>
      <c r="AQ23" s="38" t="s">
        <v>306</v>
      </c>
      <c r="AR23" s="38" t="s">
        <v>306</v>
      </c>
      <c r="AS23" s="38" t="s">
        <v>306</v>
      </c>
      <c r="AT23" s="38" t="s">
        <v>306</v>
      </c>
      <c r="AU23" s="38" t="s">
        <v>306</v>
      </c>
      <c r="AV23" s="38" t="s">
        <v>306</v>
      </c>
      <c r="AW23" s="38" t="s">
        <v>306</v>
      </c>
      <c r="AX23" s="38" t="s">
        <v>306</v>
      </c>
      <c r="AY23" s="38" t="s">
        <v>306</v>
      </c>
      <c r="AZ23" s="38" t="s">
        <v>306</v>
      </c>
      <c r="BA23" s="38" t="s">
        <v>306</v>
      </c>
      <c r="BB23" s="38" t="s">
        <v>306</v>
      </c>
      <c r="BC23" s="38" t="s">
        <v>306</v>
      </c>
      <c r="BD23" s="38" t="s">
        <v>306</v>
      </c>
      <c r="BE23" s="38" t="s">
        <v>306</v>
      </c>
      <c r="BF23" s="38" t="s">
        <v>306</v>
      </c>
      <c r="BG23" s="38" t="s">
        <v>306</v>
      </c>
      <c r="BH23" s="38" t="s">
        <v>306</v>
      </c>
      <c r="BI23" s="38" t="s">
        <v>306</v>
      </c>
      <c r="BJ23" s="38" t="s">
        <v>306</v>
      </c>
      <c r="BK23" s="38" t="s">
        <v>306</v>
      </c>
      <c r="BL23" s="38" t="s">
        <v>306</v>
      </c>
      <c r="BM23" s="38" t="s">
        <v>306</v>
      </c>
      <c r="BN23" s="38" t="s">
        <v>306</v>
      </c>
      <c r="BO23" s="38" t="s">
        <v>306</v>
      </c>
      <c r="BP23" s="38" t="s">
        <v>306</v>
      </c>
      <c r="BQ23" s="53" t="s">
        <v>306</v>
      </c>
      <c r="BS23" t="s">
        <v>256</v>
      </c>
    </row>
    <row r="24" spans="1:71" x14ac:dyDescent="0.35">
      <c r="A24" s="39" t="s">
        <v>116</v>
      </c>
      <c r="B24" s="39" t="s">
        <v>117</v>
      </c>
      <c r="C24" s="39" t="s">
        <v>118</v>
      </c>
      <c r="D24" s="40"/>
      <c r="E24" s="41" t="str">
        <f t="shared" si="4"/>
        <v>ü</v>
      </c>
      <c r="F24" t="s">
        <v>116</v>
      </c>
      <c r="G24" s="42">
        <v>2154</v>
      </c>
      <c r="H24" s="42">
        <v>2567</v>
      </c>
      <c r="I24" s="42">
        <v>2897.0000000000005</v>
      </c>
      <c r="J24" s="42">
        <v>3165.0000000000005</v>
      </c>
      <c r="K24" s="42">
        <v>3374.0000000000005</v>
      </c>
      <c r="L24" s="42">
        <v>3556.0000000000005</v>
      </c>
      <c r="M24" s="42">
        <v>3727.0000000000005</v>
      </c>
      <c r="N24" s="42">
        <v>3890</v>
      </c>
      <c r="O24" s="42">
        <v>4047</v>
      </c>
      <c r="P24" s="42">
        <v>4195</v>
      </c>
      <c r="Q24" s="42">
        <v>4332</v>
      </c>
      <c r="R24" s="42">
        <v>4459.0000000000009</v>
      </c>
      <c r="S24" s="42">
        <v>4587.0000000000009</v>
      </c>
      <c r="T24" s="42">
        <v>4713.0000000000009</v>
      </c>
      <c r="U24" s="42">
        <v>4844.0000000000009</v>
      </c>
      <c r="V24" s="42">
        <v>4970.0000000000009</v>
      </c>
      <c r="W24" s="42">
        <v>5101.0000000000009</v>
      </c>
      <c r="X24" s="42">
        <v>5230.0000000000009</v>
      </c>
      <c r="Y24" s="42">
        <v>5363.0000000000018</v>
      </c>
      <c r="Z24" s="42">
        <v>5498.0000000000018</v>
      </c>
      <c r="AA24" s="42">
        <v>5635.0000000000018</v>
      </c>
      <c r="AB24" s="42">
        <v>5768.0000000000018</v>
      </c>
      <c r="AC24" s="42">
        <v>5904.0000000000018</v>
      </c>
      <c r="AD24" s="42">
        <v>6037.0000000000027</v>
      </c>
      <c r="AE24" s="42">
        <v>6170.0000000000027</v>
      </c>
      <c r="AF24" s="42">
        <v>6298.0000000000027</v>
      </c>
      <c r="AG24" s="42">
        <v>6427.0000000000027</v>
      </c>
      <c r="AH24" s="42">
        <v>6550.0000000000036</v>
      </c>
      <c r="AI24" s="42">
        <v>6674.0000000000036</v>
      </c>
      <c r="AJ24" s="42">
        <v>6800.0000000000045</v>
      </c>
      <c r="AK24" s="42">
        <v>6928.0000000000045</v>
      </c>
      <c r="AM24" s="42" t="s">
        <v>304</v>
      </c>
      <c r="AN24" s="42" t="s">
        <v>304</v>
      </c>
      <c r="AO24" s="42" t="s">
        <v>304</v>
      </c>
      <c r="AP24" s="42" t="s">
        <v>304</v>
      </c>
      <c r="AQ24" s="42" t="s">
        <v>304</v>
      </c>
      <c r="AR24" s="42" t="s">
        <v>304</v>
      </c>
      <c r="AS24" s="42" t="s">
        <v>304</v>
      </c>
      <c r="AT24" s="42" t="s">
        <v>304</v>
      </c>
      <c r="AU24" s="42" t="s">
        <v>304</v>
      </c>
      <c r="AV24" s="42" t="s">
        <v>304</v>
      </c>
      <c r="AW24" s="42" t="s">
        <v>304</v>
      </c>
      <c r="AX24" s="42" t="s">
        <v>304</v>
      </c>
      <c r="AY24" s="42" t="s">
        <v>304</v>
      </c>
      <c r="AZ24" s="42" t="s">
        <v>304</v>
      </c>
      <c r="BA24" s="42" t="s">
        <v>304</v>
      </c>
      <c r="BB24" s="42" t="s">
        <v>304</v>
      </c>
      <c r="BC24" s="42" t="s">
        <v>304</v>
      </c>
      <c r="BD24" s="42" t="s">
        <v>304</v>
      </c>
      <c r="BE24" s="42" t="s">
        <v>304</v>
      </c>
      <c r="BF24" s="42" t="s">
        <v>304</v>
      </c>
      <c r="BG24" s="42" t="s">
        <v>304</v>
      </c>
      <c r="BH24" s="42" t="s">
        <v>304</v>
      </c>
      <c r="BI24" s="42" t="s">
        <v>304</v>
      </c>
      <c r="BJ24" s="42" t="s">
        <v>304</v>
      </c>
      <c r="BK24" s="42" t="s">
        <v>304</v>
      </c>
      <c r="BL24" s="42" t="s">
        <v>304</v>
      </c>
      <c r="BM24" s="42" t="s">
        <v>304</v>
      </c>
      <c r="BN24" s="42" t="s">
        <v>304</v>
      </c>
      <c r="BO24" s="42" t="s">
        <v>304</v>
      </c>
      <c r="BP24" s="42" t="s">
        <v>304</v>
      </c>
      <c r="BQ24" s="42" t="s">
        <v>304</v>
      </c>
      <c r="BS24" t="s">
        <v>256</v>
      </c>
    </row>
    <row r="25" spans="1:71" x14ac:dyDescent="0.35">
      <c r="A25" s="35" t="s">
        <v>262</v>
      </c>
      <c r="B25" s="35" t="s">
        <v>263</v>
      </c>
      <c r="C25" s="35" t="s">
        <v>287</v>
      </c>
      <c r="D25" s="36"/>
      <c r="E25" s="37" t="str">
        <f t="shared" si="4"/>
        <v>ü</v>
      </c>
      <c r="F25" t="s">
        <v>262</v>
      </c>
      <c r="G25" s="38">
        <v>60878</v>
      </c>
      <c r="H25" s="38">
        <v>72847</v>
      </c>
      <c r="I25" s="38">
        <v>82210</v>
      </c>
      <c r="J25" s="38">
        <v>89700</v>
      </c>
      <c r="K25" s="38">
        <v>95374</v>
      </c>
      <c r="L25" s="38">
        <v>100275</v>
      </c>
      <c r="M25" s="38">
        <v>104819</v>
      </c>
      <c r="N25" s="38">
        <v>109119</v>
      </c>
      <c r="O25" s="38">
        <v>113497.00000000001</v>
      </c>
      <c r="P25" s="38">
        <v>117584.00000000001</v>
      </c>
      <c r="Q25" s="38">
        <v>121314</v>
      </c>
      <c r="R25" s="38">
        <v>124937</v>
      </c>
      <c r="S25" s="38">
        <v>128389.00000000001</v>
      </c>
      <c r="T25" s="38">
        <v>131928.00000000003</v>
      </c>
      <c r="U25" s="38">
        <v>135552.00000000003</v>
      </c>
      <c r="V25" s="38">
        <v>139199.00000000003</v>
      </c>
      <c r="W25" s="38">
        <v>142794.00000000003</v>
      </c>
      <c r="X25" s="38">
        <v>146383.00000000003</v>
      </c>
      <c r="Y25" s="38">
        <v>150071.00000000003</v>
      </c>
      <c r="Z25" s="38">
        <v>153673.00000000006</v>
      </c>
      <c r="AA25" s="38">
        <v>157519.00000000006</v>
      </c>
      <c r="AB25" s="38">
        <v>161170.00000000006</v>
      </c>
      <c r="AC25" s="38">
        <v>164857.00000000006</v>
      </c>
      <c r="AD25" s="38">
        <v>168697.00000000006</v>
      </c>
      <c r="AE25" s="38">
        <v>172108.00000000003</v>
      </c>
      <c r="AF25" s="38">
        <v>175687.00000000003</v>
      </c>
      <c r="AG25" s="38">
        <v>179145</v>
      </c>
      <c r="AH25" s="38">
        <v>182553.99999999997</v>
      </c>
      <c r="AI25" s="38">
        <v>186037.99999999997</v>
      </c>
      <c r="AJ25" s="38">
        <v>189588.99999999997</v>
      </c>
      <c r="AK25" s="53">
        <v>193207.99999999994</v>
      </c>
      <c r="AM25" s="38" t="s">
        <v>306</v>
      </c>
      <c r="AN25" s="38" t="s">
        <v>306</v>
      </c>
      <c r="AO25" s="38" t="s">
        <v>306</v>
      </c>
      <c r="AP25" s="38" t="s">
        <v>306</v>
      </c>
      <c r="AQ25" s="38" t="s">
        <v>306</v>
      </c>
      <c r="AR25" s="38" t="s">
        <v>306</v>
      </c>
      <c r="AS25" s="38" t="s">
        <v>306</v>
      </c>
      <c r="AT25" s="38" t="s">
        <v>306</v>
      </c>
      <c r="AU25" s="38" t="s">
        <v>306</v>
      </c>
      <c r="AV25" s="38" t="s">
        <v>306</v>
      </c>
      <c r="AW25" s="38" t="s">
        <v>306</v>
      </c>
      <c r="AX25" s="38" t="s">
        <v>306</v>
      </c>
      <c r="AY25" s="38" t="s">
        <v>306</v>
      </c>
      <c r="AZ25" s="38" t="s">
        <v>306</v>
      </c>
      <c r="BA25" s="38" t="s">
        <v>306</v>
      </c>
      <c r="BB25" s="38" t="s">
        <v>306</v>
      </c>
      <c r="BC25" s="38" t="s">
        <v>306</v>
      </c>
      <c r="BD25" s="38" t="s">
        <v>306</v>
      </c>
      <c r="BE25" s="38" t="s">
        <v>306</v>
      </c>
      <c r="BF25" s="38" t="s">
        <v>306</v>
      </c>
      <c r="BG25" s="38" t="s">
        <v>306</v>
      </c>
      <c r="BH25" s="38" t="s">
        <v>306</v>
      </c>
      <c r="BI25" s="38" t="s">
        <v>306</v>
      </c>
      <c r="BJ25" s="38" t="s">
        <v>306</v>
      </c>
      <c r="BK25" s="38" t="s">
        <v>306</v>
      </c>
      <c r="BL25" s="38" t="s">
        <v>306</v>
      </c>
      <c r="BM25" s="38" t="s">
        <v>306</v>
      </c>
      <c r="BN25" s="38" t="s">
        <v>306</v>
      </c>
      <c r="BO25" s="38" t="s">
        <v>306</v>
      </c>
      <c r="BP25" s="38" t="s">
        <v>306</v>
      </c>
      <c r="BQ25" s="53" t="s">
        <v>306</v>
      </c>
      <c r="BS25" t="s">
        <v>256</v>
      </c>
    </row>
    <row r="26" spans="1:71" x14ac:dyDescent="0.35">
      <c r="A26" s="39" t="s">
        <v>119</v>
      </c>
      <c r="B26" s="39" t="s">
        <v>120</v>
      </c>
      <c r="C26" s="39" t="s">
        <v>121</v>
      </c>
      <c r="D26" s="40"/>
      <c r="E26" s="41" t="str">
        <f t="shared" si="4"/>
        <v>ü</v>
      </c>
      <c r="F26" t="s">
        <v>119</v>
      </c>
      <c r="G26" s="42">
        <v>3854</v>
      </c>
      <c r="H26" s="42">
        <v>4718</v>
      </c>
      <c r="I26" s="42">
        <v>5575</v>
      </c>
      <c r="J26" s="42">
        <v>6375.9999999999991</v>
      </c>
      <c r="K26" s="42">
        <v>7230</v>
      </c>
      <c r="L26" s="42">
        <v>7809.9999999999991</v>
      </c>
      <c r="M26" s="42">
        <v>8294.9999999999982</v>
      </c>
      <c r="N26" s="42">
        <v>8702.9999999999982</v>
      </c>
      <c r="O26" s="42">
        <v>9130.9999999999982</v>
      </c>
      <c r="P26" s="42">
        <v>9514.9999999999982</v>
      </c>
      <c r="Q26" s="42">
        <v>9901.9999999999982</v>
      </c>
      <c r="R26" s="42">
        <v>10241.999999999998</v>
      </c>
      <c r="S26" s="42">
        <v>10618.999999999998</v>
      </c>
      <c r="T26" s="42">
        <v>10954.999999999998</v>
      </c>
      <c r="U26" s="42">
        <v>11346</v>
      </c>
      <c r="V26" s="42">
        <v>11689</v>
      </c>
      <c r="W26" s="42">
        <v>12079</v>
      </c>
      <c r="X26" s="42">
        <v>12429.999999999998</v>
      </c>
      <c r="Y26" s="42">
        <v>12839.999999999998</v>
      </c>
      <c r="Z26" s="42">
        <v>13184.999999999998</v>
      </c>
      <c r="AA26" s="42">
        <v>13599.999999999998</v>
      </c>
      <c r="AB26" s="42">
        <v>13952.999999999996</v>
      </c>
      <c r="AC26" s="42">
        <v>14376.999999999998</v>
      </c>
      <c r="AD26" s="42">
        <v>14750</v>
      </c>
      <c r="AE26" s="42">
        <v>15115</v>
      </c>
      <c r="AF26" s="42">
        <v>15426.000000000002</v>
      </c>
      <c r="AG26" s="42">
        <v>15806.000000000004</v>
      </c>
      <c r="AH26" s="42">
        <v>16123.000000000004</v>
      </c>
      <c r="AI26" s="42">
        <v>16492.000000000004</v>
      </c>
      <c r="AJ26" s="42">
        <v>16869.000000000004</v>
      </c>
      <c r="AK26" s="42">
        <v>17255.000000000004</v>
      </c>
      <c r="AM26" s="38" t="s">
        <v>304</v>
      </c>
      <c r="AN26" s="38" t="s">
        <v>304</v>
      </c>
      <c r="AO26" s="38" t="s">
        <v>304</v>
      </c>
      <c r="AP26" s="38" t="s">
        <v>304</v>
      </c>
      <c r="AQ26" s="38" t="s">
        <v>304</v>
      </c>
      <c r="AR26" s="38" t="s">
        <v>304</v>
      </c>
      <c r="AS26" s="38" t="s">
        <v>304</v>
      </c>
      <c r="AT26" s="38" t="s">
        <v>304</v>
      </c>
      <c r="AU26" s="38" t="s">
        <v>304</v>
      </c>
      <c r="AV26" s="38" t="s">
        <v>304</v>
      </c>
      <c r="AW26" s="38" t="s">
        <v>304</v>
      </c>
      <c r="AX26" s="38" t="s">
        <v>304</v>
      </c>
      <c r="AY26" s="38" t="s">
        <v>304</v>
      </c>
      <c r="AZ26" s="38" t="s">
        <v>304</v>
      </c>
      <c r="BA26" s="38" t="s">
        <v>304</v>
      </c>
      <c r="BB26" s="38" t="s">
        <v>304</v>
      </c>
      <c r="BC26" s="38" t="s">
        <v>304</v>
      </c>
      <c r="BD26" s="38" t="s">
        <v>304</v>
      </c>
      <c r="BE26" s="38" t="s">
        <v>304</v>
      </c>
      <c r="BF26" s="38" t="s">
        <v>304</v>
      </c>
      <c r="BG26" s="38" t="s">
        <v>304</v>
      </c>
      <c r="BH26" s="38" t="s">
        <v>304</v>
      </c>
      <c r="BI26" s="38" t="s">
        <v>304</v>
      </c>
      <c r="BJ26" s="38" t="s">
        <v>304</v>
      </c>
      <c r="BK26" s="38" t="s">
        <v>304</v>
      </c>
      <c r="BL26" s="38" t="s">
        <v>304</v>
      </c>
      <c r="BM26" s="38" t="s">
        <v>304</v>
      </c>
      <c r="BN26" s="38" t="s">
        <v>304</v>
      </c>
      <c r="BO26" s="38" t="s">
        <v>304</v>
      </c>
      <c r="BP26" s="38" t="s">
        <v>304</v>
      </c>
      <c r="BQ26" s="53" t="s">
        <v>304</v>
      </c>
      <c r="BS26" t="s">
        <v>256</v>
      </c>
    </row>
    <row r="27" spans="1:71" x14ac:dyDescent="0.35">
      <c r="A27" s="35" t="s">
        <v>122</v>
      </c>
      <c r="B27" s="35" t="s">
        <v>123</v>
      </c>
      <c r="C27" s="35" t="s">
        <v>124</v>
      </c>
      <c r="D27" s="36"/>
      <c r="E27" s="37" t="str">
        <f t="shared" si="4"/>
        <v>ü</v>
      </c>
      <c r="F27" t="s">
        <v>122</v>
      </c>
      <c r="G27" s="38">
        <v>18201.64616309357</v>
      </c>
      <c r="H27" s="38">
        <v>21568</v>
      </c>
      <c r="I27" s="38">
        <v>24098.167100781407</v>
      </c>
      <c r="J27" s="38">
        <v>26033.064315768384</v>
      </c>
      <c r="K27" s="38">
        <v>27411.584051292328</v>
      </c>
      <c r="L27" s="38">
        <v>28540.544179523142</v>
      </c>
      <c r="M27" s="38">
        <v>29562.550190342616</v>
      </c>
      <c r="N27" s="38">
        <v>30488.405529953914</v>
      </c>
      <c r="O27" s="38">
        <v>31340.797435383691</v>
      </c>
      <c r="P27" s="38">
        <v>32114.324183530356</v>
      </c>
      <c r="Q27" s="38">
        <v>32771.17371268283</v>
      </c>
      <c r="R27" s="38">
        <v>33375.086355439795</v>
      </c>
      <c r="S27" s="38">
        <v>33947.669004207579</v>
      </c>
      <c r="T27" s="38">
        <v>34501.885794429974</v>
      </c>
      <c r="U27" s="38">
        <v>35077.709477058706</v>
      </c>
      <c r="V27" s="38">
        <v>35635.167301142057</v>
      </c>
      <c r="W27" s="38">
        <v>36163.455820476855</v>
      </c>
      <c r="X27" s="38">
        <v>36691.744339811659</v>
      </c>
      <c r="Y27" s="38">
        <v>37239.479062312159</v>
      </c>
      <c r="Z27" s="38">
        <v>37795.856541775189</v>
      </c>
      <c r="AA27" s="38">
        <v>38324.145061109986</v>
      </c>
      <c r="AB27" s="38">
        <v>38835.148066519723</v>
      </c>
      <c r="AC27" s="38">
        <v>39339.669004207557</v>
      </c>
      <c r="AD27" s="38">
        <v>39821.502704868741</v>
      </c>
      <c r="AE27" s="38">
        <v>40275.247445401706</v>
      </c>
      <c r="AF27" s="38">
        <v>40710.626327389284</v>
      </c>
      <c r="AG27" s="38">
        <v>41149.246243237809</v>
      </c>
      <c r="AH27" s="38">
        <v>41526.286515728294</v>
      </c>
      <c r="AI27" s="38">
        <v>41892.523342015615</v>
      </c>
      <c r="AJ27" s="38">
        <v>42262.001202163883</v>
      </c>
      <c r="AK27" s="53">
        <v>42634.7200961731</v>
      </c>
      <c r="AM27" s="42" t="s">
        <v>304</v>
      </c>
      <c r="AN27" s="42" t="s">
        <v>304</v>
      </c>
      <c r="AO27" s="42" t="s">
        <v>304</v>
      </c>
      <c r="AP27" s="42" t="s">
        <v>304</v>
      </c>
      <c r="AQ27" s="42" t="s">
        <v>304</v>
      </c>
      <c r="AR27" s="42" t="s">
        <v>304</v>
      </c>
      <c r="AS27" s="42" t="s">
        <v>304</v>
      </c>
      <c r="AT27" s="42" t="s">
        <v>305</v>
      </c>
      <c r="AU27" s="42" t="s">
        <v>305</v>
      </c>
      <c r="AV27" s="42" t="s">
        <v>305</v>
      </c>
      <c r="AW27" s="42" t="s">
        <v>305</v>
      </c>
      <c r="AX27" s="42" t="s">
        <v>305</v>
      </c>
      <c r="AY27" s="42" t="s">
        <v>305</v>
      </c>
      <c r="AZ27" s="42" t="s">
        <v>305</v>
      </c>
      <c r="BA27" s="42" t="s">
        <v>305</v>
      </c>
      <c r="BB27" s="42" t="s">
        <v>305</v>
      </c>
      <c r="BC27" s="42" t="s">
        <v>305</v>
      </c>
      <c r="BD27" s="42" t="s">
        <v>305</v>
      </c>
      <c r="BE27" s="42" t="s">
        <v>305</v>
      </c>
      <c r="BF27" s="42" t="s">
        <v>305</v>
      </c>
      <c r="BG27" s="42" t="s">
        <v>305</v>
      </c>
      <c r="BH27" s="42" t="s">
        <v>305</v>
      </c>
      <c r="BI27" s="42" t="s">
        <v>305</v>
      </c>
      <c r="BJ27" s="42" t="s">
        <v>305</v>
      </c>
      <c r="BK27" s="42" t="s">
        <v>305</v>
      </c>
      <c r="BL27" s="42" t="s">
        <v>305</v>
      </c>
      <c r="BM27" s="42" t="s">
        <v>305</v>
      </c>
      <c r="BN27" s="42" t="s">
        <v>305</v>
      </c>
      <c r="BO27" s="42" t="s">
        <v>305</v>
      </c>
      <c r="BP27" s="42" t="s">
        <v>305</v>
      </c>
      <c r="BQ27" s="42" t="s">
        <v>305</v>
      </c>
      <c r="BS27" t="s">
        <v>256</v>
      </c>
    </row>
    <row r="28" spans="1:71" x14ac:dyDescent="0.35">
      <c r="A28" s="35" t="s">
        <v>126</v>
      </c>
      <c r="B28" s="35" t="s">
        <v>175</v>
      </c>
      <c r="C28" s="35" t="s">
        <v>128</v>
      </c>
      <c r="D28" s="36"/>
      <c r="E28" s="37" t="str">
        <f t="shared" ref="E28:E37" si="5">IF(SUM(G28:AK28)&gt;0,CHAR(252),CHAR(251))</f>
        <v>ü</v>
      </c>
      <c r="F28" t="s">
        <v>126</v>
      </c>
      <c r="G28" s="38">
        <v>11005</v>
      </c>
      <c r="H28" s="38">
        <v>13770</v>
      </c>
      <c r="I28" s="38">
        <v>15816</v>
      </c>
      <c r="J28" s="38">
        <v>17326</v>
      </c>
      <c r="K28" s="38">
        <v>18387</v>
      </c>
      <c r="L28" s="38">
        <v>19245</v>
      </c>
      <c r="M28" s="38">
        <v>20003</v>
      </c>
      <c r="N28" s="38">
        <v>20693.999999999996</v>
      </c>
      <c r="O28" s="38">
        <v>21338.999999999996</v>
      </c>
      <c r="P28" s="38">
        <v>21922</v>
      </c>
      <c r="Q28" s="38">
        <v>22433</v>
      </c>
      <c r="R28" s="38">
        <v>22892.000000000004</v>
      </c>
      <c r="S28" s="38">
        <v>23341.000000000004</v>
      </c>
      <c r="T28" s="38">
        <v>23776.000000000004</v>
      </c>
      <c r="U28" s="38">
        <v>24213.000000000004</v>
      </c>
      <c r="V28" s="38">
        <v>24650.000000000007</v>
      </c>
      <c r="W28" s="38">
        <v>25068.000000000004</v>
      </c>
      <c r="X28" s="38">
        <v>25494.000000000004</v>
      </c>
      <c r="Y28" s="38">
        <v>25924.000000000004</v>
      </c>
      <c r="Z28" s="38">
        <v>26368.000000000004</v>
      </c>
      <c r="AA28" s="38">
        <v>26788.000000000007</v>
      </c>
      <c r="AB28" s="38">
        <v>27197.000000000007</v>
      </c>
      <c r="AC28" s="38">
        <v>27616.000000000004</v>
      </c>
      <c r="AD28" s="38">
        <v>28012.000000000004</v>
      </c>
      <c r="AE28" s="38">
        <v>28434.000000000004</v>
      </c>
      <c r="AF28" s="38">
        <v>28836.000000000004</v>
      </c>
      <c r="AG28" s="38">
        <v>29239.000000000007</v>
      </c>
      <c r="AH28" s="38">
        <v>29620.000000000011</v>
      </c>
      <c r="AI28" s="38">
        <v>29979.000000000015</v>
      </c>
      <c r="AJ28" s="38">
        <v>30343.000000000015</v>
      </c>
      <c r="AK28" s="53">
        <v>30710.000000000015</v>
      </c>
      <c r="AM28" s="38" t="s">
        <v>304</v>
      </c>
      <c r="AN28" s="38" t="s">
        <v>304</v>
      </c>
      <c r="AO28" s="38" t="s">
        <v>304</v>
      </c>
      <c r="AP28" s="38" t="s">
        <v>304</v>
      </c>
      <c r="AQ28" s="38" t="s">
        <v>304</v>
      </c>
      <c r="AR28" s="38" t="s">
        <v>304</v>
      </c>
      <c r="AS28" s="38" t="s">
        <v>304</v>
      </c>
      <c r="AT28" s="38" t="s">
        <v>304</v>
      </c>
      <c r="AU28" s="38" t="s">
        <v>304</v>
      </c>
      <c r="AV28" s="38" t="s">
        <v>304</v>
      </c>
      <c r="AW28" s="38" t="s">
        <v>304</v>
      </c>
      <c r="AX28" s="38" t="s">
        <v>304</v>
      </c>
      <c r="AY28" s="38" t="s">
        <v>304</v>
      </c>
      <c r="AZ28" s="38" t="s">
        <v>304</v>
      </c>
      <c r="BA28" s="38" t="s">
        <v>304</v>
      </c>
      <c r="BB28" s="38" t="s">
        <v>304</v>
      </c>
      <c r="BC28" s="38" t="s">
        <v>304</v>
      </c>
      <c r="BD28" s="38" t="s">
        <v>304</v>
      </c>
      <c r="BE28" s="38" t="s">
        <v>304</v>
      </c>
      <c r="BF28" s="38" t="s">
        <v>304</v>
      </c>
      <c r="BG28" s="38" t="s">
        <v>304</v>
      </c>
      <c r="BH28" s="38" t="s">
        <v>304</v>
      </c>
      <c r="BI28" s="38" t="s">
        <v>304</v>
      </c>
      <c r="BJ28" s="38" t="s">
        <v>304</v>
      </c>
      <c r="BK28" s="38" t="s">
        <v>304</v>
      </c>
      <c r="BL28" s="38" t="s">
        <v>304</v>
      </c>
      <c r="BM28" s="38" t="s">
        <v>304</v>
      </c>
      <c r="BN28" s="38" t="s">
        <v>304</v>
      </c>
      <c r="BO28" s="38" t="s">
        <v>304</v>
      </c>
      <c r="BP28" s="38" t="s">
        <v>305</v>
      </c>
      <c r="BQ28" s="53" t="s">
        <v>305</v>
      </c>
      <c r="BS28" t="s">
        <v>256</v>
      </c>
    </row>
    <row r="29" spans="1:71" x14ac:dyDescent="0.35">
      <c r="A29" s="39" t="s">
        <v>129</v>
      </c>
      <c r="B29" s="39" t="s">
        <v>42</v>
      </c>
      <c r="C29" s="39" t="s">
        <v>130</v>
      </c>
      <c r="D29" s="40"/>
      <c r="E29" s="41" t="str">
        <f t="shared" si="5"/>
        <v>ü</v>
      </c>
      <c r="F29" t="s">
        <v>129</v>
      </c>
      <c r="G29" s="42">
        <v>17107</v>
      </c>
      <c r="H29" s="42">
        <v>20223</v>
      </c>
      <c r="I29" s="42">
        <v>22639</v>
      </c>
      <c r="J29" s="42">
        <v>24543</v>
      </c>
      <c r="K29" s="42">
        <v>25951.000000000004</v>
      </c>
      <c r="L29" s="42">
        <v>27139</v>
      </c>
      <c r="M29" s="42">
        <v>28219.999999999996</v>
      </c>
      <c r="N29" s="42">
        <v>29264.999999999993</v>
      </c>
      <c r="O29" s="42">
        <v>30322.999999999989</v>
      </c>
      <c r="P29" s="42">
        <v>31330.999999999989</v>
      </c>
      <c r="Q29" s="42">
        <v>32265.999999999989</v>
      </c>
      <c r="R29" s="42">
        <v>33138.999999999985</v>
      </c>
      <c r="S29" s="42">
        <v>34006.999999999985</v>
      </c>
      <c r="T29" s="42">
        <v>34864.999999999985</v>
      </c>
      <c r="U29" s="42">
        <v>35743.999999999985</v>
      </c>
      <c r="V29" s="42">
        <v>36604.999999999985</v>
      </c>
      <c r="W29" s="42">
        <v>37477.999999999985</v>
      </c>
      <c r="X29" s="42">
        <v>38346.999999999985</v>
      </c>
      <c r="Y29" s="42">
        <v>39241.999999999985</v>
      </c>
      <c r="Z29" s="42">
        <v>40144.999999999985</v>
      </c>
      <c r="AA29" s="42">
        <v>41062.999999999985</v>
      </c>
      <c r="AB29" s="42">
        <v>41952.999999999985</v>
      </c>
      <c r="AC29" s="42">
        <v>42854.999999999985</v>
      </c>
      <c r="AD29" s="42">
        <v>43746.999999999985</v>
      </c>
      <c r="AE29" s="42">
        <v>44639.999999999978</v>
      </c>
      <c r="AF29" s="42">
        <v>45521.999999999978</v>
      </c>
      <c r="AG29" s="42">
        <v>46411.999999999978</v>
      </c>
      <c r="AH29" s="42">
        <v>47269.999999999978</v>
      </c>
      <c r="AI29" s="42">
        <v>48134.999999999978</v>
      </c>
      <c r="AJ29" s="42">
        <v>49014.999999999978</v>
      </c>
      <c r="AK29" s="42">
        <v>49911.999999999985</v>
      </c>
      <c r="AM29" s="42" t="s">
        <v>304</v>
      </c>
      <c r="AN29" s="42" t="s">
        <v>304</v>
      </c>
      <c r="AO29" s="42" t="s">
        <v>304</v>
      </c>
      <c r="AP29" s="42" t="s">
        <v>304</v>
      </c>
      <c r="AQ29" s="42" t="s">
        <v>304</v>
      </c>
      <c r="AR29" s="42" t="s">
        <v>304</v>
      </c>
      <c r="AS29" s="42" t="s">
        <v>304</v>
      </c>
      <c r="AT29" s="42" t="s">
        <v>304</v>
      </c>
      <c r="AU29" s="42" t="s">
        <v>305</v>
      </c>
      <c r="AV29" s="42" t="s">
        <v>305</v>
      </c>
      <c r="AW29" s="42" t="s">
        <v>305</v>
      </c>
      <c r="AX29" s="42" t="s">
        <v>305</v>
      </c>
      <c r="AY29" s="42" t="s">
        <v>305</v>
      </c>
      <c r="AZ29" s="42" t="s">
        <v>305</v>
      </c>
      <c r="BA29" s="42" t="s">
        <v>305</v>
      </c>
      <c r="BB29" s="42" t="s">
        <v>305</v>
      </c>
      <c r="BC29" s="42" t="s">
        <v>305</v>
      </c>
      <c r="BD29" s="42" t="s">
        <v>305</v>
      </c>
      <c r="BE29" s="42" t="s">
        <v>305</v>
      </c>
      <c r="BF29" s="42" t="s">
        <v>305</v>
      </c>
      <c r="BG29" s="42" t="s">
        <v>305</v>
      </c>
      <c r="BH29" s="42" t="s">
        <v>305</v>
      </c>
      <c r="BI29" s="42" t="s">
        <v>305</v>
      </c>
      <c r="BJ29" s="42" t="s">
        <v>305</v>
      </c>
      <c r="BK29" s="42" t="s">
        <v>305</v>
      </c>
      <c r="BL29" s="42" t="s">
        <v>305</v>
      </c>
      <c r="BM29" s="42" t="s">
        <v>305</v>
      </c>
      <c r="BN29" s="42" t="s">
        <v>305</v>
      </c>
      <c r="BO29" s="42" t="s">
        <v>305</v>
      </c>
      <c r="BP29" s="42" t="s">
        <v>305</v>
      </c>
      <c r="BQ29" s="42" t="s">
        <v>305</v>
      </c>
      <c r="BS29" t="s">
        <v>256</v>
      </c>
    </row>
    <row r="30" spans="1:71" x14ac:dyDescent="0.35">
      <c r="A30" s="35" t="s">
        <v>131</v>
      </c>
      <c r="B30" s="35" t="s">
        <v>176</v>
      </c>
      <c r="C30" s="35" t="s">
        <v>133</v>
      </c>
      <c r="D30" s="36"/>
      <c r="E30" s="37" t="str">
        <f t="shared" si="5"/>
        <v>ü</v>
      </c>
      <c r="F30" t="s">
        <v>131</v>
      </c>
      <c r="G30" s="38">
        <v>19264</v>
      </c>
      <c r="H30" s="38">
        <v>25831</v>
      </c>
      <c r="I30" s="38">
        <v>30520</v>
      </c>
      <c r="J30" s="38">
        <v>33839</v>
      </c>
      <c r="K30" s="38">
        <v>36095</v>
      </c>
      <c r="L30" s="38">
        <v>37861</v>
      </c>
      <c r="M30" s="38">
        <v>39394</v>
      </c>
      <c r="N30" s="38">
        <v>40797</v>
      </c>
      <c r="O30" s="38">
        <v>42122</v>
      </c>
      <c r="P30" s="38">
        <v>43340</v>
      </c>
      <c r="Q30" s="38">
        <v>44429.999999999993</v>
      </c>
      <c r="R30" s="38">
        <v>45428.999999999993</v>
      </c>
      <c r="S30" s="38">
        <v>46417.999999999993</v>
      </c>
      <c r="T30" s="38">
        <v>47390.999999999993</v>
      </c>
      <c r="U30" s="38">
        <v>48393.999999999993</v>
      </c>
      <c r="V30" s="38">
        <v>49360.999999999993</v>
      </c>
      <c r="W30" s="38">
        <v>50343.999999999993</v>
      </c>
      <c r="X30" s="38">
        <v>51311.999999999993</v>
      </c>
      <c r="Y30" s="38">
        <v>52311.999999999993</v>
      </c>
      <c r="Z30" s="38">
        <v>53316</v>
      </c>
      <c r="AA30" s="38">
        <v>54342</v>
      </c>
      <c r="AB30" s="38">
        <v>55318</v>
      </c>
      <c r="AC30" s="38">
        <v>56310.999999999993</v>
      </c>
      <c r="AD30" s="38">
        <v>57279.999999999985</v>
      </c>
      <c r="AE30" s="38">
        <v>58200.999999999985</v>
      </c>
      <c r="AF30" s="38">
        <v>59083.999999999985</v>
      </c>
      <c r="AG30" s="38">
        <v>59979.999999999985</v>
      </c>
      <c r="AH30" s="38">
        <v>60815.999999999993</v>
      </c>
      <c r="AI30" s="38">
        <v>61634</v>
      </c>
      <c r="AJ30" s="38">
        <v>62465</v>
      </c>
      <c r="AK30" s="53">
        <v>63308.999999999993</v>
      </c>
      <c r="AM30" s="38" t="s">
        <v>304</v>
      </c>
      <c r="AN30" s="38" t="s">
        <v>304</v>
      </c>
      <c r="AO30" s="38" t="s">
        <v>305</v>
      </c>
      <c r="AP30" s="38" t="s">
        <v>305</v>
      </c>
      <c r="AQ30" s="38" t="s">
        <v>305</v>
      </c>
      <c r="AR30" s="38" t="s">
        <v>305</v>
      </c>
      <c r="AS30" s="38" t="s">
        <v>305</v>
      </c>
      <c r="AT30" s="38" t="s">
        <v>305</v>
      </c>
      <c r="AU30" s="38" t="s">
        <v>305</v>
      </c>
      <c r="AV30" s="38" t="s">
        <v>305</v>
      </c>
      <c r="AW30" s="38" t="s">
        <v>305</v>
      </c>
      <c r="AX30" s="38" t="s">
        <v>305</v>
      </c>
      <c r="AY30" s="38" t="s">
        <v>305</v>
      </c>
      <c r="AZ30" s="38" t="s">
        <v>305</v>
      </c>
      <c r="BA30" s="38" t="s">
        <v>305</v>
      </c>
      <c r="BB30" s="38" t="s">
        <v>305</v>
      </c>
      <c r="BC30" s="38" t="s">
        <v>306</v>
      </c>
      <c r="BD30" s="38" t="s">
        <v>306</v>
      </c>
      <c r="BE30" s="38" t="s">
        <v>306</v>
      </c>
      <c r="BF30" s="38" t="s">
        <v>306</v>
      </c>
      <c r="BG30" s="38" t="s">
        <v>306</v>
      </c>
      <c r="BH30" s="38" t="s">
        <v>306</v>
      </c>
      <c r="BI30" s="38" t="s">
        <v>306</v>
      </c>
      <c r="BJ30" s="38" t="s">
        <v>306</v>
      </c>
      <c r="BK30" s="38" t="s">
        <v>306</v>
      </c>
      <c r="BL30" s="38" t="s">
        <v>306</v>
      </c>
      <c r="BM30" s="38" t="s">
        <v>306</v>
      </c>
      <c r="BN30" s="38" t="s">
        <v>306</v>
      </c>
      <c r="BO30" s="38" t="s">
        <v>306</v>
      </c>
      <c r="BP30" s="38" t="s">
        <v>306</v>
      </c>
      <c r="BQ30" s="53" t="s">
        <v>306</v>
      </c>
      <c r="BS30" t="s">
        <v>256</v>
      </c>
    </row>
    <row r="31" spans="1:71" x14ac:dyDescent="0.35">
      <c r="A31" s="35" t="s">
        <v>135</v>
      </c>
      <c r="B31" s="35" t="s">
        <v>136</v>
      </c>
      <c r="C31" s="35" t="s">
        <v>137</v>
      </c>
      <c r="D31" s="36"/>
      <c r="E31" s="37" t="str">
        <f t="shared" si="5"/>
        <v>ü</v>
      </c>
      <c r="F31" t="s">
        <v>135</v>
      </c>
      <c r="G31" s="38">
        <v>694</v>
      </c>
      <c r="H31" s="38">
        <v>808</v>
      </c>
      <c r="I31" s="38">
        <v>898.00000000000011</v>
      </c>
      <c r="J31" s="38">
        <v>971.00000000000023</v>
      </c>
      <c r="K31" s="38">
        <v>1026.0000000000002</v>
      </c>
      <c r="L31" s="38">
        <v>1073.0000000000002</v>
      </c>
      <c r="M31" s="38">
        <v>1119.0000000000002</v>
      </c>
      <c r="N31" s="38">
        <v>1161.0000000000002</v>
      </c>
      <c r="O31" s="38">
        <v>1202.0000000000002</v>
      </c>
      <c r="P31" s="38">
        <v>1241.0000000000002</v>
      </c>
      <c r="Q31" s="38">
        <v>1278</v>
      </c>
      <c r="R31" s="38">
        <v>1311</v>
      </c>
      <c r="S31" s="38">
        <v>1345</v>
      </c>
      <c r="T31" s="38">
        <v>1378</v>
      </c>
      <c r="U31" s="38">
        <v>1413</v>
      </c>
      <c r="V31" s="38">
        <v>1446</v>
      </c>
      <c r="W31" s="38">
        <v>1479.9999999999998</v>
      </c>
      <c r="X31" s="38">
        <v>1514</v>
      </c>
      <c r="Y31" s="38">
        <v>1549.0000000000002</v>
      </c>
      <c r="Z31" s="38">
        <v>1583.0000000000002</v>
      </c>
      <c r="AA31" s="38">
        <v>1619.0000000000002</v>
      </c>
      <c r="AB31" s="38">
        <v>1653.0000000000005</v>
      </c>
      <c r="AC31" s="38">
        <v>1690.0000000000005</v>
      </c>
      <c r="AD31" s="38">
        <v>1724.0000000000005</v>
      </c>
      <c r="AE31" s="38">
        <v>1759.0000000000002</v>
      </c>
      <c r="AF31" s="38">
        <v>1793.0000000000002</v>
      </c>
      <c r="AG31" s="38">
        <v>1825</v>
      </c>
      <c r="AH31" s="38">
        <v>1857</v>
      </c>
      <c r="AI31" s="38">
        <v>1888.0000000000002</v>
      </c>
      <c r="AJ31" s="38">
        <v>1920.0000000000002</v>
      </c>
      <c r="AK31" s="53">
        <v>1953</v>
      </c>
      <c r="AM31" s="42" t="s">
        <v>307</v>
      </c>
      <c r="AN31" s="42" t="s">
        <v>307</v>
      </c>
      <c r="AO31" s="42" t="s">
        <v>307</v>
      </c>
      <c r="AP31" s="42" t="s">
        <v>307</v>
      </c>
      <c r="AQ31" s="42" t="s">
        <v>307</v>
      </c>
      <c r="AR31" s="42" t="s">
        <v>307</v>
      </c>
      <c r="AS31" s="42" t="s">
        <v>307</v>
      </c>
      <c r="AT31" s="42" t="s">
        <v>307</v>
      </c>
      <c r="AU31" s="42" t="s">
        <v>307</v>
      </c>
      <c r="AV31" s="42" t="s">
        <v>307</v>
      </c>
      <c r="AW31" s="42" t="s">
        <v>307</v>
      </c>
      <c r="AX31" s="42" t="s">
        <v>307</v>
      </c>
      <c r="AY31" s="42" t="s">
        <v>307</v>
      </c>
      <c r="AZ31" s="42" t="s">
        <v>307</v>
      </c>
      <c r="BA31" s="42" t="s">
        <v>307</v>
      </c>
      <c r="BB31" s="42" t="s">
        <v>307</v>
      </c>
      <c r="BC31" s="42" t="s">
        <v>307</v>
      </c>
      <c r="BD31" s="42" t="s">
        <v>307</v>
      </c>
      <c r="BE31" s="42" t="s">
        <v>307</v>
      </c>
      <c r="BF31" s="42" t="s">
        <v>307</v>
      </c>
      <c r="BG31" s="42" t="s">
        <v>307</v>
      </c>
      <c r="BH31" s="42" t="s">
        <v>307</v>
      </c>
      <c r="BI31" s="42" t="s">
        <v>307</v>
      </c>
      <c r="BJ31" s="42" t="s">
        <v>307</v>
      </c>
      <c r="BK31" s="42" t="s">
        <v>307</v>
      </c>
      <c r="BL31" s="42" t="s">
        <v>307</v>
      </c>
      <c r="BM31" s="42" t="s">
        <v>307</v>
      </c>
      <c r="BN31" s="42" t="s">
        <v>307</v>
      </c>
      <c r="BO31" s="42" t="s">
        <v>307</v>
      </c>
      <c r="BP31" s="42" t="s">
        <v>307</v>
      </c>
      <c r="BQ31" s="42" t="s">
        <v>307</v>
      </c>
      <c r="BS31" t="s">
        <v>307</v>
      </c>
    </row>
    <row r="32" spans="1:71" x14ac:dyDescent="0.35">
      <c r="A32" s="35" t="s">
        <v>138</v>
      </c>
      <c r="B32" s="35" t="s">
        <v>139</v>
      </c>
      <c r="C32" s="35" t="s">
        <v>140</v>
      </c>
      <c r="D32" s="36"/>
      <c r="E32" s="37" t="str">
        <f t="shared" si="5"/>
        <v>ü</v>
      </c>
      <c r="F32" t="s">
        <v>138</v>
      </c>
      <c r="G32" s="38">
        <v>7891</v>
      </c>
      <c r="H32" s="38">
        <v>9515</v>
      </c>
      <c r="I32" s="38">
        <v>10756</v>
      </c>
      <c r="J32" s="38">
        <v>11729.000000000002</v>
      </c>
      <c r="K32" s="38">
        <v>12455</v>
      </c>
      <c r="L32" s="38">
        <v>13068.000000000002</v>
      </c>
      <c r="M32" s="38">
        <v>13633.000000000002</v>
      </c>
      <c r="N32" s="38">
        <v>14157.000000000004</v>
      </c>
      <c r="O32" s="38">
        <v>14660.000000000004</v>
      </c>
      <c r="P32" s="38">
        <v>15120.000000000004</v>
      </c>
      <c r="Q32" s="38">
        <v>15539.000000000004</v>
      </c>
      <c r="R32" s="38">
        <v>15926.000000000002</v>
      </c>
      <c r="S32" s="38">
        <v>16310</v>
      </c>
      <c r="T32" s="38">
        <v>16684</v>
      </c>
      <c r="U32" s="38">
        <v>17068</v>
      </c>
      <c r="V32" s="38">
        <v>17446</v>
      </c>
      <c r="W32" s="38">
        <v>17824</v>
      </c>
      <c r="X32" s="38">
        <v>18206</v>
      </c>
      <c r="Y32" s="38">
        <v>18593</v>
      </c>
      <c r="Z32" s="38">
        <v>18983</v>
      </c>
      <c r="AA32" s="38">
        <v>19383</v>
      </c>
      <c r="AB32" s="38">
        <v>19765</v>
      </c>
      <c r="AC32" s="38">
        <v>20157</v>
      </c>
      <c r="AD32" s="38">
        <v>20538</v>
      </c>
      <c r="AE32" s="38">
        <v>20941</v>
      </c>
      <c r="AF32" s="38">
        <v>21331</v>
      </c>
      <c r="AG32" s="38">
        <v>21729</v>
      </c>
      <c r="AH32" s="38">
        <v>22104</v>
      </c>
      <c r="AI32" s="38">
        <v>22479</v>
      </c>
      <c r="AJ32" s="38">
        <v>22862.000000000004</v>
      </c>
      <c r="AK32" s="53">
        <v>23250.000000000004</v>
      </c>
      <c r="AM32" s="38" t="s">
        <v>304</v>
      </c>
      <c r="AN32" s="38" t="s">
        <v>304</v>
      </c>
      <c r="AO32" s="38" t="s">
        <v>304</v>
      </c>
      <c r="AP32" s="38" t="s">
        <v>304</v>
      </c>
      <c r="AQ32" s="38" t="s">
        <v>304</v>
      </c>
      <c r="AR32" s="38" t="s">
        <v>304</v>
      </c>
      <c r="AS32" s="38" t="s">
        <v>304</v>
      </c>
      <c r="AT32" s="38" t="s">
        <v>304</v>
      </c>
      <c r="AU32" s="38" t="s">
        <v>304</v>
      </c>
      <c r="AV32" s="38" t="s">
        <v>304</v>
      </c>
      <c r="AW32" s="38" t="s">
        <v>304</v>
      </c>
      <c r="AX32" s="38" t="s">
        <v>304</v>
      </c>
      <c r="AY32" s="38" t="s">
        <v>304</v>
      </c>
      <c r="AZ32" s="38" t="s">
        <v>304</v>
      </c>
      <c r="BA32" s="38" t="s">
        <v>304</v>
      </c>
      <c r="BB32" s="38" t="s">
        <v>304</v>
      </c>
      <c r="BC32" s="38" t="s">
        <v>304</v>
      </c>
      <c r="BD32" s="38" t="s">
        <v>304</v>
      </c>
      <c r="BE32" s="38" t="s">
        <v>304</v>
      </c>
      <c r="BF32" s="38" t="s">
        <v>304</v>
      </c>
      <c r="BG32" s="38" t="s">
        <v>304</v>
      </c>
      <c r="BH32" s="38" t="s">
        <v>304</v>
      </c>
      <c r="BI32" s="38" t="s">
        <v>304</v>
      </c>
      <c r="BJ32" s="38" t="s">
        <v>304</v>
      </c>
      <c r="BK32" s="38" t="s">
        <v>304</v>
      </c>
      <c r="BL32" s="38" t="s">
        <v>304</v>
      </c>
      <c r="BM32" s="38" t="s">
        <v>304</v>
      </c>
      <c r="BN32" s="38" t="s">
        <v>304</v>
      </c>
      <c r="BO32" s="38" t="s">
        <v>304</v>
      </c>
      <c r="BP32" s="38" t="s">
        <v>304</v>
      </c>
      <c r="BQ32" s="53" t="s">
        <v>304</v>
      </c>
      <c r="BS32" t="s">
        <v>256</v>
      </c>
    </row>
    <row r="33" spans="1:71" x14ac:dyDescent="0.35">
      <c r="A33" s="35" t="s">
        <v>141</v>
      </c>
      <c r="B33" s="35" t="s">
        <v>177</v>
      </c>
      <c r="C33" s="35" t="s">
        <v>143</v>
      </c>
      <c r="D33" s="36"/>
      <c r="E33" s="37" t="str">
        <f t="shared" si="5"/>
        <v>ü</v>
      </c>
      <c r="F33" t="s">
        <v>141</v>
      </c>
      <c r="G33" s="38">
        <v>16235</v>
      </c>
      <c r="H33" s="38">
        <v>19650</v>
      </c>
      <c r="I33" s="38">
        <v>22845</v>
      </c>
      <c r="J33" s="38">
        <v>24797</v>
      </c>
      <c r="K33" s="38">
        <v>26343.000000000004</v>
      </c>
      <c r="L33" s="38">
        <v>27700.000000000007</v>
      </c>
      <c r="M33" s="38">
        <v>28961.000000000007</v>
      </c>
      <c r="N33" s="38">
        <v>30287.000000000007</v>
      </c>
      <c r="O33" s="38">
        <v>30692.000000000004</v>
      </c>
      <c r="P33" s="38">
        <v>32202.000000000004</v>
      </c>
      <c r="Q33" s="38">
        <v>33704</v>
      </c>
      <c r="R33" s="38">
        <v>34067</v>
      </c>
      <c r="S33" s="38">
        <v>35557</v>
      </c>
      <c r="T33" s="38">
        <v>35912</v>
      </c>
      <c r="U33" s="38">
        <v>37432</v>
      </c>
      <c r="V33" s="38">
        <v>37775.000000000007</v>
      </c>
      <c r="W33" s="38">
        <v>38120.000000000007</v>
      </c>
      <c r="X33" s="38">
        <v>39637.000000000007</v>
      </c>
      <c r="Y33" s="38">
        <v>39997.000000000007</v>
      </c>
      <c r="Z33" s="38">
        <v>41558.000000000015</v>
      </c>
      <c r="AA33" s="38">
        <v>41920.000000000022</v>
      </c>
      <c r="AB33" s="38">
        <v>43471.000000000029</v>
      </c>
      <c r="AC33" s="38">
        <v>43808.000000000029</v>
      </c>
      <c r="AD33" s="38">
        <v>45360.000000000029</v>
      </c>
      <c r="AE33" s="38">
        <v>45673.000000000036</v>
      </c>
      <c r="AF33" s="38">
        <v>47224.000000000036</v>
      </c>
      <c r="AG33" s="38">
        <v>47512.000000000036</v>
      </c>
      <c r="AH33" s="38">
        <v>49022.000000000036</v>
      </c>
      <c r="AI33" s="38">
        <v>49251.000000000036</v>
      </c>
      <c r="AJ33" s="38">
        <v>49481.000000000044</v>
      </c>
      <c r="AK33" s="53">
        <v>49712.000000000044</v>
      </c>
      <c r="AM33" s="38" t="s">
        <v>304</v>
      </c>
      <c r="AN33" s="38" t="s">
        <v>304</v>
      </c>
      <c r="AO33" s="38" t="s">
        <v>304</v>
      </c>
      <c r="AP33" s="38" t="s">
        <v>304</v>
      </c>
      <c r="AQ33" s="38" t="s">
        <v>304</v>
      </c>
      <c r="AR33" s="38" t="s">
        <v>304</v>
      </c>
      <c r="AS33" s="38" t="s">
        <v>304</v>
      </c>
      <c r="AT33" s="38" t="s">
        <v>305</v>
      </c>
      <c r="AU33" s="38" t="s">
        <v>305</v>
      </c>
      <c r="AV33" s="38" t="s">
        <v>305</v>
      </c>
      <c r="AW33" s="38" t="s">
        <v>305</v>
      </c>
      <c r="AX33" s="38" t="s">
        <v>305</v>
      </c>
      <c r="AY33" s="38" t="s">
        <v>305</v>
      </c>
      <c r="AZ33" s="38" t="s">
        <v>305</v>
      </c>
      <c r="BA33" s="38" t="s">
        <v>305</v>
      </c>
      <c r="BB33" s="38" t="s">
        <v>305</v>
      </c>
      <c r="BC33" s="38" t="s">
        <v>305</v>
      </c>
      <c r="BD33" s="38" t="s">
        <v>305</v>
      </c>
      <c r="BE33" s="38" t="s">
        <v>305</v>
      </c>
      <c r="BF33" s="38" t="s">
        <v>305</v>
      </c>
      <c r="BG33" s="38" t="s">
        <v>305</v>
      </c>
      <c r="BH33" s="38" t="s">
        <v>305</v>
      </c>
      <c r="BI33" s="38" t="s">
        <v>305</v>
      </c>
      <c r="BJ33" s="38" t="s">
        <v>305</v>
      </c>
      <c r="BK33" s="38" t="s">
        <v>305</v>
      </c>
      <c r="BL33" s="38" t="s">
        <v>305</v>
      </c>
      <c r="BM33" s="38" t="s">
        <v>305</v>
      </c>
      <c r="BN33" s="38" t="s">
        <v>305</v>
      </c>
      <c r="BO33" s="38" t="s">
        <v>305</v>
      </c>
      <c r="BP33" s="38" t="s">
        <v>305</v>
      </c>
      <c r="BQ33" s="53" t="s">
        <v>305</v>
      </c>
      <c r="BS33" t="s">
        <v>256</v>
      </c>
    </row>
    <row r="34" spans="1:71" x14ac:dyDescent="0.35">
      <c r="A34" s="35" t="s">
        <v>145</v>
      </c>
      <c r="B34" s="35" t="s">
        <v>146</v>
      </c>
      <c r="C34" s="35" t="s">
        <v>147</v>
      </c>
      <c r="D34" s="36"/>
      <c r="E34" s="37" t="str">
        <f t="shared" si="5"/>
        <v>ü</v>
      </c>
      <c r="F34" t="s">
        <v>145</v>
      </c>
      <c r="G34" s="38">
        <v>4826</v>
      </c>
      <c r="H34" s="38">
        <v>5912</v>
      </c>
      <c r="I34" s="38">
        <v>6743</v>
      </c>
      <c r="J34" s="38">
        <v>7381.0000000000009</v>
      </c>
      <c r="K34" s="38">
        <v>7871.0000000000018</v>
      </c>
      <c r="L34" s="38">
        <v>8280.0000000000018</v>
      </c>
      <c r="M34" s="38">
        <v>8672.0000000000018</v>
      </c>
      <c r="N34" s="38">
        <v>9048.0000000000018</v>
      </c>
      <c r="O34" s="38">
        <v>9396.0000000000018</v>
      </c>
      <c r="P34" s="38">
        <v>9743.0000000000018</v>
      </c>
      <c r="Q34" s="38">
        <v>10067.000000000002</v>
      </c>
      <c r="R34" s="38">
        <v>10375.000000000002</v>
      </c>
      <c r="S34" s="38">
        <v>10686.000000000002</v>
      </c>
      <c r="T34" s="38">
        <v>10998.000000000002</v>
      </c>
      <c r="U34" s="38">
        <v>11320.000000000004</v>
      </c>
      <c r="V34" s="38">
        <v>11655.000000000004</v>
      </c>
      <c r="W34" s="38">
        <v>11982.000000000004</v>
      </c>
      <c r="X34" s="38">
        <v>12328.000000000004</v>
      </c>
      <c r="Y34" s="38">
        <v>12669.000000000002</v>
      </c>
      <c r="Z34" s="38">
        <v>13033.000000000002</v>
      </c>
      <c r="AA34" s="38">
        <v>13404.000000000002</v>
      </c>
      <c r="AB34" s="38">
        <v>13766.000000000002</v>
      </c>
      <c r="AC34" s="38">
        <v>14155</v>
      </c>
      <c r="AD34" s="38">
        <v>14526</v>
      </c>
      <c r="AE34" s="38">
        <v>14957</v>
      </c>
      <c r="AF34" s="38">
        <v>15380.999999999998</v>
      </c>
      <c r="AG34" s="38">
        <v>15825.999999999998</v>
      </c>
      <c r="AH34" s="38">
        <v>16242</v>
      </c>
      <c r="AI34" s="38">
        <v>16679</v>
      </c>
      <c r="AJ34" s="38">
        <v>17126</v>
      </c>
      <c r="AK34" s="53">
        <v>17585.000000000004</v>
      </c>
      <c r="AM34" s="42" t="s">
        <v>304</v>
      </c>
      <c r="AN34" s="42" t="s">
        <v>304</v>
      </c>
      <c r="AO34" s="42" t="s">
        <v>304</v>
      </c>
      <c r="AP34" s="42" t="s">
        <v>304</v>
      </c>
      <c r="AQ34" s="42" t="s">
        <v>304</v>
      </c>
      <c r="AR34" s="42" t="s">
        <v>304</v>
      </c>
      <c r="AS34" s="42" t="s">
        <v>304</v>
      </c>
      <c r="AT34" s="42" t="s">
        <v>304</v>
      </c>
      <c r="AU34" s="42" t="s">
        <v>304</v>
      </c>
      <c r="AV34" s="42" t="s">
        <v>304</v>
      </c>
      <c r="AW34" s="42" t="s">
        <v>304</v>
      </c>
      <c r="AX34" s="42" t="s">
        <v>304</v>
      </c>
      <c r="AY34" s="42" t="s">
        <v>304</v>
      </c>
      <c r="AZ34" s="42" t="s">
        <v>304</v>
      </c>
      <c r="BA34" s="42" t="s">
        <v>304</v>
      </c>
      <c r="BB34" s="42" t="s">
        <v>304</v>
      </c>
      <c r="BC34" s="42" t="s">
        <v>304</v>
      </c>
      <c r="BD34" s="42" t="s">
        <v>304</v>
      </c>
      <c r="BE34" s="42" t="s">
        <v>304</v>
      </c>
      <c r="BF34" s="42" t="s">
        <v>304</v>
      </c>
      <c r="BG34" s="42" t="s">
        <v>304</v>
      </c>
      <c r="BH34" s="42" t="s">
        <v>304</v>
      </c>
      <c r="BI34" s="42" t="s">
        <v>304</v>
      </c>
      <c r="BJ34" s="42" t="s">
        <v>304</v>
      </c>
      <c r="BK34" s="42" t="s">
        <v>304</v>
      </c>
      <c r="BL34" s="42" t="s">
        <v>304</v>
      </c>
      <c r="BM34" s="42" t="s">
        <v>304</v>
      </c>
      <c r="BN34" s="42" t="s">
        <v>304</v>
      </c>
      <c r="BO34" s="42" t="s">
        <v>304</v>
      </c>
      <c r="BP34" s="42" t="s">
        <v>304</v>
      </c>
      <c r="BQ34" s="42" t="s">
        <v>304</v>
      </c>
      <c r="BS34" t="s">
        <v>256</v>
      </c>
    </row>
    <row r="35" spans="1:71" x14ac:dyDescent="0.35">
      <c r="A35" s="35" t="s">
        <v>148</v>
      </c>
      <c r="B35" s="35" t="s">
        <v>149</v>
      </c>
      <c r="C35" s="35" t="s">
        <v>150</v>
      </c>
      <c r="D35" s="36"/>
      <c r="E35" s="37" t="str">
        <f t="shared" si="5"/>
        <v>ü</v>
      </c>
      <c r="F35" t="s">
        <v>148</v>
      </c>
      <c r="G35" s="38">
        <v>319.88489208633092</v>
      </c>
      <c r="H35" s="38">
        <v>397</v>
      </c>
      <c r="I35" s="38">
        <v>456.97841726618702</v>
      </c>
      <c r="J35" s="38">
        <v>502.67625899280574</v>
      </c>
      <c r="K35" s="38">
        <v>536.94964028776974</v>
      </c>
      <c r="L35" s="38">
        <v>562.65467625899271</v>
      </c>
      <c r="M35" s="38">
        <v>585.50359712230204</v>
      </c>
      <c r="N35" s="38">
        <v>608.35251798561137</v>
      </c>
      <c r="O35" s="38">
        <v>628.34532374100706</v>
      </c>
      <c r="P35" s="38">
        <v>648.33812949640264</v>
      </c>
      <c r="Q35" s="38">
        <v>668.33093525179834</v>
      </c>
      <c r="R35" s="38">
        <v>685.46762589928028</v>
      </c>
      <c r="S35" s="38">
        <v>702.60431654676222</v>
      </c>
      <c r="T35" s="38">
        <v>719.74100719424428</v>
      </c>
      <c r="U35" s="38">
        <v>736.87769784172622</v>
      </c>
      <c r="V35" s="38">
        <v>754.01438848920827</v>
      </c>
      <c r="W35" s="38">
        <v>771.15107913669021</v>
      </c>
      <c r="X35" s="38">
        <v>788.28776978417216</v>
      </c>
      <c r="Y35" s="38">
        <v>805.42446043165421</v>
      </c>
      <c r="Z35" s="38">
        <v>822.56115107913615</v>
      </c>
      <c r="AA35" s="38">
        <v>842.55395683453185</v>
      </c>
      <c r="AB35" s="38">
        <v>859.69064748201379</v>
      </c>
      <c r="AC35" s="38">
        <v>876.82733812949573</v>
      </c>
      <c r="AD35" s="38">
        <v>893.96402877697778</v>
      </c>
      <c r="AE35" s="38">
        <v>911.10071942445984</v>
      </c>
      <c r="AF35" s="38">
        <v>928.23741007194189</v>
      </c>
      <c r="AG35" s="38">
        <v>948.23021582733759</v>
      </c>
      <c r="AH35" s="38">
        <v>965.36690647481964</v>
      </c>
      <c r="AI35" s="38">
        <v>979.64748201438795</v>
      </c>
      <c r="AJ35" s="38">
        <v>999.64028776978364</v>
      </c>
      <c r="AK35" s="53">
        <v>1016.7769784172656</v>
      </c>
      <c r="AM35" s="42" t="s">
        <v>307</v>
      </c>
      <c r="AN35" s="42" t="s">
        <v>307</v>
      </c>
      <c r="AO35" s="42" t="s">
        <v>307</v>
      </c>
      <c r="AP35" s="42" t="s">
        <v>307</v>
      </c>
      <c r="AQ35" s="42" t="s">
        <v>307</v>
      </c>
      <c r="AR35" s="42" t="s">
        <v>307</v>
      </c>
      <c r="AS35" s="42" t="s">
        <v>307</v>
      </c>
      <c r="AT35" s="42" t="s">
        <v>307</v>
      </c>
      <c r="AU35" s="42" t="s">
        <v>307</v>
      </c>
      <c r="AV35" s="42" t="s">
        <v>307</v>
      </c>
      <c r="AW35" s="42" t="s">
        <v>307</v>
      </c>
      <c r="AX35" s="42" t="s">
        <v>307</v>
      </c>
      <c r="AY35" s="42" t="s">
        <v>307</v>
      </c>
      <c r="AZ35" s="42" t="s">
        <v>307</v>
      </c>
      <c r="BA35" s="42" t="s">
        <v>307</v>
      </c>
      <c r="BB35" s="42" t="s">
        <v>307</v>
      </c>
      <c r="BC35" s="42" t="s">
        <v>307</v>
      </c>
      <c r="BD35" s="42" t="s">
        <v>307</v>
      </c>
      <c r="BE35" s="42" t="s">
        <v>307</v>
      </c>
      <c r="BF35" s="42" t="s">
        <v>307</v>
      </c>
      <c r="BG35" s="42" t="s">
        <v>307</v>
      </c>
      <c r="BH35" s="42" t="s">
        <v>307</v>
      </c>
      <c r="BI35" s="42" t="s">
        <v>307</v>
      </c>
      <c r="BJ35" s="42" t="s">
        <v>307</v>
      </c>
      <c r="BK35" s="42" t="s">
        <v>307</v>
      </c>
      <c r="BL35" s="42" t="s">
        <v>307</v>
      </c>
      <c r="BM35" s="42" t="s">
        <v>307</v>
      </c>
      <c r="BN35" s="42" t="s">
        <v>307</v>
      </c>
      <c r="BO35" s="42" t="s">
        <v>307</v>
      </c>
      <c r="BP35" s="42" t="s">
        <v>307</v>
      </c>
      <c r="BQ35" s="42" t="s">
        <v>307</v>
      </c>
      <c r="BS35" t="s">
        <v>307</v>
      </c>
    </row>
    <row r="36" spans="1:71" x14ac:dyDescent="0.35">
      <c r="A36" s="39" t="s">
        <v>152</v>
      </c>
      <c r="B36" s="39" t="s">
        <v>153</v>
      </c>
      <c r="C36" s="39" t="s">
        <v>154</v>
      </c>
      <c r="D36" s="40"/>
      <c r="E36" s="41" t="str">
        <f t="shared" si="5"/>
        <v>ü</v>
      </c>
      <c r="F36" t="s">
        <v>152</v>
      </c>
      <c r="G36" s="42">
        <v>46245</v>
      </c>
      <c r="H36" s="42">
        <v>58695</v>
      </c>
      <c r="I36" s="42">
        <v>68589</v>
      </c>
      <c r="J36" s="42">
        <v>76417</v>
      </c>
      <c r="K36" s="42">
        <v>82595</v>
      </c>
      <c r="L36" s="42">
        <v>87707</v>
      </c>
      <c r="M36" s="42">
        <v>92377</v>
      </c>
      <c r="N36" s="42">
        <v>96768</v>
      </c>
      <c r="O36" s="42">
        <v>101043</v>
      </c>
      <c r="P36" s="42">
        <v>105082.99999999999</v>
      </c>
      <c r="Q36" s="42">
        <v>108914.99999999999</v>
      </c>
      <c r="R36" s="42">
        <v>112515.99999999997</v>
      </c>
      <c r="S36" s="42">
        <v>116194.99999999999</v>
      </c>
      <c r="T36" s="42">
        <v>119824.99999999999</v>
      </c>
      <c r="U36" s="42">
        <v>123625.99999999999</v>
      </c>
      <c r="V36" s="42">
        <v>127344</v>
      </c>
      <c r="W36" s="42">
        <v>131192</v>
      </c>
      <c r="X36" s="42">
        <v>135036</v>
      </c>
      <c r="Y36" s="42">
        <v>139056</v>
      </c>
      <c r="Z36" s="42">
        <v>143079</v>
      </c>
      <c r="AA36" s="42">
        <v>147282</v>
      </c>
      <c r="AB36" s="42">
        <v>151364.00000000003</v>
      </c>
      <c r="AC36" s="42">
        <v>155611.00000000003</v>
      </c>
      <c r="AD36" s="42">
        <v>159796.00000000003</v>
      </c>
      <c r="AE36" s="42">
        <v>164033.00000000006</v>
      </c>
      <c r="AF36" s="42">
        <v>168244.00000000006</v>
      </c>
      <c r="AG36" s="42">
        <v>172634.00000000009</v>
      </c>
      <c r="AH36" s="42">
        <v>176888.00000000009</v>
      </c>
      <c r="AI36" s="42">
        <v>181271.00000000009</v>
      </c>
      <c r="AJ36" s="42">
        <v>185768.00000000009</v>
      </c>
      <c r="AK36" s="42">
        <v>190383.00000000012</v>
      </c>
      <c r="AM36" s="38" t="s">
        <v>305</v>
      </c>
      <c r="AN36" s="38" t="s">
        <v>306</v>
      </c>
      <c r="AO36" s="38" t="s">
        <v>306</v>
      </c>
      <c r="AP36" s="38" t="s">
        <v>306</v>
      </c>
      <c r="AQ36" s="38" t="s">
        <v>306</v>
      </c>
      <c r="AR36" s="38" t="s">
        <v>306</v>
      </c>
      <c r="AS36" s="38" t="s">
        <v>306</v>
      </c>
      <c r="AT36" s="38" t="s">
        <v>306</v>
      </c>
      <c r="AU36" s="38" t="s">
        <v>306</v>
      </c>
      <c r="AV36" s="38" t="s">
        <v>306</v>
      </c>
      <c r="AW36" s="38" t="s">
        <v>306</v>
      </c>
      <c r="AX36" s="38" t="s">
        <v>306</v>
      </c>
      <c r="AY36" s="38" t="s">
        <v>306</v>
      </c>
      <c r="AZ36" s="38" t="s">
        <v>306</v>
      </c>
      <c r="BA36" s="38" t="s">
        <v>306</v>
      </c>
      <c r="BB36" s="38" t="s">
        <v>306</v>
      </c>
      <c r="BC36" s="38" t="s">
        <v>306</v>
      </c>
      <c r="BD36" s="38" t="s">
        <v>306</v>
      </c>
      <c r="BE36" s="38" t="s">
        <v>306</v>
      </c>
      <c r="BF36" s="38" t="s">
        <v>306</v>
      </c>
      <c r="BG36" s="38" t="s">
        <v>306</v>
      </c>
      <c r="BH36" s="38" t="s">
        <v>306</v>
      </c>
      <c r="BI36" s="38" t="s">
        <v>306</v>
      </c>
      <c r="BJ36" s="38" t="s">
        <v>306</v>
      </c>
      <c r="BK36" s="38" t="s">
        <v>306</v>
      </c>
      <c r="BL36" s="38" t="s">
        <v>306</v>
      </c>
      <c r="BM36" s="38" t="s">
        <v>306</v>
      </c>
      <c r="BN36" s="38" t="s">
        <v>306</v>
      </c>
      <c r="BO36" s="38" t="s">
        <v>306</v>
      </c>
      <c r="BP36" s="38" t="s">
        <v>306</v>
      </c>
      <c r="BQ36" s="53" t="s">
        <v>306</v>
      </c>
      <c r="BS36" t="s">
        <v>256</v>
      </c>
    </row>
    <row r="37" spans="1:71" ht="15" thickBot="1" x14ac:dyDescent="0.4">
      <c r="A37" s="35" t="s">
        <v>157</v>
      </c>
      <c r="B37" s="35" t="s">
        <v>158</v>
      </c>
      <c r="C37" s="35" t="s">
        <v>159</v>
      </c>
      <c r="D37" s="36"/>
      <c r="E37" s="37" t="str">
        <f t="shared" si="5"/>
        <v>ü</v>
      </c>
      <c r="F37" t="s">
        <v>157</v>
      </c>
      <c r="G37" s="38">
        <v>15233</v>
      </c>
      <c r="H37" s="38">
        <v>18307</v>
      </c>
      <c r="I37" s="38">
        <v>20684</v>
      </c>
      <c r="J37" s="38">
        <v>22569</v>
      </c>
      <c r="K37" s="38">
        <v>24003.999999999996</v>
      </c>
      <c r="L37" s="38">
        <v>25227.999999999996</v>
      </c>
      <c r="M37" s="38">
        <v>26359.999999999996</v>
      </c>
      <c r="N37" s="38">
        <v>27431.999999999993</v>
      </c>
      <c r="O37" s="38">
        <v>28471.999999999993</v>
      </c>
      <c r="P37" s="38">
        <v>29427.999999999996</v>
      </c>
      <c r="Q37" s="38">
        <v>30316.999999999996</v>
      </c>
      <c r="R37" s="38">
        <v>31139.999999999993</v>
      </c>
      <c r="S37" s="38">
        <v>31957.999999999989</v>
      </c>
      <c r="T37" s="38">
        <v>32773.999999999985</v>
      </c>
      <c r="U37" s="38">
        <v>33602.999999999985</v>
      </c>
      <c r="V37" s="38">
        <v>34414.999999999985</v>
      </c>
      <c r="W37" s="38">
        <v>35241.999999999985</v>
      </c>
      <c r="X37" s="38">
        <v>36064.999999999978</v>
      </c>
      <c r="Y37" s="38">
        <v>36918.999999999978</v>
      </c>
      <c r="Z37" s="38">
        <v>37767.999999999978</v>
      </c>
      <c r="AA37" s="38">
        <v>38639.999999999971</v>
      </c>
      <c r="AB37" s="38">
        <v>39483.999999999971</v>
      </c>
      <c r="AC37" s="38">
        <v>40336.999999999964</v>
      </c>
      <c r="AD37" s="38">
        <v>41186.999999999964</v>
      </c>
      <c r="AE37" s="38">
        <v>42025.999999999964</v>
      </c>
      <c r="AF37" s="38">
        <v>42845.999999999964</v>
      </c>
      <c r="AG37" s="38">
        <v>43667.999999999964</v>
      </c>
      <c r="AH37" s="38">
        <v>44466.999999999956</v>
      </c>
      <c r="AI37" s="38">
        <v>45262.999999999949</v>
      </c>
      <c r="AJ37" s="38">
        <v>46072.999999999949</v>
      </c>
      <c r="AK37" s="53">
        <v>46896.999999999949</v>
      </c>
      <c r="AM37" s="42" t="s">
        <v>304</v>
      </c>
      <c r="AN37" s="42" t="s">
        <v>304</v>
      </c>
      <c r="AO37" s="42" t="s">
        <v>304</v>
      </c>
      <c r="AP37" s="42" t="s">
        <v>304</v>
      </c>
      <c r="AQ37" s="42" t="s">
        <v>304</v>
      </c>
      <c r="AR37" s="42" t="s">
        <v>304</v>
      </c>
      <c r="AS37" s="42" t="s">
        <v>304</v>
      </c>
      <c r="AT37" s="42" t="s">
        <v>304</v>
      </c>
      <c r="AU37" s="42" t="s">
        <v>304</v>
      </c>
      <c r="AV37" s="42" t="s">
        <v>304</v>
      </c>
      <c r="AW37" s="42" t="s">
        <v>305</v>
      </c>
      <c r="AX37" s="42" t="s">
        <v>305</v>
      </c>
      <c r="AY37" s="42" t="s">
        <v>305</v>
      </c>
      <c r="AZ37" s="42" t="s">
        <v>305</v>
      </c>
      <c r="BA37" s="42" t="s">
        <v>305</v>
      </c>
      <c r="BB37" s="42" t="s">
        <v>305</v>
      </c>
      <c r="BC37" s="42" t="s">
        <v>305</v>
      </c>
      <c r="BD37" s="42" t="s">
        <v>305</v>
      </c>
      <c r="BE37" s="42" t="s">
        <v>305</v>
      </c>
      <c r="BF37" s="42" t="s">
        <v>305</v>
      </c>
      <c r="BG37" s="42" t="s">
        <v>305</v>
      </c>
      <c r="BH37" s="42" t="s">
        <v>305</v>
      </c>
      <c r="BI37" s="42" t="s">
        <v>305</v>
      </c>
      <c r="BJ37" s="42" t="s">
        <v>305</v>
      </c>
      <c r="BK37" s="42" t="s">
        <v>305</v>
      </c>
      <c r="BL37" s="42" t="s">
        <v>305</v>
      </c>
      <c r="BM37" s="42" t="s">
        <v>305</v>
      </c>
      <c r="BN37" s="42" t="s">
        <v>305</v>
      </c>
      <c r="BO37" s="42" t="s">
        <v>305</v>
      </c>
      <c r="BP37" s="42" t="s">
        <v>305</v>
      </c>
      <c r="BQ37" s="42" t="s">
        <v>305</v>
      </c>
      <c r="BS37" t="s">
        <v>256</v>
      </c>
    </row>
    <row r="38" spans="1:71" x14ac:dyDescent="0.35">
      <c r="A38" s="54"/>
      <c r="B38" s="54"/>
      <c r="C38" s="54"/>
      <c r="D38" s="54"/>
      <c r="E38" s="54"/>
    </row>
    <row r="44" spans="1:71" x14ac:dyDescent="0.35">
      <c r="A44" s="63" t="s">
        <v>354</v>
      </c>
    </row>
  </sheetData>
  <sheetProtection selectLockedCells="1"/>
  <autoFilter ref="A2:BQ37" xr:uid="{5CD5D079-8E36-4A56-85C3-959E1DBB286D}"/>
  <conditionalFormatting sqref="E39:E44 E3:E37">
    <cfRule type="expression" dxfId="1" priority="1">
      <formula>E3=CHAR(251)</formula>
    </cfRule>
    <cfRule type="expression" dxfId="0" priority="2">
      <formula>E3=CHAR(252)</formula>
    </cfRule>
  </conditionalFormatting>
  <hyperlinks>
    <hyperlink ref="A44" location="Introdução!A1" display="Introdução!A1" xr:uid="{0645D055-1B74-4FCC-BEB7-1447195F681D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E63C-5E0E-40B9-9785-1C07A293E287}">
  <sheetPr>
    <tabColor theme="6" tint="-0.499984740745262"/>
  </sheetPr>
  <dimension ref="A1:AS14"/>
  <sheetViews>
    <sheetView topLeftCell="AF1" workbookViewId="0">
      <selection activeCell="AS1" sqref="AS1:AS2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50</v>
      </c>
      <c r="B3" t="s">
        <v>51</v>
      </c>
      <c r="C3">
        <v>130040</v>
      </c>
      <c r="D3" t="s">
        <v>52</v>
      </c>
      <c r="E3" t="s">
        <v>51</v>
      </c>
      <c r="F3" t="s">
        <v>35</v>
      </c>
      <c r="G3" t="s">
        <v>259</v>
      </c>
      <c r="H3" t="s">
        <v>33</v>
      </c>
      <c r="I3" s="1">
        <f>('RECEITAS - BLOCOS PAN'!H5-'OPEX - BLOCOS PAN'!H5-VLOOKUP('BLOCO AMAZONAS - 2'!$D3,'CAPEX - BLOCOS PAN'!$C$3:$H$52,6,FALSE))*I$12</f>
        <v>-22890549.1217</v>
      </c>
      <c r="J3" s="1">
        <f>('RECEITAS - BLOCOS PAN'!I5-'OPEX - BLOCOS PAN'!I5-VLOOKUP('BLOCO AMAZONAS - 2'!$D3,'CAPEX - BLOCOS PAN'!$C$3:$I$52,7,FALSE))*J$12</f>
        <v>-20892172.230670929</v>
      </c>
      <c r="K3" s="1">
        <f>('RECEITAS - BLOCOS PAN'!J5-'OPEX - BLOCOS PAN'!J5-VLOOKUP('BLOCO AMAZONAS - 2'!$D3,'CAPEX - BLOCOS PAN'!$C$3:$J$52,8,FALSE))*K$12</f>
        <v>-19068906.377340104</v>
      </c>
      <c r="L3" s="1">
        <f>('RECEITAS - BLOCOS PAN'!K5-'OPEX - BLOCOS PAN'!K5-VLOOKUP('BLOCO AMAZONAS - 2'!$D3,'CAPEX - BLOCOS PAN'!$C$3:$K$52,9,FALSE))*L$12</f>
        <v>-2038771.4731732842</v>
      </c>
      <c r="M3" s="1">
        <f>('RECEITAS - BLOCOS PAN'!L5-'OPEX - BLOCOS PAN'!L5-VLOOKUP('BLOCO AMAZONAS - 2'!$D3,'CAPEX - BLOCOS PAN'!$C$3:$L$52,10,FALSE))*M$12</f>
        <v>-1859999.4809403422</v>
      </c>
      <c r="N3" s="1">
        <f>('RECEITAS - BLOCOS PAN'!M5-'OPEX - BLOCOS PAN'!M5-VLOOKUP('BLOCO AMAZONAS - 2'!$D3,'CAPEX - BLOCOS PAN'!$C$3:$M$52,11,FALSE))*N$12</f>
        <v>-1696975.2839940933</v>
      </c>
      <c r="O3" s="1">
        <f>('RECEITAS - BLOCOS PAN'!N5-'OPEX - BLOCOS PAN'!N5-VLOOKUP('BLOCO AMAZONAS - 2'!$D3,'CAPEX - BLOCOS PAN'!$C$3:$N$52,12,FALSE))*O$12</f>
        <v>-1548297.2355039928</v>
      </c>
      <c r="P3" s="1">
        <f>('RECEITAS - BLOCOS PAN'!O5-'OPEX - BLOCOS PAN'!O5-VLOOKUP('BLOCO AMAZONAS - 2'!$D3,'CAPEX - BLOCOS PAN'!$C$3:$O$52,13,FALSE))*P$12</f>
        <v>-1412675.2803874707</v>
      </c>
      <c r="Q3" s="1">
        <f>('RECEITAS - BLOCOS PAN'!P5-'OPEX - BLOCOS PAN'!P5-VLOOKUP('BLOCO AMAZONAS - 2'!$D3,'CAPEX - BLOCOS PAN'!$C$3:$P$52,14,FALSE))*Q$12</f>
        <v>-1288987.9053097682</v>
      </c>
      <c r="R3" s="1">
        <f>('RECEITAS - BLOCOS PAN'!Q5-'OPEX - BLOCOS PAN'!Q5-VLOOKUP('BLOCO AMAZONAS - 2'!$D3,'CAPEX - BLOCOS PAN'!$C$3:$Q$52,15,FALSE))*R$12</f>
        <v>-1176167.5793331361</v>
      </c>
      <c r="S3" s="1">
        <f>('RECEITAS - BLOCOS PAN'!R5-'OPEX - BLOCOS PAN'!R5-VLOOKUP('BLOCO AMAZONAS - 2'!$D3,'CAPEX - BLOCOS PAN'!$C$3:$R$52,16,FALSE))*S$12</f>
        <v>-1073250.5584972315</v>
      </c>
      <c r="T3" s="1">
        <f>('RECEITAS - BLOCOS PAN'!S5-'OPEX - BLOCOS PAN'!S5-VLOOKUP('BLOCO AMAZONAS - 2'!$D3,'CAPEX - BLOCOS PAN'!$C$3:$S$52,17,FALSE))*T$12</f>
        <v>-979331.72820585617</v>
      </c>
      <c r="U3" s="1">
        <f>('RECEITAS - BLOCOS PAN'!T5-'OPEX - BLOCOS PAN'!T5-VLOOKUP('BLOCO AMAZONAS - 2'!$D3,'CAPEX - BLOCOS PAN'!$C$3:$T$52,18,FALSE))*U$12</f>
        <v>-893633.0391519909</v>
      </c>
      <c r="V3" s="1">
        <f>('RECEITAS - BLOCOS PAN'!U5-'OPEX - BLOCOS PAN'!U5-VLOOKUP('BLOCO AMAZONAS - 2'!$D3,'CAPEX - BLOCOS PAN'!$C$3:$U$52,19,FALSE))*V$12</f>
        <v>-815442.40715189499</v>
      </c>
      <c r="W3" s="1">
        <f>('RECEITAS - BLOCOS PAN'!V5-'OPEX - BLOCOS PAN'!V5-VLOOKUP('BLOCO AMAZONAS - 2'!$D3,'CAPEX - BLOCOS PAN'!$C$3:$V$52,20,FALSE))*W$12</f>
        <v>-744093.16456707031</v>
      </c>
      <c r="X3" s="1">
        <f>('RECEITAS - BLOCOS PAN'!W5-'OPEX - BLOCOS PAN'!W5-VLOOKUP('BLOCO AMAZONAS - 2'!$D3,'CAPEX - BLOCOS PAN'!$C$3:$W$52,21,FALSE))*X$12</f>
        <v>-678986.72375453392</v>
      </c>
      <c r="Y3" s="1">
        <f>('RECEITAS - BLOCOS PAN'!X5-'OPEX - BLOCOS PAN'!X5-VLOOKUP('BLOCO AMAZONAS - 2'!$D3,'CAPEX - BLOCOS PAN'!$C$3:$X$52,22,FALSE))*Y$12</f>
        <v>-619583.51514733967</v>
      </c>
      <c r="Z3" s="1">
        <f>('RECEITAS - BLOCOS PAN'!Y5-'OPEX - BLOCOS PAN'!Y5-VLOOKUP('BLOCO AMAZONAS - 2'!$D3,'CAPEX - BLOCOS PAN'!$C$3:$Y$52,23,FALSE))*Z$12</f>
        <v>-565368.20939806418</v>
      </c>
      <c r="AA3" s="1">
        <f>('RECEITAS - BLOCOS PAN'!Z5-'OPEX - BLOCOS PAN'!Z5-VLOOKUP('BLOCO AMAZONAS - 2'!$D3,'CAPEX - BLOCOS PAN'!$C$3:$Z$52,24,FALSE))*AA$12</f>
        <v>-515896.82918905915</v>
      </c>
      <c r="AB3" s="1">
        <f>('RECEITAS - BLOCOS PAN'!AA5-'OPEX - BLOCOS PAN'!AA5-VLOOKUP('BLOCO AMAZONAS - 2'!$D3,'CAPEX - BLOCOS PAN'!$C$3:$AA$52,25,FALSE))*AB$12</f>
        <v>-470749.22435904387</v>
      </c>
      <c r="AC3" s="1">
        <f>('RECEITAS - BLOCOS PAN'!AB5-'OPEX - BLOCOS PAN'!AB5-VLOOKUP('BLOCO AMAZONAS - 2'!$D3,'CAPEX - BLOCOS PAN'!$C$3:$AB$52,26,FALSE))*AC$12</f>
        <v>-429564.09226354555</v>
      </c>
      <c r="AD3" s="1">
        <f>('RECEITAS - BLOCOS PAN'!AC5-'OPEX - BLOCOS PAN'!AC5-VLOOKUP('BLOCO AMAZONAS - 2'!$D3,'CAPEX - BLOCOS PAN'!$C$3:$AC$52,27,FALSE))*AD$12</f>
        <v>-391980.03228465241</v>
      </c>
      <c r="AE3" s="1">
        <f>('RECEITAS - BLOCOS PAN'!AD5-'OPEX - BLOCOS PAN'!AD5-VLOOKUP('BLOCO AMAZONAS - 2'!$D3,'CAPEX - BLOCOS PAN'!$C$3:$AD$52,28,FALSE))*AE$12</f>
        <v>-357686.21150751878</v>
      </c>
      <c r="AF3" s="1">
        <f>('RECEITAS - BLOCOS PAN'!AE5-'OPEX - BLOCOS PAN'!AE5-VLOOKUP('BLOCO AMAZONAS - 2'!$D3,'CAPEX - BLOCOS PAN'!$C$3:$AE$52,29,FALSE))*AF$12</f>
        <v>-326397.93821358396</v>
      </c>
      <c r="AG3" s="1">
        <f>('RECEITAS - BLOCOS PAN'!AF5-'OPEX - BLOCOS PAN'!AF5-VLOOKUP('BLOCO AMAZONAS - 2'!$D3,'CAPEX - BLOCOS PAN'!$C$3:$AF$52,30,FALSE))*AG$12</f>
        <v>-297851.35168716463</v>
      </c>
      <c r="AH3" s="1">
        <f>('RECEITAS - BLOCOS PAN'!AG5-'OPEX - BLOCOS PAN'!AG5-VLOOKUP('BLOCO AMAZONAS - 2'!$D3,'CAPEX - BLOCOS PAN'!$C$3:$AG$52,31,FALSE))*AH$12</f>
        <v>-271801.40767810051</v>
      </c>
      <c r="AI3" s="1">
        <f>('RECEITAS - BLOCOS PAN'!AH5-'OPEX - BLOCOS PAN'!AH5-VLOOKUP('BLOCO AMAZONAS - 2'!$D3,'CAPEX - BLOCOS PAN'!$C$3:$AH$52,32,FALSE))*AI$12</f>
        <v>-248033.76004790072</v>
      </c>
      <c r="AJ3" s="1">
        <f>('RECEITAS - BLOCOS PAN'!AI5-'OPEX - BLOCOS PAN'!AI5-VLOOKUP('BLOCO AMAZONAS - 2'!$D3,'CAPEX - BLOCOS PAN'!$C$3:$AI$52,33,FALSE))*AJ$12</f>
        <v>-226345.67069786691</v>
      </c>
      <c r="AK3" s="1">
        <f>('RECEITAS - BLOCOS PAN'!AJ5-'OPEX - BLOCOS PAN'!AJ5-VLOOKUP('BLOCO AMAZONAS - 2'!$D3,'CAPEX - BLOCOS PAN'!$C$3:$AJ$52,34,FALSE))*AK$12</f>
        <v>-206553.9718688885</v>
      </c>
      <c r="AL3" s="1">
        <f>('RECEITAS - BLOCOS PAN'!AK5-'OPEX - BLOCOS PAN'!AK5-VLOOKUP('BLOCO AMAZONAS - 2'!$D3,'CAPEX - BLOCOS PAN'!$C$3:$AK$52,35,FALSE))*AL$12</f>
        <v>-188491.83102985783</v>
      </c>
      <c r="AM3" s="44">
        <f t="shared" ref="AM3:AM5" si="0">SUM(I3:AL3)</f>
        <v>-84174543.635054305</v>
      </c>
      <c r="AN3">
        <v>1</v>
      </c>
      <c r="AO3" t="s">
        <v>311</v>
      </c>
      <c r="AP3">
        <v>-0.96666666666666667</v>
      </c>
      <c r="AQ3">
        <v>-62.916666666666664</v>
      </c>
      <c r="AR3" s="48">
        <f>VLOOKUP(D3,'Projeção - Demanda PAX'!$C$3:$H$37,6,FALSE)</f>
        <v>1501</v>
      </c>
      <c r="AS3" t="str">
        <f>VLOOKUP(D3,'FLUXO DE CAIXA DESC.-BLOCOS PAN'!$D$3:$AU$52,44,FALSE)</f>
        <v>Bloco 2 - AM1</v>
      </c>
    </row>
    <row r="4" spans="1:45" x14ac:dyDescent="0.35">
      <c r="A4" t="s">
        <v>64</v>
      </c>
      <c r="B4" t="s">
        <v>65</v>
      </c>
      <c r="C4">
        <v>130270</v>
      </c>
      <c r="D4" t="s">
        <v>66</v>
      </c>
      <c r="E4" t="s">
        <v>65</v>
      </c>
      <c r="F4" t="s">
        <v>35</v>
      </c>
      <c r="G4" t="s">
        <v>259</v>
      </c>
      <c r="H4" t="s">
        <v>33</v>
      </c>
      <c r="I4" s="1">
        <f>('RECEITAS - BLOCOS PAN'!H9-'OPEX - BLOCOS PAN'!H9-VLOOKUP('BLOCO AMAZONAS - 2'!$D4,'CAPEX - BLOCOS PAN'!$C$3:$H$52,6,FALSE))*I$12</f>
        <v>-14179164.816299999</v>
      </c>
      <c r="J4" s="1">
        <f>('RECEITAS - BLOCOS PAN'!I9-'OPEX - BLOCOS PAN'!I9-VLOOKUP('BLOCO AMAZONAS - 2'!$D4,'CAPEX - BLOCOS PAN'!$C$3:$I$52,7,FALSE))*J$12</f>
        <v>-12923844.889183022</v>
      </c>
      <c r="K4" s="1">
        <f>('RECEITAS - BLOCOS PAN'!J9-'OPEX - BLOCOS PAN'!J9-VLOOKUP('BLOCO AMAZONAS - 2'!$D4,'CAPEX - BLOCOS PAN'!$C$3:$J$52,8,FALSE))*K$12</f>
        <v>-11782336.183561606</v>
      </c>
      <c r="L4" s="1">
        <f>('RECEITAS - BLOCOS PAN'!K9-'OPEX - BLOCOS PAN'!K9-VLOOKUP('BLOCO AMAZONAS - 2'!$D4,'CAPEX - BLOCOS PAN'!$C$3:$K$52,9,FALSE))*L$12</f>
        <v>-1900077.3949048908</v>
      </c>
      <c r="M4" s="1">
        <f>('RECEITAS - BLOCOS PAN'!L9-'OPEX - BLOCOS PAN'!L9-VLOOKUP('BLOCO AMAZONAS - 2'!$D4,'CAPEX - BLOCOS PAN'!$C$3:$L$52,10,FALSE))*M$12</f>
        <v>-1725596.2385925788</v>
      </c>
      <c r="N4" s="1">
        <f>('RECEITAS - BLOCOS PAN'!M9-'OPEX - BLOCOS PAN'!M9-VLOOKUP('BLOCO AMAZONAS - 2'!$D4,'CAPEX - BLOCOS PAN'!$C$3:$M$52,11,FALSE))*N$12</f>
        <v>-1567246.7329788073</v>
      </c>
      <c r="O4" s="1">
        <f>('RECEITAS - BLOCOS PAN'!N9-'OPEX - BLOCOS PAN'!N9-VLOOKUP('BLOCO AMAZONAS - 2'!$D4,'CAPEX - BLOCOS PAN'!$C$3:$N$52,12,FALSE))*O$12</f>
        <v>-1424045.0679601908</v>
      </c>
      <c r="P4" s="1">
        <f>('RECEITAS - BLOCOS PAN'!O9-'OPEX - BLOCOS PAN'!O9-VLOOKUP('BLOCO AMAZONAS - 2'!$D4,'CAPEX - BLOCOS PAN'!$C$3:$O$52,13,FALSE))*P$12</f>
        <v>-1293530.6034470147</v>
      </c>
      <c r="Q4" s="1">
        <f>('RECEITAS - BLOCOS PAN'!P9-'OPEX - BLOCOS PAN'!P9-VLOOKUP('BLOCO AMAZONAS - 2'!$D4,'CAPEX - BLOCOS PAN'!$C$3:$P$52,14,FALSE))*Q$12</f>
        <v>-1175070.9316775829</v>
      </c>
      <c r="R4" s="1">
        <f>('RECEITAS - BLOCOS PAN'!Q9-'OPEX - BLOCOS PAN'!Q9-VLOOKUP('BLOCO AMAZONAS - 2'!$D4,'CAPEX - BLOCOS PAN'!$C$3:$Q$52,15,FALSE))*R$12</f>
        <v>-1067990.2998139011</v>
      </c>
      <c r="S4" s="1">
        <f>('RECEITAS - BLOCOS PAN'!R9-'OPEX - BLOCOS PAN'!R9-VLOOKUP('BLOCO AMAZONAS - 2'!$D4,'CAPEX - BLOCOS PAN'!$C$3:$R$52,16,FALSE))*S$12</f>
        <v>-970758.59643885517</v>
      </c>
      <c r="T4" s="1">
        <f>('RECEITAS - BLOCOS PAN'!S9-'OPEX - BLOCOS PAN'!S9-VLOOKUP('BLOCO AMAZONAS - 2'!$D4,'CAPEX - BLOCOS PAN'!$C$3:$S$52,17,FALSE))*T$12</f>
        <v>-882074.49453808391</v>
      </c>
      <c r="U4" s="1">
        <f>('RECEITAS - BLOCOS PAN'!T9-'OPEX - BLOCOS PAN'!T9-VLOOKUP('BLOCO AMAZONAS - 2'!$D4,'CAPEX - BLOCOS PAN'!$C$3:$T$52,18,FALSE))*U$12</f>
        <v>-801690.75889777543</v>
      </c>
      <c r="V4" s="1">
        <f>('RECEITAS - BLOCOS PAN'!U9-'OPEX - BLOCOS PAN'!U9-VLOOKUP('BLOCO AMAZONAS - 2'!$D4,'CAPEX - BLOCOS PAN'!$C$3:$U$52,19,FALSE))*V$12</f>
        <v>-728306.86885298323</v>
      </c>
      <c r="W4" s="1">
        <f>('RECEITAS - BLOCOS PAN'!V9-'OPEX - BLOCOS PAN'!V9-VLOOKUP('BLOCO AMAZONAS - 2'!$D4,'CAPEX - BLOCOS PAN'!$C$3:$V$52,20,FALSE))*W$12</f>
        <v>-661526.74863964366</v>
      </c>
      <c r="X4" s="1">
        <f>('RECEITAS - BLOCOS PAN'!W9-'OPEX - BLOCOS PAN'!W9-VLOOKUP('BLOCO AMAZONAS - 2'!$D4,'CAPEX - BLOCOS PAN'!$C$3:$W$52,21,FALSE))*X$12</f>
        <v>-600970.16943987599</v>
      </c>
      <c r="Y4" s="1">
        <f>('RECEITAS - BLOCOS PAN'!X9-'OPEX - BLOCOS PAN'!X9-VLOOKUP('BLOCO AMAZONAS - 2'!$D4,'CAPEX - BLOCOS PAN'!$C$3:$X$52,22,FALSE))*Y$12</f>
        <v>-545754.7361305115</v>
      </c>
      <c r="Z4" s="1">
        <f>('RECEITAS - BLOCOS PAN'!Y9-'OPEX - BLOCOS PAN'!Y9-VLOOKUP('BLOCO AMAZONAS - 2'!$D4,'CAPEX - BLOCOS PAN'!$C$3:$Y$52,23,FALSE))*Z$12</f>
        <v>-495571.33207891812</v>
      </c>
      <c r="AA4" s="1">
        <f>('RECEITAS - BLOCOS PAN'!Z9-'OPEX - BLOCOS PAN'!Z9-VLOOKUP('BLOCO AMAZONAS - 2'!$D4,'CAPEX - BLOCOS PAN'!$C$3:$Z$52,24,FALSE))*AA$12</f>
        <v>-449955.41344920656</v>
      </c>
      <c r="AB4" s="1">
        <f>('RECEITAS - BLOCOS PAN'!AA9-'OPEX - BLOCOS PAN'!AA9-VLOOKUP('BLOCO AMAZONAS - 2'!$D4,'CAPEX - BLOCOS PAN'!$C$3:$AA$52,25,FALSE))*AB$12</f>
        <v>-408395.20900405524</v>
      </c>
      <c r="AC4" s="1">
        <f>('RECEITAS - BLOCOS PAN'!AB9-'OPEX - BLOCOS PAN'!AB9-VLOOKUP('BLOCO AMAZONAS - 2'!$D4,'CAPEX - BLOCOS PAN'!$C$3:$AB$52,26,FALSE))*AC$12</f>
        <v>-370684.58255448041</v>
      </c>
      <c r="AD4" s="1">
        <f>('RECEITAS - BLOCOS PAN'!AC9-'OPEX - BLOCOS PAN'!AC9-VLOOKUP('BLOCO AMAZONAS - 2'!$D4,'CAPEX - BLOCOS PAN'!$C$3:$AC$52,27,FALSE))*AD$12</f>
        <v>-336324.48867136938</v>
      </c>
      <c r="AE4" s="1">
        <f>('RECEITAS - BLOCOS PAN'!AD9-'OPEX - BLOCOS PAN'!AD9-VLOOKUP('BLOCO AMAZONAS - 2'!$D4,'CAPEX - BLOCOS PAN'!$C$3:$AD$52,28,FALSE))*AE$12</f>
        <v>-324586.49052613415</v>
      </c>
      <c r="AF4" s="1">
        <f>('RECEITAS - BLOCOS PAN'!AE9-'OPEX - BLOCOS PAN'!AE9-VLOOKUP('BLOCO AMAZONAS - 2'!$D4,'CAPEX - BLOCOS PAN'!$C$3:$AE$52,29,FALSE))*AF$12</f>
        <v>-294596.76305414544</v>
      </c>
      <c r="AG4" s="1">
        <f>('RECEITAS - BLOCOS PAN'!AF9-'OPEX - BLOCOS PAN'!AF9-VLOOKUP('BLOCO AMAZONAS - 2'!$D4,'CAPEX - BLOCOS PAN'!$C$3:$AF$52,30,FALSE))*AG$12</f>
        <v>-267217.22712318844</v>
      </c>
      <c r="AH4" s="1">
        <f>('RECEITAS - BLOCOS PAN'!AG9-'OPEX - BLOCOS PAN'!AG9-VLOOKUP('BLOCO AMAZONAS - 2'!$D4,'CAPEX - BLOCOS PAN'!$C$3:$AG$52,31,FALSE))*AH$12</f>
        <v>-242441.06365834683</v>
      </c>
      <c r="AI4" s="1">
        <f>('RECEITAS - BLOCOS PAN'!AH9-'OPEX - BLOCOS PAN'!AH9-VLOOKUP('BLOCO AMAZONAS - 2'!$D4,'CAPEX - BLOCOS PAN'!$C$3:$AH$52,32,FALSE))*AI$12</f>
        <v>-219925.95964768867</v>
      </c>
      <c r="AJ4" s="1">
        <f>('RECEITAS - BLOCOS PAN'!AI9-'OPEX - BLOCOS PAN'!AI9-VLOOKUP('BLOCO AMAZONAS - 2'!$D4,'CAPEX - BLOCOS PAN'!$C$3:$AI$52,33,FALSE))*AJ$12</f>
        <v>-199441.74838332314</v>
      </c>
      <c r="AK4" s="1">
        <f>('RECEITAS - BLOCOS PAN'!AJ9-'OPEX - BLOCOS PAN'!AJ9-VLOOKUP('BLOCO AMAZONAS - 2'!$D4,'CAPEX - BLOCOS PAN'!$C$3:$AJ$52,34,FALSE))*AK$12</f>
        <v>-180817.65709703666</v>
      </c>
      <c r="AL4" s="1">
        <f>('RECEITAS - BLOCOS PAN'!AK9-'OPEX - BLOCOS PAN'!AK9-VLOOKUP('BLOCO AMAZONAS - 2'!$D4,'CAPEX - BLOCOS PAN'!$C$3:$AK$52,35,FALSE))*AL$12</f>
        <v>-163889.58772679823</v>
      </c>
      <c r="AM4" s="44">
        <f t="shared" si="0"/>
        <v>-58183833.054331996</v>
      </c>
      <c r="AN4">
        <v>1</v>
      </c>
      <c r="AO4" t="s">
        <v>311</v>
      </c>
      <c r="AP4">
        <v>-5.8166666666666664</v>
      </c>
      <c r="AQ4">
        <v>-61.283333333333331</v>
      </c>
      <c r="AR4" s="48">
        <f>VLOOKUP(D4,'Projeção - Demanda PAX'!$C$3:$H$37,6,FALSE)</f>
        <v>11043</v>
      </c>
      <c r="AS4" t="str">
        <f>VLOOKUP(D4,'FLUXO DE CAIXA DESC.-BLOCOS PAN'!$D$3:$AU$52,44,FALSE)</f>
        <v>Bloco 2 - AM1</v>
      </c>
    </row>
    <row r="5" spans="1:45" x14ac:dyDescent="0.35">
      <c r="A5" t="s">
        <v>77</v>
      </c>
      <c r="B5" t="s">
        <v>78</v>
      </c>
      <c r="C5">
        <v>130380</v>
      </c>
      <c r="D5" t="s">
        <v>79</v>
      </c>
      <c r="E5" t="s">
        <v>78</v>
      </c>
      <c r="F5" t="s">
        <v>35</v>
      </c>
      <c r="G5" t="s">
        <v>259</v>
      </c>
      <c r="H5" t="s">
        <v>33</v>
      </c>
      <c r="I5" s="1">
        <f>('RECEITAS - BLOCOS PAN'!H13-'OPEX - BLOCOS PAN'!H13-VLOOKUP('BLOCO AMAZONAS - 2'!$D5,'CAPEX - BLOCOS PAN'!$C$3:$H$52,6,FALSE))*I$12</f>
        <v>-49873462.890699998</v>
      </c>
      <c r="J5" s="1">
        <f>('RECEITAS - BLOCOS PAN'!I13-'OPEX - BLOCOS PAN'!I13-VLOOKUP('BLOCO AMAZONAS - 2'!$D5,'CAPEX - BLOCOS PAN'!$C$3:$I$52,7,FALSE))*J$12</f>
        <v>-45590060.560474671</v>
      </c>
      <c r="K5" s="1">
        <f>('RECEITAS - BLOCOS PAN'!J13-'OPEX - BLOCOS PAN'!J13-VLOOKUP('BLOCO AMAZONAS - 2'!$D5,'CAPEX - BLOCOS PAN'!$C$3:$J$52,8,FALSE))*K$12</f>
        <v>-41575153.514991522</v>
      </c>
      <c r="L5" s="1">
        <f>('RECEITAS - BLOCOS PAN'!K13-'OPEX - BLOCOS PAN'!K13-VLOOKUP('BLOCO AMAZONAS - 2'!$D5,'CAPEX - BLOCOS PAN'!$C$3:$K$52,9,FALSE))*L$12</f>
        <v>-1781087.1781411159</v>
      </c>
      <c r="M5" s="1">
        <f>('RECEITAS - BLOCOS PAN'!L13-'OPEX - BLOCOS PAN'!L13-VLOOKUP('BLOCO AMAZONAS - 2'!$D5,'CAPEX - BLOCOS PAN'!$C$3:$L$52,10,FALSE))*M$12</f>
        <v>-1611504.4452879415</v>
      </c>
      <c r="N5" s="1">
        <f>('RECEITAS - BLOCOS PAN'!M13-'OPEX - BLOCOS PAN'!M13-VLOOKUP('BLOCO AMAZONAS - 2'!$D5,'CAPEX - BLOCOS PAN'!$C$3:$M$52,11,FALSE))*N$12</f>
        <v>-1459688.331442147</v>
      </c>
      <c r="O5" s="1">
        <f>('RECEITAS - BLOCOS PAN'!N13-'OPEX - BLOCOS PAN'!N13-VLOOKUP('BLOCO AMAZONAS - 2'!$D5,'CAPEX - BLOCOS PAN'!$C$3:$N$52,12,FALSE))*O$12</f>
        <v>-1323810.6974560162</v>
      </c>
      <c r="P5" s="1">
        <f>('RECEITAS - BLOCOS PAN'!O13-'OPEX - BLOCOS PAN'!O13-VLOOKUP('BLOCO AMAZONAS - 2'!$D5,'CAPEX - BLOCOS PAN'!$C$3:$O$52,13,FALSE))*P$12</f>
        <v>-1201366.530270875</v>
      </c>
      <c r="Q5" s="1">
        <f>('RECEITAS - BLOCOS PAN'!P13-'OPEX - BLOCOS PAN'!P13-VLOOKUP('BLOCO AMAZONAS - 2'!$D5,'CAPEX - BLOCOS PAN'!$C$3:$P$52,14,FALSE))*Q$12</f>
        <v>-1091585.1904100198</v>
      </c>
      <c r="R5" s="1">
        <f>('RECEITAS - BLOCOS PAN'!Q13-'OPEX - BLOCOS PAN'!Q13-VLOOKUP('BLOCO AMAZONAS - 2'!$D5,'CAPEX - BLOCOS PAN'!$C$3:$Q$52,15,FALSE))*R$12</f>
        <v>-992278.50954280887</v>
      </c>
      <c r="S5" s="1">
        <f>('RECEITAS - BLOCOS PAN'!R13-'OPEX - BLOCOS PAN'!R13-VLOOKUP('BLOCO AMAZONAS - 2'!$D5,'CAPEX - BLOCOS PAN'!$C$3:$R$52,16,FALSE))*S$12</f>
        <v>-902609.33716169454</v>
      </c>
      <c r="T5" s="1">
        <f>('RECEITAS - BLOCOS PAN'!S13-'OPEX - BLOCOS PAN'!S13-VLOOKUP('BLOCO AMAZONAS - 2'!$D5,'CAPEX - BLOCOS PAN'!$C$3:$S$52,17,FALSE))*T$12</f>
        <v>-821650.14532736549</v>
      </c>
      <c r="U5" s="1">
        <f>('RECEITAS - BLOCOS PAN'!T13-'OPEX - BLOCOS PAN'!T13-VLOOKUP('BLOCO AMAZONAS - 2'!$D5,'CAPEX - BLOCOS PAN'!$C$3:$T$52,18,FALSE))*U$12</f>
        <v>-747636.37862672366</v>
      </c>
      <c r="V5" s="1">
        <f>('RECEITAS - BLOCOS PAN'!U13-'OPEX - BLOCOS PAN'!U13-VLOOKUP('BLOCO AMAZONAS - 2'!$D5,'CAPEX - BLOCOS PAN'!$C$3:$U$52,19,FALSE))*V$12</f>
        <v>-680208.93558352441</v>
      </c>
      <c r="W5" s="1">
        <f>('RECEITAS - BLOCOS PAN'!V13-'OPEX - BLOCOS PAN'!V13-VLOOKUP('BLOCO AMAZONAS - 2'!$D5,'CAPEX - BLOCOS PAN'!$C$3:$V$52,20,FALSE))*W$12</f>
        <v>-619233.61972834333</v>
      </c>
      <c r="X5" s="1">
        <f>('RECEITAS - BLOCOS PAN'!W13-'OPEX - BLOCOS PAN'!W13-VLOOKUP('BLOCO AMAZONAS - 2'!$D5,'CAPEX - BLOCOS PAN'!$C$3:$W$52,21,FALSE))*X$12</f>
        <v>-563487.61526199919</v>
      </c>
      <c r="Y5" s="1">
        <f>('RECEITAS - BLOCOS PAN'!X13-'OPEX - BLOCOS PAN'!X13-VLOOKUP('BLOCO AMAZONAS - 2'!$D5,'CAPEX - BLOCOS PAN'!$C$3:$X$52,22,FALSE))*Y$12</f>
        <v>-512682.32403304451</v>
      </c>
      <c r="Z5" s="1">
        <f>('RECEITAS - BLOCOS PAN'!Y13-'OPEX - BLOCOS PAN'!Y13-VLOOKUP('BLOCO AMAZONAS - 2'!$D5,'CAPEX - BLOCOS PAN'!$C$3:$Y$52,23,FALSE))*Z$12</f>
        <v>-466688.65918784449</v>
      </c>
      <c r="AA5" s="1">
        <f>('RECEITAS - BLOCOS PAN'!Z13-'OPEX - BLOCOS PAN'!Z13-VLOOKUP('BLOCO AMAZONAS - 2'!$D5,'CAPEX - BLOCOS PAN'!$C$3:$Z$52,24,FALSE))*AA$12</f>
        <v>-424693.49015017773</v>
      </c>
      <c r="AB5" s="1">
        <f>('RECEITAS - BLOCOS PAN'!AA13-'OPEX - BLOCOS PAN'!AA13-VLOOKUP('BLOCO AMAZONAS - 2'!$D5,'CAPEX - BLOCOS PAN'!$C$3:$AA$52,25,FALSE))*AB$12</f>
        <v>-386395.56966257049</v>
      </c>
      <c r="AC5" s="1">
        <f>('RECEITAS - BLOCOS PAN'!AB13-'OPEX - BLOCOS PAN'!AB13-VLOOKUP('BLOCO AMAZONAS - 2'!$D5,'CAPEX - BLOCOS PAN'!$C$3:$AB$52,26,FALSE))*AC$12</f>
        <v>-351871.8442348619</v>
      </c>
      <c r="AD5" s="1">
        <f>('RECEITAS - BLOCOS PAN'!AC13-'OPEX - BLOCOS PAN'!AC13-VLOOKUP('BLOCO AMAZONAS - 2'!$D5,'CAPEX - BLOCOS PAN'!$C$3:$AC$52,27,FALSE))*AD$12</f>
        <v>-320243.91232908535</v>
      </c>
      <c r="AE5" s="1">
        <f>('RECEITAS - BLOCOS PAN'!AD13-'OPEX - BLOCOS PAN'!AD13-VLOOKUP('BLOCO AMAZONAS - 2'!$D5,'CAPEX - BLOCOS PAN'!$C$3:$AD$52,28,FALSE))*AE$12</f>
        <v>-291628.89307250653</v>
      </c>
      <c r="AF5" s="1">
        <f>('RECEITAS - BLOCOS PAN'!AE13-'OPEX - BLOCOS PAN'!AE13-VLOOKUP('BLOCO AMAZONAS - 2'!$D5,'CAPEX - BLOCOS PAN'!$C$3:$AE$52,29,FALSE))*AF$12</f>
        <v>-265513.21590829827</v>
      </c>
      <c r="AG5" s="1">
        <f>('RECEITAS - BLOCOS PAN'!AF13-'OPEX - BLOCOS PAN'!AF13-VLOOKUP('BLOCO AMAZONAS - 2'!$D5,'CAPEX - BLOCOS PAN'!$C$3:$AF$52,30,FALSE))*AG$12</f>
        <v>-241696.2409833445</v>
      </c>
      <c r="AH5" s="1">
        <f>('RECEITAS - BLOCOS PAN'!AG13-'OPEX - BLOCOS PAN'!AG13-VLOOKUP('BLOCO AMAZONAS - 2'!$D5,'CAPEX - BLOCOS PAN'!$C$3:$AG$52,31,FALSE))*AH$12</f>
        <v>-220083.91660387532</v>
      </c>
      <c r="AI5" s="1">
        <f>('RECEITAS - BLOCOS PAN'!AH13-'OPEX - BLOCOS PAN'!AH13-VLOOKUP('BLOCO AMAZONAS - 2'!$D5,'CAPEX - BLOCOS PAN'!$C$3:$AH$52,32,FALSE))*AI$12</f>
        <v>-200438.93470917022</v>
      </c>
      <c r="AJ5" s="1">
        <f>('RECEITAS - BLOCOS PAN'!AI13-'OPEX - BLOCOS PAN'!AI13-VLOOKUP('BLOCO AMAZONAS - 2'!$D5,'CAPEX - BLOCOS PAN'!$C$3:$AI$52,33,FALSE))*AJ$12</f>
        <v>-182555.03678267688</v>
      </c>
      <c r="AK5" s="1">
        <f>('RECEITAS - BLOCOS PAN'!AJ13-'OPEX - BLOCOS PAN'!AJ13-VLOOKUP('BLOCO AMAZONAS - 2'!$D5,'CAPEX - BLOCOS PAN'!$C$3:$AJ$52,34,FALSE))*AK$12</f>
        <v>-166264.85541743744</v>
      </c>
      <c r="AL5" s="1">
        <f>('RECEITAS - BLOCOS PAN'!AK13-'OPEX - BLOCOS PAN'!AK13-VLOOKUP('BLOCO AMAZONAS - 2'!$D5,'CAPEX - BLOCOS PAN'!$C$3:$AK$52,35,FALSE))*AL$12</f>
        <v>-225491.43402203752</v>
      </c>
      <c r="AM5" s="44">
        <f t="shared" si="0"/>
        <v>-155091072.20750371</v>
      </c>
      <c r="AN5">
        <v>1</v>
      </c>
      <c r="AO5" t="s">
        <v>311</v>
      </c>
      <c r="AP5">
        <v>-0.13333333333333333</v>
      </c>
      <c r="AQ5">
        <v>-66.983333333333334</v>
      </c>
      <c r="AR5" s="48">
        <f>VLOOKUP(D5,'Projeção - Demanda PAX'!$C$3:$H$37,6,FALSE)</f>
        <v>25074</v>
      </c>
      <c r="AS5" t="str">
        <f>VLOOKUP(D5,'FLUXO DE CAIXA DESC.-BLOCOS PAN'!$D$3:$AU$52,44,FALSE)</f>
        <v>Bloco 2 - AM1</v>
      </c>
    </row>
    <row r="6" spans="1:45" x14ac:dyDescent="0.35">
      <c r="A6" t="s">
        <v>151</v>
      </c>
      <c r="B6" s="5" t="s">
        <v>274</v>
      </c>
      <c r="C6">
        <v>130160</v>
      </c>
      <c r="D6" t="s">
        <v>297</v>
      </c>
      <c r="E6" t="s">
        <v>238</v>
      </c>
      <c r="F6" t="s">
        <v>35</v>
      </c>
      <c r="G6" t="s">
        <v>259</v>
      </c>
      <c r="H6" t="s">
        <v>33</v>
      </c>
      <c r="I6" s="1">
        <f>'FLUXO DE CAIXA DESC.-BLOCOS PAN'!I49</f>
        <v>-11662811.809094688</v>
      </c>
      <c r="J6" s="1">
        <f>'FLUXO DE CAIXA DESC.-BLOCOS PAN'!J49</f>
        <v>-10646108.451934906</v>
      </c>
      <c r="K6" s="1">
        <f>'FLUXO DE CAIXA DESC.-BLOCOS PAN'!K49</f>
        <v>-9718036.0127201322</v>
      </c>
      <c r="L6" s="1">
        <f>'FLUXO DE CAIXA DESC.-BLOCOS PAN'!L49</f>
        <v>-454594.84303953411</v>
      </c>
      <c r="M6" s="1">
        <f>'FLUXO DE CAIXA DESC.-BLOCOS PAN'!M49</f>
        <v>-414965.62577775825</v>
      </c>
      <c r="N6" s="1">
        <f>'FLUXO DE CAIXA DESC.-BLOCOS PAN'!N49</f>
        <v>-378791.07784368622</v>
      </c>
      <c r="O6" s="1">
        <f>'FLUXO DE CAIXA DESC.-BLOCOS PAN'!O49</f>
        <v>-345770.03910879616</v>
      </c>
      <c r="P6" s="1">
        <f>'FLUXO DE CAIXA DESC.-BLOCOS PAN'!P49</f>
        <v>-315627.60302035254</v>
      </c>
      <c r="Q6" s="1">
        <f>'FLUXO DE CAIXA DESC.-BLOCOS PAN'!Q49</f>
        <v>-288112.82795102929</v>
      </c>
      <c r="R6" s="1">
        <f>'FLUXO DE CAIXA DESC.-BLOCOS PAN'!R49</f>
        <v>-262996.64806118602</v>
      </c>
      <c r="S6" s="1">
        <f>'FLUXO DE CAIXA DESC.-BLOCOS PAN'!S49</f>
        <v>-240069.96628132</v>
      </c>
      <c r="T6" s="1">
        <f>'FLUXO DE CAIXA DESC.-BLOCOS PAN'!T49</f>
        <v>-219141.91353840256</v>
      </c>
      <c r="U6" s="1">
        <f>'FLUXO DE CAIXA DESC.-BLOCOS PAN'!U49</f>
        <v>-200038.25973382252</v>
      </c>
      <c r="V6" s="1">
        <f>'FLUXO DE CAIXA DESC.-BLOCOS PAN'!V49</f>
        <v>-182599.96324401873</v>
      </c>
      <c r="W6" s="1">
        <f>'FLUXO DE CAIXA DESC.-BLOCOS PAN'!W49</f>
        <v>-166681.84686811385</v>
      </c>
      <c r="X6" s="1">
        <f>'FLUXO DE CAIXA DESC.-BLOCOS PAN'!X49</f>
        <v>-152151.38919955623</v>
      </c>
      <c r="Y6" s="1">
        <f>'FLUXO DE CAIXA DESC.-BLOCOS PAN'!Y49</f>
        <v>-138887.62135970447</v>
      </c>
      <c r="Z6" s="1">
        <f>'FLUXO DE CAIXA DESC.-BLOCOS PAN'!Z49</f>
        <v>-126780.11990844771</v>
      </c>
      <c r="AA6" s="1">
        <f>'FLUXO DE CAIXA DESC.-BLOCOS PAN'!AA49</f>
        <v>-115728.08754764742</v>
      </c>
      <c r="AB6" s="1">
        <f>'FLUXO DE CAIXA DESC.-BLOCOS PAN'!AB49</f>
        <v>-105639.51396407797</v>
      </c>
      <c r="AC6" s="1">
        <f>'FLUXO DE CAIXA DESC.-BLOCOS PAN'!AC49</f>
        <v>-96430.409825721566</v>
      </c>
      <c r="AD6" s="1">
        <f>'FLUXO DE CAIXA DESC.-BLOCOS PAN'!AD49</f>
        <v>-88024.10755428714</v>
      </c>
      <c r="AE6" s="1">
        <f>'FLUXO DE CAIXA DESC.-BLOCOS PAN'!AE49</f>
        <v>-80350.623052749565</v>
      </c>
      <c r="AF6" s="1">
        <f>'FLUXO DE CAIXA DESC.-BLOCOS PAN'!AF49</f>
        <v>-73346.073074166663</v>
      </c>
      <c r="AG6" s="1">
        <f>'FLUXO DE CAIXA DESC.-BLOCOS PAN'!AG49</f>
        <v>-66952.143381256654</v>
      </c>
      <c r="AH6" s="1">
        <f>'FLUXO DE CAIXA DESC.-BLOCOS PAN'!AH49</f>
        <v>-61115.603269061299</v>
      </c>
      <c r="AI6" s="1">
        <f>'FLUXO DE CAIXA DESC.-BLOCOS PAN'!AI49</f>
        <v>-55787.862409001638</v>
      </c>
      <c r="AJ6" s="1">
        <f>'FLUXO DE CAIXA DESC.-BLOCOS PAN'!AJ49</f>
        <v>-50924.566324967273</v>
      </c>
      <c r="AK6" s="1">
        <f>'FLUXO DE CAIXA DESC.-BLOCOS PAN'!AK49</f>
        <v>-46485.227133699016</v>
      </c>
      <c r="AL6" s="1">
        <f>'FLUXO DE CAIXA DESC.-BLOCOS PAN'!AL49</f>
        <v>-42432.886475307176</v>
      </c>
      <c r="AM6" s="44">
        <f t="shared" ref="AM6:AM7" si="1">SUM(I6:AL6)</f>
        <v>-36797383.122697398</v>
      </c>
      <c r="AN6">
        <v>1</v>
      </c>
      <c r="AO6" t="s">
        <v>311</v>
      </c>
      <c r="AP6">
        <v>-2.5333333333333332</v>
      </c>
      <c r="AQ6">
        <v>-66.066666666666663</v>
      </c>
      <c r="AR6" s="48">
        <v>0</v>
      </c>
      <c r="AS6" t="str">
        <f>VLOOKUP(D6,'FLUXO DE CAIXA DESC.-BLOCOS PAN'!$D$3:$AU$52,44,FALSE)</f>
        <v>Bloco 2 - AM1</v>
      </c>
    </row>
    <row r="7" spans="1:45" x14ac:dyDescent="0.35">
      <c r="A7" t="s">
        <v>156</v>
      </c>
      <c r="B7" s="5" t="s">
        <v>275</v>
      </c>
      <c r="C7">
        <v>130360</v>
      </c>
      <c r="D7" t="s">
        <v>299</v>
      </c>
      <c r="E7" t="s">
        <v>240</v>
      </c>
      <c r="F7" t="s">
        <v>35</v>
      </c>
      <c r="G7" t="s">
        <v>259</v>
      </c>
      <c r="H7" t="s">
        <v>33</v>
      </c>
      <c r="I7" s="1">
        <f>'FLUXO DE CAIXA DESC.-BLOCOS PAN'!I51</f>
        <v>-11967747.059274809</v>
      </c>
      <c r="J7" s="1">
        <f>'FLUXO DE CAIXA DESC.-BLOCOS PAN'!J51</f>
        <v>-10924461.030830497</v>
      </c>
      <c r="K7" s="1">
        <f>'FLUXO DE CAIXA DESC.-BLOCOS PAN'!K51</f>
        <v>-9972123.2595440429</v>
      </c>
      <c r="L7" s="1">
        <f>'FLUXO DE CAIXA DESC.-BLOCOS PAN'!L51</f>
        <v>-447145.70155487955</v>
      </c>
      <c r="M7" s="1">
        <f>'FLUXO DE CAIXA DESC.-BLOCOS PAN'!M51</f>
        <v>-408165.86175707862</v>
      </c>
      <c r="N7" s="1">
        <f>'FLUXO DE CAIXA DESC.-BLOCOS PAN'!N51</f>
        <v>-372584.08193252265</v>
      </c>
      <c r="O7" s="1">
        <f>'FLUXO DE CAIXA DESC.-BLOCOS PAN'!O51</f>
        <v>-340104.1368621841</v>
      </c>
      <c r="P7" s="1">
        <f>'FLUXO DE CAIXA DESC.-BLOCOS PAN'!P51</f>
        <v>-310455.62470304349</v>
      </c>
      <c r="Q7" s="1">
        <f>'FLUXO DE CAIXA DESC.-BLOCOS PAN'!Q51</f>
        <v>-283391.71584029531</v>
      </c>
      <c r="R7" s="1">
        <f>'FLUXO DE CAIXA DESC.-BLOCOS PAN'!R51</f>
        <v>-258687.09798292589</v>
      </c>
      <c r="S7" s="1">
        <f>'FLUXO DE CAIXA DESC.-BLOCOS PAN'!S51</f>
        <v>-236136.1003951857</v>
      </c>
      <c r="T7" s="1">
        <f>'FLUXO DE CAIXA DESC.-BLOCOS PAN'!T51</f>
        <v>-215550.98164781899</v>
      </c>
      <c r="U7" s="1">
        <f>'FLUXO DE CAIXA DESC.-BLOCOS PAN'!U51</f>
        <v>-196760.36663424829</v>
      </c>
      <c r="V7" s="1">
        <f>'FLUXO DE CAIXA DESC.-BLOCOS PAN'!V51</f>
        <v>-179607.81983956939</v>
      </c>
      <c r="W7" s="1">
        <f>'FLUXO DE CAIXA DESC.-BLOCOS PAN'!W51</f>
        <v>-163950.54298454532</v>
      </c>
      <c r="X7" s="1">
        <f>'FLUXO DE CAIXA DESC.-BLOCOS PAN'!X51</f>
        <v>-149658.18620223217</v>
      </c>
      <c r="Y7" s="1">
        <f>'FLUXO DE CAIXA DESC.-BLOCOS PAN'!Y51</f>
        <v>-136611.76285005221</v>
      </c>
      <c r="Z7" s="1">
        <f>'FLUXO DE CAIXA DESC.-BLOCOS PAN'!Z51</f>
        <v>-124702.65892291391</v>
      </c>
      <c r="AA7" s="1">
        <f>'FLUXO DE CAIXA DESC.-BLOCOS PAN'!AA51</f>
        <v>-113831.72882055129</v>
      </c>
      <c r="AB7" s="1">
        <f>'FLUXO DE CAIXA DESC.-BLOCOS PAN'!AB51</f>
        <v>-103908.46994116959</v>
      </c>
      <c r="AC7" s="1">
        <f>'FLUXO DE CAIXA DESC.-BLOCOS PAN'!AC51</f>
        <v>-94850.269229730358</v>
      </c>
      <c r="AD7" s="1">
        <f>'FLUXO DE CAIXA DESC.-BLOCOS PAN'!AD51</f>
        <v>-86581.715408243137</v>
      </c>
      <c r="AE7" s="1">
        <f>'FLUXO DE CAIXA DESC.-BLOCOS PAN'!AE51</f>
        <v>-79033.971162248417</v>
      </c>
      <c r="AF7" s="1">
        <f>'FLUXO DE CAIXA DESC.-BLOCOS PAN'!AF51</f>
        <v>-72144.200056821923</v>
      </c>
      <c r="AG7" s="1">
        <f>'FLUXO DE CAIXA DESC.-BLOCOS PAN'!AG51</f>
        <v>-65855.043411065213</v>
      </c>
      <c r="AH7" s="1">
        <f>'FLUXO DE CAIXA DESC.-BLOCOS PAN'!AH51</f>
        <v>-60114.142775960936</v>
      </c>
      <c r="AI7" s="1">
        <f>'FLUXO DE CAIXA DESC.-BLOCOS PAN'!AI51</f>
        <v>-54873.70404012865</v>
      </c>
      <c r="AJ7" s="1">
        <f>'FLUXO DE CAIXA DESC.-BLOCOS PAN'!AJ51</f>
        <v>-50090.099534576591</v>
      </c>
      <c r="AK7" s="1">
        <f>'FLUXO DE CAIXA DESC.-BLOCOS PAN'!AK51</f>
        <v>-45723.504823894655</v>
      </c>
      <c r="AL7" s="1">
        <f>'FLUXO DE CAIXA DESC.-BLOCOS PAN'!AL51</f>
        <v>-41737.567160104656</v>
      </c>
      <c r="AM7" s="44">
        <f t="shared" si="1"/>
        <v>-37556588.406123348</v>
      </c>
      <c r="AN7">
        <v>1</v>
      </c>
      <c r="AO7" t="s">
        <v>311</v>
      </c>
      <c r="AP7">
        <v>-0.41666666666666669</v>
      </c>
      <c r="AQ7">
        <v>-65.033333333333331</v>
      </c>
      <c r="AR7" s="48">
        <v>0</v>
      </c>
      <c r="AS7" t="str">
        <f>VLOOKUP(D7,'FLUXO DE CAIXA DESC.-BLOCOS PAN'!$D$3:$AU$52,44,FALSE)</f>
        <v>Bloco 2 - AM1</v>
      </c>
    </row>
    <row r="8" spans="1:45" x14ac:dyDescent="0.35">
      <c r="B8" s="6"/>
      <c r="C8" s="6"/>
      <c r="D8" s="6"/>
      <c r="H8" s="47" t="s">
        <v>250</v>
      </c>
      <c r="I8" s="8">
        <f t="shared" ref="I8:AM8" si="2">SUBTOTAL(109,I3:I7)</f>
        <v>-110573735.6970695</v>
      </c>
      <c r="J8" s="8">
        <f t="shared" si="2"/>
        <v>-100976647.16309403</v>
      </c>
      <c r="K8" s="8">
        <f t="shared" si="2"/>
        <v>-92116555.348157406</v>
      </c>
      <c r="L8" s="8">
        <f t="shared" si="2"/>
        <v>-6621676.5908137048</v>
      </c>
      <c r="M8" s="8">
        <f t="shared" si="2"/>
        <v>-6020231.6523556998</v>
      </c>
      <c r="N8" s="8">
        <f t="shared" si="2"/>
        <v>-5475285.5081912559</v>
      </c>
      <c r="O8" s="8">
        <f t="shared" si="2"/>
        <v>-4982027.1768911798</v>
      </c>
      <c r="P8" s="8">
        <f t="shared" si="2"/>
        <v>-4533655.6418287558</v>
      </c>
      <c r="Q8" s="8">
        <f t="shared" si="2"/>
        <v>-4127148.5711886957</v>
      </c>
      <c r="R8" s="8">
        <f t="shared" si="2"/>
        <v>-3758120.1347339577</v>
      </c>
      <c r="S8" s="8">
        <f t="shared" si="2"/>
        <v>-3422824.5587742869</v>
      </c>
      <c r="T8" s="8">
        <f t="shared" si="2"/>
        <v>-3117749.2632575268</v>
      </c>
      <c r="U8" s="8">
        <f t="shared" si="2"/>
        <v>-2839758.8030445608</v>
      </c>
      <c r="V8" s="8">
        <f t="shared" si="2"/>
        <v>-2586165.9946719906</v>
      </c>
      <c r="W8" s="8">
        <f t="shared" si="2"/>
        <v>-2355485.9227877166</v>
      </c>
      <c r="X8" s="8">
        <f t="shared" si="2"/>
        <v>-2145254.0838581976</v>
      </c>
      <c r="Y8" s="8">
        <f t="shared" si="2"/>
        <v>-1953519.9595206524</v>
      </c>
      <c r="Z8" s="8">
        <f t="shared" si="2"/>
        <v>-1779110.9794961882</v>
      </c>
      <c r="AA8" s="8">
        <f t="shared" si="2"/>
        <v>-1620105.5491566421</v>
      </c>
      <c r="AB8" s="8">
        <f t="shared" si="2"/>
        <v>-1475087.986930917</v>
      </c>
      <c r="AC8" s="8">
        <f t="shared" si="2"/>
        <v>-1343401.1981083397</v>
      </c>
      <c r="AD8" s="8">
        <f t="shared" si="2"/>
        <v>-1223154.2562476376</v>
      </c>
      <c r="AE8" s="8">
        <f t="shared" si="2"/>
        <v>-1133286.1893211575</v>
      </c>
      <c r="AF8" s="8">
        <f t="shared" si="2"/>
        <v>-1031998.1903070163</v>
      </c>
      <c r="AG8" s="8">
        <f t="shared" si="2"/>
        <v>-939572.00658601942</v>
      </c>
      <c r="AH8" s="8">
        <f t="shared" si="2"/>
        <v>-855556.1339853449</v>
      </c>
      <c r="AI8" s="8">
        <f t="shared" si="2"/>
        <v>-779060.22085388994</v>
      </c>
      <c r="AJ8" s="8">
        <f t="shared" si="2"/>
        <v>-709357.12172341091</v>
      </c>
      <c r="AK8" s="8">
        <f t="shared" si="2"/>
        <v>-645845.21634095628</v>
      </c>
      <c r="AL8" s="8">
        <f t="shared" si="2"/>
        <v>-662043.30641410535</v>
      </c>
      <c r="AM8" s="44">
        <f t="shared" si="2"/>
        <v>-371803420.4257108</v>
      </c>
      <c r="AR8" s="66">
        <f>SUBTOTAL(109,AR3:AR7)</f>
        <v>37618</v>
      </c>
    </row>
    <row r="9" spans="1:45" x14ac:dyDescent="0.35">
      <c r="A9" s="83" t="s">
        <v>368</v>
      </c>
      <c r="B9" s="83"/>
      <c r="C9" s="83"/>
      <c r="D9" s="83"/>
      <c r="E9" s="47"/>
      <c r="H9" s="47" t="s">
        <v>285</v>
      </c>
      <c r="I9" s="8">
        <f>I8</f>
        <v>-110573735.6970695</v>
      </c>
      <c r="J9" s="8">
        <f t="shared" ref="J9:AL9" si="3">J8+I9</f>
        <v>-211550382.86016351</v>
      </c>
      <c r="K9" s="8">
        <f t="shared" si="3"/>
        <v>-303666938.20832092</v>
      </c>
      <c r="L9" s="8">
        <f t="shared" si="3"/>
        <v>-310288614.79913461</v>
      </c>
      <c r="M9" s="8">
        <f t="shared" si="3"/>
        <v>-316308846.45149028</v>
      </c>
      <c r="N9" s="8">
        <f t="shared" si="3"/>
        <v>-321784131.95968151</v>
      </c>
      <c r="O9" s="8">
        <f t="shared" si="3"/>
        <v>-326766159.13657272</v>
      </c>
      <c r="P9" s="8">
        <f t="shared" si="3"/>
        <v>-331299814.77840149</v>
      </c>
      <c r="Q9" s="8">
        <f t="shared" si="3"/>
        <v>-335426963.34959018</v>
      </c>
      <c r="R9" s="8">
        <f t="shared" si="3"/>
        <v>-339185083.48432416</v>
      </c>
      <c r="S9" s="8">
        <f t="shared" si="3"/>
        <v>-342607908.04309845</v>
      </c>
      <c r="T9" s="8">
        <f t="shared" si="3"/>
        <v>-345725657.30635595</v>
      </c>
      <c r="U9" s="8">
        <f t="shared" si="3"/>
        <v>-348565416.10940051</v>
      </c>
      <c r="V9" s="8">
        <f t="shared" si="3"/>
        <v>-351151582.10407251</v>
      </c>
      <c r="W9" s="8">
        <f t="shared" si="3"/>
        <v>-353507068.02686024</v>
      </c>
      <c r="X9" s="8">
        <f t="shared" si="3"/>
        <v>-355652322.11071843</v>
      </c>
      <c r="Y9" s="8">
        <f t="shared" si="3"/>
        <v>-357605842.07023907</v>
      </c>
      <c r="Z9" s="8">
        <f t="shared" si="3"/>
        <v>-359384953.04973525</v>
      </c>
      <c r="AA9" s="8">
        <f t="shared" si="3"/>
        <v>-361005058.59889191</v>
      </c>
      <c r="AB9" s="8">
        <f t="shared" si="3"/>
        <v>-362480146.58582282</v>
      </c>
      <c r="AC9" s="8">
        <f t="shared" si="3"/>
        <v>-363823547.78393114</v>
      </c>
      <c r="AD9" s="8">
        <f t="shared" si="3"/>
        <v>-365046702.04017878</v>
      </c>
      <c r="AE9" s="8">
        <f t="shared" si="3"/>
        <v>-366179988.22949994</v>
      </c>
      <c r="AF9" s="8">
        <f t="shared" si="3"/>
        <v>-367211986.41980696</v>
      </c>
      <c r="AG9" s="8">
        <f t="shared" si="3"/>
        <v>-368151558.42639297</v>
      </c>
      <c r="AH9" s="8">
        <f t="shared" si="3"/>
        <v>-369007114.56037831</v>
      </c>
      <c r="AI9" s="8">
        <f t="shared" si="3"/>
        <v>-369786174.78123218</v>
      </c>
      <c r="AJ9" s="8">
        <f t="shared" si="3"/>
        <v>-370495531.90295559</v>
      </c>
      <c r="AK9" s="8">
        <f t="shared" si="3"/>
        <v>-371141377.11929655</v>
      </c>
      <c r="AL9" s="8">
        <f t="shared" si="3"/>
        <v>-371803420.42571068</v>
      </c>
      <c r="AM9" s="44"/>
    </row>
    <row r="10" spans="1:45" x14ac:dyDescent="0.35"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45" x14ac:dyDescent="0.35">
      <c r="H11" s="47" t="s">
        <v>284</v>
      </c>
      <c r="I11" s="2">
        <v>0</v>
      </c>
      <c r="J11" s="2">
        <v>1</v>
      </c>
      <c r="K11" s="2">
        <v>2</v>
      </c>
      <c r="L11" s="2">
        <v>3</v>
      </c>
      <c r="M11" s="2">
        <v>4</v>
      </c>
      <c r="N11" s="2">
        <v>5</v>
      </c>
      <c r="O11" s="2">
        <v>6</v>
      </c>
      <c r="P11" s="2">
        <v>7</v>
      </c>
      <c r="Q11" s="2">
        <v>8</v>
      </c>
      <c r="R11" s="2">
        <v>9</v>
      </c>
      <c r="S11" s="2">
        <v>10</v>
      </c>
      <c r="T11" s="2">
        <v>11</v>
      </c>
      <c r="U11" s="2">
        <v>12</v>
      </c>
      <c r="V11" s="2">
        <v>13</v>
      </c>
      <c r="W11" s="2">
        <v>14</v>
      </c>
      <c r="X11" s="2">
        <v>15</v>
      </c>
      <c r="Y11" s="2">
        <v>16</v>
      </c>
      <c r="Z11" s="2">
        <v>17</v>
      </c>
      <c r="AA11" s="2">
        <v>18</v>
      </c>
      <c r="AB11" s="2">
        <v>19</v>
      </c>
      <c r="AC11" s="2">
        <v>20</v>
      </c>
      <c r="AD11" s="2">
        <v>21</v>
      </c>
      <c r="AE11" s="2">
        <v>22</v>
      </c>
      <c r="AF11" s="2">
        <v>23</v>
      </c>
      <c r="AG11" s="2">
        <v>24</v>
      </c>
      <c r="AH11" s="2">
        <v>25</v>
      </c>
      <c r="AI11" s="2">
        <v>26</v>
      </c>
      <c r="AJ11" s="2">
        <v>27</v>
      </c>
      <c r="AK11" s="2">
        <v>28</v>
      </c>
      <c r="AL11" s="2">
        <v>29</v>
      </c>
    </row>
    <row r="12" spans="1:45" x14ac:dyDescent="0.35">
      <c r="A12" s="2" t="s">
        <v>254</v>
      </c>
      <c r="B12" s="46">
        <v>9.5500000000000002E-2</v>
      </c>
      <c r="C12" s="2" t="s">
        <v>255</v>
      </c>
      <c r="I12" s="2">
        <f>1/(1+$B$12)^I11</f>
        <v>1</v>
      </c>
      <c r="J12" s="2">
        <f t="shared" ref="J12:AL12" si="4">1/(1+$B$12)^J11</f>
        <v>0.91282519397535378</v>
      </c>
      <c r="K12" s="2">
        <f t="shared" si="4"/>
        <v>0.83324983475614223</v>
      </c>
      <c r="L12" s="2">
        <f t="shared" si="4"/>
        <v>0.76061144204120701</v>
      </c>
      <c r="M12" s="2">
        <f t="shared" si="4"/>
        <v>0.69430528712113837</v>
      </c>
      <c r="N12" s="2">
        <f t="shared" si="4"/>
        <v>0.63377935839446675</v>
      </c>
      <c r="O12" s="2">
        <f t="shared" si="4"/>
        <v>0.57852976576400439</v>
      </c>
      <c r="P12" s="2">
        <f t="shared" si="4"/>
        <v>0.52809654565404329</v>
      </c>
      <c r="Q12" s="2">
        <f t="shared" si="4"/>
        <v>0.48205983172436634</v>
      </c>
      <c r="R12" s="2">
        <f t="shared" si="4"/>
        <v>0.44003635940152108</v>
      </c>
      <c r="S12" s="2">
        <f t="shared" si="4"/>
        <v>0.40167627512690202</v>
      </c>
      <c r="T12" s="2">
        <f t="shared" si="4"/>
        <v>0.36666022375801188</v>
      </c>
      <c r="U12" s="2">
        <f t="shared" si="4"/>
        <v>0.33469668987495382</v>
      </c>
      <c r="V12" s="2">
        <f t="shared" si="4"/>
        <v>0.30551957085801351</v>
      </c>
      <c r="W12" s="2">
        <f t="shared" si="4"/>
        <v>0.27888596153173301</v>
      </c>
      <c r="X12" s="2">
        <f t="shared" si="4"/>
        <v>0.25457413193220724</v>
      </c>
      <c r="Y12" s="2">
        <f t="shared" si="4"/>
        <v>0.23238168136212439</v>
      </c>
      <c r="Z12" s="2">
        <f t="shared" si="4"/>
        <v>0.21212385336570003</v>
      </c>
      <c r="AA12" s="2">
        <f t="shared" si="4"/>
        <v>0.19363199759534466</v>
      </c>
      <c r="AB12" s="2">
        <f t="shared" si="4"/>
        <v>0.17675216576480571</v>
      </c>
      <c r="AC12" s="2">
        <f t="shared" si="4"/>
        <v>0.16134382999982266</v>
      </c>
      <c r="AD12" s="2">
        <f t="shared" si="4"/>
        <v>0.14727871291631461</v>
      </c>
      <c r="AE12" s="2">
        <f t="shared" si="4"/>
        <v>0.13443971968627533</v>
      </c>
      <c r="AF12" s="2">
        <f t="shared" si="4"/>
        <v>0.12271996320061647</v>
      </c>
      <c r="AG12" s="2">
        <f t="shared" si="4"/>
        <v>0.11202187421325101</v>
      </c>
      <c r="AH12" s="2">
        <f t="shared" si="4"/>
        <v>0.10225638905819352</v>
      </c>
      <c r="AI12" s="2">
        <f t="shared" si="4"/>
        <v>9.3342208177264741E-2</v>
      </c>
      <c r="AJ12" s="2">
        <f t="shared" si="4"/>
        <v>8.520511928549955E-2</v>
      </c>
      <c r="AK12" s="2">
        <f t="shared" si="4"/>
        <v>7.7777379539479274E-2</v>
      </c>
      <c r="AL12" s="2">
        <f t="shared" si="4"/>
        <v>7.0997151565019873E-2</v>
      </c>
    </row>
    <row r="14" spans="1:45" x14ac:dyDescent="0.35">
      <c r="A14" s="63" t="s">
        <v>354</v>
      </c>
    </row>
  </sheetData>
  <autoFilter ref="A2:AR9" xr:uid="{6A8C1C86-F6EA-4C2D-A641-3758738A5F02}"/>
  <mergeCells count="1">
    <mergeCell ref="A9:D9"/>
  </mergeCells>
  <conditionalFormatting sqref="D6:D7">
    <cfRule type="duplicateValues" dxfId="33" priority="258"/>
  </conditionalFormatting>
  <hyperlinks>
    <hyperlink ref="A14" location="Introdução!A1" display="Introdução!A1" xr:uid="{2BEA0124-FC7F-4B59-BF18-1EF53049EB7B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4146-D458-4AE7-9783-49A2120FCE41}">
  <sheetPr>
    <tabColor theme="6" tint="-0.499984740745262"/>
  </sheetPr>
  <dimension ref="A1:AS14"/>
  <sheetViews>
    <sheetView topLeftCell="AG1" workbookViewId="0">
      <selection activeCell="AS2" sqref="AS2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57</v>
      </c>
      <c r="B3" t="s">
        <v>58</v>
      </c>
      <c r="C3">
        <v>130190</v>
      </c>
      <c r="D3" t="s">
        <v>59</v>
      </c>
      <c r="E3" t="s">
        <v>58</v>
      </c>
      <c r="F3" t="s">
        <v>35</v>
      </c>
      <c r="G3" t="s">
        <v>259</v>
      </c>
      <c r="H3" t="s">
        <v>33</v>
      </c>
      <c r="I3" s="1">
        <f>('RECEITAS - BLOCOS PAN'!H7-'OPEX - BLOCOS PAN'!H7-VLOOKUP('BLOCO AMAZONAS - 3'!$D3,'CAPEX - BLOCOS PAN'!$C$3:$H$52,6,FALSE))*I$12</f>
        <v>-46082684.2249</v>
      </c>
      <c r="J3" s="1">
        <f>('RECEITAS - BLOCOS PAN'!I7-'OPEX - BLOCOS PAN'!I7-VLOOKUP('BLOCO AMAZONAS - 3'!$D3,'CAPEX - BLOCOS PAN'!$C$3:$I$52,7,FALSE))*J$12</f>
        <v>-41935587.404564127</v>
      </c>
      <c r="K3" s="1">
        <f>('RECEITAS - BLOCOS PAN'!J7-'OPEX - BLOCOS PAN'!J7-VLOOKUP('BLOCO AMAZONAS - 3'!$D3,'CAPEX - BLOCOS PAN'!$C$3:$J$52,8,FALSE))*K$12</f>
        <v>-38169200.25264135</v>
      </c>
      <c r="L3" s="1">
        <f>('RECEITAS - BLOCOS PAN'!K7-'OPEX - BLOCOS PAN'!K7-VLOOKUP('BLOCO AMAZONAS - 3'!$D3,'CAPEX - BLOCOS PAN'!$C$3:$K$52,9,FALSE))*L$12</f>
        <v>-2083930.885371397</v>
      </c>
      <c r="M3" s="1">
        <f>('RECEITAS - BLOCOS PAN'!L7-'OPEX - BLOCOS PAN'!L7-VLOOKUP('BLOCO AMAZONAS - 3'!$D3,'CAPEX - BLOCOS PAN'!$C$3:$L$52,10,FALSE))*M$12</f>
        <v>-1837105.4737469563</v>
      </c>
      <c r="N3" s="1">
        <f>('RECEITAS - BLOCOS PAN'!M7-'OPEX - BLOCOS PAN'!M7-VLOOKUP('BLOCO AMAZONAS - 3'!$D3,'CAPEX - BLOCOS PAN'!$C$3:$M$52,11,FALSE))*N$12</f>
        <v>-1628852.4018741234</v>
      </c>
      <c r="O3" s="1">
        <f>('RECEITAS - BLOCOS PAN'!N7-'OPEX - BLOCOS PAN'!N7-VLOOKUP('BLOCO AMAZONAS - 3'!$D3,'CAPEX - BLOCOS PAN'!$C$3:$N$52,12,FALSE))*O$12</f>
        <v>-1450220.868499819</v>
      </c>
      <c r="P3" s="1">
        <f>('RECEITAS - BLOCOS PAN'!O7-'OPEX - BLOCOS PAN'!O7-VLOOKUP('BLOCO AMAZONAS - 3'!$D3,'CAPEX - BLOCOS PAN'!$C$3:$O$52,13,FALSE))*P$12</f>
        <v>-1288655.5714937025</v>
      </c>
      <c r="Q3" s="1">
        <f>('RECEITAS - BLOCOS PAN'!P7-'OPEX - BLOCOS PAN'!P7-VLOOKUP('BLOCO AMAZONAS - 3'!$D3,'CAPEX - BLOCOS PAN'!$C$3:$P$52,14,FALSE))*Q$12</f>
        <v>-1148522.8306692045</v>
      </c>
      <c r="R3" s="1">
        <f>('RECEITAS - BLOCOS PAN'!Q7-'OPEX - BLOCOS PAN'!Q7-VLOOKUP('BLOCO AMAZONAS - 3'!$D3,'CAPEX - BLOCOS PAN'!$C$3:$Q$52,15,FALSE))*R$12</f>
        <v>-1022124.5104834118</v>
      </c>
      <c r="S3" s="1">
        <f>('RECEITAS - BLOCOS PAN'!R7-'OPEX - BLOCOS PAN'!R7-VLOOKUP('BLOCO AMAZONAS - 3'!$D3,'CAPEX - BLOCOS PAN'!$C$3:$R$52,16,FALSE))*S$12</f>
        <v>-912809.8154298719</v>
      </c>
      <c r="T3" s="1">
        <f>('RECEITAS - BLOCOS PAN'!S7-'OPEX - BLOCOS PAN'!S7-VLOOKUP('BLOCO AMAZONAS - 3'!$D3,'CAPEX - BLOCOS PAN'!$C$3:$S$52,17,FALSE))*T$12</f>
        <v>-812568.87008575792</v>
      </c>
      <c r="U3" s="1">
        <f>('RECEITAS - BLOCOS PAN'!T7-'OPEX - BLOCOS PAN'!T7-VLOOKUP('BLOCO AMAZONAS - 3'!$D3,'CAPEX - BLOCOS PAN'!$C$3:$T$52,18,FALSE))*U$12</f>
        <v>-725105.38052071759</v>
      </c>
      <c r="V3" s="1">
        <f>('RECEITAS - BLOCOS PAN'!U7-'OPEX - BLOCOS PAN'!U7-VLOOKUP('BLOCO AMAZONAS - 3'!$D3,'CAPEX - BLOCOS PAN'!$C$3:$U$52,19,FALSE))*V$12</f>
        <v>-643933.80206528481</v>
      </c>
      <c r="W3" s="1">
        <f>('RECEITAS - BLOCOS PAN'!V7-'OPEX - BLOCOS PAN'!V7-VLOOKUP('BLOCO AMAZONAS - 3'!$D3,'CAPEX - BLOCOS PAN'!$C$3:$V$52,20,FALSE))*W$12</f>
        <v>-573724.16246925364</v>
      </c>
      <c r="X3" s="1">
        <f>('RECEITAS - BLOCOS PAN'!W7-'OPEX - BLOCOS PAN'!W7-VLOOKUP('BLOCO AMAZONAS - 3'!$D3,'CAPEX - BLOCOS PAN'!$C$3:$W$52,21,FALSE))*X$12</f>
        <v>-508833.37455261499</v>
      </c>
      <c r="Y3" s="1">
        <f>('RECEITAS - BLOCOS PAN'!X7-'OPEX - BLOCOS PAN'!X7-VLOOKUP('BLOCO AMAZONAS - 3'!$D3,'CAPEX - BLOCOS PAN'!$C$3:$X$52,22,FALSE))*Y$12</f>
        <v>-452741.43711052393</v>
      </c>
      <c r="Z3" s="1">
        <f>('RECEITAS - BLOCOS PAN'!Y7-'OPEX - BLOCOS PAN'!Y7-VLOOKUP('BLOCO AMAZONAS - 3'!$D3,'CAPEX - BLOCOS PAN'!$C$3:$Y$52,23,FALSE))*Z$12</f>
        <v>-400453.96138351952</v>
      </c>
      <c r="AA3" s="1">
        <f>('RECEITAS - BLOCOS PAN'!Z7-'OPEX - BLOCOS PAN'!Z7-VLOOKUP('BLOCO AMAZONAS - 3'!$D3,'CAPEX - BLOCOS PAN'!$C$3:$Z$52,24,FALSE))*AA$12</f>
        <v>-355806.04740956682</v>
      </c>
      <c r="AB3" s="1">
        <f>('RECEITAS - BLOCOS PAN'!AA7-'OPEX - BLOCOS PAN'!AA7-VLOOKUP('BLOCO AMAZONAS - 3'!$D3,'CAPEX - BLOCOS PAN'!$C$3:$AA$52,25,FALSE))*AB$12</f>
        <v>-314064.11041757866</v>
      </c>
      <c r="AC3" s="1">
        <f>('RECEITAS - BLOCOS PAN'!AB7-'OPEX - BLOCOS PAN'!AB7-VLOOKUP('BLOCO AMAZONAS - 3'!$D3,'CAPEX - BLOCOS PAN'!$C$3:$AB$52,26,FALSE))*AC$12</f>
        <v>-278274.19407376758</v>
      </c>
      <c r="AD3" s="1">
        <f>('RECEITAS - BLOCOS PAN'!AC7-'OPEX - BLOCOS PAN'!AC7-VLOOKUP('BLOCO AMAZONAS - 3'!$D3,'CAPEX - BLOCOS PAN'!$C$3:$AC$52,27,FALSE))*AD$12</f>
        <v>-244998.275610935</v>
      </c>
      <c r="AE3" s="1">
        <f>('RECEITAS - BLOCOS PAN'!AD7-'OPEX - BLOCOS PAN'!AD7-VLOOKUP('BLOCO AMAZONAS - 3'!$D3,'CAPEX - BLOCOS PAN'!$C$3:$AD$52,28,FALSE))*AE$12</f>
        <v>-216403.48724790374</v>
      </c>
      <c r="AF3" s="1">
        <f>('RECEITAS - BLOCOS PAN'!AE7-'OPEX - BLOCOS PAN'!AE7-VLOOKUP('BLOCO AMAZONAS - 3'!$D3,'CAPEX - BLOCOS PAN'!$C$3:$AE$52,29,FALSE))*AF$12</f>
        <v>-190744.67657181498</v>
      </c>
      <c r="AG3" s="1">
        <f>('RECEITAS - BLOCOS PAN'!AF7-'OPEX - BLOCOS PAN'!AF7-VLOOKUP('BLOCO AMAZONAS - 3'!$D3,'CAPEX - BLOCOS PAN'!$C$3:$AF$52,30,FALSE))*AG$12</f>
        <v>-168796.8076041977</v>
      </c>
      <c r="AH3" s="1">
        <f>('RECEITAS - BLOCOS PAN'!AG7-'OPEX - BLOCOS PAN'!AG7-VLOOKUP('BLOCO AMAZONAS - 3'!$D3,'CAPEX - BLOCOS PAN'!$C$3:$AG$52,31,FALSE))*AH$12</f>
        <v>-148189.72153267055</v>
      </c>
      <c r="AI3" s="1">
        <f>('RECEITAS - BLOCOS PAN'!AH7-'OPEX - BLOCOS PAN'!AH7-VLOOKUP('BLOCO AMAZONAS - 3'!$D3,'CAPEX - BLOCOS PAN'!$C$3:$AH$52,32,FALSE))*AI$12</f>
        <v>-130935.31406411795</v>
      </c>
      <c r="AJ3" s="1">
        <f>('RECEITAS - BLOCOS PAN'!AI7-'OPEX - BLOCOS PAN'!AI7-VLOOKUP('BLOCO AMAZONAS - 3'!$D3,'CAPEX - BLOCOS PAN'!$C$3:$AI$52,33,FALSE))*AJ$12</f>
        <v>-114722.31277114179</v>
      </c>
      <c r="AK3" s="1">
        <f>('RECEITAS - BLOCOS PAN'!AJ7-'OPEX - BLOCOS PAN'!AJ7-VLOOKUP('BLOCO AMAZONAS - 3'!$D3,'CAPEX - BLOCOS PAN'!$C$3:$AJ$52,34,FALSE))*AK$12</f>
        <v>-100250.23316545674</v>
      </c>
      <c r="AL3" s="1">
        <f>('RECEITAS - BLOCOS PAN'!AK7-'OPEX - BLOCOS PAN'!AK7-VLOOKUP('BLOCO AMAZONAS - 3'!$D3,'CAPEX - BLOCOS PAN'!$C$3:$AK$52,35,FALSE))*AL$12</f>
        <v>-87345.000547481381</v>
      </c>
      <c r="AM3" s="44">
        <f t="shared" ref="AM3:AM6" si="0">SUM(I3:AL3)</f>
        <v>-144027585.40887821</v>
      </c>
      <c r="AN3">
        <v>1</v>
      </c>
      <c r="AO3" t="s">
        <v>312</v>
      </c>
      <c r="AP3">
        <v>-3.1166666666666667</v>
      </c>
      <c r="AQ3">
        <v>-58.466666666666669</v>
      </c>
      <c r="AR3" s="48">
        <f>VLOOKUP(D3,'Projeção - Demanda PAX'!$C$3:$H$37,6,FALSE)</f>
        <v>51486</v>
      </c>
      <c r="AS3" t="str">
        <f>VLOOKUP(D3,'FLUXO DE CAIXA DESC.-BLOCOS PAN'!$D$3:$AU$52,44,FALSE)</f>
        <v>Bloco 3 - AM2</v>
      </c>
    </row>
    <row r="4" spans="1:45" x14ac:dyDescent="0.35">
      <c r="A4" t="s">
        <v>119</v>
      </c>
      <c r="B4" t="s">
        <v>120</v>
      </c>
      <c r="C4">
        <v>130080</v>
      </c>
      <c r="D4" t="s">
        <v>121</v>
      </c>
      <c r="E4" t="s">
        <v>120</v>
      </c>
      <c r="F4" t="s">
        <v>35</v>
      </c>
      <c r="G4" t="s">
        <v>259</v>
      </c>
      <c r="H4" t="s">
        <v>33</v>
      </c>
      <c r="I4" s="1">
        <f>('RECEITAS - BLOCOS PAN'!H24-'OPEX - BLOCOS PAN'!H24-VLOOKUP('BLOCO AMAZONAS - 3'!$D4,'CAPEX - BLOCOS PAN'!$C$3:$H$52,6,FALSE))*I$12</f>
        <v>-20667660.143166669</v>
      </c>
      <c r="J4" s="1">
        <f>('RECEITAS - BLOCOS PAN'!I24-'OPEX - BLOCOS PAN'!I24-VLOOKUP('BLOCO AMAZONAS - 3'!$D4,'CAPEX - BLOCOS PAN'!$C$3:$I$52,7,FALSE))*J$12</f>
        <v>-18854766.90631371</v>
      </c>
      <c r="K4" s="1">
        <f>('RECEITAS - BLOCOS PAN'!J24-'OPEX - BLOCOS PAN'!J24-VLOOKUP('BLOCO AMAZONAS - 3'!$D4,'CAPEX - BLOCOS PAN'!$C$3:$J$52,8,FALSE))*K$12</f>
        <v>-17201525.904397223</v>
      </c>
      <c r="L4" s="1">
        <f>('RECEITAS - BLOCOS PAN'!K24-'OPEX - BLOCOS PAN'!K24-VLOOKUP('BLOCO AMAZONAS - 3'!$D4,'CAPEX - BLOCOS PAN'!$C$3:$K$52,9,FALSE))*L$12</f>
        <v>-1982169.2964077883</v>
      </c>
      <c r="M4" s="1">
        <f>('RECEITAS - BLOCOS PAN'!L24-'OPEX - BLOCOS PAN'!L24-VLOOKUP('BLOCO AMAZONAS - 3'!$D4,'CAPEX - BLOCOS PAN'!$C$3:$L$52,10,FALSE))*M$12</f>
        <v>-1803542.9196069855</v>
      </c>
      <c r="N4" s="1">
        <f>('RECEITAS - BLOCOS PAN'!M24-'OPEX - BLOCOS PAN'!M24-VLOOKUP('BLOCO AMAZONAS - 3'!$D4,'CAPEX - BLOCOS PAN'!$C$3:$M$52,11,FALSE))*N$12</f>
        <v>-1641874.984064647</v>
      </c>
      <c r="O4" s="1">
        <f>('RECEITAS - BLOCOS PAN'!N24-'OPEX - BLOCOS PAN'!N24-VLOOKUP('BLOCO AMAZONAS - 3'!$D4,'CAPEX - BLOCOS PAN'!$C$3:$N$52,12,FALSE))*O$12</f>
        <v>-1495308.4025164067</v>
      </c>
      <c r="P4" s="1">
        <f>('RECEITAS - BLOCOS PAN'!O24-'OPEX - BLOCOS PAN'!O24-VLOOKUP('BLOCO AMAZONAS - 3'!$D4,'CAPEX - BLOCOS PAN'!$C$3:$O$52,13,FALSE))*P$12</f>
        <v>-1361723.0663207744</v>
      </c>
      <c r="Q4" s="1">
        <f>('RECEITAS - BLOCOS PAN'!P24-'OPEX - BLOCOS PAN'!P24-VLOOKUP('BLOCO AMAZONAS - 3'!$D4,'CAPEX - BLOCOS PAN'!$C$3:$P$52,14,FALSE))*Q$12</f>
        <v>-1240368.0729040888</v>
      </c>
      <c r="R4" s="1">
        <f>('RECEITAS - BLOCOS PAN'!Q24-'OPEX - BLOCOS PAN'!Q24-VLOOKUP('BLOCO AMAZONAS - 3'!$D4,'CAPEX - BLOCOS PAN'!$C$3:$Q$52,15,FALSE))*R$12</f>
        <v>-1129804.056603844</v>
      </c>
      <c r="S4" s="1">
        <f>('RECEITAS - BLOCOS PAN'!R24-'OPEX - BLOCOS PAN'!R24-VLOOKUP('BLOCO AMAZONAS - 3'!$D4,'CAPEX - BLOCOS PAN'!$C$3:$R$52,16,FALSE))*S$12</f>
        <v>-1029343.2357311446</v>
      </c>
      <c r="T4" s="1">
        <f>('RECEITAS - BLOCOS PAN'!S24-'OPEX - BLOCOS PAN'!S24-VLOOKUP('BLOCO AMAZONAS - 3'!$D4,'CAPEX - BLOCOS PAN'!$C$3:$S$52,17,FALSE))*T$12</f>
        <v>-937633.76512403553</v>
      </c>
      <c r="U4" s="1">
        <f>('RECEITAS - BLOCOS PAN'!T24-'OPEX - BLOCOS PAN'!T24-VLOOKUP('BLOCO AMAZONAS - 3'!$D4,'CAPEX - BLOCOS PAN'!$C$3:$T$52,18,FALSE))*U$12</f>
        <v>-854287.59549717419</v>
      </c>
      <c r="V4" s="1">
        <f>('RECEITAS - BLOCOS PAN'!U24-'OPEX - BLOCOS PAN'!U24-VLOOKUP('BLOCO AMAZONAS - 3'!$D4,'CAPEX - BLOCOS PAN'!$C$3:$U$52,19,FALSE))*V$12</f>
        <v>-778107.01308823354</v>
      </c>
      <c r="W4" s="1">
        <f>('RECEITAS - BLOCOS PAN'!V24-'OPEX - BLOCOS PAN'!V24-VLOOKUP('BLOCO AMAZONAS - 3'!$D4,'CAPEX - BLOCOS PAN'!$C$3:$V$52,20,FALSE))*W$12</f>
        <v>-708907.79695303878</v>
      </c>
      <c r="X4" s="1">
        <f>('RECEITAS - BLOCOS PAN'!W24-'OPEX - BLOCOS PAN'!W24-VLOOKUP('BLOCO AMAZONAS - 3'!$D4,'CAPEX - BLOCOS PAN'!$C$3:$W$52,21,FALSE))*X$12</f>
        <v>-645678.09846154635</v>
      </c>
      <c r="Y4" s="1">
        <f>('RECEITAS - BLOCOS PAN'!X24-'OPEX - BLOCOS PAN'!X24-VLOOKUP('BLOCO AMAZONAS - 3'!$D4,'CAPEX - BLOCOS PAN'!$C$3:$X$52,22,FALSE))*Y$12</f>
        <v>-588224.85878554243</v>
      </c>
      <c r="Z4" s="1">
        <f>('RECEITAS - BLOCOS PAN'!Y24-'OPEX - BLOCOS PAN'!Y24-VLOOKUP('BLOCO AMAZONAS - 3'!$D4,'CAPEX - BLOCOS PAN'!$C$3:$Y$52,23,FALSE))*Z$12</f>
        <v>-535702.80636088387</v>
      </c>
      <c r="AA4" s="1">
        <f>('RECEITAS - BLOCOS PAN'!Z24-'OPEX - BLOCOS PAN'!Z24-VLOOKUP('BLOCO AMAZONAS - 3'!$D4,'CAPEX - BLOCOS PAN'!$C$3:$Z$52,24,FALSE))*AA$12</f>
        <v>-488047.74839788745</v>
      </c>
      <c r="AB4" s="1">
        <f>('RECEITAS - BLOCOS PAN'!AA24-'OPEX - BLOCOS PAN'!AA24-VLOOKUP('BLOCO AMAZONAS - 3'!$D4,'CAPEX - BLOCOS PAN'!$C$3:$AA$52,25,FALSE))*AB$12</f>
        <v>-444439.71756362787</v>
      </c>
      <c r="AC4" s="1">
        <f>('RECEITAS - BLOCOS PAN'!AB24-'OPEX - BLOCOS PAN'!AB24-VLOOKUP('BLOCO AMAZONAS - 3'!$D4,'CAPEX - BLOCOS PAN'!$C$3:$AB$52,26,FALSE))*AC$12</f>
        <v>-404881.33544426656</v>
      </c>
      <c r="AD4" s="1">
        <f>('RECEITAS - BLOCOS PAN'!AC24-'OPEX - BLOCOS PAN'!AC24-VLOOKUP('BLOCO AMAZONAS - 3'!$D4,'CAPEX - BLOCOS PAN'!$C$3:$AC$52,27,FALSE))*AD$12</f>
        <v>-368692.91607027885</v>
      </c>
      <c r="AE4" s="1">
        <f>('RECEITAS - BLOCOS PAN'!AD24-'OPEX - BLOCOS PAN'!AD24-VLOOKUP('BLOCO AMAZONAS - 3'!$D4,'CAPEX - BLOCOS PAN'!$C$3:$AD$52,28,FALSE))*AE$12</f>
        <v>-335835.10485266318</v>
      </c>
      <c r="AF4" s="1">
        <f>('RECEITAS - BLOCOS PAN'!AE24-'OPEX - BLOCOS PAN'!AE24-VLOOKUP('BLOCO AMAZONAS - 3'!$D4,'CAPEX - BLOCOS PAN'!$C$3:$AE$52,29,FALSE))*AF$12</f>
        <v>-305918.21698876121</v>
      </c>
      <c r="AG4" s="1">
        <f>('RECEITAS - BLOCOS PAN'!AF24-'OPEX - BLOCOS PAN'!AF24-VLOOKUP('BLOCO AMAZONAS - 3'!$D4,'CAPEX - BLOCOS PAN'!$C$3:$AF$52,30,FALSE))*AG$12</f>
        <v>-278745.89740155218</v>
      </c>
      <c r="AH4" s="1">
        <f>('RECEITAS - BLOCOS PAN'!AG24-'OPEX - BLOCOS PAN'!AG24-VLOOKUP('BLOCO AMAZONAS - 3'!$D4,'CAPEX - BLOCOS PAN'!$C$3:$AG$52,31,FALSE))*AH$12</f>
        <v>-253890.6245516825</v>
      </c>
      <c r="AI4" s="1">
        <f>('RECEITAS - BLOCOS PAN'!AH24-'OPEX - BLOCOS PAN'!AH24-VLOOKUP('BLOCO AMAZONAS - 3'!$D4,'CAPEX - BLOCOS PAN'!$C$3:$AH$52,32,FALSE))*AI$12</f>
        <v>-231334.63509893429</v>
      </c>
      <c r="AJ4" s="1">
        <f>('RECEITAS - BLOCOS PAN'!AI24-'OPEX - BLOCOS PAN'!AI24-VLOOKUP('BLOCO AMAZONAS - 3'!$D4,'CAPEX - BLOCOS PAN'!$C$3:$AI$52,33,FALSE))*AJ$12</f>
        <v>-210718.48770337304</v>
      </c>
      <c r="AK4" s="1">
        <f>('RECEITAS - BLOCOS PAN'!AJ24-'OPEX - BLOCOS PAN'!AJ24-VLOOKUP('BLOCO AMAZONAS - 3'!$D4,'CAPEX - BLOCOS PAN'!$C$3:$AJ$52,34,FALSE))*AK$12</f>
        <v>-191929.8447622699</v>
      </c>
      <c r="AL4" s="1">
        <f>('RECEITAS - BLOCOS PAN'!AK24-'OPEX - BLOCOS PAN'!AK24-VLOOKUP('BLOCO AMAZONAS - 3'!$D4,'CAPEX - BLOCOS PAN'!$C$3:$AK$52,35,FALSE))*AL$12</f>
        <v>-174803.42912618347</v>
      </c>
      <c r="AM4" s="44">
        <f t="shared" si="0"/>
        <v>-77145866.880265221</v>
      </c>
      <c r="AN4">
        <v>1</v>
      </c>
      <c r="AO4" t="s">
        <v>312</v>
      </c>
      <c r="AP4">
        <v>-4.4000000000000004</v>
      </c>
      <c r="AQ4">
        <v>-59.583333333333336</v>
      </c>
      <c r="AR4" s="48">
        <f>VLOOKUP(D4,'Projeção - Demanda PAX'!$C$3:$H$37,6,FALSE)</f>
        <v>4718</v>
      </c>
      <c r="AS4" t="str">
        <f>VLOOKUP(D4,'FLUXO DE CAIXA DESC.-BLOCOS PAN'!$D$3:$AU$52,44,FALSE)</f>
        <v>Bloco 3 - AM2</v>
      </c>
    </row>
    <row r="5" spans="1:45" x14ac:dyDescent="0.35">
      <c r="A5" t="s">
        <v>148</v>
      </c>
      <c r="B5" t="s">
        <v>149</v>
      </c>
      <c r="C5">
        <v>130290</v>
      </c>
      <c r="D5" t="s">
        <v>150</v>
      </c>
      <c r="E5" t="s">
        <v>149</v>
      </c>
      <c r="F5" t="s">
        <v>35</v>
      </c>
      <c r="G5" t="s">
        <v>259</v>
      </c>
      <c r="H5" t="s">
        <v>33</v>
      </c>
      <c r="I5" s="1">
        <f>('RECEITAS - BLOCOS PAN'!H33-'OPEX - BLOCOS PAN'!H33-VLOOKUP('BLOCO AMAZONAS - 3'!$D5,'CAPEX - BLOCOS PAN'!$C$3:$H$52,6,FALSE))*I$12</f>
        <v>-6171897.2343333326</v>
      </c>
      <c r="J5" s="1">
        <f>('RECEITAS - BLOCOS PAN'!I33-'OPEX - BLOCOS PAN'!I33-VLOOKUP('BLOCO AMAZONAS - 3'!$D5,'CAPEX - BLOCOS PAN'!$C$3:$I$52,7,FALSE))*J$12</f>
        <v>-5633113.7419747459</v>
      </c>
      <c r="K5" s="1">
        <f>('RECEITAS - BLOCOS PAN'!J33-'OPEX - BLOCOS PAN'!J33-VLOOKUP('BLOCO AMAZONAS - 3'!$D5,'CAPEX - BLOCOS PAN'!$C$3:$J$52,8,FALSE))*K$12</f>
        <v>-5141528.4288664684</v>
      </c>
      <c r="L5" s="1">
        <f>('RECEITAS - BLOCOS PAN'!K33-'OPEX - BLOCOS PAN'!K33-VLOOKUP('BLOCO AMAZONAS - 3'!$D5,'CAPEX - BLOCOS PAN'!$C$3:$K$52,9,FALSE))*L$12</f>
        <v>-1089696.0975281459</v>
      </c>
      <c r="M5" s="1">
        <f>('RECEITAS - BLOCOS PAN'!L33-'OPEX - BLOCOS PAN'!L33-VLOOKUP('BLOCO AMAZONAS - 3'!$D5,'CAPEX - BLOCOS PAN'!$C$3:$L$52,10,FALSE))*M$12</f>
        <v>-994457.28315844899</v>
      </c>
      <c r="N5" s="1">
        <f>('RECEITAS - BLOCOS PAN'!M33-'OPEX - BLOCOS PAN'!M33-VLOOKUP('BLOCO AMAZONAS - 3'!$D5,'CAPEX - BLOCOS PAN'!$C$3:$M$52,11,FALSE))*N$12</f>
        <v>-907568.0113982039</v>
      </c>
      <c r="O5" s="1">
        <f>('RECEITAS - BLOCOS PAN'!N33-'OPEX - BLOCOS PAN'!N33-VLOOKUP('BLOCO AMAZONAS - 3'!$D5,'CAPEX - BLOCOS PAN'!$C$3:$N$52,12,FALSE))*O$12</f>
        <v>-828278.37015844032</v>
      </c>
      <c r="P5" s="1">
        <f>('RECEITAS - BLOCOS PAN'!O33-'OPEX - BLOCOS PAN'!O33-VLOOKUP('BLOCO AMAZONAS - 3'!$D5,'CAPEX - BLOCOS PAN'!$C$3:$O$52,13,FALSE))*P$12</f>
        <v>-755930.15309992817</v>
      </c>
      <c r="Q5" s="1">
        <f>('RECEITAS - BLOCOS PAN'!P33-'OPEX - BLOCOS PAN'!P33-VLOOKUP('BLOCO AMAZONAS - 3'!$D5,'CAPEX - BLOCOS PAN'!$C$3:$P$52,14,FALSE))*Q$12</f>
        <v>-689897.70751550607</v>
      </c>
      <c r="R5" s="1">
        <f>('RECEITAS - BLOCOS PAN'!Q33-'OPEX - BLOCOS PAN'!Q33-VLOOKUP('BLOCO AMAZONAS - 3'!$D5,'CAPEX - BLOCOS PAN'!$C$3:$Q$52,15,FALSE))*R$12</f>
        <v>-629636.67843795312</v>
      </c>
      <c r="S5" s="1">
        <f>('RECEITAS - BLOCOS PAN'!R33-'OPEX - BLOCOS PAN'!R33-VLOOKUP('BLOCO AMAZONAS - 3'!$D5,'CAPEX - BLOCOS PAN'!$C$3:$R$52,16,FALSE))*S$12</f>
        <v>-574655.63485982677</v>
      </c>
      <c r="T5" s="1">
        <f>('RECEITAS - BLOCOS PAN'!S33-'OPEX - BLOCOS PAN'!S33-VLOOKUP('BLOCO AMAZONAS - 3'!$D5,'CAPEX - BLOCOS PAN'!$C$3:$S$52,17,FALSE))*T$12</f>
        <v>-524470.6524691059</v>
      </c>
      <c r="U5" s="1">
        <f>('RECEITAS - BLOCOS PAN'!T33-'OPEX - BLOCOS PAN'!T33-VLOOKUP('BLOCO AMAZONAS - 3'!$D5,'CAPEX - BLOCOS PAN'!$C$3:$T$52,18,FALSE))*U$12</f>
        <v>-478672.87561317428</v>
      </c>
      <c r="V5" s="1">
        <f>('RECEITAS - BLOCOS PAN'!U33-'OPEX - BLOCOS PAN'!U33-VLOOKUP('BLOCO AMAZONAS - 3'!$D5,'CAPEX - BLOCOS PAN'!$C$3:$U$52,19,FALSE))*V$12</f>
        <v>-436874.2368353114</v>
      </c>
      <c r="W5" s="1">
        <f>('RECEITAS - BLOCOS PAN'!V33-'OPEX - BLOCOS PAN'!V33-VLOOKUP('BLOCO AMAZONAS - 3'!$D5,'CAPEX - BLOCOS PAN'!$C$3:$V$52,20,FALSE))*W$12</f>
        <v>-398725.52515035612</v>
      </c>
      <c r="X5" s="1">
        <f>('RECEITAS - BLOCOS PAN'!W33-'OPEX - BLOCOS PAN'!W33-VLOOKUP('BLOCO AMAZONAS - 3'!$D5,'CAPEX - BLOCOS PAN'!$C$3:$W$52,21,FALSE))*X$12</f>
        <v>-363908.02407527313</v>
      </c>
      <c r="Y5" s="1">
        <f>('RECEITAS - BLOCOS PAN'!X33-'OPEX - BLOCOS PAN'!X33-VLOOKUP('BLOCO AMAZONAS - 3'!$D5,'CAPEX - BLOCOS PAN'!$C$3:$X$52,22,FALSE))*Y$12</f>
        <v>-332130.84757271281</v>
      </c>
      <c r="Z5" s="1">
        <f>('RECEITAS - BLOCOS PAN'!Y33-'OPEX - BLOCOS PAN'!Y33-VLOOKUP('BLOCO AMAZONAS - 3'!$D5,'CAPEX - BLOCOS PAN'!$C$3:$Y$52,23,FALSE))*Z$12</f>
        <v>-303128.50960345351</v>
      </c>
      <c r="AA5" s="1">
        <f>('RECEITAS - BLOCOS PAN'!Z33-'OPEX - BLOCOS PAN'!Z33-VLOOKUP('BLOCO AMAZONAS - 3'!$D5,'CAPEX - BLOCOS PAN'!$C$3:$Z$52,24,FALSE))*AA$12</f>
        <v>-276654.61380247591</v>
      </c>
      <c r="AB5" s="1">
        <f>('RECEITAS - BLOCOS PAN'!AA33-'OPEX - BLOCOS PAN'!AA33-VLOOKUP('BLOCO AMAZONAS - 3'!$D5,'CAPEX - BLOCOS PAN'!$C$3:$AA$52,25,FALSE))*AB$12</f>
        <v>-252489.36937887868</v>
      </c>
      <c r="AC5" s="1">
        <f>('RECEITAS - BLOCOS PAN'!AB33-'OPEX - BLOCOS PAN'!AB33-VLOOKUP('BLOCO AMAZONAS - 3'!$D5,'CAPEX - BLOCOS PAN'!$C$3:$AB$52,26,FALSE))*AC$12</f>
        <v>-230441.46689138049</v>
      </c>
      <c r="AD5" s="1">
        <f>('RECEITAS - BLOCOS PAN'!AC33-'OPEX - BLOCOS PAN'!AC33-VLOOKUP('BLOCO AMAZONAS - 3'!$D5,'CAPEX - BLOCOS PAN'!$C$3:$AC$52,27,FALSE))*AD$12</f>
        <v>-210318.82826482446</v>
      </c>
      <c r="AE5" s="1">
        <f>('RECEITAS - BLOCOS PAN'!AD33-'OPEX - BLOCOS PAN'!AD33-VLOOKUP('BLOCO AMAZONAS - 3'!$D5,'CAPEX - BLOCOS PAN'!$C$3:$AD$52,28,FALSE))*AE$12</f>
        <v>-191953.33608581341</v>
      </c>
      <c r="AF5" s="1">
        <f>('RECEITAS - BLOCOS PAN'!AE33-'OPEX - BLOCOS PAN'!AE33-VLOOKUP('BLOCO AMAZONAS - 3'!$D5,'CAPEX - BLOCOS PAN'!$C$3:$AE$52,29,FALSE))*AF$12</f>
        <v>-175191.55371844734</v>
      </c>
      <c r="AG5" s="1">
        <f>('RECEITAS - BLOCOS PAN'!AF33-'OPEX - BLOCOS PAN'!AF33-VLOOKUP('BLOCO AMAZONAS - 3'!$D5,'CAPEX - BLOCOS PAN'!$C$3:$AF$52,30,FALSE))*AG$12</f>
        <v>-159893.44233655665</v>
      </c>
      <c r="AH5" s="1">
        <f>('RECEITAS - BLOCOS PAN'!AG33-'OPEX - BLOCOS PAN'!AG33-VLOOKUP('BLOCO AMAZONAS - 3'!$D5,'CAPEX - BLOCOS PAN'!$C$3:$AG$52,31,FALSE))*AH$12</f>
        <v>-145927.03233212599</v>
      </c>
      <c r="AI5" s="1">
        <f>('RECEITAS - BLOCOS PAN'!AH33-'OPEX - BLOCOS PAN'!AH33-VLOOKUP('BLOCO AMAZONAS - 3'!$D5,'CAPEX - BLOCOS PAN'!$C$3:$AH$52,32,FALSE))*AI$12</f>
        <v>-133184.35568378522</v>
      </c>
      <c r="AJ5" s="1">
        <f>('RECEITAS - BLOCOS PAN'!AI33-'OPEX - BLOCOS PAN'!AI33-VLOOKUP('BLOCO AMAZONAS - 3'!$D5,'CAPEX - BLOCOS PAN'!$C$3:$AI$52,33,FALSE))*AJ$12</f>
        <v>-121556.70573201971</v>
      </c>
      <c r="AK5" s="1">
        <f>('RECEITAS - BLOCOS PAN'!AJ33-'OPEX - BLOCOS PAN'!AJ33-VLOOKUP('BLOCO AMAZONAS - 3'!$D5,'CAPEX - BLOCOS PAN'!$C$3:$AJ$52,34,FALSE))*AK$12</f>
        <v>-110938.34191651722</v>
      </c>
      <c r="AL5" s="1">
        <f>('RECEITAS - BLOCOS PAN'!AK33-'OPEX - BLOCOS PAN'!AK33-VLOOKUP('BLOCO AMAZONAS - 3'!$D5,'CAPEX - BLOCOS PAN'!$C$3:$AK$52,35,FALSE))*AL$12</f>
        <v>-101250.94823112944</v>
      </c>
      <c r="AM5" s="44">
        <f t="shared" si="0"/>
        <v>-28364370.007024348</v>
      </c>
      <c r="AN5">
        <v>1</v>
      </c>
      <c r="AO5" t="s">
        <v>312</v>
      </c>
      <c r="AP5">
        <v>-3.3666666666666667</v>
      </c>
      <c r="AQ5">
        <v>-57.716666666666669</v>
      </c>
      <c r="AR5" s="48">
        <f>VLOOKUP(D5,'Projeção - Demanda PAX'!$C$3:$H$37,6,FALSE)</f>
        <v>397</v>
      </c>
      <c r="AS5" t="str">
        <f>VLOOKUP(D5,'FLUXO DE CAIXA DESC.-BLOCOS PAN'!$D$3:$AU$52,44,FALSE)</f>
        <v>Bloco 3 - AM2</v>
      </c>
    </row>
    <row r="6" spans="1:45" x14ac:dyDescent="0.35">
      <c r="A6" t="s">
        <v>152</v>
      </c>
      <c r="B6" t="s">
        <v>153</v>
      </c>
      <c r="C6">
        <v>130340</v>
      </c>
      <c r="D6" t="s">
        <v>154</v>
      </c>
      <c r="E6" t="s">
        <v>153</v>
      </c>
      <c r="F6" t="s">
        <v>35</v>
      </c>
      <c r="G6" t="s">
        <v>259</v>
      </c>
      <c r="H6" t="s">
        <v>33</v>
      </c>
      <c r="I6" s="1">
        <f>('RECEITAS - BLOCOS PAN'!H34-'OPEX - BLOCOS PAN'!H34-VLOOKUP('BLOCO AMAZONAS - 3'!$D6,'CAPEX - BLOCOS PAN'!$C$3:$H$52,6,FALSE))*I$12</f>
        <v>-41253016.314199999</v>
      </c>
      <c r="J6" s="1">
        <f>('RECEITAS - BLOCOS PAN'!I34-'OPEX - BLOCOS PAN'!I34-VLOOKUP('BLOCO AMAZONAS - 3'!$D6,'CAPEX - BLOCOS PAN'!$C$3:$I$52,7,FALSE))*J$12</f>
        <v>-37516265.649931543</v>
      </c>
      <c r="K6" s="1">
        <f>('RECEITAS - BLOCOS PAN'!J34-'OPEX - BLOCOS PAN'!J34-VLOOKUP('BLOCO AMAZONAS - 3'!$D6,'CAPEX - BLOCOS PAN'!$C$3:$J$52,8,FALSE))*K$12</f>
        <v>-34144230.045030907</v>
      </c>
      <c r="L6" s="1">
        <f>('RECEITAS - BLOCOS PAN'!K34-'OPEX - BLOCOS PAN'!K34-VLOOKUP('BLOCO AMAZONAS - 3'!$D6,'CAPEX - BLOCOS PAN'!$C$3:$K$52,9,FALSE))*L$12</f>
        <v>-2033398.0686087059</v>
      </c>
      <c r="M6" s="1">
        <f>('RECEITAS - BLOCOS PAN'!L34-'OPEX - BLOCOS PAN'!L34-VLOOKUP('BLOCO AMAZONAS - 3'!$D6,'CAPEX - BLOCOS PAN'!$C$3:$L$52,10,FALSE))*M$12</f>
        <v>-1800807.2754031483</v>
      </c>
      <c r="N6" s="1">
        <f>('RECEITAS - BLOCOS PAN'!M34-'OPEX - BLOCOS PAN'!M34-VLOOKUP('BLOCO AMAZONAS - 3'!$D6,'CAPEX - BLOCOS PAN'!$C$3:$M$52,11,FALSE))*N$12</f>
        <v>-1597736.3027433758</v>
      </c>
      <c r="O6" s="1">
        <f>('RECEITAS - BLOCOS PAN'!N34-'OPEX - BLOCOS PAN'!N34-VLOOKUP('BLOCO AMAZONAS - 3'!$D6,'CAPEX - BLOCOS PAN'!$C$3:$N$52,12,FALSE))*O$12</f>
        <v>-1418976.6285601633</v>
      </c>
      <c r="P6" s="1">
        <f>('RECEITAS - BLOCOS PAN'!O34-'OPEX - BLOCOS PAN'!O34-VLOOKUP('BLOCO AMAZONAS - 3'!$D6,'CAPEX - BLOCOS PAN'!$C$3:$O$52,13,FALSE))*P$12</f>
        <v>-1260157.3141067002</v>
      </c>
      <c r="Q6" s="1">
        <f>('RECEITAS - BLOCOS PAN'!P34-'OPEX - BLOCOS PAN'!P34-VLOOKUP('BLOCO AMAZONAS - 3'!$D6,'CAPEX - BLOCOS PAN'!$C$3:$P$52,14,FALSE))*Q$12</f>
        <v>-1119961.835806879</v>
      </c>
      <c r="R6" s="1">
        <f>('RECEITAS - BLOCOS PAN'!Q34-'OPEX - BLOCOS PAN'!Q34-VLOOKUP('BLOCO AMAZONAS - 3'!$D6,'CAPEX - BLOCOS PAN'!$C$3:$Q$52,15,FALSE))*R$12</f>
        <v>-996090.63314762735</v>
      </c>
      <c r="S6" s="1">
        <f>('RECEITAS - BLOCOS PAN'!R34-'OPEX - BLOCOS PAN'!R34-VLOOKUP('BLOCO AMAZONAS - 3'!$D6,'CAPEX - BLOCOS PAN'!$C$3:$R$52,16,FALSE))*S$12</f>
        <v>-886771.90897840436</v>
      </c>
      <c r="T6" s="1">
        <f>('RECEITAS - BLOCOS PAN'!S34-'OPEX - BLOCOS PAN'!S34-VLOOKUP('BLOCO AMAZONAS - 3'!$D6,'CAPEX - BLOCOS PAN'!$C$3:$S$52,17,FALSE))*T$12</f>
        <v>-788399.16287290014</v>
      </c>
      <c r="U6" s="1">
        <f>('RECEITAS - BLOCOS PAN'!T34-'OPEX - BLOCOS PAN'!T34-VLOOKUP('BLOCO AMAZONAS - 3'!$D6,'CAPEX - BLOCOS PAN'!$C$3:$T$52,18,FALSE))*U$12</f>
        <v>-700749.50417240942</v>
      </c>
      <c r="V6" s="1">
        <f>('RECEITAS - BLOCOS PAN'!U34-'OPEX - BLOCOS PAN'!U34-VLOOKUP('BLOCO AMAZONAS - 3'!$D6,'CAPEX - BLOCOS PAN'!$C$3:$U$52,19,FALSE))*V$12</f>
        <v>-621576.90607958194</v>
      </c>
      <c r="W6" s="1">
        <f>('RECEITAS - BLOCOS PAN'!V34-'OPEX - BLOCOS PAN'!V34-VLOOKUP('BLOCO AMAZONAS - 3'!$D6,'CAPEX - BLOCOS PAN'!$C$3:$V$52,20,FALSE))*W$12</f>
        <v>-551255.17870863411</v>
      </c>
      <c r="X6" s="1">
        <f>('RECEITAS - BLOCOS PAN'!W34-'OPEX - BLOCOS PAN'!W34-VLOOKUP('BLOCO AMAZONAS - 3'!$D6,'CAPEX - BLOCOS PAN'!$C$3:$W$52,21,FALSE))*X$12</f>
        <v>-487913.64615537616</v>
      </c>
      <c r="Y6" s="1">
        <f>('RECEITAS - BLOCOS PAN'!X34-'OPEX - BLOCOS PAN'!X34-VLOOKUP('BLOCO AMAZONAS - 3'!$D6,'CAPEX - BLOCOS PAN'!$C$3:$X$52,22,FALSE))*Y$12</f>
        <v>-431460.29291539919</v>
      </c>
      <c r="Z6" s="1">
        <f>('RECEITAS - BLOCOS PAN'!Y34-'OPEX - BLOCOS PAN'!Y34-VLOOKUP('BLOCO AMAZONAS - 3'!$D6,'CAPEX - BLOCOS PAN'!$C$3:$Y$52,23,FALSE))*Z$12</f>
        <v>-380580.28784006304</v>
      </c>
      <c r="AA6" s="1">
        <f>('RECEITAS - BLOCOS PAN'!Z34-'OPEX - BLOCOS PAN'!Z34-VLOOKUP('BLOCO AMAZONAS - 3'!$D6,'CAPEX - BLOCOS PAN'!$C$3:$Z$52,24,FALSE))*AA$12</f>
        <v>-335257.65062910941</v>
      </c>
      <c r="AB6" s="1">
        <f>('RECEITAS - BLOCOS PAN'!AA34-'OPEX - BLOCOS PAN'!AA34-VLOOKUP('BLOCO AMAZONAS - 3'!$D6,'CAPEX - BLOCOS PAN'!$C$3:$AA$52,25,FALSE))*AB$12</f>
        <v>-294444.33403268101</v>
      </c>
      <c r="AC6" s="1">
        <f>('RECEITAS - BLOCOS PAN'!AB34-'OPEX - BLOCOS PAN'!AB34-VLOOKUP('BLOCO AMAZONAS - 3'!$D6,'CAPEX - BLOCOS PAN'!$C$3:$AB$52,26,FALSE))*AC$12</f>
        <v>-258515.83912139211</v>
      </c>
      <c r="AD6" s="1">
        <f>('RECEITAS - BLOCOS PAN'!AC34-'OPEX - BLOCOS PAN'!AC34-VLOOKUP('BLOCO AMAZONAS - 3'!$D6,'CAPEX - BLOCOS PAN'!$C$3:$AC$52,27,FALSE))*AD$12</f>
        <v>-226249.20974622073</v>
      </c>
      <c r="AE6" s="1">
        <f>('RECEITAS - BLOCOS PAN'!AD34-'OPEX - BLOCOS PAN'!AD34-VLOOKUP('BLOCO AMAZONAS - 3'!$D6,'CAPEX - BLOCOS PAN'!$C$3:$AD$52,28,FALSE))*AE$12</f>
        <v>-197781.96811621613</v>
      </c>
      <c r="AF6" s="1">
        <f>('RECEITAS - BLOCOS PAN'!AE34-'OPEX - BLOCOS PAN'!AE34-VLOOKUP('BLOCO AMAZONAS - 3'!$D6,'CAPEX - BLOCOS PAN'!$C$3:$AE$52,29,FALSE))*AF$12</f>
        <v>-172445.72459595246</v>
      </c>
      <c r="AG6" s="1">
        <f>('RECEITAS - BLOCOS PAN'!AF34-'OPEX - BLOCOS PAN'!AF34-VLOOKUP('BLOCO AMAZONAS - 3'!$D6,'CAPEX - BLOCOS PAN'!$C$3:$AF$52,30,FALSE))*AG$12</f>
        <v>-150065.87144654323</v>
      </c>
      <c r="AH6" s="1">
        <f>('RECEITAS - BLOCOS PAN'!AG34-'OPEX - BLOCOS PAN'!AG34-VLOOKUP('BLOCO AMAZONAS - 3'!$D6,'CAPEX - BLOCOS PAN'!$C$3:$AG$52,31,FALSE))*AH$12</f>
        <v>-129996.25140607535</v>
      </c>
      <c r="AI6" s="1">
        <f>('RECEITAS - BLOCOS PAN'!AH34-'OPEX - BLOCOS PAN'!AH34-VLOOKUP('BLOCO AMAZONAS - 3'!$D6,'CAPEX - BLOCOS PAN'!$C$3:$AH$52,32,FALSE))*AI$12</f>
        <v>-112497.21970708881</v>
      </c>
      <c r="AJ6" s="1">
        <f>('RECEITAS - BLOCOS PAN'!AI34-'OPEX - BLOCOS PAN'!AI34-VLOOKUP('BLOCO AMAZONAS - 3'!$D6,'CAPEX - BLOCOS PAN'!$C$3:$AI$52,33,FALSE))*AJ$12</f>
        <v>-96835.322303960173</v>
      </c>
      <c r="AK6" s="1">
        <f>('RECEITAS - BLOCOS PAN'!AJ34-'OPEX - BLOCOS PAN'!AJ34-VLOOKUP('BLOCO AMAZONAS - 3'!$D6,'CAPEX - BLOCOS PAN'!$C$3:$AJ$52,34,FALSE))*AK$12</f>
        <v>-82949.677159444123</v>
      </c>
      <c r="AL6" s="1">
        <f>('RECEITAS - BLOCOS PAN'!AK34-'OPEX - BLOCOS PAN'!AK34-VLOOKUP('BLOCO AMAZONAS - 3'!$D6,'CAPEX - BLOCOS PAN'!$C$3:$AK$52,35,FALSE))*AL$12</f>
        <v>-70630.388040023652</v>
      </c>
      <c r="AM6" s="44">
        <f t="shared" si="0"/>
        <v>-130117016.4115665</v>
      </c>
      <c r="AN6">
        <v>1</v>
      </c>
      <c r="AO6" t="s">
        <v>312</v>
      </c>
      <c r="AP6">
        <v>-2.6666666666666665</v>
      </c>
      <c r="AQ6">
        <v>-56.766666666666666</v>
      </c>
      <c r="AR6" s="48">
        <f>VLOOKUP(D6,'Projeção - Demanda PAX'!$C$3:$H$37,6,FALSE)</f>
        <v>58695</v>
      </c>
      <c r="AS6" t="str">
        <f>VLOOKUP(D6,'FLUXO DE CAIXA DESC.-BLOCOS PAN'!$D$3:$AU$52,44,FALSE)</f>
        <v>Bloco 3 - AM2</v>
      </c>
    </row>
    <row r="7" spans="1:45" x14ac:dyDescent="0.35">
      <c r="A7" t="s">
        <v>160</v>
      </c>
      <c r="B7" s="5" t="s">
        <v>276</v>
      </c>
      <c r="C7">
        <v>130014</v>
      </c>
      <c r="D7" t="s">
        <v>300</v>
      </c>
      <c r="E7" t="s">
        <v>241</v>
      </c>
      <c r="F7" t="s">
        <v>35</v>
      </c>
      <c r="G7" t="s">
        <v>259</v>
      </c>
      <c r="H7" t="s">
        <v>33</v>
      </c>
      <c r="I7" s="1">
        <f>'FLUXO DE CAIXA DESC.-BLOCOS PAN'!I52</f>
        <v>-10728979.762042485</v>
      </c>
      <c r="J7" s="1">
        <f>'FLUXO DE CAIXA DESC.-BLOCOS PAN'!J52</f>
        <v>-9793683.0324440766</v>
      </c>
      <c r="K7" s="1">
        <f>'FLUXO DE CAIXA DESC.-BLOCOS PAN'!K52</f>
        <v>-8939920.6138238944</v>
      </c>
      <c r="L7" s="1">
        <f>'FLUXO DE CAIXA DESC.-BLOCOS PAN'!L52</f>
        <v>-449883.03671404003</v>
      </c>
      <c r="M7" s="1">
        <f>'FLUXO DE CAIXA DESC.-BLOCOS PAN'!M52</f>
        <v>-410664.57025471481</v>
      </c>
      <c r="N7" s="1">
        <f>'FLUXO DE CAIXA DESC.-BLOCOS PAN'!N52</f>
        <v>-374864.96600156534</v>
      </c>
      <c r="O7" s="1">
        <f>'FLUXO DE CAIXA DESC.-BLOCOS PAN'!O52</f>
        <v>-342186.18530494324</v>
      </c>
      <c r="P7" s="1">
        <f>'FLUXO DE CAIXA DESC.-BLOCOS PAN'!P52</f>
        <v>-312356.17097667122</v>
      </c>
      <c r="Q7" s="1">
        <f>'FLUXO DE CAIXA DESC.-BLOCOS PAN'!Q52</f>
        <v>-285126.58236117865</v>
      </c>
      <c r="R7" s="1">
        <f>'FLUXO DE CAIXA DESC.-BLOCOS PAN'!R52</f>
        <v>-260270.72785137256</v>
      </c>
      <c r="S7" s="1">
        <f>'FLUXO DE CAIXA DESC.-BLOCOS PAN'!S52</f>
        <v>-237581.6776370357</v>
      </c>
      <c r="T7" s="1">
        <f>'FLUXO DE CAIXA DESC.-BLOCOS PAN'!T52</f>
        <v>-216870.54097401709</v>
      </c>
      <c r="U7" s="1">
        <f>'FLUXO DE CAIXA DESC.-BLOCOS PAN'!U52</f>
        <v>-197964.89363214705</v>
      </c>
      <c r="V7" s="1">
        <f>'FLUXO DE CAIXA DESC.-BLOCOS PAN'!V52</f>
        <v>-180707.34243007487</v>
      </c>
      <c r="W7" s="1">
        <f>'FLUXO DE CAIXA DESC.-BLOCOS PAN'!W52</f>
        <v>-164954.21490650377</v>
      </c>
      <c r="X7" s="1">
        <f>'FLUXO DE CAIXA DESC.-BLOCOS PAN'!X52</f>
        <v>-150574.36321908151</v>
      </c>
      <c r="Y7" s="1">
        <f>'FLUXO DE CAIXA DESC.-BLOCOS PAN'!Y52</f>
        <v>-137448.07231317347</v>
      </c>
      <c r="Z7" s="1">
        <f>'FLUXO DE CAIXA DESC.-BLOCOS PAN'!Z52</f>
        <v>-125466.06327081101</v>
      </c>
      <c r="AA7" s="1">
        <f>'FLUXO DE CAIXA DESC.-BLOCOS PAN'!AA52</f>
        <v>-114528.58354250208</v>
      </c>
      <c r="AB7" s="1">
        <f>'FLUXO DE CAIXA DESC.-BLOCOS PAN'!AB52</f>
        <v>-104544.57648790696</v>
      </c>
      <c r="AC7" s="1">
        <f>'FLUXO DE CAIXA DESC.-BLOCOS PAN'!AC52</f>
        <v>-95430.923311644889</v>
      </c>
      <c r="AD7" s="1">
        <f>'FLUXO DE CAIXA DESC.-BLOCOS PAN'!AD52</f>
        <v>-87111.751083199342</v>
      </c>
      <c r="AE7" s="1">
        <f>'FLUXO DE CAIXA DESC.-BLOCOS PAN'!AE52</f>
        <v>-79517.801080054182</v>
      </c>
      <c r="AF7" s="1">
        <f>'FLUXO DE CAIXA DESC.-BLOCOS PAN'!AF52</f>
        <v>-72585.852195394051</v>
      </c>
      <c r="AG7" s="1">
        <f>'FLUXO DE CAIXA DESC.-BLOCOS PAN'!AG52</f>
        <v>-66258.194610126942</v>
      </c>
      <c r="AH7" s="1">
        <f>'FLUXO DE CAIXA DESC.-BLOCOS PAN'!AH52</f>
        <v>-60482.149347445855</v>
      </c>
      <c r="AI7" s="1">
        <f>'FLUXO DE CAIXA DESC.-BLOCOS PAN'!AI52</f>
        <v>-55209.629710128575</v>
      </c>
      <c r="AJ7" s="1">
        <f>'FLUXO DE CAIXA DESC.-BLOCOS PAN'!AJ52</f>
        <v>-50396.740949455576</v>
      </c>
      <c r="AK7" s="1">
        <f>'FLUXO DE CAIXA DESC.-BLOCOS PAN'!AK52</f>
        <v>-46003.414832912436</v>
      </c>
      <c r="AL7" s="1">
        <f>'FLUXO DE CAIXA DESC.-BLOCOS PAN'!AL52</f>
        <v>-41993.076068381961</v>
      </c>
      <c r="AM7" s="44">
        <f t="shared" ref="AM7" si="1">SUM(I7:AL7)</f>
        <v>-34183565.509376943</v>
      </c>
      <c r="AN7">
        <v>1</v>
      </c>
      <c r="AO7" t="s">
        <v>312</v>
      </c>
      <c r="AP7">
        <v>-7.166666666666667</v>
      </c>
      <c r="AQ7">
        <v>-59.833333333333336</v>
      </c>
      <c r="AR7" s="48">
        <v>0</v>
      </c>
      <c r="AS7" t="str">
        <f>VLOOKUP(D7,'FLUXO DE CAIXA DESC.-BLOCOS PAN'!$D$3:$AU$52,44,FALSE)</f>
        <v>Bloco 3 - AM2</v>
      </c>
    </row>
    <row r="8" spans="1:45" x14ac:dyDescent="0.35">
      <c r="B8" s="6"/>
      <c r="C8" s="6"/>
      <c r="D8" s="6"/>
      <c r="H8" s="47" t="s">
        <v>250</v>
      </c>
      <c r="I8" s="8">
        <f t="shared" ref="I8:AM8" si="2">SUBTOTAL(109,I3:I7)</f>
        <v>-124904237.67864248</v>
      </c>
      <c r="J8" s="8">
        <f t="shared" si="2"/>
        <v>-113733416.7352282</v>
      </c>
      <c r="K8" s="8">
        <f t="shared" si="2"/>
        <v>-103596405.24475983</v>
      </c>
      <c r="L8" s="8">
        <f t="shared" si="2"/>
        <v>-7639077.3846300766</v>
      </c>
      <c r="M8" s="8">
        <f t="shared" si="2"/>
        <v>-6846577.522170254</v>
      </c>
      <c r="N8" s="8">
        <f t="shared" si="2"/>
        <v>-6150896.6660819156</v>
      </c>
      <c r="O8" s="8">
        <f t="shared" si="2"/>
        <v>-5534970.4550397731</v>
      </c>
      <c r="P8" s="8">
        <f t="shared" si="2"/>
        <v>-4978822.2759977765</v>
      </c>
      <c r="Q8" s="8">
        <f t="shared" si="2"/>
        <v>-4483877.029256857</v>
      </c>
      <c r="R8" s="8">
        <f t="shared" si="2"/>
        <v>-4037926.606524209</v>
      </c>
      <c r="S8" s="8">
        <f t="shared" si="2"/>
        <v>-3641162.2726362832</v>
      </c>
      <c r="T8" s="8">
        <f t="shared" si="2"/>
        <v>-3279942.9915258167</v>
      </c>
      <c r="U8" s="8">
        <f t="shared" si="2"/>
        <v>-2956780.2494356227</v>
      </c>
      <c r="V8" s="8">
        <f t="shared" si="2"/>
        <v>-2661199.3004984865</v>
      </c>
      <c r="W8" s="8">
        <f t="shared" si="2"/>
        <v>-2397566.8781877863</v>
      </c>
      <c r="X8" s="8">
        <f t="shared" si="2"/>
        <v>-2156907.5064638923</v>
      </c>
      <c r="Y8" s="8">
        <f t="shared" si="2"/>
        <v>-1942005.5086973517</v>
      </c>
      <c r="Z8" s="8">
        <f t="shared" si="2"/>
        <v>-1745331.6284587309</v>
      </c>
      <c r="AA8" s="8">
        <f t="shared" si="2"/>
        <v>-1570294.6437815416</v>
      </c>
      <c r="AB8" s="8">
        <f t="shared" si="2"/>
        <v>-1409982.1078806734</v>
      </c>
      <c r="AC8" s="8">
        <f t="shared" si="2"/>
        <v>-1267543.7588424517</v>
      </c>
      <c r="AD8" s="8">
        <f t="shared" si="2"/>
        <v>-1137370.9807754585</v>
      </c>
      <c r="AE8" s="8">
        <f t="shared" si="2"/>
        <v>-1021491.6973826506</v>
      </c>
      <c r="AF8" s="8">
        <f t="shared" si="2"/>
        <v>-916886.02407037001</v>
      </c>
      <c r="AG8" s="8">
        <f t="shared" si="2"/>
        <v>-823760.21339897672</v>
      </c>
      <c r="AH8" s="8">
        <f t="shared" si="2"/>
        <v>-738485.77917000023</v>
      </c>
      <c r="AI8" s="8">
        <f t="shared" si="2"/>
        <v>-663161.15426405484</v>
      </c>
      <c r="AJ8" s="8">
        <f t="shared" si="2"/>
        <v>-594229.56945995032</v>
      </c>
      <c r="AK8" s="8">
        <f t="shared" si="2"/>
        <v>-532071.51183660049</v>
      </c>
      <c r="AL8" s="8">
        <f t="shared" si="2"/>
        <v>-476022.84201319987</v>
      </c>
      <c r="AM8" s="44">
        <f t="shared" si="2"/>
        <v>-413838404.21711123</v>
      </c>
      <c r="AR8" s="66">
        <f>SUBTOTAL(109,AR3:AR7)</f>
        <v>115296</v>
      </c>
    </row>
    <row r="9" spans="1:45" x14ac:dyDescent="0.35">
      <c r="A9" s="83" t="s">
        <v>368</v>
      </c>
      <c r="B9" s="83"/>
      <c r="C9" s="83"/>
      <c r="D9" s="83"/>
      <c r="E9" s="47"/>
      <c r="H9" s="47" t="s">
        <v>285</v>
      </c>
      <c r="I9" s="8">
        <f>I8</f>
        <v>-124904237.67864248</v>
      </c>
      <c r="J9" s="8">
        <f t="shared" ref="J9:AL9" si="3">J8+I9</f>
        <v>-238637654.41387069</v>
      </c>
      <c r="K9" s="8">
        <f t="shared" si="3"/>
        <v>-342234059.65863049</v>
      </c>
      <c r="L9" s="8">
        <f t="shared" si="3"/>
        <v>-349873137.04326057</v>
      </c>
      <c r="M9" s="8">
        <f t="shared" si="3"/>
        <v>-356719714.56543082</v>
      </c>
      <c r="N9" s="8">
        <f t="shared" si="3"/>
        <v>-362870611.23151273</v>
      </c>
      <c r="O9" s="8">
        <f t="shared" si="3"/>
        <v>-368405581.68655252</v>
      </c>
      <c r="P9" s="8">
        <f t="shared" si="3"/>
        <v>-373384403.96255028</v>
      </c>
      <c r="Q9" s="8">
        <f t="shared" si="3"/>
        <v>-377868280.99180716</v>
      </c>
      <c r="R9" s="8">
        <f t="shared" si="3"/>
        <v>-381906207.59833139</v>
      </c>
      <c r="S9" s="8">
        <f t="shared" si="3"/>
        <v>-385547369.87096769</v>
      </c>
      <c r="T9" s="8">
        <f t="shared" si="3"/>
        <v>-388827312.86249352</v>
      </c>
      <c r="U9" s="8">
        <f t="shared" si="3"/>
        <v>-391784093.11192912</v>
      </c>
      <c r="V9" s="8">
        <f t="shared" si="3"/>
        <v>-394445292.4124276</v>
      </c>
      <c r="W9" s="8">
        <f t="shared" si="3"/>
        <v>-396842859.29061538</v>
      </c>
      <c r="X9" s="8">
        <f t="shared" si="3"/>
        <v>-398999766.79707927</v>
      </c>
      <c r="Y9" s="8">
        <f t="shared" si="3"/>
        <v>-400941772.3057766</v>
      </c>
      <c r="Z9" s="8">
        <f t="shared" si="3"/>
        <v>-402687103.93423533</v>
      </c>
      <c r="AA9" s="8">
        <f t="shared" si="3"/>
        <v>-404257398.57801688</v>
      </c>
      <c r="AB9" s="8">
        <f t="shared" si="3"/>
        <v>-405667380.68589753</v>
      </c>
      <c r="AC9" s="8">
        <f t="shared" si="3"/>
        <v>-406934924.44474</v>
      </c>
      <c r="AD9" s="8">
        <f t="shared" si="3"/>
        <v>-408072295.42551547</v>
      </c>
      <c r="AE9" s="8">
        <f t="shared" si="3"/>
        <v>-409093787.1228981</v>
      </c>
      <c r="AF9" s="8">
        <f t="shared" si="3"/>
        <v>-410010673.14696848</v>
      </c>
      <c r="AG9" s="8">
        <f t="shared" si="3"/>
        <v>-410834433.36036748</v>
      </c>
      <c r="AH9" s="8">
        <f t="shared" si="3"/>
        <v>-411572919.13953745</v>
      </c>
      <c r="AI9" s="8">
        <f t="shared" si="3"/>
        <v>-412236080.29380149</v>
      </c>
      <c r="AJ9" s="8">
        <f t="shared" si="3"/>
        <v>-412830309.86326146</v>
      </c>
      <c r="AK9" s="8">
        <f t="shared" si="3"/>
        <v>-413362381.37509805</v>
      </c>
      <c r="AL9" s="8">
        <f t="shared" si="3"/>
        <v>-413838404.21711123</v>
      </c>
      <c r="AM9" s="44"/>
    </row>
    <row r="10" spans="1:45" x14ac:dyDescent="0.35"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45" x14ac:dyDescent="0.35">
      <c r="H11" s="47" t="s">
        <v>284</v>
      </c>
      <c r="I11" s="2">
        <v>0</v>
      </c>
      <c r="J11" s="2">
        <v>1</v>
      </c>
      <c r="K11" s="2">
        <v>2</v>
      </c>
      <c r="L11" s="2">
        <v>3</v>
      </c>
      <c r="M11" s="2">
        <v>4</v>
      </c>
      <c r="N11" s="2">
        <v>5</v>
      </c>
      <c r="O11" s="2">
        <v>6</v>
      </c>
      <c r="P11" s="2">
        <v>7</v>
      </c>
      <c r="Q11" s="2">
        <v>8</v>
      </c>
      <c r="R11" s="2">
        <v>9</v>
      </c>
      <c r="S11" s="2">
        <v>10</v>
      </c>
      <c r="T11" s="2">
        <v>11</v>
      </c>
      <c r="U11" s="2">
        <v>12</v>
      </c>
      <c r="V11" s="2">
        <v>13</v>
      </c>
      <c r="W11" s="2">
        <v>14</v>
      </c>
      <c r="X11" s="2">
        <v>15</v>
      </c>
      <c r="Y11" s="2">
        <v>16</v>
      </c>
      <c r="Z11" s="2">
        <v>17</v>
      </c>
      <c r="AA11" s="2">
        <v>18</v>
      </c>
      <c r="AB11" s="2">
        <v>19</v>
      </c>
      <c r="AC11" s="2">
        <v>20</v>
      </c>
      <c r="AD11" s="2">
        <v>21</v>
      </c>
      <c r="AE11" s="2">
        <v>22</v>
      </c>
      <c r="AF11" s="2">
        <v>23</v>
      </c>
      <c r="AG11" s="2">
        <v>24</v>
      </c>
      <c r="AH11" s="2">
        <v>25</v>
      </c>
      <c r="AI11" s="2">
        <v>26</v>
      </c>
      <c r="AJ11" s="2">
        <v>27</v>
      </c>
      <c r="AK11" s="2">
        <v>28</v>
      </c>
      <c r="AL11" s="2">
        <v>29</v>
      </c>
    </row>
    <row r="12" spans="1:45" x14ac:dyDescent="0.35">
      <c r="A12" s="2" t="s">
        <v>254</v>
      </c>
      <c r="B12" s="46">
        <v>9.5500000000000002E-2</v>
      </c>
      <c r="C12" s="2" t="s">
        <v>255</v>
      </c>
      <c r="I12" s="2">
        <f>1/(1+$B$12)^I11</f>
        <v>1</v>
      </c>
      <c r="J12" s="2">
        <f t="shared" ref="J12:AL12" si="4">1/(1+$B$12)^J11</f>
        <v>0.91282519397535378</v>
      </c>
      <c r="K12" s="2">
        <f t="shared" si="4"/>
        <v>0.83324983475614223</v>
      </c>
      <c r="L12" s="2">
        <f t="shared" si="4"/>
        <v>0.76061144204120701</v>
      </c>
      <c r="M12" s="2">
        <f t="shared" si="4"/>
        <v>0.69430528712113837</v>
      </c>
      <c r="N12" s="2">
        <f t="shared" si="4"/>
        <v>0.63377935839446675</v>
      </c>
      <c r="O12" s="2">
        <f t="shared" si="4"/>
        <v>0.57852976576400439</v>
      </c>
      <c r="P12" s="2">
        <f t="shared" si="4"/>
        <v>0.52809654565404329</v>
      </c>
      <c r="Q12" s="2">
        <f t="shared" si="4"/>
        <v>0.48205983172436634</v>
      </c>
      <c r="R12" s="2">
        <f t="shared" si="4"/>
        <v>0.44003635940152108</v>
      </c>
      <c r="S12" s="2">
        <f t="shared" si="4"/>
        <v>0.40167627512690202</v>
      </c>
      <c r="T12" s="2">
        <f t="shared" si="4"/>
        <v>0.36666022375801188</v>
      </c>
      <c r="U12" s="2">
        <f t="shared" si="4"/>
        <v>0.33469668987495382</v>
      </c>
      <c r="V12" s="2">
        <f t="shared" si="4"/>
        <v>0.30551957085801351</v>
      </c>
      <c r="W12" s="2">
        <f t="shared" si="4"/>
        <v>0.27888596153173301</v>
      </c>
      <c r="X12" s="2">
        <f t="shared" si="4"/>
        <v>0.25457413193220724</v>
      </c>
      <c r="Y12" s="2">
        <f t="shared" si="4"/>
        <v>0.23238168136212439</v>
      </c>
      <c r="Z12" s="2">
        <f t="shared" si="4"/>
        <v>0.21212385336570003</v>
      </c>
      <c r="AA12" s="2">
        <f t="shared" si="4"/>
        <v>0.19363199759534466</v>
      </c>
      <c r="AB12" s="2">
        <f t="shared" si="4"/>
        <v>0.17675216576480571</v>
      </c>
      <c r="AC12" s="2">
        <f t="shared" si="4"/>
        <v>0.16134382999982266</v>
      </c>
      <c r="AD12" s="2">
        <f t="shared" si="4"/>
        <v>0.14727871291631461</v>
      </c>
      <c r="AE12" s="2">
        <f t="shared" si="4"/>
        <v>0.13443971968627533</v>
      </c>
      <c r="AF12" s="2">
        <f t="shared" si="4"/>
        <v>0.12271996320061647</v>
      </c>
      <c r="AG12" s="2">
        <f t="shared" si="4"/>
        <v>0.11202187421325101</v>
      </c>
      <c r="AH12" s="2">
        <f t="shared" si="4"/>
        <v>0.10225638905819352</v>
      </c>
      <c r="AI12" s="2">
        <f t="shared" si="4"/>
        <v>9.3342208177264741E-2</v>
      </c>
      <c r="AJ12" s="2">
        <f t="shared" si="4"/>
        <v>8.520511928549955E-2</v>
      </c>
      <c r="AK12" s="2">
        <f t="shared" si="4"/>
        <v>7.7777379539479274E-2</v>
      </c>
      <c r="AL12" s="2">
        <f t="shared" si="4"/>
        <v>7.0997151565019873E-2</v>
      </c>
    </row>
    <row r="14" spans="1:45" x14ac:dyDescent="0.35">
      <c r="A14" s="63" t="s">
        <v>354</v>
      </c>
    </row>
  </sheetData>
  <autoFilter ref="A2:AR9" xr:uid="{6A8C1C86-F6EA-4C2D-A641-3758738A5F02}"/>
  <mergeCells count="1">
    <mergeCell ref="A9:D9"/>
  </mergeCells>
  <conditionalFormatting sqref="D7">
    <cfRule type="duplicateValues" dxfId="32" priority="255"/>
  </conditionalFormatting>
  <hyperlinks>
    <hyperlink ref="A14" location="Introdução!A1" display="Introdução!A1" xr:uid="{44F01F96-4407-4158-A936-C2CE22D48137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7C28-B22C-4F06-A6A5-94ABAF74EF39}">
  <sheetPr>
    <tabColor theme="6" tint="-0.499984740745262"/>
  </sheetPr>
  <dimension ref="A1:AS12"/>
  <sheetViews>
    <sheetView topLeftCell="AG1" workbookViewId="0">
      <selection activeCell="AS2" sqref="AS2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131</v>
      </c>
      <c r="B3" t="s">
        <v>176</v>
      </c>
      <c r="C3">
        <v>170210</v>
      </c>
      <c r="D3" t="s">
        <v>133</v>
      </c>
      <c r="E3" t="s">
        <v>132</v>
      </c>
      <c r="F3" t="s">
        <v>32</v>
      </c>
      <c r="G3" t="s">
        <v>259</v>
      </c>
      <c r="H3" t="s">
        <v>33</v>
      </c>
      <c r="I3" s="1">
        <f>('RECEITAS - BLOCOS PAN'!H28-'OPEX - BLOCOS PAN'!H28-VLOOKUP('BLOCO MARANHÃO + TOCANTINS'!$D3,'CAPEX - BLOCOS PAN'!$C$3:$H$52,6,FALSE))*I$10</f>
        <v>-35210191.359099999</v>
      </c>
      <c r="J3" s="1">
        <f>('RECEITAS - BLOCOS PAN'!I28-'OPEX - BLOCOS PAN'!I28-VLOOKUP('BLOCO MARANHÃO + TOCANTINS'!$D3,'CAPEX - BLOCOS PAN'!$C$3:$I$52,7,FALSE))*J$10</f>
        <v>-32254297.374532178</v>
      </c>
      <c r="K3" s="1">
        <f>('RECEITAS - BLOCOS PAN'!J28-'OPEX - BLOCOS PAN'!J28-VLOOKUP('BLOCO MARANHÃO + TOCANTINS'!$D3,'CAPEX - BLOCOS PAN'!$C$3:$J$52,8,FALSE))*K$10</f>
        <v>-29403026.590543747</v>
      </c>
      <c r="L3" s="1">
        <f>('RECEITAS - BLOCOS PAN'!K28-'OPEX - BLOCOS PAN'!K28-VLOOKUP('BLOCO MARANHÃO + TOCANTINS'!$D3,'CAPEX - BLOCOS PAN'!$C$3:$K$52,9,FALSE))*L$10</f>
        <v>-2180985.3398371106</v>
      </c>
      <c r="M3" s="1">
        <f>('RECEITAS - BLOCOS PAN'!L28-'OPEX - BLOCOS PAN'!L28-VLOOKUP('BLOCO MARANHÃO + TOCANTINS'!$D3,'CAPEX - BLOCOS PAN'!$C$3:$L$52,10,FALSE))*M$10</f>
        <v>-1973343.650824792</v>
      </c>
      <c r="N3" s="1">
        <f>('RECEITAS - BLOCOS PAN'!M28-'OPEX - BLOCOS PAN'!M28-VLOOKUP('BLOCO MARANHÃO + TOCANTINS'!$D3,'CAPEX - BLOCOS PAN'!$C$3:$M$52,11,FALSE))*N$10</f>
        <v>-1787435.6808767573</v>
      </c>
      <c r="O3" s="1">
        <f>('RECEITAS - BLOCOS PAN'!N28-'OPEX - BLOCOS PAN'!N28-VLOOKUP('BLOCO MARANHÃO + TOCANTINS'!$D3,'CAPEX - BLOCOS PAN'!$C$3:$N$52,12,FALSE))*O$10</f>
        <v>-1619951.0439816669</v>
      </c>
      <c r="P3" s="1">
        <f>('RECEITAS - BLOCOS PAN'!O28-'OPEX - BLOCOS PAN'!O28-VLOOKUP('BLOCO MARANHÃO + TOCANTINS'!$D3,'CAPEX - BLOCOS PAN'!$C$3:$O$52,13,FALSE))*P$10</f>
        <v>-1468731.2062063063</v>
      </c>
      <c r="Q3" s="1">
        <f>('RECEITAS - BLOCOS PAN'!P28-'OPEX - BLOCOS PAN'!P28-VLOOKUP('BLOCO MARANHÃO + TOCANTINS'!$D3,'CAPEX - BLOCOS PAN'!$C$3:$P$52,14,FALSE))*Q$10</f>
        <v>-1332301.282718627</v>
      </c>
      <c r="R3" s="1">
        <f>('RECEITAS - BLOCOS PAN'!Q28-'OPEX - BLOCOS PAN'!Q28-VLOOKUP('BLOCO MARANHÃO + TOCANTINS'!$D3,'CAPEX - BLOCOS PAN'!$C$3:$Q$52,15,FALSE))*R$10</f>
        <v>-1209318.6126665354</v>
      </c>
      <c r="S3" s="1">
        <f>('RECEITAS - BLOCOS PAN'!R28-'OPEX - BLOCOS PAN'!R28-VLOOKUP('BLOCO MARANHÃO + TOCANTINS'!$D3,'CAPEX - BLOCOS PAN'!$C$3:$R$52,16,FALSE))*S$10</f>
        <v>-1098156.9531645791</v>
      </c>
      <c r="T3" s="1">
        <f>('RECEITAS - BLOCOS PAN'!S28-'OPEX - BLOCOS PAN'!S28-VLOOKUP('BLOCO MARANHÃO + TOCANTINS'!$D3,'CAPEX - BLOCOS PAN'!$C$3:$S$52,17,FALSE))*T$10</f>
        <v>-997238.41874834441</v>
      </c>
      <c r="U3" s="1">
        <f>('RECEITAS - BLOCOS PAN'!T28-'OPEX - BLOCOS PAN'!T28-VLOOKUP('BLOCO MARANHÃO + TOCANTINS'!$D3,'CAPEX - BLOCOS PAN'!$C$3:$T$52,18,FALSE))*U$10</f>
        <v>-905645.96933107637</v>
      </c>
      <c r="V3" s="1">
        <f>('RECEITAS - BLOCOS PAN'!U28-'OPEX - BLOCOS PAN'!U28-VLOOKUP('BLOCO MARANHÃO + TOCANTINS'!$D3,'CAPEX - BLOCOS PAN'!$C$3:$U$52,19,FALSE))*V$10</f>
        <v>-822326.74022656947</v>
      </c>
      <c r="W3" s="1">
        <f>('RECEITAS - BLOCOS PAN'!V28-'OPEX - BLOCOS PAN'!V28-VLOOKUP('BLOCO MARANHÃO + TOCANTINS'!$D3,'CAPEX - BLOCOS PAN'!$C$3:$V$52,20,FALSE))*W$10</f>
        <v>-746782.82999570156</v>
      </c>
      <c r="X3" s="1">
        <f>('RECEITAS - BLOCOS PAN'!W28-'OPEX - BLOCOS PAN'!W28-VLOOKUP('BLOCO MARANHÃO + TOCANTINS'!$D3,'CAPEX - BLOCOS PAN'!$C$3:$W$52,21,FALSE))*X$10</f>
        <v>-831370.14235730213</v>
      </c>
      <c r="Y3" s="1">
        <f>('RECEITAS - BLOCOS PAN'!X28-'OPEX - BLOCOS PAN'!X28-VLOOKUP('BLOCO MARANHÃO + TOCANTINS'!$D3,'CAPEX - BLOCOS PAN'!$C$3:$X$52,22,FALSE))*Y$10</f>
        <v>-755404.65330882184</v>
      </c>
      <c r="Z3" s="1">
        <f>('RECEITAS - BLOCOS PAN'!Y28-'OPEX - BLOCOS PAN'!Y28-VLOOKUP('BLOCO MARANHÃO + TOCANTINS'!$D3,'CAPEX - BLOCOS PAN'!$C$3:$Y$52,23,FALSE))*Z$10</f>
        <v>-686236.47908948513</v>
      </c>
      <c r="AA3" s="1">
        <f>('RECEITAS - BLOCOS PAN'!Z28-'OPEX - BLOCOS PAN'!Z28-VLOOKUP('BLOCO MARANHÃO + TOCANTINS'!$D3,'CAPEX - BLOCOS PAN'!$C$3:$Z$52,24,FALSE))*AA$10</f>
        <v>-623387.94065345323</v>
      </c>
      <c r="AB3" s="1">
        <f>('RECEITAS - BLOCOS PAN'!AA28-'OPEX - BLOCOS PAN'!AA28-VLOOKUP('BLOCO MARANHÃO + TOCANTINS'!$D3,'CAPEX - BLOCOS PAN'!$C$3:$AA$52,25,FALSE))*AB$10</f>
        <v>-566229.8585824141</v>
      </c>
      <c r="AC3" s="1">
        <f>('RECEITAS - BLOCOS PAN'!AB28-'OPEX - BLOCOS PAN'!AB28-VLOOKUP('BLOCO MARANHÃO + TOCANTINS'!$D3,'CAPEX - BLOCOS PAN'!$C$3:$AB$52,26,FALSE))*AC$10</f>
        <v>-514400.65224828728</v>
      </c>
      <c r="AD3" s="1">
        <f>('RECEITAS - BLOCOS PAN'!AC28-'OPEX - BLOCOS PAN'!AC28-VLOOKUP('BLOCO MARANHÃO + TOCANTINS'!$D3,'CAPEX - BLOCOS PAN'!$C$3:$AC$52,27,FALSE))*AD$10</f>
        <v>-467281.40202188218</v>
      </c>
      <c r="AE3" s="1">
        <f>('RECEITAS - BLOCOS PAN'!AD28-'OPEX - BLOCOS PAN'!AD28-VLOOKUP('BLOCO MARANHÃO + TOCANTINS'!$D3,'CAPEX - BLOCOS PAN'!$C$3:$AD$52,28,FALSE))*AE$10</f>
        <v>-424524.52677457256</v>
      </c>
      <c r="AF3" s="1">
        <f>('RECEITAS - BLOCOS PAN'!AE28-'OPEX - BLOCOS PAN'!AE28-VLOOKUP('BLOCO MARANHÃO + TOCANTINS'!$D3,'CAPEX - BLOCOS PAN'!$C$3:$AE$52,29,FALSE))*AF$10</f>
        <v>-385762.63235214446</v>
      </c>
      <c r="AG3" s="1">
        <f>('RECEITAS - BLOCOS PAN'!AF28-'OPEX - BLOCOS PAN'!AF28-VLOOKUP('BLOCO MARANHÃO + TOCANTINS'!$D3,'CAPEX - BLOCOS PAN'!$C$3:$AF$52,30,FALSE))*AG$10</f>
        <v>-350593.57128322107</v>
      </c>
      <c r="AH3" s="1">
        <f>('RECEITAS - BLOCOS PAN'!AG28-'OPEX - BLOCOS PAN'!AG28-VLOOKUP('BLOCO MARANHÃO + TOCANTINS'!$D3,'CAPEX - BLOCOS PAN'!$C$3:$AG$52,31,FALSE))*AH$10</f>
        <v>-318597.2136082853</v>
      </c>
      <c r="AI3" s="1">
        <f>('RECEITAS - BLOCOS PAN'!AH28-'OPEX - BLOCOS PAN'!AH28-VLOOKUP('BLOCO MARANHÃO + TOCANTINS'!$D3,'CAPEX - BLOCOS PAN'!$C$3:$AH$52,32,FALSE))*AI$10</f>
        <v>-289612.54204448324</v>
      </c>
      <c r="AJ3" s="1">
        <f>('RECEITAS - BLOCOS PAN'!AI28-'OPEX - BLOCOS PAN'!AI28-VLOOKUP('BLOCO MARANHÃO + TOCANTINS'!$D3,'CAPEX - BLOCOS PAN'!$C$3:$AI$52,33,FALSE))*AJ$10</f>
        <v>-263280.02157942182</v>
      </c>
      <c r="AK3" s="1">
        <f>('RECEITAS - BLOCOS PAN'!AJ28-'OPEX - BLOCOS PAN'!AJ28-VLOOKUP('BLOCO MARANHÃO + TOCANTINS'!$D3,'CAPEX - BLOCOS PAN'!$C$3:$AJ$52,34,FALSE))*AK$10</f>
        <v>-239325.58864835554</v>
      </c>
      <c r="AL3" s="1">
        <f>('RECEITAS - BLOCOS PAN'!AK28-'OPEX - BLOCOS PAN'!AK28-VLOOKUP('BLOCO MARANHÃO + TOCANTINS'!$D3,'CAPEX - BLOCOS PAN'!$C$3:$AK$52,35,FALSE))*AL$10</f>
        <v>-217532.49579601921</v>
      </c>
      <c r="AM3" s="44">
        <f t="shared" ref="AM3" si="0">SUM(I3:AL3)</f>
        <v>-119943272.77310213</v>
      </c>
      <c r="AN3">
        <v>1</v>
      </c>
      <c r="AO3" t="s">
        <v>316</v>
      </c>
      <c r="AP3">
        <v>-7.2166666666666668</v>
      </c>
      <c r="AQ3">
        <v>-48.233333333333334</v>
      </c>
      <c r="AR3" s="48">
        <f>VLOOKUP(D3,'Projeção - Demanda PAX'!$C$3:$H$37,6,FALSE)</f>
        <v>25831</v>
      </c>
      <c r="AS3" t="str">
        <f>VLOOKUP(D3,'FLUXO DE CAIXA DESC.-BLOCOS PAN'!$D$3:$AU$52,44,FALSE)</f>
        <v>Bloco 9 - MA/TO</v>
      </c>
    </row>
    <row r="4" spans="1:45" x14ac:dyDescent="0.35">
      <c r="A4" t="s">
        <v>88</v>
      </c>
      <c r="B4" s="5" t="s">
        <v>270</v>
      </c>
      <c r="C4">
        <v>210120</v>
      </c>
      <c r="D4" t="s">
        <v>292</v>
      </c>
      <c r="E4" t="s">
        <v>234</v>
      </c>
      <c r="F4" t="s">
        <v>31</v>
      </c>
      <c r="G4" t="s">
        <v>258</v>
      </c>
      <c r="H4" t="s">
        <v>33</v>
      </c>
      <c r="I4" s="1">
        <f>'FLUXO DE CAIXA DESC.-BLOCOS PAN'!I44</f>
        <v>-13798901.61544523</v>
      </c>
      <c r="J4" s="1">
        <f>'FLUXO DE CAIXA DESC.-BLOCOS PAN'!J44</f>
        <v>-12595985.043765616</v>
      </c>
      <c r="K4" s="1">
        <f>'FLUXO DE CAIXA DESC.-BLOCOS PAN'!K44</f>
        <v>-11497932.490886003</v>
      </c>
      <c r="L4" s="1">
        <f>'FLUXO DE CAIXA DESC.-BLOCOS PAN'!L44</f>
        <v>-370439.04596761259</v>
      </c>
      <c r="M4" s="1">
        <f>'FLUXO DE CAIXA DESC.-BLOCOS PAN'!M44</f>
        <v>-338146.09399143094</v>
      </c>
      <c r="N4" s="1">
        <f>'FLUXO DE CAIXA DESC.-BLOCOS PAN'!N44</f>
        <v>-308668.27383973612</v>
      </c>
      <c r="O4" s="1">
        <f>'FLUXO DE CAIXA DESC.-BLOCOS PAN'!O44</f>
        <v>-281760.17694179475</v>
      </c>
      <c r="P4" s="1">
        <f>'FLUXO DE CAIXA DESC.-BLOCOS PAN'!P44</f>
        <v>-257197.7881714238</v>
      </c>
      <c r="Q4" s="1">
        <f>'FLUXO DE CAIXA DESC.-BLOCOS PAN'!Q44</f>
        <v>-234776.62087761189</v>
      </c>
      <c r="R4" s="1">
        <f>'FLUXO DE CAIXA DESC.-BLOCOS PAN'!R44</f>
        <v>-214310.01449348417</v>
      </c>
      <c r="S4" s="1">
        <f>'FLUXO DE CAIXA DESC.-BLOCOS PAN'!S44</f>
        <v>-195627.58055087557</v>
      </c>
      <c r="T4" s="1">
        <f>'FLUXO DE CAIXA DESC.-BLOCOS PAN'!T44</f>
        <v>-178573.78416328214</v>
      </c>
      <c r="U4" s="1">
        <f>'FLUXO DE CAIXA DESC.-BLOCOS PAN'!U44</f>
        <v>-163006.64916776097</v>
      </c>
      <c r="V4" s="1">
        <f>'FLUXO DE CAIXA DESC.-BLOCOS PAN'!V44</f>
        <v>-148796.57614583382</v>
      </c>
      <c r="W4" s="1">
        <f>'FLUXO DE CAIXA DESC.-BLOCOS PAN'!W44</f>
        <v>-135825.26348318925</v>
      </c>
      <c r="X4" s="1">
        <f>'FLUXO DE CAIXA DESC.-BLOCOS PAN'!X44</f>
        <v>-123984.72248579578</v>
      </c>
      <c r="Y4" s="1">
        <f>'FLUXO DE CAIXA DESC.-BLOCOS PAN'!Y44</f>
        <v>-113176.37835307694</v>
      </c>
      <c r="Z4" s="1">
        <f>'FLUXO DE CAIXA DESC.-BLOCOS PAN'!Z44</f>
        <v>-103310.24952357548</v>
      </c>
      <c r="AA4" s="1">
        <f>'FLUXO DE CAIXA DESC.-BLOCOS PAN'!AA44</f>
        <v>-94304.198560999997</v>
      </c>
      <c r="AB4" s="1">
        <f>'FLUXO DE CAIXA DESC.-BLOCOS PAN'!AB44</f>
        <v>-86083.248344135092</v>
      </c>
      <c r="AC4" s="1">
        <f>'FLUXO DE CAIXA DESC.-BLOCOS PAN'!AC44</f>
        <v>-78578.957867763675</v>
      </c>
      <c r="AD4" s="1">
        <f>'FLUXO DE CAIXA DESC.-BLOCOS PAN'!AD44</f>
        <v>-71728.85245802252</v>
      </c>
      <c r="AE4" s="1">
        <f>'FLUXO DE CAIXA DESC.-BLOCOS PAN'!AE44</f>
        <v>-65475.903658623938</v>
      </c>
      <c r="AF4" s="1">
        <f>'FLUXO DE CAIXA DESC.-BLOCOS PAN'!AF44</f>
        <v>-59768.054457894978</v>
      </c>
      <c r="AG4" s="1">
        <f>'FLUXO DE CAIXA DESC.-BLOCOS PAN'!AG44</f>
        <v>-54557.785904057491</v>
      </c>
      <c r="AH4" s="1">
        <f>'FLUXO DE CAIXA DESC.-BLOCOS PAN'!AH44</f>
        <v>-49801.721500737098</v>
      </c>
      <c r="AI4" s="1">
        <f>'FLUXO DE CAIXA DESC.-BLOCOS PAN'!AI44</f>
        <v>-45460.266089216886</v>
      </c>
      <c r="AJ4" s="1">
        <f>'FLUXO DE CAIXA DESC.-BLOCOS PAN'!AJ44</f>
        <v>-41497.276211060605</v>
      </c>
      <c r="AK4" s="1">
        <f>'FLUXO DE CAIXA DESC.-BLOCOS PAN'!AK44</f>
        <v>-37879.759206810224</v>
      </c>
      <c r="AL4" s="1">
        <f>'FLUXO DE CAIXA DESC.-BLOCOS PAN'!AL44</f>
        <v>-34577.598545696237</v>
      </c>
      <c r="AM4" s="44">
        <f t="shared" ref="AM4:AM5" si="1">SUM(I4:AL4)</f>
        <v>-41780131.99105835</v>
      </c>
      <c r="AN4">
        <v>1</v>
      </c>
      <c r="AO4" t="s">
        <v>316</v>
      </c>
      <c r="AP4">
        <v>-4.2166666666666668</v>
      </c>
      <c r="AQ4">
        <v>-44.81666666666667</v>
      </c>
      <c r="AR4" s="48">
        <v>0</v>
      </c>
      <c r="AS4" t="str">
        <f>VLOOKUP(D4,'FLUXO DE CAIXA DESC.-BLOCOS PAN'!$D$3:$AU$52,44,FALSE)</f>
        <v>Bloco 9 - MA/TO</v>
      </c>
    </row>
    <row r="5" spans="1:45" x14ac:dyDescent="0.35">
      <c r="A5" t="s">
        <v>89</v>
      </c>
      <c r="B5" s="5" t="s">
        <v>271</v>
      </c>
      <c r="C5">
        <v>210140</v>
      </c>
      <c r="D5" t="s">
        <v>293</v>
      </c>
      <c r="E5" t="s">
        <v>235</v>
      </c>
      <c r="F5" t="s">
        <v>31</v>
      </c>
      <c r="G5" t="s">
        <v>258</v>
      </c>
      <c r="H5" t="s">
        <v>33</v>
      </c>
      <c r="I5" s="1">
        <f>'FLUXO DE CAIXA DESC.-BLOCOS PAN'!I45</f>
        <v>-10153084.235431917</v>
      </c>
      <c r="J5" s="1">
        <f>'FLUXO DE CAIXA DESC.-BLOCOS PAN'!J45</f>
        <v>-9267991.0866562463</v>
      </c>
      <c r="K5" s="1">
        <f>'FLUXO DE CAIXA DESC.-BLOCOS PAN'!K45</f>
        <v>-8460055.7614388373</v>
      </c>
      <c r="L5" s="1">
        <f>'FLUXO DE CAIXA DESC.-BLOCOS PAN'!L45</f>
        <v>-329109.77315858932</v>
      </c>
      <c r="M5" s="1">
        <f>'FLUXO DE CAIXA DESC.-BLOCOS PAN'!M45</f>
        <v>-300419.69252267398</v>
      </c>
      <c r="N5" s="1">
        <f>'FLUXO DE CAIXA DESC.-BLOCOS PAN'!N45</f>
        <v>-274230.66410102596</v>
      </c>
      <c r="O5" s="1">
        <f>'FLUXO DE CAIXA DESC.-BLOCOS PAN'!O45</f>
        <v>-250324.65915200915</v>
      </c>
      <c r="P5" s="1">
        <f>'FLUXO DE CAIXA DESC.-BLOCOS PAN'!P45</f>
        <v>-228502.65554724706</v>
      </c>
      <c r="Q5" s="1">
        <f>'FLUXO DE CAIXA DESC.-BLOCOS PAN'!Q45</f>
        <v>-208582.98087379924</v>
      </c>
      <c r="R5" s="1">
        <f>'FLUXO DE CAIXA DESC.-BLOCOS PAN'!R45</f>
        <v>-190399.7999760833</v>
      </c>
      <c r="S5" s="1">
        <f>'FLUXO DE CAIXA DESC.-BLOCOS PAN'!S45</f>
        <v>-173801.73434603683</v>
      </c>
      <c r="T5" s="1">
        <f>'FLUXO DE CAIXA DESC.-BLOCOS PAN'!T45</f>
        <v>-158650.60186767395</v>
      </c>
      <c r="U5" s="1">
        <f>'FLUXO DE CAIXA DESC.-BLOCOS PAN'!U45</f>
        <v>-144820.2664241661</v>
      </c>
      <c r="V5" s="1">
        <f>'FLUXO DE CAIXA DESC.-BLOCOS PAN'!V45</f>
        <v>-132195.58779020183</v>
      </c>
      <c r="W5" s="1">
        <f>'FLUXO DE CAIXA DESC.-BLOCOS PAN'!W45</f>
        <v>-120671.46306727688</v>
      </c>
      <c r="X5" s="1">
        <f>'FLUXO DE CAIXA DESC.-BLOCOS PAN'!X45</f>
        <v>-110151.95168167676</v>
      </c>
      <c r="Y5" s="1">
        <f>'FLUXO DE CAIXA DESC.-BLOCOS PAN'!Y45</f>
        <v>-100549.47666059039</v>
      </c>
      <c r="Z5" s="1">
        <f>'FLUXO DE CAIXA DESC.-BLOCOS PAN'!Z45</f>
        <v>-91784.095536823719</v>
      </c>
      <c r="AA5" s="1">
        <f>'FLUXO DE CAIXA DESC.-BLOCOS PAN'!AA45</f>
        <v>-83782.834812253524</v>
      </c>
      <c r="AB5" s="1">
        <f>'FLUXO DE CAIXA DESC.-BLOCOS PAN'!AB45</f>
        <v>-76479.082439300342</v>
      </c>
      <c r="AC5" s="1">
        <f>'FLUXO DE CAIXA DESC.-BLOCOS PAN'!AC45</f>
        <v>-69812.033262711411</v>
      </c>
      <c r="AD5" s="1">
        <f>'FLUXO DE CAIXA DESC.-BLOCOS PAN'!AD45</f>
        <v>-63726.182804848388</v>
      </c>
      <c r="AE5" s="1">
        <f>'FLUXO DE CAIXA DESC.-BLOCOS PAN'!AE45</f>
        <v>-58170.865180144581</v>
      </c>
      <c r="AF5" s="1">
        <f>'FLUXO DE CAIXA DESC.-BLOCOS PAN'!AF45</f>
        <v>-53099.831291779636</v>
      </c>
      <c r="AG5" s="1">
        <f>'FLUXO DE CAIXA DESC.-BLOCOS PAN'!AG45</f>
        <v>-48470.863798977305</v>
      </c>
      <c r="AH5" s="1">
        <f>'FLUXO DE CAIXA DESC.-BLOCOS PAN'!AH45</f>
        <v>-44245.42564945441</v>
      </c>
      <c r="AI5" s="1">
        <f>'FLUXO DE CAIXA DESC.-BLOCOS PAN'!AI45</f>
        <v>-40388.339250985315</v>
      </c>
      <c r="AJ5" s="1">
        <f>'FLUXO DE CAIXA DESC.-BLOCOS PAN'!AJ45</f>
        <v>-36867.493611123064</v>
      </c>
      <c r="AK5" s="1">
        <f>'FLUXO DE CAIXA DESC.-BLOCOS PAN'!AK45</f>
        <v>-33653.577006958527</v>
      </c>
      <c r="AL5" s="1">
        <f>'FLUXO DE CAIXA DESC.-BLOCOS PAN'!AL45</f>
        <v>-30719.832959341416</v>
      </c>
      <c r="AM5" s="44">
        <f t="shared" si="1"/>
        <v>-31334742.848300759</v>
      </c>
      <c r="AN5">
        <v>1</v>
      </c>
      <c r="AO5" t="s">
        <v>316</v>
      </c>
      <c r="AP5">
        <v>-7.5166666666666666</v>
      </c>
      <c r="AQ5">
        <v>-46.05</v>
      </c>
      <c r="AR5" s="48">
        <v>0</v>
      </c>
      <c r="AS5" t="str">
        <f>VLOOKUP(D5,'FLUXO DE CAIXA DESC.-BLOCOS PAN'!$D$3:$AU$52,44,FALSE)</f>
        <v>Bloco 9 - MA/TO</v>
      </c>
    </row>
    <row r="6" spans="1:45" x14ac:dyDescent="0.35">
      <c r="B6" s="6"/>
      <c r="C6" s="6"/>
      <c r="D6" s="6"/>
      <c r="H6" s="47" t="s">
        <v>250</v>
      </c>
      <c r="I6" s="8">
        <f t="shared" ref="I6:AM6" si="2">SUBTOTAL(109,I3:I5)</f>
        <v>-59162177.209977143</v>
      </c>
      <c r="J6" s="8">
        <f t="shared" si="2"/>
        <v>-54118273.50495404</v>
      </c>
      <c r="K6" s="8">
        <f t="shared" si="2"/>
        <v>-49361014.842868589</v>
      </c>
      <c r="L6" s="8">
        <f t="shared" si="2"/>
        <v>-2880534.1589633124</v>
      </c>
      <c r="M6" s="8">
        <f t="shared" si="2"/>
        <v>-2611909.437338897</v>
      </c>
      <c r="N6" s="8">
        <f t="shared" si="2"/>
        <v>-2370334.6188175194</v>
      </c>
      <c r="O6" s="8">
        <f t="shared" si="2"/>
        <v>-2152035.880075471</v>
      </c>
      <c r="P6" s="8">
        <f t="shared" si="2"/>
        <v>-1954431.6499249772</v>
      </c>
      <c r="Q6" s="8">
        <f t="shared" si="2"/>
        <v>-1775660.8844700381</v>
      </c>
      <c r="R6" s="8">
        <f t="shared" si="2"/>
        <v>-1614028.4271361029</v>
      </c>
      <c r="S6" s="8">
        <f t="shared" si="2"/>
        <v>-1467586.2680614914</v>
      </c>
      <c r="T6" s="8">
        <f t="shared" si="2"/>
        <v>-1334462.8047793005</v>
      </c>
      <c r="U6" s="8">
        <f t="shared" si="2"/>
        <v>-1213472.8849230034</v>
      </c>
      <c r="V6" s="8">
        <f t="shared" si="2"/>
        <v>-1103318.9041626051</v>
      </c>
      <c r="W6" s="8">
        <f t="shared" si="2"/>
        <v>-1003279.5565461677</v>
      </c>
      <c r="X6" s="8">
        <f t="shared" si="2"/>
        <v>-1065506.8165247745</v>
      </c>
      <c r="Y6" s="8">
        <f t="shared" si="2"/>
        <v>-969130.50832248922</v>
      </c>
      <c r="Z6" s="8">
        <f t="shared" si="2"/>
        <v>-881330.8241498844</v>
      </c>
      <c r="AA6" s="8">
        <f t="shared" si="2"/>
        <v>-801474.97402670677</v>
      </c>
      <c r="AB6" s="8">
        <f t="shared" si="2"/>
        <v>-728792.1893658496</v>
      </c>
      <c r="AC6" s="8">
        <f t="shared" si="2"/>
        <v>-662791.6433787623</v>
      </c>
      <c r="AD6" s="8">
        <f t="shared" si="2"/>
        <v>-602736.43728475308</v>
      </c>
      <c r="AE6" s="8">
        <f t="shared" si="2"/>
        <v>-548171.29561334103</v>
      </c>
      <c r="AF6" s="8">
        <f t="shared" si="2"/>
        <v>-498630.51810181909</v>
      </c>
      <c r="AG6" s="8">
        <f t="shared" si="2"/>
        <v>-453622.22098625585</v>
      </c>
      <c r="AH6" s="8">
        <f t="shared" si="2"/>
        <v>-412644.36075847683</v>
      </c>
      <c r="AI6" s="8">
        <f t="shared" si="2"/>
        <v>-375461.14738468541</v>
      </c>
      <c r="AJ6" s="8">
        <f t="shared" si="2"/>
        <v>-341644.79140160547</v>
      </c>
      <c r="AK6" s="8">
        <f t="shared" si="2"/>
        <v>-310858.92486212432</v>
      </c>
      <c r="AL6" s="8">
        <f t="shared" si="2"/>
        <v>-282829.92730105686</v>
      </c>
      <c r="AM6" s="44">
        <f t="shared" si="2"/>
        <v>-193058147.61246124</v>
      </c>
      <c r="AR6" s="66">
        <f>SUBTOTAL(109,AR3:AR5)</f>
        <v>25831</v>
      </c>
    </row>
    <row r="7" spans="1:45" x14ac:dyDescent="0.35">
      <c r="A7" s="83" t="s">
        <v>368</v>
      </c>
      <c r="B7" s="83"/>
      <c r="C7" s="83"/>
      <c r="D7" s="83"/>
      <c r="E7" s="47"/>
      <c r="H7" s="47" t="s">
        <v>285</v>
      </c>
      <c r="I7" s="8">
        <f>I6</f>
        <v>-59162177.209977143</v>
      </c>
      <c r="J7" s="8">
        <f t="shared" ref="J7:AL7" si="3">J6+I7</f>
        <v>-113280450.71493119</v>
      </c>
      <c r="K7" s="8">
        <f t="shared" si="3"/>
        <v>-162641465.55779979</v>
      </c>
      <c r="L7" s="8">
        <f t="shared" si="3"/>
        <v>-165521999.71676311</v>
      </c>
      <c r="M7" s="8">
        <f t="shared" si="3"/>
        <v>-168133909.154102</v>
      </c>
      <c r="N7" s="8">
        <f t="shared" si="3"/>
        <v>-170504243.77291951</v>
      </c>
      <c r="O7" s="8">
        <f t="shared" si="3"/>
        <v>-172656279.65299499</v>
      </c>
      <c r="P7" s="8">
        <f t="shared" si="3"/>
        <v>-174610711.30291995</v>
      </c>
      <c r="Q7" s="8">
        <f t="shared" si="3"/>
        <v>-176386372.18739</v>
      </c>
      <c r="R7" s="8">
        <f t="shared" si="3"/>
        <v>-178000400.61452609</v>
      </c>
      <c r="S7" s="8">
        <f t="shared" si="3"/>
        <v>-179467986.88258758</v>
      </c>
      <c r="T7" s="8">
        <f t="shared" si="3"/>
        <v>-180802449.68736687</v>
      </c>
      <c r="U7" s="8">
        <f t="shared" si="3"/>
        <v>-182015922.57228988</v>
      </c>
      <c r="V7" s="8">
        <f t="shared" si="3"/>
        <v>-183119241.4764525</v>
      </c>
      <c r="W7" s="8">
        <f t="shared" si="3"/>
        <v>-184122521.03299868</v>
      </c>
      <c r="X7" s="8">
        <f t="shared" si="3"/>
        <v>-185188027.84952345</v>
      </c>
      <c r="Y7" s="8">
        <f t="shared" si="3"/>
        <v>-186157158.35784593</v>
      </c>
      <c r="Z7" s="8">
        <f t="shared" si="3"/>
        <v>-187038489.18199581</v>
      </c>
      <c r="AA7" s="8">
        <f t="shared" si="3"/>
        <v>-187839964.15602252</v>
      </c>
      <c r="AB7" s="8">
        <f t="shared" si="3"/>
        <v>-188568756.34538838</v>
      </c>
      <c r="AC7" s="8">
        <f t="shared" si="3"/>
        <v>-189231547.98876715</v>
      </c>
      <c r="AD7" s="8">
        <f t="shared" si="3"/>
        <v>-189834284.42605191</v>
      </c>
      <c r="AE7" s="8">
        <f t="shared" si="3"/>
        <v>-190382455.72166526</v>
      </c>
      <c r="AF7" s="8">
        <f t="shared" si="3"/>
        <v>-190881086.23976707</v>
      </c>
      <c r="AG7" s="8">
        <f t="shared" si="3"/>
        <v>-191334708.46075332</v>
      </c>
      <c r="AH7" s="8">
        <f t="shared" si="3"/>
        <v>-191747352.82151181</v>
      </c>
      <c r="AI7" s="8">
        <f t="shared" si="3"/>
        <v>-192122813.96889648</v>
      </c>
      <c r="AJ7" s="8">
        <f t="shared" si="3"/>
        <v>-192464458.76029807</v>
      </c>
      <c r="AK7" s="8">
        <f t="shared" si="3"/>
        <v>-192775317.68516019</v>
      </c>
      <c r="AL7" s="8">
        <f t="shared" si="3"/>
        <v>-193058147.61246124</v>
      </c>
      <c r="AM7" s="44"/>
    </row>
    <row r="8" spans="1:45" x14ac:dyDescent="0.35"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45" x14ac:dyDescent="0.35">
      <c r="H9" s="47" t="s">
        <v>284</v>
      </c>
      <c r="I9" s="2">
        <v>0</v>
      </c>
      <c r="J9" s="2">
        <v>1</v>
      </c>
      <c r="K9" s="2">
        <v>2</v>
      </c>
      <c r="L9" s="2">
        <v>3</v>
      </c>
      <c r="M9" s="2">
        <v>4</v>
      </c>
      <c r="N9" s="2">
        <v>5</v>
      </c>
      <c r="O9" s="2">
        <v>6</v>
      </c>
      <c r="P9" s="2">
        <v>7</v>
      </c>
      <c r="Q9" s="2">
        <v>8</v>
      </c>
      <c r="R9" s="2">
        <v>9</v>
      </c>
      <c r="S9" s="2">
        <v>10</v>
      </c>
      <c r="T9" s="2">
        <v>11</v>
      </c>
      <c r="U9" s="2">
        <v>12</v>
      </c>
      <c r="V9" s="2">
        <v>13</v>
      </c>
      <c r="W9" s="2">
        <v>14</v>
      </c>
      <c r="X9" s="2">
        <v>15</v>
      </c>
      <c r="Y9" s="2">
        <v>16</v>
      </c>
      <c r="Z9" s="2">
        <v>17</v>
      </c>
      <c r="AA9" s="2">
        <v>18</v>
      </c>
      <c r="AB9" s="2">
        <v>19</v>
      </c>
      <c r="AC9" s="2">
        <v>20</v>
      </c>
      <c r="AD9" s="2">
        <v>21</v>
      </c>
      <c r="AE9" s="2">
        <v>22</v>
      </c>
      <c r="AF9" s="2">
        <v>23</v>
      </c>
      <c r="AG9" s="2">
        <v>24</v>
      </c>
      <c r="AH9" s="2">
        <v>25</v>
      </c>
      <c r="AI9" s="2">
        <v>26</v>
      </c>
      <c r="AJ9" s="2">
        <v>27</v>
      </c>
      <c r="AK9" s="2">
        <v>28</v>
      </c>
      <c r="AL9" s="2">
        <v>29</v>
      </c>
    </row>
    <row r="10" spans="1:45" x14ac:dyDescent="0.35">
      <c r="A10" s="2" t="s">
        <v>254</v>
      </c>
      <c r="B10" s="46">
        <v>9.5500000000000002E-2</v>
      </c>
      <c r="C10" s="2" t="s">
        <v>255</v>
      </c>
      <c r="I10" s="2">
        <f>1/(1+$B$10)^I9</f>
        <v>1</v>
      </c>
      <c r="J10" s="2">
        <f t="shared" ref="J10:AL10" si="4">1/(1+$B$10)^J9</f>
        <v>0.91282519397535378</v>
      </c>
      <c r="K10" s="2">
        <f t="shared" si="4"/>
        <v>0.83324983475614223</v>
      </c>
      <c r="L10" s="2">
        <f t="shared" si="4"/>
        <v>0.76061144204120701</v>
      </c>
      <c r="M10" s="2">
        <f t="shared" si="4"/>
        <v>0.69430528712113837</v>
      </c>
      <c r="N10" s="2">
        <f t="shared" si="4"/>
        <v>0.63377935839446675</v>
      </c>
      <c r="O10" s="2">
        <f t="shared" si="4"/>
        <v>0.57852976576400439</v>
      </c>
      <c r="P10" s="2">
        <f t="shared" si="4"/>
        <v>0.52809654565404329</v>
      </c>
      <c r="Q10" s="2">
        <f t="shared" si="4"/>
        <v>0.48205983172436634</v>
      </c>
      <c r="R10" s="2">
        <f t="shared" si="4"/>
        <v>0.44003635940152108</v>
      </c>
      <c r="S10" s="2">
        <f t="shared" si="4"/>
        <v>0.40167627512690202</v>
      </c>
      <c r="T10" s="2">
        <f t="shared" si="4"/>
        <v>0.36666022375801188</v>
      </c>
      <c r="U10" s="2">
        <f t="shared" si="4"/>
        <v>0.33469668987495382</v>
      </c>
      <c r="V10" s="2">
        <f t="shared" si="4"/>
        <v>0.30551957085801351</v>
      </c>
      <c r="W10" s="2">
        <f t="shared" si="4"/>
        <v>0.27888596153173301</v>
      </c>
      <c r="X10" s="2">
        <f t="shared" si="4"/>
        <v>0.25457413193220724</v>
      </c>
      <c r="Y10" s="2">
        <f t="shared" si="4"/>
        <v>0.23238168136212439</v>
      </c>
      <c r="Z10" s="2">
        <f t="shared" si="4"/>
        <v>0.21212385336570003</v>
      </c>
      <c r="AA10" s="2">
        <f t="shared" si="4"/>
        <v>0.19363199759534466</v>
      </c>
      <c r="AB10" s="2">
        <f t="shared" si="4"/>
        <v>0.17675216576480571</v>
      </c>
      <c r="AC10" s="2">
        <f t="shared" si="4"/>
        <v>0.16134382999982266</v>
      </c>
      <c r="AD10" s="2">
        <f t="shared" si="4"/>
        <v>0.14727871291631461</v>
      </c>
      <c r="AE10" s="2">
        <f t="shared" si="4"/>
        <v>0.13443971968627533</v>
      </c>
      <c r="AF10" s="2">
        <f t="shared" si="4"/>
        <v>0.12271996320061647</v>
      </c>
      <c r="AG10" s="2">
        <f t="shared" si="4"/>
        <v>0.11202187421325101</v>
      </c>
      <c r="AH10" s="2">
        <f t="shared" si="4"/>
        <v>0.10225638905819352</v>
      </c>
      <c r="AI10" s="2">
        <f t="shared" si="4"/>
        <v>9.3342208177264741E-2</v>
      </c>
      <c r="AJ10" s="2">
        <f t="shared" si="4"/>
        <v>8.520511928549955E-2</v>
      </c>
      <c r="AK10" s="2">
        <f t="shared" si="4"/>
        <v>7.7777379539479274E-2</v>
      </c>
      <c r="AL10" s="2">
        <f t="shared" si="4"/>
        <v>7.0997151565019873E-2</v>
      </c>
    </row>
    <row r="12" spans="1:45" x14ac:dyDescent="0.35">
      <c r="A12" s="63" t="s">
        <v>354</v>
      </c>
    </row>
  </sheetData>
  <autoFilter ref="A2:AR7" xr:uid="{6A8C1C86-F6EA-4C2D-A641-3758738A5F02}"/>
  <mergeCells count="1">
    <mergeCell ref="A7:D7"/>
  </mergeCells>
  <hyperlinks>
    <hyperlink ref="A12" location="Introdução!A1" display="Introdução!A1" xr:uid="{7519AD53-25D4-45A7-A495-81B317CA00F2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68C9-167C-40AB-A8D6-3D97CFA612C4}">
  <sheetPr>
    <tabColor theme="6" tint="-0.499984740745262"/>
  </sheetPr>
  <dimension ref="A1:AS13"/>
  <sheetViews>
    <sheetView topLeftCell="AG1" workbookViewId="0">
      <selection activeCell="AS2" sqref="AS2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116</v>
      </c>
      <c r="B3" t="s">
        <v>117</v>
      </c>
      <c r="C3">
        <v>510140</v>
      </c>
      <c r="D3" t="s">
        <v>118</v>
      </c>
      <c r="E3" t="s">
        <v>117</v>
      </c>
      <c r="F3" t="s">
        <v>37</v>
      </c>
      <c r="G3" t="s">
        <v>257</v>
      </c>
      <c r="H3" t="s">
        <v>33</v>
      </c>
      <c r="I3" s="1">
        <f>('RECEITAS - BLOCOS PAN'!H23-'OPEX - BLOCOS PAN'!H23-VLOOKUP('BLOCO MATO GROSSO - 1'!$D3,'CAPEX - BLOCOS PAN'!$C$3:$H$52,6,FALSE))*I$11</f>
        <v>-24181631.125700001</v>
      </c>
      <c r="J3" s="1">
        <f>('RECEITAS - BLOCOS PAN'!I23-'OPEX - BLOCOS PAN'!I23-VLOOKUP('BLOCO MATO GROSSO - 1'!$D3,'CAPEX - BLOCOS PAN'!$C$3:$I$52,7,FALSE))*J$11</f>
        <v>-22069224.107439525</v>
      </c>
      <c r="K3" s="1">
        <f>('RECEITAS - BLOCOS PAN'!J23-'OPEX - BLOCOS PAN'!J23-VLOOKUP('BLOCO MATO GROSSO - 1'!$D3,'CAPEX - BLOCOS PAN'!$C$3:$J$52,8,FALSE))*K$11</f>
        <v>-20142150.475587759</v>
      </c>
      <c r="L3" s="1">
        <f>('RECEITAS - BLOCOS PAN'!K23-'OPEX - BLOCOS PAN'!K23-VLOOKUP('BLOCO MATO GROSSO - 1'!$D3,'CAPEX - BLOCOS PAN'!$C$3:$K$52,9,FALSE))*L$11</f>
        <v>-2698279.7444495894</v>
      </c>
      <c r="M3" s="1">
        <f>('RECEITAS - BLOCOS PAN'!L23-'OPEX - BLOCOS PAN'!L23-VLOOKUP('BLOCO MATO GROSSO - 1'!$D3,'CAPEX - BLOCOS PAN'!$C$3:$L$52,10,FALSE))*M$11</f>
        <v>-2461250.757875999</v>
      </c>
      <c r="N3" s="1">
        <f>('RECEITAS - BLOCOS PAN'!M23-'OPEX - BLOCOS PAN'!M23-VLOOKUP('BLOCO MATO GROSSO - 1'!$D3,'CAPEX - BLOCOS PAN'!$C$3:$M$52,11,FALSE))*N$11</f>
        <v>-2245141.9424409857</v>
      </c>
      <c r="O3" s="1">
        <f>('RECEITAS - BLOCOS PAN'!N23-'OPEX - BLOCOS PAN'!N23-VLOOKUP('BLOCO MATO GROSSO - 1'!$D3,'CAPEX - BLOCOS PAN'!$C$3:$N$52,12,FALSE))*O$11</f>
        <v>-2048073.6529977995</v>
      </c>
      <c r="P3" s="1">
        <f>('RECEITAS - BLOCOS PAN'!O23-'OPEX - BLOCOS PAN'!O23-VLOOKUP('BLOCO MATO GROSSO - 1'!$D3,'CAPEX - BLOCOS PAN'!$C$3:$O$52,13,FALSE))*P$11</f>
        <v>-1868347.6168123502</v>
      </c>
      <c r="Q3" s="1">
        <f>('RECEITAS - BLOCOS PAN'!P23-'OPEX - BLOCOS PAN'!P23-VLOOKUP('BLOCO MATO GROSSO - 1'!$D3,'CAPEX - BLOCOS PAN'!$C$3:$P$52,14,FALSE))*Q$11</f>
        <v>-1704454.5589086749</v>
      </c>
      <c r="R3" s="1">
        <f>('RECEITAS - BLOCOS PAN'!Q23-'OPEX - BLOCOS PAN'!Q23-VLOOKUP('BLOCO MATO GROSSO - 1'!$D3,'CAPEX - BLOCOS PAN'!$C$3:$Q$52,15,FALSE))*R$11</f>
        <v>-1555007.0003592945</v>
      </c>
      <c r="S3" s="1">
        <f>('RECEITAS - BLOCOS PAN'!R23-'OPEX - BLOCOS PAN'!R23-VLOOKUP('BLOCO MATO GROSSO - 1'!$D3,'CAPEX - BLOCOS PAN'!$C$3:$R$52,16,FALSE))*S$11</f>
        <v>-1418720.0928159959</v>
      </c>
      <c r="T3" s="1">
        <f>('RECEITAS - BLOCOS PAN'!S23-'OPEX - BLOCOS PAN'!S23-VLOOKUP('BLOCO MATO GROSSO - 1'!$D3,'CAPEX - BLOCOS PAN'!$C$3:$S$52,17,FALSE))*T$11</f>
        <v>-1294356.3907143082</v>
      </c>
      <c r="U3" s="1">
        <f>('RECEITAS - BLOCOS PAN'!T23-'OPEX - BLOCOS PAN'!T23-VLOOKUP('BLOCO MATO GROSSO - 1'!$D3,'CAPEX - BLOCOS PAN'!$C$3:$T$52,18,FALSE))*U$11</f>
        <v>-1180918.0757337336</v>
      </c>
      <c r="V3" s="1">
        <f>('RECEITAS - BLOCOS PAN'!U23-'OPEX - BLOCOS PAN'!U23-VLOOKUP('BLOCO MATO GROSSO - 1'!$D3,'CAPEX - BLOCOS PAN'!$C$3:$U$52,19,FALSE))*V$11</f>
        <v>-1077399.4499570348</v>
      </c>
      <c r="W3" s="1">
        <f>('RECEITAS - BLOCOS PAN'!V23-'OPEX - BLOCOS PAN'!V23-VLOOKUP('BLOCO MATO GROSSO - 1'!$D3,'CAPEX - BLOCOS PAN'!$C$3:$V$52,20,FALSE))*W$11</f>
        <v>-982974.87222629669</v>
      </c>
      <c r="X3" s="1">
        <f>('RECEITAS - BLOCOS PAN'!W23-'OPEX - BLOCOS PAN'!W23-VLOOKUP('BLOCO MATO GROSSO - 1'!$D3,'CAPEX - BLOCOS PAN'!$C$3:$W$52,21,FALSE))*X$11</f>
        <v>-896807.34153956338</v>
      </c>
      <c r="Y3" s="1">
        <f>('RECEITAS - BLOCOS PAN'!X23-'OPEX - BLOCOS PAN'!X23-VLOOKUP('BLOCO MATO GROSSO - 1'!$D3,'CAPEX - BLOCOS PAN'!$C$3:$X$52,22,FALSE))*Y$11</f>
        <v>-818197.7914081855</v>
      </c>
      <c r="Z3" s="1">
        <f>('RECEITAS - BLOCOS PAN'!Y23-'OPEX - BLOCOS PAN'!Y23-VLOOKUP('BLOCO MATO GROSSO - 1'!$D3,'CAPEX - BLOCOS PAN'!$C$3:$Y$52,23,FALSE))*Z$11</f>
        <v>-746468.1249593735</v>
      </c>
      <c r="AA3" s="1">
        <f>('RECEITAS - BLOCOS PAN'!Z23-'OPEX - BLOCOS PAN'!Z23-VLOOKUP('BLOCO MATO GROSSO - 1'!$D3,'CAPEX - BLOCOS PAN'!$C$3:$Z$52,24,FALSE))*AA$11</f>
        <v>-681021.10959980183</v>
      </c>
      <c r="AB3" s="1">
        <f>('RECEITAS - BLOCOS PAN'!AA23-'OPEX - BLOCOS PAN'!AA23-VLOOKUP('BLOCO MATO GROSSO - 1'!$D3,'CAPEX - BLOCOS PAN'!$C$3:$AA$52,25,FALSE))*AB$11</f>
        <v>-621306.95639426226</v>
      </c>
      <c r="AC3" s="1">
        <f>('RECEITAS - BLOCOS PAN'!AB23-'OPEX - BLOCOS PAN'!AB23-VLOOKUP('BLOCO MATO GROSSO - 1'!$D3,'CAPEX - BLOCOS PAN'!$C$3:$AB$52,26,FALSE))*AC$11</f>
        <v>-566837.7874987016</v>
      </c>
      <c r="AD3" s="1">
        <f>('RECEITAS - BLOCOS PAN'!AC23-'OPEX - BLOCOS PAN'!AC23-VLOOKUP('BLOCO MATO GROSSO - 1'!$D3,'CAPEX - BLOCOS PAN'!$C$3:$AC$52,27,FALSE))*AD$11</f>
        <v>-517137.38970589172</v>
      </c>
      <c r="AE3" s="1">
        <f>('RECEITAS - BLOCOS PAN'!AD23-'OPEX - BLOCOS PAN'!AD23-VLOOKUP('BLOCO MATO GROSSO - 1'!$D3,'CAPEX - BLOCOS PAN'!$C$3:$AD$52,28,FALSE))*AE$11</f>
        <v>-471800.35078374582</v>
      </c>
      <c r="AF3" s="1">
        <f>('RECEITAS - BLOCOS PAN'!AE23-'OPEX - BLOCOS PAN'!AE23-VLOOKUP('BLOCO MATO GROSSO - 1'!$D3,'CAPEX - BLOCOS PAN'!$C$3:$AE$52,29,FALSE))*AF$11</f>
        <v>-430437.84903541656</v>
      </c>
      <c r="AG3" s="1">
        <f>('RECEITAS - BLOCOS PAN'!AF23-'OPEX - BLOCOS PAN'!AF23-VLOOKUP('BLOCO MATO GROSSO - 1'!$D3,'CAPEX - BLOCOS PAN'!$C$3:$AF$52,30,FALSE))*AG$11</f>
        <v>-392709.47104688385</v>
      </c>
      <c r="AH3" s="1">
        <f>('RECEITAS - BLOCOS PAN'!AG23-'OPEX - BLOCOS PAN'!AG23-VLOOKUP('BLOCO MATO GROSSO - 1'!$D3,'CAPEX - BLOCOS PAN'!$C$3:$AG$52,31,FALSE))*AH$11</f>
        <v>-358282.02737478563</v>
      </c>
      <c r="AI3" s="1">
        <f>('RECEITAS - BLOCOS PAN'!AH23-'OPEX - BLOCOS PAN'!AH23-VLOOKUP('BLOCO MATO GROSSO - 1'!$D3,'CAPEX - BLOCOS PAN'!$C$3:$AH$52,32,FALSE))*AI$11</f>
        <v>-326884.68385052978</v>
      </c>
      <c r="AJ3" s="1">
        <f>('RECEITAS - BLOCOS PAN'!AI23-'OPEX - BLOCOS PAN'!AI23-VLOOKUP('BLOCO MATO GROSSO - 1'!$D3,'CAPEX - BLOCOS PAN'!$C$3:$AI$52,33,FALSE))*AJ$11</f>
        <v>-298237.49139012501</v>
      </c>
      <c r="AK3" s="1">
        <f>('RECEITAS - BLOCOS PAN'!AJ23-'OPEX - BLOCOS PAN'!AJ23-VLOOKUP('BLOCO MATO GROSSO - 1'!$D3,'CAPEX - BLOCOS PAN'!$C$3:$AJ$52,34,FALSE))*AK$11</f>
        <v>-272098.55861422716</v>
      </c>
      <c r="AL3" s="1">
        <f>('RECEITAS - BLOCOS PAN'!AK23-'OPEX - BLOCOS PAN'!AK23-VLOOKUP('BLOCO MATO GROSSO - 1'!$D3,'CAPEX - BLOCOS PAN'!$C$3:$AK$52,35,FALSE))*AL$11</f>
        <v>-248248.46823554626</v>
      </c>
      <c r="AM3" s="44">
        <f t="shared" ref="AM3:AM6" si="0">SUM(I3:AL3)</f>
        <v>-94574405.265456364</v>
      </c>
      <c r="AN3">
        <v>1</v>
      </c>
      <c r="AO3" t="s">
        <v>314</v>
      </c>
      <c r="AP3">
        <v>-10.183333333333334</v>
      </c>
      <c r="AQ3">
        <v>-59.45</v>
      </c>
      <c r="AR3" s="48">
        <f>VLOOKUP(D3,'Projeção - Demanda PAX'!$C$3:$H$37,6,FALSE)</f>
        <v>2567</v>
      </c>
      <c r="AS3" t="str">
        <f>VLOOKUP(D3,'FLUXO DE CAIXA DESC.-BLOCOS PAN'!$D$3:$AU$52,44,FALSE)</f>
        <v>Bloco 10 - MT1</v>
      </c>
    </row>
    <row r="4" spans="1:45" x14ac:dyDescent="0.35">
      <c r="A4" t="s">
        <v>135</v>
      </c>
      <c r="B4" t="s">
        <v>136</v>
      </c>
      <c r="C4">
        <v>510515</v>
      </c>
      <c r="D4" t="s">
        <v>137</v>
      </c>
      <c r="E4" t="s">
        <v>136</v>
      </c>
      <c r="F4" t="s">
        <v>37</v>
      </c>
      <c r="G4" t="s">
        <v>257</v>
      </c>
      <c r="H4" t="s">
        <v>33</v>
      </c>
      <c r="I4" s="1">
        <f>('RECEITAS - BLOCOS PAN'!H29-'OPEX - BLOCOS PAN'!H29-VLOOKUP('BLOCO MATO GROSSO - 1'!$D4,'CAPEX - BLOCOS PAN'!$C$3:$H$52,6,FALSE))*I$11</f>
        <v>-5489252.4978999998</v>
      </c>
      <c r="J4" s="1">
        <f>('RECEITAS - BLOCOS PAN'!I29-'OPEX - BLOCOS PAN'!I29-VLOOKUP('BLOCO MATO GROSSO - 1'!$D4,'CAPEX - BLOCOS PAN'!$C$3:$I$52,7,FALSE))*J$11</f>
        <v>-5009607.1143769966</v>
      </c>
      <c r="K4" s="1">
        <f>('RECEITAS - BLOCOS PAN'!J29-'OPEX - BLOCOS PAN'!J29-VLOOKUP('BLOCO MATO GROSSO - 1'!$D4,'CAPEX - BLOCOS PAN'!$C$3:$J$52,8,FALSE))*K$11</f>
        <v>-4572070.8211531304</v>
      </c>
      <c r="L4" s="1">
        <f>('RECEITAS - BLOCOS PAN'!K29-'OPEX - BLOCOS PAN'!K29-VLOOKUP('BLOCO MATO GROSSO - 1'!$D4,'CAPEX - BLOCOS PAN'!$C$3:$K$52,9,FALSE))*L$11</f>
        <v>-1497477.6917396481</v>
      </c>
      <c r="M4" s="1">
        <f>('RECEITAS - BLOCOS PAN'!L29-'OPEX - BLOCOS PAN'!L29-VLOOKUP('BLOCO MATO GROSSO - 1'!$D4,'CAPEX - BLOCOS PAN'!$C$3:$L$52,10,FALSE))*M$11</f>
        <v>-1366492.8978403546</v>
      </c>
      <c r="N4" s="1">
        <f>('RECEITAS - BLOCOS PAN'!M29-'OPEX - BLOCOS PAN'!M29-VLOOKUP('BLOCO MATO GROSSO - 1'!$D4,'CAPEX - BLOCOS PAN'!$C$3:$M$52,11,FALSE))*N$11</f>
        <v>-1246973.8436756474</v>
      </c>
      <c r="O4" s="1">
        <f>('RECEITAS - BLOCOS PAN'!N29-'OPEX - BLOCOS PAN'!N29-VLOOKUP('BLOCO MATO GROSSO - 1'!$D4,'CAPEX - BLOCOS PAN'!$C$3:$N$52,12,FALSE))*O$11</f>
        <v>-1137939.67711673</v>
      </c>
      <c r="P4" s="1">
        <f>('RECEITAS - BLOCOS PAN'!O29-'OPEX - BLOCOS PAN'!O29-VLOOKUP('BLOCO MATO GROSSO - 1'!$D4,'CAPEX - BLOCOS PAN'!$C$3:$O$52,13,FALSE))*P$11</f>
        <v>-1038442.4210298944</v>
      </c>
      <c r="Q4" s="1">
        <f>('RECEITAS - BLOCOS PAN'!P29-'OPEX - BLOCOS PAN'!P29-VLOOKUP('BLOCO MATO GROSSO - 1'!$D4,'CAPEX - BLOCOS PAN'!$C$3:$P$52,14,FALSE))*Q$11</f>
        <v>-947661.48779541464</v>
      </c>
      <c r="R4" s="1">
        <f>('RECEITAS - BLOCOS PAN'!Q29-'OPEX - BLOCOS PAN'!Q29-VLOOKUP('BLOCO MATO GROSSO - 1'!$D4,'CAPEX - BLOCOS PAN'!$C$3:$Q$52,15,FALSE))*R$11</f>
        <v>-864828.52041474264</v>
      </c>
      <c r="S4" s="1">
        <f>('RECEITAS - BLOCOS PAN'!R29-'OPEX - BLOCOS PAN'!R29-VLOOKUP('BLOCO MATO GROSSO - 1'!$D4,'CAPEX - BLOCOS PAN'!$C$3:$R$52,16,FALSE))*S$11</f>
        <v>-789257.5312913534</v>
      </c>
      <c r="T4" s="1">
        <f>('RECEITAS - BLOCOS PAN'!S29-'OPEX - BLOCOS PAN'!S29-VLOOKUP('BLOCO MATO GROSSO - 1'!$D4,'CAPEX - BLOCOS PAN'!$C$3:$S$52,17,FALSE))*T$11</f>
        <v>-720285.12477445556</v>
      </c>
      <c r="U4" s="1">
        <f>('RECEITAS - BLOCOS PAN'!T29-'OPEX - BLOCOS PAN'!T29-VLOOKUP('BLOCO MATO GROSSO - 1'!$D4,'CAPEX - BLOCOS PAN'!$C$3:$T$52,18,FALSE))*U$11</f>
        <v>-657342.11060051166</v>
      </c>
      <c r="V4" s="1">
        <f>('RECEITAS - BLOCOS PAN'!U29-'OPEX - BLOCOS PAN'!U29-VLOOKUP('BLOCO MATO GROSSO - 1'!$D4,'CAPEX - BLOCOS PAN'!$C$3:$U$52,19,FALSE))*V$11</f>
        <v>-599893.44937764993</v>
      </c>
      <c r="W4" s="1">
        <f>('RECEITAS - BLOCOS PAN'!V29-'OPEX - BLOCOS PAN'!V29-VLOOKUP('BLOCO MATO GROSSO - 1'!$D4,'CAPEX - BLOCOS PAN'!$C$3:$V$52,20,FALSE))*W$11</f>
        <v>-547473.0663787697</v>
      </c>
      <c r="X4" s="1">
        <f>('RECEITAS - BLOCOS PAN'!W29-'OPEX - BLOCOS PAN'!W29-VLOOKUP('BLOCO MATO GROSSO - 1'!$D4,'CAPEX - BLOCOS PAN'!$C$3:$W$52,21,FALSE))*X$11</f>
        <v>-499629.84661471826</v>
      </c>
      <c r="Y4" s="1">
        <f>('RECEITAS - BLOCOS PAN'!X29-'OPEX - BLOCOS PAN'!X29-VLOOKUP('BLOCO MATO GROSSO - 1'!$D4,'CAPEX - BLOCOS PAN'!$C$3:$X$52,22,FALSE))*Y$11</f>
        <v>-455967.58116388816</v>
      </c>
      <c r="Z4" s="1">
        <f>('RECEITAS - BLOCOS PAN'!Y29-'OPEX - BLOCOS PAN'!Y29-VLOOKUP('BLOCO MATO GROSSO - 1'!$D4,'CAPEX - BLOCOS PAN'!$C$3:$Y$52,23,FALSE))*Z$11</f>
        <v>-416116.41976103868</v>
      </c>
      <c r="AA4" s="1">
        <f>('RECEITAS - BLOCOS PAN'!Z29-'OPEX - BLOCOS PAN'!Z29-VLOOKUP('BLOCO MATO GROSSO - 1'!$D4,'CAPEX - BLOCOS PAN'!$C$3:$Z$52,24,FALSE))*AA$11</f>
        <v>-379752.28531685175</v>
      </c>
      <c r="AB4" s="1">
        <f>('RECEITAS - BLOCOS PAN'!AA29-'OPEX - BLOCOS PAN'!AA29-VLOOKUP('BLOCO MATO GROSSO - 1'!$D4,'CAPEX - BLOCOS PAN'!$C$3:$AA$52,25,FALSE))*AB$11</f>
        <v>-346561.1755252899</v>
      </c>
      <c r="AC4" s="1">
        <f>('RECEITAS - BLOCOS PAN'!AB29-'OPEX - BLOCOS PAN'!AB29-VLOOKUP('BLOCO MATO GROSSO - 1'!$D4,'CAPEX - BLOCOS PAN'!$C$3:$AB$52,26,FALSE))*AC$11</f>
        <v>-316275.39102505613</v>
      </c>
      <c r="AD4" s="1">
        <f>('RECEITAS - BLOCOS PAN'!AC29-'OPEX - BLOCOS PAN'!AC29-VLOOKUP('BLOCO MATO GROSSO - 1'!$D4,'CAPEX - BLOCOS PAN'!$C$3:$AC$52,27,FALSE))*AD$11</f>
        <v>-288630.2571844242</v>
      </c>
      <c r="AE4" s="1">
        <f>('RECEITAS - BLOCOS PAN'!AD29-'OPEX - BLOCOS PAN'!AD29-VLOOKUP('BLOCO MATO GROSSO - 1'!$D4,'CAPEX - BLOCOS PAN'!$C$3:$AD$52,28,FALSE))*AE$11</f>
        <v>-263405.97316473298</v>
      </c>
      <c r="AF4" s="1">
        <f>('RECEITAS - BLOCOS PAN'!AE29-'OPEX - BLOCOS PAN'!AE29-VLOOKUP('BLOCO MATO GROSSO - 1'!$D4,'CAPEX - BLOCOS PAN'!$C$3:$AE$52,29,FALSE))*AF$11</f>
        <v>-240385.36929861212</v>
      </c>
      <c r="AG4" s="1">
        <f>('RECEITAS - BLOCOS PAN'!AF29-'OPEX - BLOCOS PAN'!AF29-VLOOKUP('BLOCO MATO GROSSO - 1'!$D4,'CAPEX - BLOCOS PAN'!$C$3:$AF$52,30,FALSE))*AG$11</f>
        <v>-219378.17806499416</v>
      </c>
      <c r="AH4" s="1">
        <f>('RECEITAS - BLOCOS PAN'!AG29-'OPEX - BLOCOS PAN'!AG29-VLOOKUP('BLOCO MATO GROSSO - 1'!$D4,'CAPEX - BLOCOS PAN'!$C$3:$AG$52,31,FALSE))*AH$11</f>
        <v>-200209.55971697666</v>
      </c>
      <c r="AI4" s="1">
        <f>('RECEITAS - BLOCOS PAN'!AH29-'OPEX - BLOCOS PAN'!AH29-VLOOKUP('BLOCO MATO GROSSO - 1'!$D4,'CAPEX - BLOCOS PAN'!$C$3:$AH$52,32,FALSE))*AI$11</f>
        <v>-182715.82966297097</v>
      </c>
      <c r="AJ4" s="1">
        <f>('RECEITAS - BLOCOS PAN'!AI29-'OPEX - BLOCOS PAN'!AI29-VLOOKUP('BLOCO MATO GROSSO - 1'!$D4,'CAPEX - BLOCOS PAN'!$C$3:$AI$52,33,FALSE))*AJ$11</f>
        <v>-166751.79816514667</v>
      </c>
      <c r="AK4" s="1">
        <f>('RECEITAS - BLOCOS PAN'!AJ29-'OPEX - BLOCOS PAN'!AJ29-VLOOKUP('BLOCO MATO GROSSO - 1'!$D4,'CAPEX - BLOCOS PAN'!$C$3:$AJ$52,34,FALSE))*AK$11</f>
        <v>-152180.90575276228</v>
      </c>
      <c r="AL4" s="1">
        <f>('RECEITAS - BLOCOS PAN'!AK29-'OPEX - BLOCOS PAN'!AK29-VLOOKUP('BLOCO MATO GROSSO - 1'!$D4,'CAPEX - BLOCOS PAN'!$C$3:$AK$52,35,FALSE))*AL$11</f>
        <v>-138882.79703824647</v>
      </c>
      <c r="AM4" s="44">
        <f t="shared" si="0"/>
        <v>-30751841.622921009</v>
      </c>
      <c r="AN4">
        <v>1</v>
      </c>
      <c r="AO4" t="s">
        <v>314</v>
      </c>
      <c r="AP4">
        <v>-11.416666666666666</v>
      </c>
      <c r="AQ4">
        <v>-58.7</v>
      </c>
      <c r="AR4" s="48">
        <f>VLOOKUP(D4,'Projeção - Demanda PAX'!$C$3:$H$37,6,FALSE)</f>
        <v>808</v>
      </c>
      <c r="AS4" t="str">
        <f>VLOOKUP(D4,'FLUXO DE CAIXA DESC.-BLOCOS PAN'!$D$3:$AU$52,44,FALSE)</f>
        <v>Bloco 10 - MT1</v>
      </c>
    </row>
    <row r="5" spans="1:45" x14ac:dyDescent="0.35">
      <c r="A5" t="s">
        <v>138</v>
      </c>
      <c r="B5" t="s">
        <v>139</v>
      </c>
      <c r="C5">
        <v>510250</v>
      </c>
      <c r="D5" t="s">
        <v>140</v>
      </c>
      <c r="E5" t="s">
        <v>139</v>
      </c>
      <c r="F5" t="s">
        <v>37</v>
      </c>
      <c r="G5" t="s">
        <v>257</v>
      </c>
      <c r="H5" t="s">
        <v>33</v>
      </c>
      <c r="I5" s="1">
        <f>('RECEITAS - BLOCOS PAN'!H30-'OPEX - BLOCOS PAN'!H30-VLOOKUP('BLOCO MATO GROSSO - 1'!$D5,'CAPEX - BLOCOS PAN'!$C$3:$H$52,6,FALSE))*I$11</f>
        <v>-13321816.509300001</v>
      </c>
      <c r="J5" s="1">
        <f>('RECEITAS - BLOCOS PAN'!I30-'OPEX - BLOCOS PAN'!I30-VLOOKUP('BLOCO MATO GROSSO - 1'!$D5,'CAPEX - BLOCOS PAN'!$C$3:$I$52,7,FALSE))*J$11</f>
        <v>-12144251.047010498</v>
      </c>
      <c r="K5" s="1">
        <f>('RECEITAS - BLOCOS PAN'!J30-'OPEX - BLOCOS PAN'!J30-VLOOKUP('BLOCO MATO GROSSO - 1'!$D5,'CAPEX - BLOCOS PAN'!$C$3:$J$52,8,FALSE))*K$11</f>
        <v>-11073984.728280354</v>
      </c>
      <c r="L5" s="1">
        <f>('RECEITAS - BLOCOS PAN'!K30-'OPEX - BLOCOS PAN'!K30-VLOOKUP('BLOCO MATO GROSSO - 1'!$D5,'CAPEX - BLOCOS PAN'!$C$3:$K$52,9,FALSE))*L$11</f>
        <v>-2599152.4660535008</v>
      </c>
      <c r="M5" s="1">
        <f>('RECEITAS - BLOCOS PAN'!L30-'OPEX - BLOCOS PAN'!L30-VLOOKUP('BLOCO MATO GROSSO - 1'!$D5,'CAPEX - BLOCOS PAN'!$C$3:$L$52,10,FALSE))*M$11</f>
        <v>-2366485.729652008</v>
      </c>
      <c r="N5" s="1">
        <f>('RECEITAS - BLOCOS PAN'!M30-'OPEX - BLOCOS PAN'!M30-VLOOKUP('BLOCO MATO GROSSO - 1'!$D5,'CAPEX - BLOCOS PAN'!$C$3:$M$52,11,FALSE))*N$11</f>
        <v>-2155018.3309658938</v>
      </c>
      <c r="O5" s="1">
        <f>('RECEITAS - BLOCOS PAN'!N30-'OPEX - BLOCOS PAN'!N30-VLOOKUP('BLOCO MATO GROSSO - 1'!$D5,'CAPEX - BLOCOS PAN'!$C$3:$N$52,12,FALSE))*O$11</f>
        <v>-1962820.0482991294</v>
      </c>
      <c r="P5" s="1">
        <f>('RECEITAS - BLOCOS PAN'!O30-'OPEX - BLOCOS PAN'!O30-VLOOKUP('BLOCO MATO GROSSO - 1'!$D5,'CAPEX - BLOCOS PAN'!$C$3:$O$52,13,FALSE))*P$11</f>
        <v>-1787913.1000780754</v>
      </c>
      <c r="Q5" s="1">
        <f>('RECEITAS - BLOCOS PAN'!P30-'OPEX - BLOCOS PAN'!P30-VLOOKUP('BLOCO MATO GROSSO - 1'!$D5,'CAPEX - BLOCOS PAN'!$C$3:$P$52,14,FALSE))*Q$11</f>
        <v>-1628881.1780339743</v>
      </c>
      <c r="R5" s="1">
        <f>('RECEITAS - BLOCOS PAN'!Q30-'OPEX - BLOCOS PAN'!Q30-VLOOKUP('BLOCO MATO GROSSO - 1'!$D5,'CAPEX - BLOCOS PAN'!$C$3:$Q$52,15,FALSE))*R$11</f>
        <v>-1484224.581389159</v>
      </c>
      <c r="S5" s="1">
        <f>('RECEITAS - BLOCOS PAN'!R30-'OPEX - BLOCOS PAN'!R30-VLOOKUP('BLOCO MATO GROSSO - 1'!$D5,'CAPEX - BLOCOS PAN'!$C$3:$R$52,16,FALSE))*S$11</f>
        <v>-1352614.7066686314</v>
      </c>
      <c r="T5" s="1">
        <f>('RECEITAS - BLOCOS PAN'!S30-'OPEX - BLOCOS PAN'!S30-VLOOKUP('BLOCO MATO GROSSO - 1'!$D5,'CAPEX - BLOCOS PAN'!$C$3:$S$52,17,FALSE))*T$11</f>
        <v>-1232687.4060041732</v>
      </c>
      <c r="U5" s="1">
        <f>('RECEITAS - BLOCOS PAN'!T30-'OPEX - BLOCOS PAN'!T30-VLOOKUP('BLOCO MATO GROSSO - 1'!$D5,'CAPEX - BLOCOS PAN'!$C$3:$T$52,18,FALSE))*U$11</f>
        <v>-1123438.1211638339</v>
      </c>
      <c r="V5" s="1">
        <f>('RECEITAS - BLOCOS PAN'!U30-'OPEX - BLOCOS PAN'!U30-VLOOKUP('BLOCO MATO GROSSO - 1'!$D5,'CAPEX - BLOCOS PAN'!$C$3:$U$52,19,FALSE))*V$11</f>
        <v>-1023824.9756642664</v>
      </c>
      <c r="W5" s="1">
        <f>('RECEITAS - BLOCOS PAN'!V30-'OPEX - BLOCOS PAN'!V30-VLOOKUP('BLOCO MATO GROSSO - 1'!$D5,'CAPEX - BLOCOS PAN'!$C$3:$V$52,20,FALSE))*W$11</f>
        <v>-933053.6483039119</v>
      </c>
      <c r="X5" s="1">
        <f>('RECEITAS - BLOCOS PAN'!W30-'OPEX - BLOCOS PAN'!W30-VLOOKUP('BLOCO MATO GROSSO - 1'!$D5,'CAPEX - BLOCOS PAN'!$C$3:$W$52,21,FALSE))*X$11</f>
        <v>-850338.8221428066</v>
      </c>
      <c r="Y5" s="1">
        <f>('RECEITAS - BLOCOS PAN'!X30-'OPEX - BLOCOS PAN'!X30-VLOOKUP('BLOCO MATO GROSSO - 1'!$D5,'CAPEX - BLOCOS PAN'!$C$3:$X$52,22,FALSE))*Y$11</f>
        <v>-774941.31022044376</v>
      </c>
      <c r="Z5" s="1">
        <f>('RECEITAS - BLOCOS PAN'!Y30-'OPEX - BLOCOS PAN'!Y30-VLOOKUP('BLOCO MATO GROSSO - 1'!$D5,'CAPEX - BLOCOS PAN'!$C$3:$Y$52,23,FALSE))*Z$11</f>
        <v>-706212.05387751502</v>
      </c>
      <c r="AA5" s="1">
        <f>('RECEITAS - BLOCOS PAN'!Z30-'OPEX - BLOCOS PAN'!Z30-VLOOKUP('BLOCO MATO GROSSO - 1'!$D5,'CAPEX - BLOCOS PAN'!$C$3:$Z$52,24,FALSE))*AA$11</f>
        <v>-643553.33975188644</v>
      </c>
      <c r="AB5" s="1">
        <f>('RECEITAS - BLOCOS PAN'!AA30-'OPEX - BLOCOS PAN'!AA30-VLOOKUP('BLOCO MATO GROSSO - 1'!$D5,'CAPEX - BLOCOS PAN'!$C$3:$AA$52,25,FALSE))*AB$11</f>
        <v>-586440.69429800531</v>
      </c>
      <c r="AC5" s="1">
        <f>('RECEITAS - BLOCOS PAN'!AB30-'OPEX - BLOCOS PAN'!AB30-VLOOKUP('BLOCO MATO GROSSO - 1'!$D5,'CAPEX - BLOCOS PAN'!$C$3:$AB$52,26,FALSE))*AC$11</f>
        <v>-534436.49616146996</v>
      </c>
      <c r="AD5" s="1">
        <f>('RECEITAS - BLOCOS PAN'!AC30-'OPEX - BLOCOS PAN'!AC30-VLOOKUP('BLOCO MATO GROSSO - 1'!$D5,'CAPEX - BLOCOS PAN'!$C$3:$AC$52,27,FALSE))*AD$11</f>
        <v>-487021.52452000353</v>
      </c>
      <c r="AE5" s="1">
        <f>('RECEITAS - BLOCOS PAN'!AD30-'OPEX - BLOCOS PAN'!AD30-VLOOKUP('BLOCO MATO GROSSO - 1'!$D5,'CAPEX - BLOCOS PAN'!$C$3:$AD$52,28,FALSE))*AE$11</f>
        <v>-443833.06009790022</v>
      </c>
      <c r="AF5" s="1">
        <f>('RECEITAS - BLOCOS PAN'!AE30-'OPEX - BLOCOS PAN'!AE30-VLOOKUP('BLOCO MATO GROSSO - 1'!$D5,'CAPEX - BLOCOS PAN'!$C$3:$AE$52,29,FALSE))*AF$11</f>
        <v>-404429.45538390335</v>
      </c>
      <c r="AG5" s="1">
        <f>('RECEITAS - BLOCOS PAN'!AF30-'OPEX - BLOCOS PAN'!AF30-VLOOKUP('BLOCO MATO GROSSO - 1'!$D5,'CAPEX - BLOCOS PAN'!$C$3:$AF$52,30,FALSE))*AG$11</f>
        <v>-368548.65891739907</v>
      </c>
      <c r="AH5" s="1">
        <f>('RECEITAS - BLOCOS PAN'!AG30-'OPEX - BLOCOS PAN'!AG30-VLOOKUP('BLOCO MATO GROSSO - 1'!$D5,'CAPEX - BLOCOS PAN'!$C$3:$AG$52,31,FALSE))*AH$11</f>
        <v>-335838.52733571298</v>
      </c>
      <c r="AI5" s="1">
        <f>('RECEITAS - BLOCOS PAN'!AH30-'OPEX - BLOCOS PAN'!AH30-VLOOKUP('BLOCO MATO GROSSO - 1'!$D5,'CAPEX - BLOCOS PAN'!$C$3:$AH$52,32,FALSE))*AI$11</f>
        <v>-306061.32842761604</v>
      </c>
      <c r="AJ5" s="1">
        <f>('RECEITAS - BLOCOS PAN'!AI30-'OPEX - BLOCOS PAN'!AI30-VLOOKUP('BLOCO MATO GROSSO - 1'!$D5,'CAPEX - BLOCOS PAN'!$C$3:$AI$52,33,FALSE))*AJ$11</f>
        <v>-278914.66785220365</v>
      </c>
      <c r="AK5" s="1">
        <f>('RECEITAS - BLOCOS PAN'!AJ30-'OPEX - BLOCOS PAN'!AJ30-VLOOKUP('BLOCO MATO GROSSO - 1'!$D5,'CAPEX - BLOCOS PAN'!$C$3:$AJ$52,34,FALSE))*AK$11</f>
        <v>-254170.98426425006</v>
      </c>
      <c r="AL5" s="1">
        <f>('RECEITAS - BLOCOS PAN'!AK30-'OPEX - BLOCOS PAN'!AK30-VLOOKUP('BLOCO MATO GROSSO - 1'!$D5,'CAPEX - BLOCOS PAN'!$C$3:$AK$52,35,FALSE))*AL$11</f>
        <v>-231619.76301985251</v>
      </c>
      <c r="AM5" s="44">
        <f t="shared" si="0"/>
        <v>-63396527.263138369</v>
      </c>
      <c r="AN5">
        <v>1</v>
      </c>
      <c r="AO5" t="s">
        <v>314</v>
      </c>
      <c r="AP5">
        <v>-16.033333333333335</v>
      </c>
      <c r="AQ5">
        <v>-57.616666666666667</v>
      </c>
      <c r="AR5" s="48">
        <f>VLOOKUP(D5,'Projeção - Demanda PAX'!$C$3:$H$37,6,FALSE)</f>
        <v>9515</v>
      </c>
      <c r="AS5" t="str">
        <f>VLOOKUP(D5,'FLUXO DE CAIXA DESC.-BLOCOS PAN'!$D$3:$AU$52,44,FALSE)</f>
        <v>Bloco 10 - MT1</v>
      </c>
    </row>
    <row r="6" spans="1:45" x14ac:dyDescent="0.35">
      <c r="A6" t="s">
        <v>157</v>
      </c>
      <c r="B6" t="s">
        <v>158</v>
      </c>
      <c r="C6">
        <v>510795</v>
      </c>
      <c r="D6" t="s">
        <v>159</v>
      </c>
      <c r="E6" t="s">
        <v>158</v>
      </c>
      <c r="F6" t="s">
        <v>37</v>
      </c>
      <c r="G6" t="s">
        <v>257</v>
      </c>
      <c r="H6" t="s">
        <v>33</v>
      </c>
      <c r="I6" s="1">
        <f>('RECEITAS - BLOCOS PAN'!H35-'OPEX - BLOCOS PAN'!H35-VLOOKUP('BLOCO MATO GROSSO - 1'!$D6,'CAPEX - BLOCOS PAN'!$C$3:$H$52,6,FALSE))*I$11</f>
        <v>-21973333.684</v>
      </c>
      <c r="J6" s="1">
        <f>('RECEITAS - BLOCOS PAN'!I35-'OPEX - BLOCOS PAN'!I35-VLOOKUP('BLOCO MATO GROSSO - 1'!$D6,'CAPEX - BLOCOS PAN'!$C$3:$I$52,7,FALSE))*J$11</f>
        <v>-20026714.638338659</v>
      </c>
      <c r="K6" s="1">
        <f>('RECEITAS - BLOCOS PAN'!J35-'OPEX - BLOCOS PAN'!J35-VLOOKUP('BLOCO MATO GROSSO - 1'!$D6,'CAPEX - BLOCOS PAN'!$C$3:$J$52,8,FALSE))*K$11</f>
        <v>-18258305.922094062</v>
      </c>
      <c r="L6" s="1">
        <f>('RECEITAS - BLOCOS PAN'!K35-'OPEX - BLOCOS PAN'!K35-VLOOKUP('BLOCO MATO GROSSO - 1'!$D6,'CAPEX - BLOCOS PAN'!$C$3:$K$52,9,FALSE))*L$11</f>
        <v>-2473203.4191616699</v>
      </c>
      <c r="M6" s="1">
        <f>('RECEITAS - BLOCOS PAN'!L35-'OPEX - BLOCOS PAN'!L35-VLOOKUP('BLOCO MATO GROSSO - 1'!$D6,'CAPEX - BLOCOS PAN'!$C$3:$L$52,10,FALSE))*M$11</f>
        <v>-2245323.0567349414</v>
      </c>
      <c r="N6" s="1">
        <f>('RECEITAS - BLOCOS PAN'!M35-'OPEX - BLOCOS PAN'!M35-VLOOKUP('BLOCO MATO GROSSO - 1'!$D6,'CAPEX - BLOCOS PAN'!$C$3:$M$52,11,FALSE))*N$11</f>
        <v>-2039295.5867765369</v>
      </c>
      <c r="O6" s="1">
        <f>('RECEITAS - BLOCOS PAN'!N35-'OPEX - BLOCOS PAN'!N35-VLOOKUP('BLOCO MATO GROSSO - 1'!$D6,'CAPEX - BLOCOS PAN'!$C$3:$N$52,12,FALSE))*O$11</f>
        <v>-1852651.8862574324</v>
      </c>
      <c r="P6" s="1">
        <f>('RECEITAS - BLOCOS PAN'!O35-'OPEX - BLOCOS PAN'!O35-VLOOKUP('BLOCO MATO GROSSO - 1'!$D6,'CAPEX - BLOCOS PAN'!$C$3:$O$52,13,FALSE))*P$11</f>
        <v>-1683270.6365820162</v>
      </c>
      <c r="Q6" s="1">
        <f>('RECEITAS - BLOCOS PAN'!P35-'OPEX - BLOCOS PAN'!P35-VLOOKUP('BLOCO MATO GROSSO - 1'!$D6,'CAPEX - BLOCOS PAN'!$C$3:$P$52,14,FALSE))*Q$11</f>
        <v>-1529941.7959497443</v>
      </c>
      <c r="R6" s="1">
        <f>('RECEITAS - BLOCOS PAN'!Q35-'OPEX - BLOCOS PAN'!Q35-VLOOKUP('BLOCO MATO GROSSO - 1'!$D6,'CAPEX - BLOCOS PAN'!$C$3:$Q$52,15,FALSE))*R$11</f>
        <v>-1460451.5679644342</v>
      </c>
      <c r="S6" s="1">
        <f>('RECEITAS - BLOCOS PAN'!R35-'OPEX - BLOCOS PAN'!R35-VLOOKUP('BLOCO MATO GROSSO - 1'!$D6,'CAPEX - BLOCOS PAN'!$C$3:$R$52,16,FALSE))*S$11</f>
        <v>-1328405.5384662391</v>
      </c>
      <c r="T6" s="1">
        <f>('RECEITAS - BLOCOS PAN'!S35-'OPEX - BLOCOS PAN'!S35-VLOOKUP('BLOCO MATO GROSSO - 1'!$D6,'CAPEX - BLOCOS PAN'!$C$3:$S$52,17,FALSE))*T$11</f>
        <v>-1208309.2018549978</v>
      </c>
      <c r="U6" s="1">
        <f>('RECEITAS - BLOCOS PAN'!T35-'OPEX - BLOCOS PAN'!T35-VLOOKUP('BLOCO MATO GROSSO - 1'!$D6,'CAPEX - BLOCOS PAN'!$C$3:$T$52,18,FALSE))*U$11</f>
        <v>-1099080.552354774</v>
      </c>
      <c r="V6" s="1">
        <f>('RECEITAS - BLOCOS PAN'!U35-'OPEX - BLOCOS PAN'!U35-VLOOKUP('BLOCO MATO GROSSO - 1'!$D6,'CAPEX - BLOCOS PAN'!$C$3:$U$52,19,FALSE))*V$11</f>
        <v>-999643.48582171497</v>
      </c>
      <c r="W6" s="1">
        <f>('RECEITAS - BLOCOS PAN'!V35-'OPEX - BLOCOS PAN'!V35-VLOOKUP('BLOCO MATO GROSSO - 1'!$D6,'CAPEX - BLOCOS PAN'!$C$3:$V$52,20,FALSE))*W$11</f>
        <v>-909270.55054592341</v>
      </c>
      <c r="X6" s="1">
        <f>('RECEITAS - BLOCOS PAN'!W35-'OPEX - BLOCOS PAN'!W35-VLOOKUP('BLOCO MATO GROSSO - 1'!$D6,'CAPEX - BLOCOS PAN'!$C$3:$W$52,21,FALSE))*X$11</f>
        <v>-826991.85248418699</v>
      </c>
      <c r="Y6" s="1">
        <f>('RECEITAS - BLOCOS PAN'!X35-'OPEX - BLOCOS PAN'!X35-VLOOKUP('BLOCO MATO GROSSO - 1'!$D6,'CAPEX - BLOCOS PAN'!$C$3:$X$52,22,FALSE))*Y$11</f>
        <v>-752161.71526372747</v>
      </c>
      <c r="Z6" s="1">
        <f>('RECEITAS - BLOCOS PAN'!Y35-'OPEX - BLOCOS PAN'!Y35-VLOOKUP('BLOCO MATO GROSSO - 1'!$D6,'CAPEX - BLOCOS PAN'!$C$3:$Y$52,23,FALSE))*Z$11</f>
        <v>-684008.94741414499</v>
      </c>
      <c r="AA6" s="1">
        <f>('RECEITAS - BLOCOS PAN'!Z35-'OPEX - BLOCOS PAN'!Z35-VLOOKUP('BLOCO MATO GROSSO - 1'!$D6,'CAPEX - BLOCOS PAN'!$C$3:$Z$52,24,FALSE))*AA$11</f>
        <v>-622027.96959072328</v>
      </c>
      <c r="AB6" s="1">
        <f>('RECEITAS - BLOCOS PAN'!AA35-'OPEX - BLOCOS PAN'!AA35-VLOOKUP('BLOCO MATO GROSSO - 1'!$D6,'CAPEX - BLOCOS PAN'!$C$3:$AA$52,25,FALSE))*AB$11</f>
        <v>-565604.96931139834</v>
      </c>
      <c r="AC6" s="1">
        <f>('RECEITAS - BLOCOS PAN'!AB35-'OPEX - BLOCOS PAN'!AB35-VLOOKUP('BLOCO MATO GROSSO - 1'!$D6,'CAPEX - BLOCOS PAN'!$C$3:$AB$52,26,FALSE))*AC$11</f>
        <v>-514349.64050837833</v>
      </c>
      <c r="AD6" s="1">
        <f>('RECEITAS - BLOCOS PAN'!AC35-'OPEX - BLOCOS PAN'!AC35-VLOOKUP('BLOCO MATO GROSSO - 1'!$D6,'CAPEX - BLOCOS PAN'!$C$3:$AC$52,27,FALSE))*AD$11</f>
        <v>-467696.72292591858</v>
      </c>
      <c r="AE6" s="1">
        <f>('RECEITAS - BLOCOS PAN'!AD35-'OPEX - BLOCOS PAN'!AD35-VLOOKUP('BLOCO MATO GROSSO - 1'!$D6,'CAPEX - BLOCOS PAN'!$C$3:$AD$52,28,FALSE))*AE$11</f>
        <v>-425295.83110780339</v>
      </c>
      <c r="AF6" s="1">
        <f>('RECEITAS - BLOCOS PAN'!AE35-'OPEX - BLOCOS PAN'!AE35-VLOOKUP('BLOCO MATO GROSSO - 1'!$D6,'CAPEX - BLOCOS PAN'!$C$3:$AE$52,29,FALSE))*AF$11</f>
        <v>-386747.2003568433</v>
      </c>
      <c r="AG6" s="1">
        <f>('RECEITAS - BLOCOS PAN'!AF35-'OPEX - BLOCOS PAN'!AF35-VLOOKUP('BLOCO MATO GROSSO - 1'!$D6,'CAPEX - BLOCOS PAN'!$C$3:$AF$52,30,FALSE))*AG$11</f>
        <v>-351722.71260124119</v>
      </c>
      <c r="AH6" s="1">
        <f>('RECEITAS - BLOCOS PAN'!AG35-'OPEX - BLOCOS PAN'!AG35-VLOOKUP('BLOCO MATO GROSSO - 1'!$D6,'CAPEX - BLOCOS PAN'!$C$3:$AG$52,31,FALSE))*AH$11</f>
        <v>-319858.30749068042</v>
      </c>
      <c r="AI6" s="1">
        <f>('RECEITAS - BLOCOS PAN'!AH35-'OPEX - BLOCOS PAN'!AH35-VLOOKUP('BLOCO MATO GROSSO - 1'!$D6,'CAPEX - BLOCOS PAN'!$C$3:$AH$52,32,FALSE))*AI$11</f>
        <v>-290911.21971956972</v>
      </c>
      <c r="AJ6" s="1">
        <f>('RECEITAS - BLOCOS PAN'!AI35-'OPEX - BLOCOS PAN'!AI35-VLOOKUP('BLOCO MATO GROSSO - 1'!$D6,'CAPEX - BLOCOS PAN'!$C$3:$AI$52,33,FALSE))*AJ$11</f>
        <v>-264580.24300027592</v>
      </c>
      <c r="AK6" s="1">
        <f>('RECEITAS - BLOCOS PAN'!AJ35-'OPEX - BLOCOS PAN'!AJ35-VLOOKUP('BLOCO MATO GROSSO - 1'!$D6,'CAPEX - BLOCOS PAN'!$C$3:$AJ$52,34,FALSE))*AK$11</f>
        <v>-240613.77032145418</v>
      </c>
      <c r="AL6" s="1">
        <f>('RECEITAS - BLOCOS PAN'!AK35-'OPEX - BLOCOS PAN'!AK35-VLOOKUP('BLOCO MATO GROSSO - 1'!$D6,'CAPEX - BLOCOS PAN'!$C$3:$AK$52,35,FALSE))*AL$11</f>
        <v>-218804.08975374559</v>
      </c>
      <c r="AM6" s="44">
        <f t="shared" si="0"/>
        <v>-86018576.71475324</v>
      </c>
      <c r="AN6">
        <v>1</v>
      </c>
      <c r="AO6" t="s">
        <v>314</v>
      </c>
      <c r="AP6">
        <v>-14.65</v>
      </c>
      <c r="AQ6">
        <v>-57.43333333333333</v>
      </c>
      <c r="AR6" s="48">
        <f>VLOOKUP(D6,'Projeção - Demanda PAX'!$C$3:$H$37,6,FALSE)</f>
        <v>18307</v>
      </c>
      <c r="AS6" t="str">
        <f>VLOOKUP(D6,'FLUXO DE CAIXA DESC.-BLOCOS PAN'!$D$3:$AU$52,44,FALSE)</f>
        <v>Bloco 10 - MT1</v>
      </c>
    </row>
    <row r="7" spans="1:45" x14ac:dyDescent="0.35">
      <c r="B7" s="6"/>
      <c r="C7" s="6"/>
      <c r="D7" s="6"/>
      <c r="H7" s="47" t="s">
        <v>250</v>
      </c>
      <c r="I7" s="8">
        <f t="shared" ref="I7:AM7" si="1">SUBTOTAL(109,I3:I6)</f>
        <v>-64966033.8169</v>
      </c>
      <c r="J7" s="8">
        <f t="shared" si="1"/>
        <v>-59249796.907165676</v>
      </c>
      <c r="K7" s="8">
        <f t="shared" si="1"/>
        <v>-54046511.947115302</v>
      </c>
      <c r="L7" s="8">
        <f t="shared" si="1"/>
        <v>-9268113.3214044087</v>
      </c>
      <c r="M7" s="8">
        <f t="shared" si="1"/>
        <v>-8439552.442103304</v>
      </c>
      <c r="N7" s="8">
        <f t="shared" si="1"/>
        <v>-7686429.7038590638</v>
      </c>
      <c r="O7" s="8">
        <f t="shared" si="1"/>
        <v>-7001485.264671091</v>
      </c>
      <c r="P7" s="8">
        <f t="shared" si="1"/>
        <v>-6377973.774502336</v>
      </c>
      <c r="Q7" s="8">
        <f t="shared" si="1"/>
        <v>-5810939.0206878074</v>
      </c>
      <c r="R7" s="8">
        <f t="shared" si="1"/>
        <v>-5364511.6701276302</v>
      </c>
      <c r="S7" s="8">
        <f t="shared" si="1"/>
        <v>-4888997.8692422202</v>
      </c>
      <c r="T7" s="8">
        <f t="shared" si="1"/>
        <v>-4455638.1233479343</v>
      </c>
      <c r="U7" s="8">
        <f t="shared" si="1"/>
        <v>-4060778.8598528532</v>
      </c>
      <c r="V7" s="8">
        <f t="shared" si="1"/>
        <v>-3700761.3608206664</v>
      </c>
      <c r="W7" s="8">
        <f t="shared" si="1"/>
        <v>-3372772.1374549018</v>
      </c>
      <c r="X7" s="8">
        <f t="shared" si="1"/>
        <v>-3073767.8627812751</v>
      </c>
      <c r="Y7" s="8">
        <f t="shared" si="1"/>
        <v>-2801268.3980562449</v>
      </c>
      <c r="Z7" s="8">
        <f t="shared" si="1"/>
        <v>-2552805.5460120724</v>
      </c>
      <c r="AA7" s="8">
        <f t="shared" si="1"/>
        <v>-2326354.7042592634</v>
      </c>
      <c r="AB7" s="8">
        <f t="shared" si="1"/>
        <v>-2119913.7955289558</v>
      </c>
      <c r="AC7" s="8">
        <f t="shared" si="1"/>
        <v>-1931899.3151936061</v>
      </c>
      <c r="AD7" s="8">
        <f t="shared" si="1"/>
        <v>-1760485.894336238</v>
      </c>
      <c r="AE7" s="8">
        <f t="shared" si="1"/>
        <v>-1604335.2151541824</v>
      </c>
      <c r="AF7" s="8">
        <f t="shared" si="1"/>
        <v>-1461999.8740747753</v>
      </c>
      <c r="AG7" s="8">
        <f t="shared" si="1"/>
        <v>-1332359.0206305182</v>
      </c>
      <c r="AH7" s="8">
        <f t="shared" si="1"/>
        <v>-1214188.4219181556</v>
      </c>
      <c r="AI7" s="8">
        <f t="shared" si="1"/>
        <v>-1106573.0616606865</v>
      </c>
      <c r="AJ7" s="8">
        <f t="shared" si="1"/>
        <v>-1008484.2004077513</v>
      </c>
      <c r="AK7" s="8">
        <f t="shared" si="1"/>
        <v>-919064.21895269363</v>
      </c>
      <c r="AL7" s="8">
        <f t="shared" si="1"/>
        <v>-837555.11804739083</v>
      </c>
      <c r="AM7" s="44">
        <f t="shared" si="1"/>
        <v>-274741350.86626899</v>
      </c>
      <c r="AR7" s="66">
        <f>SUBTOTAL(109,AR3:AR6)</f>
        <v>31197</v>
      </c>
    </row>
    <row r="8" spans="1:45" x14ac:dyDescent="0.35">
      <c r="A8" s="83" t="s">
        <v>368</v>
      </c>
      <c r="B8" s="83"/>
      <c r="C8" s="83"/>
      <c r="D8" s="83"/>
      <c r="E8" s="47"/>
      <c r="H8" s="47" t="s">
        <v>285</v>
      </c>
      <c r="I8" s="8">
        <f>I7</f>
        <v>-64966033.8169</v>
      </c>
      <c r="J8" s="8">
        <f t="shared" ref="J8:AL8" si="2">J7+I8</f>
        <v>-124215830.72406568</v>
      </c>
      <c r="K8" s="8">
        <f t="shared" si="2"/>
        <v>-178262342.67118096</v>
      </c>
      <c r="L8" s="8">
        <f t="shared" si="2"/>
        <v>-187530455.99258536</v>
      </c>
      <c r="M8" s="8">
        <f t="shared" si="2"/>
        <v>-195970008.43468866</v>
      </c>
      <c r="N8" s="8">
        <f t="shared" si="2"/>
        <v>-203656438.13854772</v>
      </c>
      <c r="O8" s="8">
        <f t="shared" si="2"/>
        <v>-210657923.40321881</v>
      </c>
      <c r="P8" s="8">
        <f t="shared" si="2"/>
        <v>-217035897.17772114</v>
      </c>
      <c r="Q8" s="8">
        <f t="shared" si="2"/>
        <v>-222846836.19840896</v>
      </c>
      <c r="R8" s="8">
        <f t="shared" si="2"/>
        <v>-228211347.86853659</v>
      </c>
      <c r="S8" s="8">
        <f t="shared" si="2"/>
        <v>-233100345.73777881</v>
      </c>
      <c r="T8" s="8">
        <f t="shared" si="2"/>
        <v>-237555983.86112675</v>
      </c>
      <c r="U8" s="8">
        <f t="shared" si="2"/>
        <v>-241616762.7209796</v>
      </c>
      <c r="V8" s="8">
        <f t="shared" si="2"/>
        <v>-245317524.08180028</v>
      </c>
      <c r="W8" s="8">
        <f t="shared" si="2"/>
        <v>-248690296.21925518</v>
      </c>
      <c r="X8" s="8">
        <f t="shared" si="2"/>
        <v>-251764064.08203647</v>
      </c>
      <c r="Y8" s="8">
        <f t="shared" si="2"/>
        <v>-254565332.4800927</v>
      </c>
      <c r="Z8" s="8">
        <f t="shared" si="2"/>
        <v>-257118138.02610478</v>
      </c>
      <c r="AA8" s="8">
        <f t="shared" si="2"/>
        <v>-259444492.73036405</v>
      </c>
      <c r="AB8" s="8">
        <f t="shared" si="2"/>
        <v>-261564406.525893</v>
      </c>
      <c r="AC8" s="8">
        <f t="shared" si="2"/>
        <v>-263496305.8410866</v>
      </c>
      <c r="AD8" s="8">
        <f t="shared" si="2"/>
        <v>-265256791.73542282</v>
      </c>
      <c r="AE8" s="8">
        <f t="shared" si="2"/>
        <v>-266861126.95057699</v>
      </c>
      <c r="AF8" s="8">
        <f t="shared" si="2"/>
        <v>-268323126.82465178</v>
      </c>
      <c r="AG8" s="8">
        <f t="shared" si="2"/>
        <v>-269655485.84528232</v>
      </c>
      <c r="AH8" s="8">
        <f t="shared" si="2"/>
        <v>-270869674.26720047</v>
      </c>
      <c r="AI8" s="8">
        <f t="shared" si="2"/>
        <v>-271976247.32886118</v>
      </c>
      <c r="AJ8" s="8">
        <f t="shared" si="2"/>
        <v>-272984731.52926892</v>
      </c>
      <c r="AK8" s="8">
        <f t="shared" si="2"/>
        <v>-273903795.74822164</v>
      </c>
      <c r="AL8" s="8">
        <f t="shared" si="2"/>
        <v>-274741350.86626905</v>
      </c>
      <c r="AM8" s="44"/>
    </row>
    <row r="9" spans="1:45" x14ac:dyDescent="0.35"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45" x14ac:dyDescent="0.35">
      <c r="H10" s="47" t="s">
        <v>284</v>
      </c>
      <c r="I10" s="2">
        <v>0</v>
      </c>
      <c r="J10" s="2">
        <v>1</v>
      </c>
      <c r="K10" s="2">
        <v>2</v>
      </c>
      <c r="L10" s="2">
        <v>3</v>
      </c>
      <c r="M10" s="2">
        <v>4</v>
      </c>
      <c r="N10" s="2">
        <v>5</v>
      </c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">
        <v>11</v>
      </c>
      <c r="U10" s="2">
        <v>12</v>
      </c>
      <c r="V10" s="2">
        <v>13</v>
      </c>
      <c r="W10" s="2">
        <v>14</v>
      </c>
      <c r="X10" s="2">
        <v>15</v>
      </c>
      <c r="Y10" s="2">
        <v>16</v>
      </c>
      <c r="Z10" s="2">
        <v>17</v>
      </c>
      <c r="AA10" s="2">
        <v>18</v>
      </c>
      <c r="AB10" s="2">
        <v>19</v>
      </c>
      <c r="AC10" s="2">
        <v>20</v>
      </c>
      <c r="AD10" s="2">
        <v>21</v>
      </c>
      <c r="AE10" s="2">
        <v>22</v>
      </c>
      <c r="AF10" s="2">
        <v>23</v>
      </c>
      <c r="AG10" s="2">
        <v>24</v>
      </c>
      <c r="AH10" s="2">
        <v>25</v>
      </c>
      <c r="AI10" s="2">
        <v>26</v>
      </c>
      <c r="AJ10" s="2">
        <v>27</v>
      </c>
      <c r="AK10" s="2">
        <v>28</v>
      </c>
      <c r="AL10" s="2">
        <v>29</v>
      </c>
    </row>
    <row r="11" spans="1:45" x14ac:dyDescent="0.35">
      <c r="A11" s="2" t="s">
        <v>254</v>
      </c>
      <c r="B11" s="46">
        <v>9.5500000000000002E-2</v>
      </c>
      <c r="C11" s="2" t="s">
        <v>255</v>
      </c>
      <c r="I11" s="2">
        <f>1/(1+$B$11)^I10</f>
        <v>1</v>
      </c>
      <c r="J11" s="2">
        <f t="shared" ref="J11:AL11" si="3">1/(1+$B$11)^J10</f>
        <v>0.91282519397535378</v>
      </c>
      <c r="K11" s="2">
        <f t="shared" si="3"/>
        <v>0.83324983475614223</v>
      </c>
      <c r="L11" s="2">
        <f t="shared" si="3"/>
        <v>0.76061144204120701</v>
      </c>
      <c r="M11" s="2">
        <f t="shared" si="3"/>
        <v>0.69430528712113837</v>
      </c>
      <c r="N11" s="2">
        <f t="shared" si="3"/>
        <v>0.63377935839446675</v>
      </c>
      <c r="O11" s="2">
        <f t="shared" si="3"/>
        <v>0.57852976576400439</v>
      </c>
      <c r="P11" s="2">
        <f t="shared" si="3"/>
        <v>0.52809654565404329</v>
      </c>
      <c r="Q11" s="2">
        <f t="shared" si="3"/>
        <v>0.48205983172436634</v>
      </c>
      <c r="R11" s="2">
        <f t="shared" si="3"/>
        <v>0.44003635940152108</v>
      </c>
      <c r="S11" s="2">
        <f t="shared" si="3"/>
        <v>0.40167627512690202</v>
      </c>
      <c r="T11" s="2">
        <f t="shared" si="3"/>
        <v>0.36666022375801188</v>
      </c>
      <c r="U11" s="2">
        <f t="shared" si="3"/>
        <v>0.33469668987495382</v>
      </c>
      <c r="V11" s="2">
        <f t="shared" si="3"/>
        <v>0.30551957085801351</v>
      </c>
      <c r="W11" s="2">
        <f t="shared" si="3"/>
        <v>0.27888596153173301</v>
      </c>
      <c r="X11" s="2">
        <f t="shared" si="3"/>
        <v>0.25457413193220724</v>
      </c>
      <c r="Y11" s="2">
        <f t="shared" si="3"/>
        <v>0.23238168136212439</v>
      </c>
      <c r="Z11" s="2">
        <f t="shared" si="3"/>
        <v>0.21212385336570003</v>
      </c>
      <c r="AA11" s="2">
        <f t="shared" si="3"/>
        <v>0.19363199759534466</v>
      </c>
      <c r="AB11" s="2">
        <f t="shared" si="3"/>
        <v>0.17675216576480571</v>
      </c>
      <c r="AC11" s="2">
        <f t="shared" si="3"/>
        <v>0.16134382999982266</v>
      </c>
      <c r="AD11" s="2">
        <f t="shared" si="3"/>
        <v>0.14727871291631461</v>
      </c>
      <c r="AE11" s="2">
        <f t="shared" si="3"/>
        <v>0.13443971968627533</v>
      </c>
      <c r="AF11" s="2">
        <f t="shared" si="3"/>
        <v>0.12271996320061647</v>
      </c>
      <c r="AG11" s="2">
        <f t="shared" si="3"/>
        <v>0.11202187421325101</v>
      </c>
      <c r="AH11" s="2">
        <f t="shared" si="3"/>
        <v>0.10225638905819352</v>
      </c>
      <c r="AI11" s="2">
        <f t="shared" si="3"/>
        <v>9.3342208177264741E-2</v>
      </c>
      <c r="AJ11" s="2">
        <f t="shared" si="3"/>
        <v>8.520511928549955E-2</v>
      </c>
      <c r="AK11" s="2">
        <f t="shared" si="3"/>
        <v>7.7777379539479274E-2</v>
      </c>
      <c r="AL11" s="2">
        <f t="shared" si="3"/>
        <v>7.0997151565019873E-2</v>
      </c>
    </row>
    <row r="13" spans="1:45" x14ac:dyDescent="0.35">
      <c r="A13" s="63" t="s">
        <v>354</v>
      </c>
    </row>
  </sheetData>
  <autoFilter ref="A2:AR8" xr:uid="{6A8C1C86-F6EA-4C2D-A641-3758738A5F02}"/>
  <mergeCells count="1">
    <mergeCell ref="A8:D8"/>
  </mergeCells>
  <hyperlinks>
    <hyperlink ref="A13" location="Introdução!A1" display="Introdução!A1" xr:uid="{C9051EC5-FE55-4D4C-91B0-9366ABB07B64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71CD2-C481-4517-9F2A-B744E24AB089}">
  <sheetPr>
    <tabColor theme="6" tint="-0.499984740745262"/>
  </sheetPr>
  <dimension ref="A1:AS12"/>
  <sheetViews>
    <sheetView topLeftCell="AG1" workbookViewId="0">
      <selection activeCell="AS2" sqref="AS2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129</v>
      </c>
      <c r="B3" t="s">
        <v>42</v>
      </c>
      <c r="C3">
        <v>510270</v>
      </c>
      <c r="D3" t="s">
        <v>130</v>
      </c>
      <c r="E3" t="s">
        <v>42</v>
      </c>
      <c r="F3" t="s">
        <v>37</v>
      </c>
      <c r="G3" t="s">
        <v>257</v>
      </c>
      <c r="H3" t="s">
        <v>33</v>
      </c>
      <c r="I3" s="1">
        <f>('RECEITAS - BLOCOS PAN'!H27-'OPEX - BLOCOS PAN'!H27-VLOOKUP('BLOCO MATO GROSSO - 2'!$D3,'CAPEX - BLOCOS PAN'!$C$3:$H$52,6,FALSE))*I$10</f>
        <v>-32570421.112099998</v>
      </c>
      <c r="J3" s="1">
        <f>('RECEITAS - BLOCOS PAN'!I27-'OPEX - BLOCOS PAN'!I27-VLOOKUP('BLOCO MATO GROSSO - 2'!$D3,'CAPEX - BLOCOS PAN'!$C$3:$I$52,7,FALSE))*J$10</f>
        <v>-29699389.558922868</v>
      </c>
      <c r="K3" s="1">
        <f>('RECEITAS - BLOCOS PAN'!J27-'OPEX - BLOCOS PAN'!J27-VLOOKUP('BLOCO MATO GROSSO - 2'!$D3,'CAPEX - BLOCOS PAN'!$C$3:$J$52,8,FALSE))*K$10</f>
        <v>-27087599.985834755</v>
      </c>
      <c r="L3" s="1">
        <f>('RECEITAS - BLOCOS PAN'!K27-'OPEX - BLOCOS PAN'!K27-VLOOKUP('BLOCO MATO GROSSO - 2'!$D3,'CAPEX - BLOCOS PAN'!$C$3:$K$52,9,FALSE))*L$10</f>
        <v>-2451881.4957017577</v>
      </c>
      <c r="M3" s="1">
        <f>('RECEITAS - BLOCOS PAN'!L27-'OPEX - BLOCOS PAN'!L27-VLOOKUP('BLOCO MATO GROSSO - 2'!$D3,'CAPEX - BLOCOS PAN'!$C$3:$L$52,10,FALSE))*M$10</f>
        <v>-2226314.0728930021</v>
      </c>
      <c r="N3" s="1">
        <f>('RECEITAS - BLOCOS PAN'!M27-'OPEX - BLOCOS PAN'!M27-VLOOKUP('BLOCO MATO GROSSO - 2'!$D3,'CAPEX - BLOCOS PAN'!$C$3:$M$52,11,FALSE))*N$10</f>
        <v>-2022411.0323557649</v>
      </c>
      <c r="O3" s="1">
        <f>('RECEITAS - BLOCOS PAN'!N27-'OPEX - BLOCOS PAN'!N27-VLOOKUP('BLOCO MATO GROSSO - 2'!$D3,'CAPEX - BLOCOS PAN'!$C$3:$N$52,12,FALSE))*O$10</f>
        <v>-1837462.6061173684</v>
      </c>
      <c r="P3" s="1">
        <f>('RECEITAS - BLOCOS PAN'!O27-'OPEX - BLOCOS PAN'!O27-VLOOKUP('BLOCO MATO GROSSO - 2'!$D3,'CAPEX - BLOCOS PAN'!$C$3:$O$52,13,FALSE))*P$10</f>
        <v>-1752672.3170763515</v>
      </c>
      <c r="Q3" s="1">
        <f>('RECEITAS - BLOCOS PAN'!P27-'OPEX - BLOCOS PAN'!P27-VLOOKUP('BLOCO MATO GROSSO - 2'!$D3,'CAPEX - BLOCOS PAN'!$C$3:$P$52,14,FALSE))*Q$10</f>
        <v>-1592933.4387409582</v>
      </c>
      <c r="R3" s="1">
        <f>('RECEITAS - BLOCOS PAN'!Q27-'OPEX - BLOCOS PAN'!Q27-VLOOKUP('BLOCO MATO GROSSO - 2'!$D3,'CAPEX - BLOCOS PAN'!$C$3:$Q$52,15,FALSE))*R$10</f>
        <v>-1448183.6939283856</v>
      </c>
      <c r="S3" s="1">
        <f>('RECEITAS - BLOCOS PAN'!R27-'OPEX - BLOCOS PAN'!R27-VLOOKUP('BLOCO MATO GROSSO - 2'!$D3,'CAPEX - BLOCOS PAN'!$C$3:$R$52,16,FALSE))*S$10</f>
        <v>-1316938.1719811151</v>
      </c>
      <c r="T3" s="1">
        <f>('RECEITAS - BLOCOS PAN'!S27-'OPEX - BLOCOS PAN'!S27-VLOOKUP('BLOCO MATO GROSSO - 2'!$D3,'CAPEX - BLOCOS PAN'!$C$3:$S$52,17,FALSE))*T$10</f>
        <v>-1197580.0756358933</v>
      </c>
      <c r="U3" s="1">
        <f>('RECEITAS - BLOCOS PAN'!T27-'OPEX - BLOCOS PAN'!T27-VLOOKUP('BLOCO MATO GROSSO - 2'!$D3,'CAPEX - BLOCOS PAN'!$C$3:$T$52,18,FALSE))*U$10</f>
        <v>-1089071.7426114383</v>
      </c>
      <c r="V3" s="1">
        <f>('RECEITAS - BLOCOS PAN'!U27-'OPEX - BLOCOS PAN'!U27-VLOOKUP('BLOCO MATO GROSSO - 2'!$D3,'CAPEX - BLOCOS PAN'!$C$3:$U$52,19,FALSE))*V$10</f>
        <v>-990302.63189479942</v>
      </c>
      <c r="W3" s="1">
        <f>('RECEITAS - BLOCOS PAN'!V27-'OPEX - BLOCOS PAN'!V27-VLOOKUP('BLOCO MATO GROSSO - 2'!$D3,'CAPEX - BLOCOS PAN'!$C$3:$V$52,20,FALSE))*W$10</f>
        <v>-900537.00261945825</v>
      </c>
      <c r="X3" s="1">
        <f>('RECEITAS - BLOCOS PAN'!W27-'OPEX - BLOCOS PAN'!W27-VLOOKUP('BLOCO MATO GROSSO - 2'!$D3,'CAPEX - BLOCOS PAN'!$C$3:$W$52,21,FALSE))*X$10</f>
        <v>-818852.66177316103</v>
      </c>
      <c r="Y3" s="1">
        <f>('RECEITAS - BLOCOS PAN'!X27-'OPEX - BLOCOS PAN'!X27-VLOOKUP('BLOCO MATO GROSSO - 2'!$D3,'CAPEX - BLOCOS PAN'!$C$3:$X$52,22,FALSE))*Y$10</f>
        <v>-744589.72068105242</v>
      </c>
      <c r="Z3" s="1">
        <f>('RECEITAS - BLOCOS PAN'!Y27-'OPEX - BLOCOS PAN'!Y27-VLOOKUP('BLOCO MATO GROSSO - 2'!$D3,'CAPEX - BLOCOS PAN'!$C$3:$Y$52,23,FALSE))*Z$10</f>
        <v>-676963.80667391396</v>
      </c>
      <c r="AA3" s="1">
        <f>('RECEITAS - BLOCOS PAN'!Z27-'OPEX - BLOCOS PAN'!Z27-VLOOKUP('BLOCO MATO GROSSO - 2'!$D3,'CAPEX - BLOCOS PAN'!$C$3:$Z$52,24,FALSE))*AA$10</f>
        <v>-615434.27637550095</v>
      </c>
      <c r="AB3" s="1">
        <f>('RECEITAS - BLOCOS PAN'!AA27-'OPEX - BLOCOS PAN'!AA27-VLOOKUP('BLOCO MATO GROSSO - 2'!$D3,'CAPEX - BLOCOS PAN'!$C$3:$AA$52,25,FALSE))*AB$10</f>
        <v>-559462.46127295902</v>
      </c>
      <c r="AC3" s="1">
        <f>('RECEITAS - BLOCOS PAN'!AB27-'OPEX - BLOCOS PAN'!AB27-VLOOKUP('BLOCO MATO GROSSO - 2'!$D3,'CAPEX - BLOCOS PAN'!$C$3:$AB$52,26,FALSE))*AC$10</f>
        <v>-508636.77060871909</v>
      </c>
      <c r="AD3" s="1">
        <f>('RECEITAS - BLOCOS PAN'!AC27-'OPEX - BLOCOS PAN'!AC27-VLOOKUP('BLOCO MATO GROSSO - 2'!$D3,'CAPEX - BLOCOS PAN'!$C$3:$AC$52,27,FALSE))*AD$10</f>
        <v>-462402.11025235039</v>
      </c>
      <c r="AE3" s="1">
        <f>('RECEITAS - BLOCOS PAN'!AD27-'OPEX - BLOCOS PAN'!AD27-VLOOKUP('BLOCO MATO GROSSO - 2'!$D3,'CAPEX - BLOCOS PAN'!$C$3:$AD$52,28,FALSE))*AE$10</f>
        <v>-420376.41764420917</v>
      </c>
      <c r="AF3" s="1">
        <f>('RECEITAS - BLOCOS PAN'!AE27-'OPEX - BLOCOS PAN'!AE27-VLOOKUP('BLOCO MATO GROSSO - 2'!$D3,'CAPEX - BLOCOS PAN'!$C$3:$AE$52,29,FALSE))*AF$10</f>
        <v>-382162.13792623754</v>
      </c>
      <c r="AG3" s="1">
        <f>('RECEITAS - BLOCOS PAN'!AF27-'OPEX - BLOCOS PAN'!AF27-VLOOKUP('BLOCO MATO GROSSO - 2'!$D3,'CAPEX - BLOCOS PAN'!$C$3:$AF$52,30,FALSE))*AG$10</f>
        <v>-347438.31270827627</v>
      </c>
      <c r="AH3" s="1">
        <f>('RECEITAS - BLOCOS PAN'!AG27-'OPEX - BLOCOS PAN'!AG27-VLOOKUP('BLOCO MATO GROSSO - 2'!$D3,'CAPEX - BLOCOS PAN'!$C$3:$AG$52,31,FALSE))*AH$10</f>
        <v>-315848.24475288729</v>
      </c>
      <c r="AI3" s="1">
        <f>('RECEITAS - BLOCOS PAN'!AH27-'OPEX - BLOCOS PAN'!AH27-VLOOKUP('BLOCO MATO GROSSO - 2'!$D3,'CAPEX - BLOCOS PAN'!$C$3:$AH$52,32,FALSE))*AI$10</f>
        <v>-287172.20205644018</v>
      </c>
      <c r="AJ3" s="1">
        <f>('RECEITAS - BLOCOS PAN'!AI27-'OPEX - BLOCOS PAN'!AI27-VLOOKUP('BLOCO MATO GROSSO - 2'!$D3,'CAPEX - BLOCOS PAN'!$C$3:$AI$52,33,FALSE))*AJ$10</f>
        <v>-261083.33786776965</v>
      </c>
      <c r="AK3" s="1">
        <f>('RECEITAS - BLOCOS PAN'!AJ27-'OPEX - BLOCOS PAN'!AJ27-VLOOKUP('BLOCO MATO GROSSO - 2'!$D3,'CAPEX - BLOCOS PAN'!$C$3:$AJ$52,34,FALSE))*AK$10</f>
        <v>-237344.07087752133</v>
      </c>
      <c r="AL3" s="1">
        <f>('RECEITAS - BLOCOS PAN'!AK27-'OPEX - BLOCOS PAN'!AK27-VLOOKUP('BLOCO MATO GROSSO - 2'!$D3,'CAPEX - BLOCOS PAN'!$C$3:$AK$52,35,FALSE))*AL$10</f>
        <v>-215745.52023151531</v>
      </c>
      <c r="AM3" s="44">
        <f t="shared" ref="AM3:AM4" si="0">SUM(I3:AL3)</f>
        <v>-115037210.99011642</v>
      </c>
      <c r="AN3">
        <v>1</v>
      </c>
      <c r="AO3" t="s">
        <v>315</v>
      </c>
      <c r="AP3">
        <v>-13.566666666666666</v>
      </c>
      <c r="AQ3">
        <v>-52.266666666666666</v>
      </c>
      <c r="AR3" s="48">
        <f>VLOOKUP(D3,'Projeção - Demanda PAX'!$C$3:$H$37,6,FALSE)</f>
        <v>20223</v>
      </c>
      <c r="AS3" t="str">
        <f>VLOOKUP(D3,'FLUXO DE CAIXA DESC.-BLOCOS PAN'!$D$3:$AU$52,44,FALSE)</f>
        <v>Bloco 11 - MT2</v>
      </c>
    </row>
    <row r="4" spans="1:45" x14ac:dyDescent="0.35">
      <c r="A4" t="s">
        <v>161</v>
      </c>
      <c r="B4" s="5" t="s">
        <v>269</v>
      </c>
      <c r="C4">
        <v>510677</v>
      </c>
      <c r="D4" t="s">
        <v>301</v>
      </c>
      <c r="E4" t="s">
        <v>179</v>
      </c>
      <c r="F4" t="s">
        <v>37</v>
      </c>
      <c r="G4" t="s">
        <v>257</v>
      </c>
      <c r="H4" t="s">
        <v>33</v>
      </c>
      <c r="I4" s="1">
        <f>'FLUXO DE CAIXA DESC.-BLOCOS PAN'!I40</f>
        <v>-8618035.9826957174</v>
      </c>
      <c r="J4" s="1">
        <f>'FLUXO DE CAIXA DESC.-BLOCOS PAN'!J40</f>
        <v>-7866760.3675907971</v>
      </c>
      <c r="K4" s="1">
        <f>'FLUXO DE CAIXA DESC.-BLOCOS PAN'!K40</f>
        <v>-7180977.0585036939</v>
      </c>
      <c r="L4" s="1">
        <f>'FLUXO DE CAIXA DESC.-BLOCOS PAN'!L40</f>
        <v>-399274.52055394708</v>
      </c>
      <c r="M4" s="1">
        <f>'FLUXO DE CAIXA DESC.-BLOCOS PAN'!M40</f>
        <v>-364467.84167407313</v>
      </c>
      <c r="N4" s="1">
        <f>'FLUXO DE CAIXA DESC.-BLOCOS PAN'!N40</f>
        <v>-332695.42827391427</v>
      </c>
      <c r="O4" s="1">
        <f>'FLUXO DE CAIXA DESC.-BLOCOS PAN'!O40</f>
        <v>-303692.76884884923</v>
      </c>
      <c r="P4" s="1">
        <f>'FLUXO DE CAIXA DESC.-BLOCOS PAN'!P40</f>
        <v>-277218.41063336306</v>
      </c>
      <c r="Q4" s="1">
        <f>'FLUXO DE CAIXA DESC.-BLOCOS PAN'!Q40</f>
        <v>-253051.94945993891</v>
      </c>
      <c r="R4" s="1">
        <f>'FLUXO DE CAIXA DESC.-BLOCOS PAN'!R40</f>
        <v>-230992.19485161014</v>
      </c>
      <c r="S4" s="1">
        <f>'FLUXO DE CAIXA DESC.-BLOCOS PAN'!S40</f>
        <v>-210855.49507221379</v>
      </c>
      <c r="T4" s="1">
        <f>'FLUXO DE CAIXA DESC.-BLOCOS PAN'!T40</f>
        <v>-192474.20819006278</v>
      </c>
      <c r="U4" s="1">
        <f>'FLUXO DE CAIXA DESC.-BLOCOS PAN'!U40</f>
        <v>-175695.30642634668</v>
      </c>
      <c r="V4" s="1">
        <f>'FLUXO DE CAIXA DESC.-BLOCOS PAN'!V40</f>
        <v>-160379.10216918911</v>
      </c>
      <c r="W4" s="1">
        <f>'FLUXO DE CAIXA DESC.-BLOCOS PAN'!W40</f>
        <v>-146398.08504718312</v>
      </c>
      <c r="X4" s="1">
        <f>'FLUXO DE CAIXA DESC.-BLOCOS PAN'!X40</f>
        <v>-133635.86038081528</v>
      </c>
      <c r="Y4" s="1">
        <f>'FLUXO DE CAIXA DESC.-BLOCOS PAN'!Y40</f>
        <v>-121986.180174181</v>
      </c>
      <c r="Z4" s="1">
        <f>'FLUXO DE CAIXA DESC.-BLOCOS PAN'!Z40</f>
        <v>-111352.05857980922</v>
      </c>
      <c r="AA4" s="1">
        <f>'FLUXO DE CAIXA DESC.-BLOCOS PAN'!AA40</f>
        <v>-101644.96447266932</v>
      </c>
      <c r="AB4" s="1">
        <f>'FLUXO DE CAIXA DESC.-BLOCOS PAN'!AB40</f>
        <v>-92784.084411382311</v>
      </c>
      <c r="AC4" s="1">
        <f>'FLUXO DE CAIXA DESC.-BLOCOS PAN'!AC40</f>
        <v>-84695.649850645656</v>
      </c>
      <c r="AD4" s="1">
        <f>'FLUXO DE CAIXA DESC.-BLOCOS PAN'!AD40</f>
        <v>-77312.323003784259</v>
      </c>
      <c r="AE4" s="1">
        <f>'FLUXO DE CAIXA DESC.-BLOCOS PAN'!AE40</f>
        <v>-70572.636242614579</v>
      </c>
      <c r="AF4" s="1">
        <f>'FLUXO DE CAIXA DESC.-BLOCOS PAN'!AF40</f>
        <v>-64420.480367516735</v>
      </c>
      <c r="AG4" s="1">
        <f>'FLUXO DE CAIXA DESC.-BLOCOS PAN'!AG40</f>
        <v>-58804.637487463937</v>
      </c>
      <c r="AH4" s="1">
        <f>'FLUXO DE CAIXA DESC.-BLOCOS PAN'!AH40</f>
        <v>-53678.354621144623</v>
      </c>
      <c r="AI4" s="1">
        <f>'FLUXO DE CAIXA DESC.-BLOCOS PAN'!AI40</f>
        <v>-48998.954469324162</v>
      </c>
      <c r="AJ4" s="1">
        <f>'FLUXO DE CAIXA DESC.-BLOCOS PAN'!AJ40</f>
        <v>-44727.480118050364</v>
      </c>
      <c r="AK4" s="1">
        <f>'FLUXO DE CAIXA DESC.-BLOCOS PAN'!AK40</f>
        <v>-40828.3707147881</v>
      </c>
      <c r="AL4" s="1">
        <f>'FLUXO DE CAIXA DESC.-BLOCOS PAN'!AL40</f>
        <v>-37269.16541742409</v>
      </c>
      <c r="AM4" s="44">
        <f t="shared" si="0"/>
        <v>-27855679.920302503</v>
      </c>
      <c r="AN4">
        <v>1</v>
      </c>
      <c r="AO4" t="s">
        <v>315</v>
      </c>
      <c r="AP4">
        <v>-10.916666666666666</v>
      </c>
      <c r="AQ4">
        <v>-51.6</v>
      </c>
      <c r="AR4" s="48">
        <v>0</v>
      </c>
      <c r="AS4" t="str">
        <f>VLOOKUP(D4,'FLUXO DE CAIXA DESC.-BLOCOS PAN'!$D$3:$AU$52,44,FALSE)</f>
        <v>Bloco 11 - MT2</v>
      </c>
    </row>
    <row r="5" spans="1:45" x14ac:dyDescent="0.35">
      <c r="A5" t="s">
        <v>155</v>
      </c>
      <c r="B5" s="5" t="s">
        <v>265</v>
      </c>
      <c r="C5">
        <v>510704</v>
      </c>
      <c r="D5" t="s">
        <v>298</v>
      </c>
      <c r="E5" t="s">
        <v>239</v>
      </c>
      <c r="F5" t="s">
        <v>37</v>
      </c>
      <c r="G5" t="s">
        <v>257</v>
      </c>
      <c r="H5" t="s">
        <v>33</v>
      </c>
      <c r="I5" s="1">
        <f>'FLUXO DE CAIXA DESC.-BLOCOS PAN'!I50</f>
        <v>-8799596.8000062257</v>
      </c>
      <c r="J5" s="1">
        <f>'FLUXO DE CAIXA DESC.-BLOCOS PAN'!J50</f>
        <v>-8032493.6558705857</v>
      </c>
      <c r="K5" s="1">
        <f>'FLUXO DE CAIXA DESC.-BLOCOS PAN'!K50</f>
        <v>-7332262.5795258656</v>
      </c>
      <c r="L5" s="1">
        <f>'FLUXO DE CAIXA DESC.-BLOCOS PAN'!L50</f>
        <v>-112540.06143436371</v>
      </c>
      <c r="M5" s="1">
        <f>'FLUXO DE CAIXA DESC.-BLOCOS PAN'!M50</f>
        <v>-102729.40340882129</v>
      </c>
      <c r="N5" s="1">
        <f>'FLUXO DE CAIXA DESC.-BLOCOS PAN'!N50</f>
        <v>-93773.987593629645</v>
      </c>
      <c r="O5" s="1">
        <f>'FLUXO DE CAIXA DESC.-BLOCOS PAN'!O50</f>
        <v>-85599.258414997399</v>
      </c>
      <c r="P5" s="1">
        <f>'FLUXO DE CAIXA DESC.-BLOCOS PAN'!P50</f>
        <v>-78137.159666816442</v>
      </c>
      <c r="Q5" s="1">
        <f>'FLUXO DE CAIXA DESC.-BLOCOS PAN'!Q50</f>
        <v>-71325.567929544908</v>
      </c>
      <c r="R5" s="1">
        <f>'FLUXO DE CAIXA DESC.-BLOCOS PAN'!R50</f>
        <v>-65107.775380689098</v>
      </c>
      <c r="S5" s="1">
        <f>'FLUXO DE CAIXA DESC.-BLOCOS PAN'!S50</f>
        <v>-59432.017691181296</v>
      </c>
      <c r="T5" s="1">
        <f>'FLUXO DE CAIXA DESC.-BLOCOS PAN'!T50</f>
        <v>-54251.043077299219</v>
      </c>
      <c r="U5" s="1">
        <f>'FLUXO DE CAIXA DESC.-BLOCOS PAN'!U50</f>
        <v>-49521.718920400934</v>
      </c>
      <c r="V5" s="1">
        <f>'FLUXO DE CAIXA DESC.-BLOCOS PAN'!V50</f>
        <v>-45204.672679507923</v>
      </c>
      <c r="W5" s="1">
        <f>'FLUXO DE CAIXA DESC.-BLOCOS PAN'!W50</f>
        <v>-41263.964107264197</v>
      </c>
      <c r="X5" s="1">
        <f>'FLUXO DE CAIXA DESC.-BLOCOS PAN'!X50</f>
        <v>-37666.786040405474</v>
      </c>
      <c r="Y5" s="1">
        <f>'FLUXO DE CAIXA DESC.-BLOCOS PAN'!Y50</f>
        <v>-34383.19127376128</v>
      </c>
      <c r="Z5" s="1">
        <f>'FLUXO DE CAIXA DESC.-BLOCOS PAN'!Z50</f>
        <v>-31385.843243962827</v>
      </c>
      <c r="AA5" s="1">
        <f>'FLUXO DE CAIXA DESC.-BLOCOS PAN'!AA50</f>
        <v>-28649.788447250419</v>
      </c>
      <c r="AB5" s="1">
        <f>'FLUXO DE CAIXA DESC.-BLOCOS PAN'!AB50</f>
        <v>-26152.24869671421</v>
      </c>
      <c r="AC5" s="1">
        <f>'FLUXO DE CAIXA DESC.-BLOCOS PAN'!AC50</f>
        <v>-23872.431489469844</v>
      </c>
      <c r="AD5" s="1">
        <f>'FLUXO DE CAIXA DESC.-BLOCOS PAN'!AD50</f>
        <v>-21791.35690503865</v>
      </c>
      <c r="AE5" s="1">
        <f>'FLUXO DE CAIXA DESC.-BLOCOS PAN'!AE50</f>
        <v>-19891.699593828071</v>
      </c>
      <c r="AF5" s="1">
        <f>'FLUXO DE CAIXA DESC.-BLOCOS PAN'!AF50</f>
        <v>-18157.644540235575</v>
      </c>
      <c r="AG5" s="1">
        <f>'FLUXO DE CAIXA DESC.-BLOCOS PAN'!AG50</f>
        <v>-16574.755399576065</v>
      </c>
      <c r="AH5" s="1">
        <f>'FLUXO DE CAIXA DESC.-BLOCOS PAN'!AH50</f>
        <v>-15129.854312712061</v>
      </c>
      <c r="AI5" s="1">
        <f>'FLUXO DE CAIXA DESC.-BLOCOS PAN'!AI50</f>
        <v>-13810.912197820229</v>
      </c>
      <c r="AJ5" s="1">
        <f>'FLUXO DE CAIXA DESC.-BLOCOS PAN'!AJ50</f>
        <v>-12606.948605951831</v>
      </c>
      <c r="AK5" s="1">
        <f>'FLUXO DE CAIXA DESC.-BLOCOS PAN'!AK50</f>
        <v>-11507.940306665296</v>
      </c>
      <c r="AL5" s="1">
        <f>'FLUXO DE CAIXA DESC.-BLOCOS PAN'!AL50</f>
        <v>-10504.737842688539</v>
      </c>
      <c r="AM5" s="44">
        <f t="shared" ref="AM5" si="1">SUM(I5:AL5)</f>
        <v>-25345325.804603271</v>
      </c>
      <c r="AN5">
        <v>1</v>
      </c>
      <c r="AO5" t="s">
        <v>315</v>
      </c>
      <c r="AP5">
        <v>-15.55</v>
      </c>
      <c r="AQ5">
        <v>-54.31666666666667</v>
      </c>
      <c r="AR5" s="48">
        <v>0</v>
      </c>
      <c r="AS5" t="str">
        <f>VLOOKUP(D5,'FLUXO DE CAIXA DESC.-BLOCOS PAN'!$D$3:$AU$52,44,FALSE)</f>
        <v>Bloco 11 - MT2</v>
      </c>
    </row>
    <row r="6" spans="1:45" x14ac:dyDescent="0.35">
      <c r="B6" s="6"/>
      <c r="C6" s="6"/>
      <c r="D6" s="6"/>
      <c r="H6" s="47" t="s">
        <v>250</v>
      </c>
      <c r="I6" s="8">
        <f t="shared" ref="I6:AM6" si="2">SUBTOTAL(109,I3:I5)</f>
        <v>-49988053.894801944</v>
      </c>
      <c r="J6" s="8">
        <f t="shared" si="2"/>
        <v>-45598643.582384251</v>
      </c>
      <c r="K6" s="8">
        <f t="shared" si="2"/>
        <v>-41600839.623864315</v>
      </c>
      <c r="L6" s="8">
        <f t="shared" si="2"/>
        <v>-2963696.0776900686</v>
      </c>
      <c r="M6" s="8">
        <f t="shared" si="2"/>
        <v>-2693511.3179758964</v>
      </c>
      <c r="N6" s="8">
        <f t="shared" si="2"/>
        <v>-2448880.4482233091</v>
      </c>
      <c r="O6" s="8">
        <f t="shared" si="2"/>
        <v>-2226754.6333812149</v>
      </c>
      <c r="P6" s="8">
        <f t="shared" si="2"/>
        <v>-2108027.887376531</v>
      </c>
      <c r="Q6" s="8">
        <f t="shared" si="2"/>
        <v>-1917310.9561304422</v>
      </c>
      <c r="R6" s="8">
        <f t="shared" si="2"/>
        <v>-1744283.6641606849</v>
      </c>
      <c r="S6" s="8">
        <f t="shared" si="2"/>
        <v>-1587225.6847445101</v>
      </c>
      <c r="T6" s="8">
        <f t="shared" si="2"/>
        <v>-1444305.3269032552</v>
      </c>
      <c r="U6" s="8">
        <f t="shared" si="2"/>
        <v>-1314288.7679581859</v>
      </c>
      <c r="V6" s="8">
        <f t="shared" si="2"/>
        <v>-1195886.4067434964</v>
      </c>
      <c r="W6" s="8">
        <f t="shared" si="2"/>
        <v>-1088199.0517739055</v>
      </c>
      <c r="X6" s="8">
        <f t="shared" si="2"/>
        <v>-990155.30819438188</v>
      </c>
      <c r="Y6" s="8">
        <f t="shared" si="2"/>
        <v>-900959.09212899476</v>
      </c>
      <c r="Z6" s="8">
        <f t="shared" si="2"/>
        <v>-819701.70849768608</v>
      </c>
      <c r="AA6" s="8">
        <f t="shared" si="2"/>
        <v>-745729.02929542062</v>
      </c>
      <c r="AB6" s="8">
        <f t="shared" si="2"/>
        <v>-678398.79438105552</v>
      </c>
      <c r="AC6" s="8">
        <f t="shared" si="2"/>
        <v>-617204.85194883461</v>
      </c>
      <c r="AD6" s="8">
        <f t="shared" si="2"/>
        <v>-561505.79016117333</v>
      </c>
      <c r="AE6" s="8">
        <f t="shared" si="2"/>
        <v>-510840.75348065182</v>
      </c>
      <c r="AF6" s="8">
        <f t="shared" si="2"/>
        <v>-464740.26283398987</v>
      </c>
      <c r="AG6" s="8">
        <f t="shared" si="2"/>
        <v>-422817.70559531625</v>
      </c>
      <c r="AH6" s="8">
        <f t="shared" si="2"/>
        <v>-384656.45368674392</v>
      </c>
      <c r="AI6" s="8">
        <f t="shared" si="2"/>
        <v>-349982.06872358453</v>
      </c>
      <c r="AJ6" s="8">
        <f t="shared" si="2"/>
        <v>-318417.76659177186</v>
      </c>
      <c r="AK6" s="8">
        <f t="shared" si="2"/>
        <v>-289680.38189897477</v>
      </c>
      <c r="AL6" s="8">
        <f t="shared" si="2"/>
        <v>-263519.42349162791</v>
      </c>
      <c r="AM6" s="44">
        <f t="shared" si="2"/>
        <v>-168238216.71502221</v>
      </c>
      <c r="AR6" s="66">
        <f>SUBTOTAL(109,AR3:AR5)</f>
        <v>20223</v>
      </c>
    </row>
    <row r="7" spans="1:45" x14ac:dyDescent="0.35">
      <c r="A7" s="83" t="s">
        <v>368</v>
      </c>
      <c r="B7" s="83"/>
      <c r="C7" s="83"/>
      <c r="D7" s="83"/>
      <c r="E7" s="47"/>
      <c r="H7" s="47" t="s">
        <v>285</v>
      </c>
      <c r="I7" s="8">
        <f>I6</f>
        <v>-49988053.894801944</v>
      </c>
      <c r="J7" s="8">
        <f t="shared" ref="J7:AL7" si="3">J6+I7</f>
        <v>-95586697.477186203</v>
      </c>
      <c r="K7" s="8">
        <f t="shared" si="3"/>
        <v>-137187537.10105053</v>
      </c>
      <c r="L7" s="8">
        <f t="shared" si="3"/>
        <v>-140151233.17874059</v>
      </c>
      <c r="M7" s="8">
        <f t="shared" si="3"/>
        <v>-142844744.4967165</v>
      </c>
      <c r="N7" s="8">
        <f t="shared" si="3"/>
        <v>-145293624.94493982</v>
      </c>
      <c r="O7" s="8">
        <f t="shared" si="3"/>
        <v>-147520379.57832104</v>
      </c>
      <c r="P7" s="8">
        <f t="shared" si="3"/>
        <v>-149628407.46569756</v>
      </c>
      <c r="Q7" s="8">
        <f t="shared" si="3"/>
        <v>-151545718.421828</v>
      </c>
      <c r="R7" s="8">
        <f t="shared" si="3"/>
        <v>-153290002.0859887</v>
      </c>
      <c r="S7" s="8">
        <f t="shared" si="3"/>
        <v>-154877227.77073321</v>
      </c>
      <c r="T7" s="8">
        <f t="shared" si="3"/>
        <v>-156321533.09763646</v>
      </c>
      <c r="U7" s="8">
        <f t="shared" si="3"/>
        <v>-157635821.86559466</v>
      </c>
      <c r="V7" s="8">
        <f t="shared" si="3"/>
        <v>-158831708.27233815</v>
      </c>
      <c r="W7" s="8">
        <f t="shared" si="3"/>
        <v>-159919907.32411206</v>
      </c>
      <c r="X7" s="8">
        <f t="shared" si="3"/>
        <v>-160910062.63230643</v>
      </c>
      <c r="Y7" s="8">
        <f t="shared" si="3"/>
        <v>-161811021.72443542</v>
      </c>
      <c r="Z7" s="8">
        <f t="shared" si="3"/>
        <v>-162630723.43293309</v>
      </c>
      <c r="AA7" s="8">
        <f t="shared" si="3"/>
        <v>-163376452.46222851</v>
      </c>
      <c r="AB7" s="8">
        <f t="shared" si="3"/>
        <v>-164054851.25660956</v>
      </c>
      <c r="AC7" s="8">
        <f t="shared" si="3"/>
        <v>-164672056.10855839</v>
      </c>
      <c r="AD7" s="8">
        <f t="shared" si="3"/>
        <v>-165233561.89871955</v>
      </c>
      <c r="AE7" s="8">
        <f t="shared" si="3"/>
        <v>-165744402.65220019</v>
      </c>
      <c r="AF7" s="8">
        <f t="shared" si="3"/>
        <v>-166209142.91503417</v>
      </c>
      <c r="AG7" s="8">
        <f t="shared" si="3"/>
        <v>-166631960.62062949</v>
      </c>
      <c r="AH7" s="8">
        <f t="shared" si="3"/>
        <v>-167016617.07431623</v>
      </c>
      <c r="AI7" s="8">
        <f t="shared" si="3"/>
        <v>-167366599.14303982</v>
      </c>
      <c r="AJ7" s="8">
        <f t="shared" si="3"/>
        <v>-167685016.90963158</v>
      </c>
      <c r="AK7" s="8">
        <f t="shared" si="3"/>
        <v>-167974697.29153055</v>
      </c>
      <c r="AL7" s="8">
        <f t="shared" si="3"/>
        <v>-168238216.71502218</v>
      </c>
      <c r="AM7" s="44"/>
    </row>
    <row r="8" spans="1:45" x14ac:dyDescent="0.35"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45" x14ac:dyDescent="0.35">
      <c r="H9" s="47" t="s">
        <v>284</v>
      </c>
      <c r="I9" s="2">
        <v>0</v>
      </c>
      <c r="J9" s="2">
        <v>1</v>
      </c>
      <c r="K9" s="2">
        <v>2</v>
      </c>
      <c r="L9" s="2">
        <v>3</v>
      </c>
      <c r="M9" s="2">
        <v>4</v>
      </c>
      <c r="N9" s="2">
        <v>5</v>
      </c>
      <c r="O9" s="2">
        <v>6</v>
      </c>
      <c r="P9" s="2">
        <v>7</v>
      </c>
      <c r="Q9" s="2">
        <v>8</v>
      </c>
      <c r="R9" s="2">
        <v>9</v>
      </c>
      <c r="S9" s="2">
        <v>10</v>
      </c>
      <c r="T9" s="2">
        <v>11</v>
      </c>
      <c r="U9" s="2">
        <v>12</v>
      </c>
      <c r="V9" s="2">
        <v>13</v>
      </c>
      <c r="W9" s="2">
        <v>14</v>
      </c>
      <c r="X9" s="2">
        <v>15</v>
      </c>
      <c r="Y9" s="2">
        <v>16</v>
      </c>
      <c r="Z9" s="2">
        <v>17</v>
      </c>
      <c r="AA9" s="2">
        <v>18</v>
      </c>
      <c r="AB9" s="2">
        <v>19</v>
      </c>
      <c r="AC9" s="2">
        <v>20</v>
      </c>
      <c r="AD9" s="2">
        <v>21</v>
      </c>
      <c r="AE9" s="2">
        <v>22</v>
      </c>
      <c r="AF9" s="2">
        <v>23</v>
      </c>
      <c r="AG9" s="2">
        <v>24</v>
      </c>
      <c r="AH9" s="2">
        <v>25</v>
      </c>
      <c r="AI9" s="2">
        <v>26</v>
      </c>
      <c r="AJ9" s="2">
        <v>27</v>
      </c>
      <c r="AK9" s="2">
        <v>28</v>
      </c>
      <c r="AL9" s="2">
        <v>29</v>
      </c>
    </row>
    <row r="10" spans="1:45" x14ac:dyDescent="0.35">
      <c r="A10" s="2" t="s">
        <v>254</v>
      </c>
      <c r="B10" s="46">
        <v>9.5500000000000002E-2</v>
      </c>
      <c r="C10" s="2" t="s">
        <v>255</v>
      </c>
      <c r="I10" s="2">
        <f>1/(1+$B$10)^I9</f>
        <v>1</v>
      </c>
      <c r="J10" s="2">
        <f t="shared" ref="J10:AL10" si="4">1/(1+$B$10)^J9</f>
        <v>0.91282519397535378</v>
      </c>
      <c r="K10" s="2">
        <f t="shared" si="4"/>
        <v>0.83324983475614223</v>
      </c>
      <c r="L10" s="2">
        <f t="shared" si="4"/>
        <v>0.76061144204120701</v>
      </c>
      <c r="M10" s="2">
        <f t="shared" si="4"/>
        <v>0.69430528712113837</v>
      </c>
      <c r="N10" s="2">
        <f t="shared" si="4"/>
        <v>0.63377935839446675</v>
      </c>
      <c r="O10" s="2">
        <f t="shared" si="4"/>
        <v>0.57852976576400439</v>
      </c>
      <c r="P10" s="2">
        <f t="shared" si="4"/>
        <v>0.52809654565404329</v>
      </c>
      <c r="Q10" s="2">
        <f t="shared" si="4"/>
        <v>0.48205983172436634</v>
      </c>
      <c r="R10" s="2">
        <f t="shared" si="4"/>
        <v>0.44003635940152108</v>
      </c>
      <c r="S10" s="2">
        <f t="shared" si="4"/>
        <v>0.40167627512690202</v>
      </c>
      <c r="T10" s="2">
        <f t="shared" si="4"/>
        <v>0.36666022375801188</v>
      </c>
      <c r="U10" s="2">
        <f t="shared" si="4"/>
        <v>0.33469668987495382</v>
      </c>
      <c r="V10" s="2">
        <f t="shared" si="4"/>
        <v>0.30551957085801351</v>
      </c>
      <c r="W10" s="2">
        <f t="shared" si="4"/>
        <v>0.27888596153173301</v>
      </c>
      <c r="X10" s="2">
        <f t="shared" si="4"/>
        <v>0.25457413193220724</v>
      </c>
      <c r="Y10" s="2">
        <f t="shared" si="4"/>
        <v>0.23238168136212439</v>
      </c>
      <c r="Z10" s="2">
        <f t="shared" si="4"/>
        <v>0.21212385336570003</v>
      </c>
      <c r="AA10" s="2">
        <f t="shared" si="4"/>
        <v>0.19363199759534466</v>
      </c>
      <c r="AB10" s="2">
        <f t="shared" si="4"/>
        <v>0.17675216576480571</v>
      </c>
      <c r="AC10" s="2">
        <f t="shared" si="4"/>
        <v>0.16134382999982266</v>
      </c>
      <c r="AD10" s="2">
        <f t="shared" si="4"/>
        <v>0.14727871291631461</v>
      </c>
      <c r="AE10" s="2">
        <f t="shared" si="4"/>
        <v>0.13443971968627533</v>
      </c>
      <c r="AF10" s="2">
        <f t="shared" si="4"/>
        <v>0.12271996320061647</v>
      </c>
      <c r="AG10" s="2">
        <f t="shared" si="4"/>
        <v>0.11202187421325101</v>
      </c>
      <c r="AH10" s="2">
        <f t="shared" si="4"/>
        <v>0.10225638905819352</v>
      </c>
      <c r="AI10" s="2">
        <f t="shared" si="4"/>
        <v>9.3342208177264741E-2</v>
      </c>
      <c r="AJ10" s="2">
        <f t="shared" si="4"/>
        <v>8.520511928549955E-2</v>
      </c>
      <c r="AK10" s="2">
        <f t="shared" si="4"/>
        <v>7.7777379539479274E-2</v>
      </c>
      <c r="AL10" s="2">
        <f t="shared" si="4"/>
        <v>7.0997151565019873E-2</v>
      </c>
    </row>
    <row r="12" spans="1:45" x14ac:dyDescent="0.35">
      <c r="A12" s="63" t="s">
        <v>354</v>
      </c>
    </row>
  </sheetData>
  <autoFilter ref="A2:AR7" xr:uid="{6A8C1C86-F6EA-4C2D-A641-3758738A5F02}"/>
  <mergeCells count="1">
    <mergeCell ref="A7:D7"/>
  </mergeCells>
  <conditionalFormatting sqref="D5">
    <cfRule type="duplicateValues" dxfId="31" priority="253"/>
  </conditionalFormatting>
  <hyperlinks>
    <hyperlink ref="A12" location="Introdução!A1" display="Introdução!A1" xr:uid="{65F0A616-AB3F-4E63-A1FC-85E95DCA8A9F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B8A6-BD67-4F3F-8138-2CDE05318792}">
  <sheetPr>
    <tabColor theme="6" tint="-0.499984740745262"/>
  </sheetPr>
  <dimension ref="A1:AS13"/>
  <sheetViews>
    <sheetView topLeftCell="AG1" workbookViewId="0">
      <selection activeCell="AS3" sqref="AS3"/>
    </sheetView>
  </sheetViews>
  <sheetFormatPr defaultRowHeight="14.5" x14ac:dyDescent="0.35"/>
  <cols>
    <col min="1" max="1" width="7" bestFit="1" customWidth="1"/>
    <col min="2" max="2" width="25.7265625" customWidth="1"/>
    <col min="3" max="3" width="7.453125" bestFit="1" customWidth="1"/>
    <col min="4" max="4" width="13.1796875" bestFit="1" customWidth="1"/>
    <col min="5" max="5" width="20.81640625" customWidth="1"/>
    <col min="6" max="6" width="3.81640625" bestFit="1" customWidth="1"/>
    <col min="7" max="7" width="7.1796875" bestFit="1" customWidth="1"/>
    <col min="8" max="8" width="10.453125" customWidth="1"/>
    <col min="9" max="12" width="19.54296875" bestFit="1" customWidth="1"/>
    <col min="13" max="38" width="20.54296875" bestFit="1" customWidth="1"/>
    <col min="39" max="39" width="20.7265625" bestFit="1" customWidth="1"/>
    <col min="40" max="40" width="14.81640625" bestFit="1" customWidth="1"/>
    <col min="41" max="41" width="32.26953125" bestFit="1" customWidth="1"/>
    <col min="42" max="43" width="12.7265625" bestFit="1" customWidth="1"/>
    <col min="44" max="44" width="11.54296875" bestFit="1" customWidth="1"/>
    <col min="45" max="45" width="14.7265625" bestFit="1" customWidth="1"/>
  </cols>
  <sheetData>
    <row r="1" spans="1:45" x14ac:dyDescent="0.35">
      <c r="A1" s="43" t="s">
        <v>0</v>
      </c>
      <c r="B1" s="43" t="s">
        <v>162</v>
      </c>
      <c r="C1" s="43" t="s">
        <v>163</v>
      </c>
      <c r="D1" s="43" t="s">
        <v>2</v>
      </c>
      <c r="E1" s="43" t="s">
        <v>3</v>
      </c>
      <c r="F1" s="43" t="s">
        <v>4</v>
      </c>
      <c r="G1" s="43" t="s">
        <v>280</v>
      </c>
      <c r="H1" s="45" t="s">
        <v>164</v>
      </c>
      <c r="I1" s="45" t="s">
        <v>356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 t="s">
        <v>244</v>
      </c>
      <c r="AO1" s="43" t="s">
        <v>303</v>
      </c>
      <c r="AP1" s="43" t="s">
        <v>281</v>
      </c>
      <c r="AQ1" s="43" t="s">
        <v>282</v>
      </c>
      <c r="AR1" s="43" t="s">
        <v>302</v>
      </c>
      <c r="AS1" s="43" t="s">
        <v>380</v>
      </c>
    </row>
    <row r="2" spans="1:45" s="3" customFormat="1" x14ac:dyDescent="0.35">
      <c r="A2" s="56" t="s">
        <v>0</v>
      </c>
      <c r="B2" s="56" t="s">
        <v>162</v>
      </c>
      <c r="C2" s="56" t="s">
        <v>163</v>
      </c>
      <c r="D2" s="56" t="s">
        <v>2</v>
      </c>
      <c r="E2" s="56" t="s">
        <v>3</v>
      </c>
      <c r="F2" s="56" t="s">
        <v>4</v>
      </c>
      <c r="G2" s="56" t="s">
        <v>280</v>
      </c>
      <c r="H2" s="57" t="s">
        <v>164</v>
      </c>
      <c r="I2" s="43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  <c r="S2" s="43">
        <v>11</v>
      </c>
      <c r="T2" s="43">
        <v>12</v>
      </c>
      <c r="U2" s="43">
        <v>13</v>
      </c>
      <c r="V2" s="43">
        <v>14</v>
      </c>
      <c r="W2" s="43">
        <v>15</v>
      </c>
      <c r="X2" s="43">
        <v>16</v>
      </c>
      <c r="Y2" s="43">
        <v>17</v>
      </c>
      <c r="Z2" s="43">
        <v>18</v>
      </c>
      <c r="AA2" s="43">
        <v>19</v>
      </c>
      <c r="AB2" s="43">
        <v>20</v>
      </c>
      <c r="AC2" s="43">
        <v>21</v>
      </c>
      <c r="AD2" s="43">
        <v>22</v>
      </c>
      <c r="AE2" s="43">
        <v>23</v>
      </c>
      <c r="AF2" s="43">
        <v>24</v>
      </c>
      <c r="AG2" s="43">
        <v>25</v>
      </c>
      <c r="AH2" s="43">
        <v>26</v>
      </c>
      <c r="AI2" s="43">
        <v>27</v>
      </c>
      <c r="AJ2" s="43">
        <v>28</v>
      </c>
      <c r="AK2" s="43">
        <v>29</v>
      </c>
      <c r="AL2" s="43">
        <v>30</v>
      </c>
      <c r="AM2" s="43" t="s">
        <v>250</v>
      </c>
      <c r="AN2" s="56" t="s">
        <v>244</v>
      </c>
      <c r="AO2" s="56" t="s">
        <v>303</v>
      </c>
      <c r="AP2" s="56" t="s">
        <v>281</v>
      </c>
      <c r="AQ2" s="56" t="s">
        <v>282</v>
      </c>
      <c r="AR2" s="56" t="s">
        <v>302</v>
      </c>
      <c r="AS2" s="56" t="s">
        <v>380</v>
      </c>
    </row>
    <row r="3" spans="1:45" x14ac:dyDescent="0.35">
      <c r="A3" t="s">
        <v>43</v>
      </c>
      <c r="B3" t="s">
        <v>44</v>
      </c>
      <c r="C3">
        <v>150360</v>
      </c>
      <c r="D3" t="s">
        <v>45</v>
      </c>
      <c r="E3" t="s">
        <v>44</v>
      </c>
      <c r="F3" t="s">
        <v>29</v>
      </c>
      <c r="G3" t="s">
        <v>259</v>
      </c>
      <c r="H3" t="s">
        <v>33</v>
      </c>
      <c r="I3" s="1">
        <f>('RECEITAS - BLOCOS PAN'!H3-'OPEX - BLOCOS PAN'!H3-VLOOKUP('BLOCO PARÁ - 1'!$D3,'CAPEX - BLOCOS PAN'!$C$3:$H$52,6,FALSE))*I$11</f>
        <v>-47608527.052166663</v>
      </c>
      <c r="J3" s="1">
        <f>('RECEITAS - BLOCOS PAN'!I3-'OPEX - BLOCOS PAN'!I3-VLOOKUP('BLOCO PARÁ - 1'!$D3,'CAPEX - BLOCOS PAN'!$C$3:$I$52,7,FALSE))*J$11</f>
        <v>-43401894.095542371</v>
      </c>
      <c r="K3" s="1">
        <f>('RECEITAS - BLOCOS PAN'!J3-'OPEX - BLOCOS PAN'!J3-VLOOKUP('BLOCO PARÁ - 1'!$D3,'CAPEX - BLOCOS PAN'!$C$3:$J$52,8,FALSE))*K$11</f>
        <v>-39711884.949334592</v>
      </c>
      <c r="L3" s="1">
        <f>('RECEITAS - BLOCOS PAN'!K3-'OPEX - BLOCOS PAN'!K3-VLOOKUP('BLOCO PARÁ - 1'!$D3,'CAPEX - BLOCOS PAN'!$C$3:$K$52,9,FALSE))*L$11</f>
        <v>-1918931.4263862341</v>
      </c>
      <c r="M3" s="1">
        <f>('RECEITAS - BLOCOS PAN'!L3-'OPEX - BLOCOS PAN'!L3-VLOOKUP('BLOCO PARÁ - 1'!$D3,'CAPEX - BLOCOS PAN'!$C$3:$L$52,10,FALSE))*M$11</f>
        <v>-1735599.5335262136</v>
      </c>
      <c r="N3" s="1">
        <f>('RECEITAS - BLOCOS PAN'!M3-'OPEX - BLOCOS PAN'!M3-VLOOKUP('BLOCO PARÁ - 1'!$D3,'CAPEX - BLOCOS PAN'!$C$3:$M$52,11,FALSE))*N$11</f>
        <v>-1571600.7818335164</v>
      </c>
      <c r="O3" s="1">
        <f>('RECEITAS - BLOCOS PAN'!N3-'OPEX - BLOCOS PAN'!N3-VLOOKUP('BLOCO PARÁ - 1'!$D3,'CAPEX - BLOCOS PAN'!$C$3:$N$52,12,FALSE))*O$11</f>
        <v>-1424069.7663215392</v>
      </c>
      <c r="P3" s="1">
        <f>('RECEITAS - BLOCOS PAN'!O3-'OPEX - BLOCOS PAN'!O3-VLOOKUP('BLOCO PARÁ - 1'!$D3,'CAPEX - BLOCOS PAN'!$C$3:$O$52,13,FALSE))*P$11</f>
        <v>-1290995.1789252956</v>
      </c>
      <c r="Q3" s="1">
        <f>('RECEITAS - BLOCOS PAN'!P3-'OPEX - BLOCOS PAN'!P3-VLOOKUP('BLOCO PARÁ - 1'!$D3,'CAPEX - BLOCOS PAN'!$C$3:$P$52,14,FALSE))*Q$11</f>
        <v>-1171063.2930885006</v>
      </c>
      <c r="R3" s="1">
        <f>('RECEITAS - BLOCOS PAN'!Q3-'OPEX - BLOCOS PAN'!Q3-VLOOKUP('BLOCO PARÁ - 1'!$D3,'CAPEX - BLOCOS PAN'!$C$3:$Q$52,15,FALSE))*R$11</f>
        <v>-1062910.7496039348</v>
      </c>
      <c r="S3" s="1">
        <f>('RECEITAS - BLOCOS PAN'!R3-'OPEX - BLOCOS PAN'!R3-VLOOKUP('BLOCO PARÁ - 1'!$D3,'CAPEX - BLOCOS PAN'!$C$3:$R$52,16,FALSE))*S$11</f>
        <v>-965214.34649920929</v>
      </c>
      <c r="T3" s="1">
        <f>('RECEITAS - BLOCOS PAN'!S3-'OPEX - BLOCOS PAN'!S3-VLOOKUP('BLOCO PARÁ - 1'!$D3,'CAPEX - BLOCOS PAN'!$C$3:$S$52,17,FALSE))*T$11</f>
        <v>-876575.46251306904</v>
      </c>
      <c r="U3" s="1">
        <f>('RECEITAS - BLOCOS PAN'!T3-'OPEX - BLOCOS PAN'!T3-VLOOKUP('BLOCO PARÁ - 1'!$D3,'CAPEX - BLOCOS PAN'!$C$3:$T$52,18,FALSE))*U$11</f>
        <v>-796136.55304512288</v>
      </c>
      <c r="V3" s="1">
        <f>('RECEITAS - BLOCOS PAN'!U3-'OPEX - BLOCOS PAN'!U3-VLOOKUP('BLOCO PARÁ - 1'!$D3,'CAPEX - BLOCOS PAN'!$C$3:$U$52,19,FALSE))*V$11</f>
        <v>-722964.80141333211</v>
      </c>
      <c r="W3" s="1">
        <f>('RECEITAS - BLOCOS PAN'!V3-'OPEX - BLOCOS PAN'!V3-VLOOKUP('BLOCO PARÁ - 1'!$D3,'CAPEX - BLOCOS PAN'!$C$3:$V$52,20,FALSE))*W$11</f>
        <v>-656639.69336526783</v>
      </c>
      <c r="X3" s="1">
        <f>('RECEITAS - BLOCOS PAN'!W3-'OPEX - BLOCOS PAN'!W3-VLOOKUP('BLOCO PARÁ - 1'!$D3,'CAPEX - BLOCOS PAN'!$C$3:$W$52,21,FALSE))*X$11</f>
        <v>-596351.36966277903</v>
      </c>
      <c r="Y3" s="1">
        <f>('RECEITAS - BLOCOS PAN'!X3-'OPEX - BLOCOS PAN'!X3-VLOOKUP('BLOCO PARÁ - 1'!$D3,'CAPEX - BLOCOS PAN'!$C$3:$X$52,22,FALSE))*Y$11</f>
        <v>-541620.79794215993</v>
      </c>
      <c r="Z3" s="1">
        <f>('RECEITAS - BLOCOS PAN'!Y3-'OPEX - BLOCOS PAN'!Y3-VLOOKUP('BLOCO PARÁ - 1'!$D3,'CAPEX - BLOCOS PAN'!$C$3:$Y$52,23,FALSE))*Z$11</f>
        <v>-491824.77818049421</v>
      </c>
      <c r="AA3" s="1">
        <f>('RECEITAS - BLOCOS PAN'!Z3-'OPEX - BLOCOS PAN'!Z3-VLOOKUP('BLOCO PARÁ - 1'!$D3,'CAPEX - BLOCOS PAN'!$C$3:$Z$52,24,FALSE))*AA$11</f>
        <v>-446586.37355232873</v>
      </c>
      <c r="AB3" s="1">
        <f>('RECEITAS - BLOCOS PAN'!AA3-'OPEX - BLOCOS PAN'!AA3-VLOOKUP('BLOCO PARÁ - 1'!$D3,'CAPEX - BLOCOS PAN'!$C$3:$AA$52,25,FALSE))*AB$11</f>
        <v>-405480.14451948169</v>
      </c>
      <c r="AC3" s="1">
        <f>('RECEITAS - BLOCOS PAN'!AB3-'OPEX - BLOCOS PAN'!AB3-VLOOKUP('BLOCO PARÁ - 1'!$D3,'CAPEX - BLOCOS PAN'!$C$3:$AB$52,26,FALSE))*AC$11</f>
        <v>-368238.88360174379</v>
      </c>
      <c r="AD3" s="1">
        <f>('RECEITAS - BLOCOS PAN'!AC3-'OPEX - BLOCOS PAN'!AC3-VLOOKUP('BLOCO PARÁ - 1'!$D3,'CAPEX - BLOCOS PAN'!$C$3:$AC$52,27,FALSE))*AD$11</f>
        <v>-334400.8942152175</v>
      </c>
      <c r="AE3" s="1">
        <f>('RECEITAS - BLOCOS PAN'!AD3-'OPEX - BLOCOS PAN'!AD3-VLOOKUP('BLOCO PARÁ - 1'!$D3,'CAPEX - BLOCOS PAN'!$C$3:$AD$52,28,FALSE))*AE$11</f>
        <v>-447079.61170888122</v>
      </c>
      <c r="AF3" s="1">
        <f>('RECEITAS - BLOCOS PAN'!AE3-'OPEX - BLOCOS PAN'!AE3-VLOOKUP('BLOCO PARÁ - 1'!$D3,'CAPEX - BLOCOS PAN'!$C$3:$AE$52,29,FALSE))*AF$11</f>
        <v>-406615.68910738506</v>
      </c>
      <c r="AG3" s="1">
        <f>('RECEITAS - BLOCOS PAN'!AF3-'OPEX - BLOCOS PAN'!AF3-VLOOKUP('BLOCO PARÁ - 1'!$D3,'CAPEX - BLOCOS PAN'!$C$3:$AF$52,30,FALSE))*AG$11</f>
        <v>-369873.87604262022</v>
      </c>
      <c r="AH3" s="1">
        <f>('RECEITAS - BLOCOS PAN'!AG3-'OPEX - BLOCOS PAN'!AG3-VLOOKUP('BLOCO PARÁ - 1'!$D3,'CAPEX - BLOCOS PAN'!$C$3:$AG$52,31,FALSE))*AH$11</f>
        <v>-336451.11863274052</v>
      </c>
      <c r="AI3" s="1">
        <f>('RECEITAS - BLOCOS PAN'!AH3-'OPEX - BLOCOS PAN'!AH3-VLOOKUP('BLOCO PARÁ - 1'!$D3,'CAPEX - BLOCOS PAN'!$C$3:$AH$52,32,FALSE))*AI$11</f>
        <v>-306117.18475035555</v>
      </c>
      <c r="AJ3" s="1">
        <f>('RECEITAS - BLOCOS PAN'!AI3-'OPEX - BLOCOS PAN'!AI3-VLOOKUP('BLOCO PARÁ - 1'!$D3,'CAPEX - BLOCOS PAN'!$C$3:$AI$52,33,FALSE))*AJ$11</f>
        <v>-278524.37421542028</v>
      </c>
      <c r="AK3" s="1">
        <f>('RECEITAS - BLOCOS PAN'!AJ3-'OPEX - BLOCOS PAN'!AJ3-VLOOKUP('BLOCO PARÁ - 1'!$D3,'CAPEX - BLOCOS PAN'!$C$3:$AJ$52,34,FALSE))*AK$11</f>
        <v>-253386.16755602779</v>
      </c>
      <c r="AL3" s="1">
        <f>('RECEITAS - BLOCOS PAN'!AK3-'OPEX - BLOCOS PAN'!AK3-VLOOKUP('BLOCO PARÁ - 1'!$D3,'CAPEX - BLOCOS PAN'!$C$3:$AK$52,35,FALSE))*AL$11</f>
        <v>-230505.08381424163</v>
      </c>
      <c r="AM3" s="44">
        <f t="shared" ref="AM3:AM6" si="0">SUM(I3:AL3)</f>
        <v>-150728064.03106675</v>
      </c>
      <c r="AN3">
        <v>1</v>
      </c>
      <c r="AO3" t="s">
        <v>309</v>
      </c>
      <c r="AP3">
        <v>-4.2333333333333334</v>
      </c>
      <c r="AQ3">
        <v>-56</v>
      </c>
      <c r="AR3" s="48">
        <f>VLOOKUP(D3,'Projeção - Demanda PAX'!$C$3:$H$37,6,FALSE)</f>
        <v>22897</v>
      </c>
      <c r="AS3" t="str">
        <f>VLOOKUP(D3,'FLUXO DE CAIXA DESC.-BLOCOS PAN'!$D$3:$AU$52,44,FALSE)</f>
        <v>Bloco 5 - PA1</v>
      </c>
    </row>
    <row r="4" spans="1:45" x14ac:dyDescent="0.35">
      <c r="A4" t="s">
        <v>67</v>
      </c>
      <c r="B4" t="s">
        <v>68</v>
      </c>
      <c r="C4">
        <v>150530</v>
      </c>
      <c r="D4" t="s">
        <v>69</v>
      </c>
      <c r="E4" t="s">
        <v>70</v>
      </c>
      <c r="F4" t="s">
        <v>29</v>
      </c>
      <c r="G4" t="s">
        <v>259</v>
      </c>
      <c r="H4" t="s">
        <v>33</v>
      </c>
      <c r="I4" s="1">
        <f>('RECEITAS - BLOCOS PAN'!H10-'OPEX - BLOCOS PAN'!H10-VLOOKUP('BLOCO PARÁ - 1'!$D4,'CAPEX - BLOCOS PAN'!$C$3:$H$52,6,FALSE))*I$11</f>
        <v>-45067065.994233333</v>
      </c>
      <c r="J4" s="1">
        <f>('RECEITAS - BLOCOS PAN'!I10-'OPEX - BLOCOS PAN'!I10-VLOOKUP('BLOCO PARÁ - 1'!$D4,'CAPEX - BLOCOS PAN'!$C$3:$I$52,7,FALSE))*J$11</f>
        <v>-41107351.381043665</v>
      </c>
      <c r="K4" s="1">
        <f>('RECEITAS - BLOCOS PAN'!J10-'OPEX - BLOCOS PAN'!J10-VLOOKUP('BLOCO PARÁ - 1'!$D4,'CAPEX - BLOCOS PAN'!$C$3:$J$52,8,FALSE))*K$11</f>
        <v>-37500788.981465265</v>
      </c>
      <c r="L4" s="1">
        <f>('RECEITAS - BLOCOS PAN'!K10-'OPEX - BLOCOS PAN'!K10-VLOOKUP('BLOCO PARÁ - 1'!$D4,'CAPEX - BLOCOS PAN'!$C$3:$K$52,9,FALSE))*L$11</f>
        <v>-1919371.1661332131</v>
      </c>
      <c r="M4" s="1">
        <f>('RECEITAS - BLOCOS PAN'!L10-'OPEX - BLOCOS PAN'!L10-VLOOKUP('BLOCO PARÁ - 1'!$D4,'CAPEX - BLOCOS PAN'!$C$3:$L$52,10,FALSE))*M$11</f>
        <v>-1738673.2264343947</v>
      </c>
      <c r="N4" s="1">
        <f>('RECEITAS - BLOCOS PAN'!M10-'OPEX - BLOCOS PAN'!M10-VLOOKUP('BLOCO PARÁ - 1'!$D4,'CAPEX - BLOCOS PAN'!$C$3:$M$52,11,FALSE))*N$11</f>
        <v>-1575685.4515814739</v>
      </c>
      <c r="O4" s="1">
        <f>('RECEITAS - BLOCOS PAN'!N10-'OPEX - BLOCOS PAN'!N10-VLOOKUP('BLOCO PARÁ - 1'!$D4,'CAPEX - BLOCOS PAN'!$C$3:$N$52,12,FALSE))*O$11</f>
        <v>-1428126.7158497004</v>
      </c>
      <c r="P4" s="1">
        <f>('RECEITAS - BLOCOS PAN'!O10-'OPEX - BLOCOS PAN'!O10-VLOOKUP('BLOCO PARÁ - 1'!$D4,'CAPEX - BLOCOS PAN'!$C$3:$O$52,13,FALSE))*P$11</f>
        <v>-1294503.0773929404</v>
      </c>
      <c r="Q4" s="1">
        <f>('RECEITAS - BLOCOS PAN'!P10-'OPEX - BLOCOS PAN'!P10-VLOOKUP('BLOCO PARÁ - 1'!$D4,'CAPEX - BLOCOS PAN'!$C$3:$P$52,14,FALSE))*Q$11</f>
        <v>-1173706.9815146518</v>
      </c>
      <c r="R4" s="1">
        <f>('RECEITAS - BLOCOS PAN'!Q10-'OPEX - BLOCOS PAN'!Q10-VLOOKUP('BLOCO PARÁ - 1'!$D4,'CAPEX - BLOCOS PAN'!$C$3:$Q$52,15,FALSE))*R$11</f>
        <v>-1064398.1749831804</v>
      </c>
      <c r="S4" s="1">
        <f>('RECEITAS - BLOCOS PAN'!R10-'OPEX - BLOCOS PAN'!R10-VLOOKUP('BLOCO PARÁ - 1'!$D4,'CAPEX - BLOCOS PAN'!$C$3:$R$52,16,FALSE))*S$11</f>
        <v>-965449.95598453504</v>
      </c>
      <c r="T4" s="1">
        <f>('RECEITAS - BLOCOS PAN'!S10-'OPEX - BLOCOS PAN'!S10-VLOOKUP('BLOCO PARÁ - 1'!$D4,'CAPEX - BLOCOS PAN'!$C$3:$S$52,17,FALSE))*T$11</f>
        <v>-932694.52825903555</v>
      </c>
      <c r="U4" s="1">
        <f>('RECEITAS - BLOCOS PAN'!T10-'OPEX - BLOCOS PAN'!T10-VLOOKUP('BLOCO PARÁ - 1'!$D4,'CAPEX - BLOCOS PAN'!$C$3:$T$52,18,FALSE))*U$11</f>
        <v>-846160.727840523</v>
      </c>
      <c r="V4" s="1">
        <f>('RECEITAS - BLOCOS PAN'!U10-'OPEX - BLOCOS PAN'!U10-VLOOKUP('BLOCO PARÁ - 1'!$D4,'CAPEX - BLOCOS PAN'!$C$3:$U$52,19,FALSE))*V$11</f>
        <v>-767447.67906561506</v>
      </c>
      <c r="W4" s="1">
        <f>('RECEITAS - BLOCOS PAN'!V10-'OPEX - BLOCOS PAN'!V10-VLOOKUP('BLOCO PARÁ - 1'!$D4,'CAPEX - BLOCOS PAN'!$C$3:$V$52,20,FALSE))*W$11</f>
        <v>-695983.93644631701</v>
      </c>
      <c r="X4" s="1">
        <f>('RECEITAS - BLOCOS PAN'!W10-'OPEX - BLOCOS PAN'!W10-VLOOKUP('BLOCO PARÁ - 1'!$D4,'CAPEX - BLOCOS PAN'!$C$3:$W$52,21,FALSE))*X$11</f>
        <v>-631024.26592607843</v>
      </c>
      <c r="Y4" s="1">
        <f>('RECEITAS - BLOCOS PAN'!X10-'OPEX - BLOCOS PAN'!X10-VLOOKUP('BLOCO PARÁ - 1'!$D4,'CAPEX - BLOCOS PAN'!$C$3:$X$52,22,FALSE))*Y$11</f>
        <v>-572051.49015941052</v>
      </c>
      <c r="Z4" s="1">
        <f>('RECEITAS - BLOCOS PAN'!Y10-'OPEX - BLOCOS PAN'!Y10-VLOOKUP('BLOCO PARÁ - 1'!$D4,'CAPEX - BLOCOS PAN'!$C$3:$Y$52,23,FALSE))*Z$11</f>
        <v>-518407.86775362759</v>
      </c>
      <c r="AA4" s="1">
        <f>('RECEITAS - BLOCOS PAN'!Z10-'OPEX - BLOCOS PAN'!Z10-VLOOKUP('BLOCO PARÁ - 1'!$D4,'CAPEX - BLOCOS PAN'!$C$3:$Z$52,24,FALSE))*AA$11</f>
        <v>-469675.83609021205</v>
      </c>
      <c r="AB4" s="1">
        <f>('RECEITAS - BLOCOS PAN'!AA10-'OPEX - BLOCOS PAN'!AA10-VLOOKUP('BLOCO PARÁ - 1'!$D4,'CAPEX - BLOCOS PAN'!$C$3:$AA$52,25,FALSE))*AB$11</f>
        <v>-425387.24464716553</v>
      </c>
      <c r="AC4" s="1">
        <f>('RECEITAS - BLOCOS PAN'!AB10-'OPEX - BLOCOS PAN'!AB10-VLOOKUP('BLOCO PARÁ - 1'!$D4,'CAPEX - BLOCOS PAN'!$C$3:$AB$52,26,FALSE))*AC$11</f>
        <v>-385264.82241887436</v>
      </c>
      <c r="AD4" s="1">
        <f>('RECEITAS - BLOCOS PAN'!AC10-'OPEX - BLOCOS PAN'!AC10-VLOOKUP('BLOCO PARÁ - 1'!$D4,'CAPEX - BLOCOS PAN'!$C$3:$AC$52,27,FALSE))*AD$11</f>
        <v>-348833.71306253428</v>
      </c>
      <c r="AE4" s="1">
        <f>('RECEITAS - BLOCOS PAN'!AD10-'OPEX - BLOCOS PAN'!AD10-VLOOKUP('BLOCO PARÁ - 1'!$D4,'CAPEX - BLOCOS PAN'!$C$3:$AD$52,28,FALSE))*AE$11</f>
        <v>-315791.9576374311</v>
      </c>
      <c r="AF4" s="1">
        <f>('RECEITAS - BLOCOS PAN'!AE10-'OPEX - BLOCOS PAN'!AE10-VLOOKUP('BLOCO PARÁ - 1'!$D4,'CAPEX - BLOCOS PAN'!$C$3:$AE$52,29,FALSE))*AF$11</f>
        <v>-285823.32690282911</v>
      </c>
      <c r="AG4" s="1">
        <f>('RECEITAS - BLOCOS PAN'!AF10-'OPEX - BLOCOS PAN'!AF10-VLOOKUP('BLOCO PARÁ - 1'!$D4,'CAPEX - BLOCOS PAN'!$C$3:$AF$52,30,FALSE))*AG$11</f>
        <v>-258631.9488971575</v>
      </c>
      <c r="AH4" s="1">
        <f>('RECEITAS - BLOCOS PAN'!AG10-'OPEX - BLOCOS PAN'!AG10-VLOOKUP('BLOCO PARÁ - 1'!$D4,'CAPEX - BLOCOS PAN'!$C$3:$AG$52,31,FALSE))*AH$11</f>
        <v>-233961.15875173654</v>
      </c>
      <c r="AI4" s="1">
        <f>('RECEITAS - BLOCOS PAN'!AH10-'OPEX - BLOCOS PAN'!AH10-VLOOKUP('BLOCO PARÁ - 1'!$D4,'CAPEX - BLOCOS PAN'!$C$3:$AH$52,32,FALSE))*AI$11</f>
        <v>-311229.64022465871</v>
      </c>
      <c r="AJ4" s="1">
        <f>('RECEITAS - BLOCOS PAN'!AI10-'OPEX - BLOCOS PAN'!AI10-VLOOKUP('BLOCO PARÁ - 1'!$D4,'CAPEX - BLOCOS PAN'!$C$3:$AI$52,33,FALSE))*AJ$11</f>
        <v>-282119.7209206032</v>
      </c>
      <c r="AK4" s="1">
        <f>('RECEITAS - BLOCOS PAN'!AJ10-'OPEX - BLOCOS PAN'!AJ10-VLOOKUP('BLOCO PARÁ - 1'!$D4,'CAPEX - BLOCOS PAN'!$C$3:$AJ$52,34,FALSE))*AK$11</f>
        <v>-255667.16309013267</v>
      </c>
      <c r="AL4" s="1">
        <f>('RECEITAS - BLOCOS PAN'!AK10-'OPEX - BLOCOS PAN'!AK10-VLOOKUP('BLOCO PARÁ - 1'!$D4,'CAPEX - BLOCOS PAN'!$C$3:$AK$52,35,FALSE))*AL$11</f>
        <v>-231627.54325690621</v>
      </c>
      <c r="AM4" s="44">
        <f t="shared" si="0"/>
        <v>-143602905.67796719</v>
      </c>
      <c r="AN4">
        <v>1</v>
      </c>
      <c r="AO4" t="s">
        <v>309</v>
      </c>
      <c r="AP4">
        <v>-1.4833333333333334</v>
      </c>
      <c r="AQ4">
        <v>-56.383333333333333</v>
      </c>
      <c r="AR4" s="48">
        <f>VLOOKUP(D4,'Projeção - Demanda PAX'!$C$3:$H$37,6,FALSE)</f>
        <v>15585</v>
      </c>
      <c r="AS4" t="str">
        <f>VLOOKUP(D4,'FLUXO DE CAIXA DESC.-BLOCOS PAN'!$D$3:$AU$52,44,FALSE)</f>
        <v>Bloco 5 - PA1</v>
      </c>
    </row>
    <row r="5" spans="1:45" x14ac:dyDescent="0.35">
      <c r="A5" t="s">
        <v>53</v>
      </c>
      <c r="B5" s="5" t="s">
        <v>266</v>
      </c>
      <c r="C5">
        <v>150375</v>
      </c>
      <c r="D5" t="s">
        <v>289</v>
      </c>
      <c r="E5" t="s">
        <v>228</v>
      </c>
      <c r="F5" t="s">
        <v>29</v>
      </c>
      <c r="G5" t="s">
        <v>259</v>
      </c>
      <c r="H5" t="s">
        <v>33</v>
      </c>
      <c r="I5" s="1">
        <f>'FLUXO DE CAIXA DESC.-BLOCOS PAN'!I38</f>
        <v>-16106203.924560167</v>
      </c>
      <c r="J5" s="1">
        <f>'FLUXO DE CAIXA DESC.-BLOCOS PAN'!J38</f>
        <v>-14702148.721643239</v>
      </c>
      <c r="K5" s="1">
        <f>'FLUXO DE CAIXA DESC.-BLOCOS PAN'!K38</f>
        <v>-13420491.758688489</v>
      </c>
      <c r="L5" s="1">
        <f>'FLUXO DE CAIXA DESC.-BLOCOS PAN'!L38</f>
        <v>-256515.83224967206</v>
      </c>
      <c r="M5" s="1">
        <f>'FLUXO DE CAIXA DESC.-BLOCOS PAN'!M38</f>
        <v>-234154.11433105622</v>
      </c>
      <c r="N5" s="1">
        <f>'FLUXO DE CAIXA DESC.-BLOCOS PAN'!N38</f>
        <v>-213741.77483437353</v>
      </c>
      <c r="O5" s="1">
        <f>'FLUXO DE CAIXA DESC.-BLOCOS PAN'!O38</f>
        <v>-195108.87707382342</v>
      </c>
      <c r="P5" s="1">
        <f>'FLUXO DE CAIXA DESC.-BLOCOS PAN'!P38</f>
        <v>-178100.29856122631</v>
      </c>
      <c r="Q5" s="1">
        <f>'FLUXO DE CAIXA DESC.-BLOCOS PAN'!Q38</f>
        <v>-162574.43958121983</v>
      </c>
      <c r="R5" s="1">
        <f>'FLUXO DE CAIXA DESC.-BLOCOS PAN'!R38</f>
        <v>-148402.04434616142</v>
      </c>
      <c r="S5" s="1">
        <f>'FLUXO DE CAIXA DESC.-BLOCOS PAN'!S38</f>
        <v>-135465.12491662387</v>
      </c>
      <c r="T5" s="1">
        <f>'FLUXO DE CAIXA DESC.-BLOCOS PAN'!T38</f>
        <v>-123655.97892891271</v>
      </c>
      <c r="U5" s="1">
        <f>'FLUXO DE CAIXA DESC.-BLOCOS PAN'!U38</f>
        <v>-112876.29295199701</v>
      </c>
      <c r="V5" s="1">
        <f>'FLUXO DE CAIXA DESC.-BLOCOS PAN'!V38</f>
        <v>-103036.32400912551</v>
      </c>
      <c r="W5" s="1">
        <f>'FLUXO DE CAIXA DESC.-BLOCOS PAN'!W38</f>
        <v>-94054.152450137379</v>
      </c>
      <c r="X5" s="1">
        <f>'FLUXO DE CAIXA DESC.-BLOCOS PAN'!X38</f>
        <v>-85854.999954484156</v>
      </c>
      <c r="Y5" s="1">
        <f>'FLUXO DE CAIXA DESC.-BLOCOS PAN'!Y38</f>
        <v>-78370.606987205989</v>
      </c>
      <c r="Z5" s="1">
        <f>'FLUXO DE CAIXA DESC.-BLOCOS PAN'!Z38</f>
        <v>-71538.664525062515</v>
      </c>
      <c r="AA5" s="1">
        <f>'FLUXO DE CAIXA DESC.-BLOCOS PAN'!AA38</f>
        <v>-65302.295321827965</v>
      </c>
      <c r="AB5" s="1">
        <f>'FLUXO DE CAIXA DESC.-BLOCOS PAN'!AB38</f>
        <v>-59609.580394183446</v>
      </c>
      <c r="AC5" s="1">
        <f>'FLUXO DE CAIXA DESC.-BLOCOS PAN'!AC38</f>
        <v>-54413.126786109948</v>
      </c>
      <c r="AD5" s="1">
        <f>'FLUXO DE CAIXA DESC.-BLOCOS PAN'!AD38</f>
        <v>-49669.673013336331</v>
      </c>
      <c r="AE5" s="1">
        <f>'FLUXO DE CAIXA DESC.-BLOCOS PAN'!AE38</f>
        <v>-45339.728903091127</v>
      </c>
      <c r="AF5" s="1">
        <f>'FLUXO DE CAIXA DESC.-BLOCOS PAN'!AF38</f>
        <v>-41387.246830754113</v>
      </c>
      <c r="AG5" s="1">
        <f>'FLUXO DE CAIXA DESC.-BLOCOS PAN'!AG38</f>
        <v>-37779.321616388974</v>
      </c>
      <c r="AH5" s="1">
        <f>'FLUXO DE CAIXA DESC.-BLOCOS PAN'!AH38</f>
        <v>-34485.91658273754</v>
      </c>
      <c r="AI5" s="1">
        <f>'FLUXO DE CAIXA DESC.-BLOCOS PAN'!AI38</f>
        <v>-31479.613494055258</v>
      </c>
      <c r="AJ5" s="1">
        <f>'FLUXO DE CAIXA DESC.-BLOCOS PAN'!AJ38</f>
        <v>-28735.384293980162</v>
      </c>
      <c r="AK5" s="1">
        <f>'FLUXO DE CAIXA DESC.-BLOCOS PAN'!AK38</f>
        <v>-26230.38274210877</v>
      </c>
      <c r="AL5" s="1">
        <f>'FLUXO DE CAIXA DESC.-BLOCOS PAN'!AL38</f>
        <v>-23943.754214613207</v>
      </c>
      <c r="AM5" s="44">
        <f t="shared" si="0"/>
        <v>-46920669.954786174</v>
      </c>
      <c r="AN5">
        <v>1</v>
      </c>
      <c r="AO5" t="s">
        <v>309</v>
      </c>
      <c r="AP5">
        <v>-6.2333333333333334</v>
      </c>
      <c r="AQ5">
        <v>-57.766666666666666</v>
      </c>
      <c r="AR5" s="48">
        <v>0</v>
      </c>
      <c r="AS5" t="str">
        <f>VLOOKUP(D5,'FLUXO DE CAIXA DESC.-BLOCOS PAN'!$D$3:$AU$52,44,FALSE)</f>
        <v>Bloco 5 - PA1</v>
      </c>
    </row>
    <row r="6" spans="1:45" x14ac:dyDescent="0.35">
      <c r="A6" t="s">
        <v>87</v>
      </c>
      <c r="B6" s="5" t="s">
        <v>279</v>
      </c>
      <c r="C6">
        <v>150503</v>
      </c>
      <c r="D6" t="s">
        <v>291</v>
      </c>
      <c r="E6" t="s">
        <v>233</v>
      </c>
      <c r="F6" t="s">
        <v>29</v>
      </c>
      <c r="G6" t="s">
        <v>259</v>
      </c>
      <c r="H6" t="s">
        <v>33</v>
      </c>
      <c r="I6" s="1">
        <f>'FLUXO DE CAIXA DESC.-BLOCOS PAN'!I42</f>
        <v>-14764706.643615702</v>
      </c>
      <c r="J6" s="1">
        <f>'FLUXO DE CAIXA DESC.-BLOCOS PAN'!J42</f>
        <v>-13477596.205947697</v>
      </c>
      <c r="K6" s="1">
        <f>'FLUXO DE CAIXA DESC.-BLOCOS PAN'!K42</f>
        <v>-12302689.3710157</v>
      </c>
      <c r="L6" s="1">
        <f>'FLUXO DE CAIXA DESC.-BLOCOS PAN'!L42</f>
        <v>-382747.3681013647</v>
      </c>
      <c r="M6" s="1">
        <f>'FLUXO DE CAIXA DESC.-BLOCOS PAN'!M42</f>
        <v>-349381.44053068443</v>
      </c>
      <c r="N6" s="1">
        <f>'FLUXO DE CAIXA DESC.-BLOCOS PAN'!N42</f>
        <v>-318924.18122381048</v>
      </c>
      <c r="O6" s="1">
        <f>'FLUXO DE CAIXA DESC.-BLOCOS PAN'!O42</f>
        <v>-291122.02758905571</v>
      </c>
      <c r="P6" s="1">
        <f>'FLUXO DE CAIXA DESC.-BLOCOS PAN'!P42</f>
        <v>-265743.52130447805</v>
      </c>
      <c r="Q6" s="1">
        <f>'FLUXO DE CAIXA DESC.-BLOCOS PAN'!Q42</f>
        <v>-242577.38138245375</v>
      </c>
      <c r="R6" s="1">
        <f>'FLUXO DE CAIXA DESC.-BLOCOS PAN'!R42</f>
        <v>-221430.74521447168</v>
      </c>
      <c r="S6" s="1">
        <f>'FLUXO DE CAIXA DESC.-BLOCOS PAN'!S42</f>
        <v>-202127.56295250729</v>
      </c>
      <c r="T6" s="1">
        <f>'FLUXO DE CAIXA DESC.-BLOCOS PAN'!T42</f>
        <v>-184507.13185988797</v>
      </c>
      <c r="U6" s="1">
        <f>'FLUXO DE CAIXA DESC.-BLOCOS PAN'!U42</f>
        <v>-168422.75842983843</v>
      </c>
      <c r="V6" s="1">
        <f>'FLUXO DE CAIXA DESC.-BLOCOS PAN'!V42</f>
        <v>-153740.53713358138</v>
      </c>
      <c r="W6" s="1">
        <f>'FLUXO DE CAIXA DESC.-BLOCOS PAN'!W42</f>
        <v>-140338.23563083651</v>
      </c>
      <c r="X6" s="1">
        <f>'FLUXO DE CAIXA DESC.-BLOCOS PAN'!X42</f>
        <v>-128104.27716187724</v>
      </c>
      <c r="Y6" s="1">
        <f>'FLUXO DE CAIXA DESC.-BLOCOS PAN'!Y42</f>
        <v>-116936.81164936308</v>
      </c>
      <c r="Z6" s="1">
        <f>'FLUXO DE CAIXA DESC.-BLOCOS PAN'!Z42</f>
        <v>-106742.86777668925</v>
      </c>
      <c r="AA6" s="1">
        <f>'FLUXO DE CAIXA DESC.-BLOCOS PAN'!AA42</f>
        <v>-97437.578983741929</v>
      </c>
      <c r="AB6" s="1">
        <f>'FLUXO DE CAIXA DESC.-BLOCOS PAN'!AB42</f>
        <v>-88943.476936323073</v>
      </c>
      <c r="AC6" s="1">
        <f>'FLUXO DE CAIXA DESC.-BLOCOS PAN'!AC42</f>
        <v>-81189.846587241511</v>
      </c>
      <c r="AD6" s="1">
        <f>'FLUXO DE CAIXA DESC.-BLOCOS PAN'!AD42</f>
        <v>-74112.137459827936</v>
      </c>
      <c r="AE6" s="1">
        <f>'FLUXO DE CAIXA DESC.-BLOCOS PAN'!AE42</f>
        <v>-67651.426252695528</v>
      </c>
      <c r="AF6" s="1">
        <f>'FLUXO DE CAIXA DESC.-BLOCOS PAN'!AF42</f>
        <v>-61753.926291826137</v>
      </c>
      <c r="AG6" s="1">
        <f>'FLUXO DE CAIXA DESC.-BLOCOS PAN'!AG42</f>
        <v>-56370.53974607589</v>
      </c>
      <c r="AH6" s="1">
        <f>'FLUXO DE CAIXA DESC.-BLOCOS PAN'!AH42</f>
        <v>-51456.448878207113</v>
      </c>
      <c r="AI6" s="1">
        <f>'FLUXO DE CAIXA DESC.-BLOCOS PAN'!AI42</f>
        <v>-46970.74292853228</v>
      </c>
      <c r="AJ6" s="1">
        <f>'FLUXO DE CAIXA DESC.-BLOCOS PAN'!AJ42</f>
        <v>-42876.077524903958</v>
      </c>
      <c r="AK6" s="1">
        <f>'FLUXO DE CAIXA DESC.-BLOCOS PAN'!AK42</f>
        <v>-39138.363783572757</v>
      </c>
      <c r="AL6" s="1">
        <f>'FLUXO DE CAIXA DESC.-BLOCOS PAN'!AL42</f>
        <v>-35726.484512617761</v>
      </c>
      <c r="AM6" s="44">
        <f t="shared" si="0"/>
        <v>-44561466.118405558</v>
      </c>
      <c r="AN6">
        <v>1</v>
      </c>
      <c r="AO6" t="s">
        <v>309</v>
      </c>
      <c r="AP6">
        <v>-7.1166666666666663</v>
      </c>
      <c r="AQ6">
        <v>-55.4</v>
      </c>
      <c r="AR6" s="48">
        <v>0</v>
      </c>
      <c r="AS6" t="str">
        <f>VLOOKUP(D6,'FLUXO DE CAIXA DESC.-BLOCOS PAN'!$D$3:$AU$52,44,FALSE)</f>
        <v>Bloco 5 - PA1</v>
      </c>
    </row>
    <row r="7" spans="1:45" x14ac:dyDescent="0.35">
      <c r="B7" s="6"/>
      <c r="C7" s="6"/>
      <c r="D7" s="6"/>
      <c r="H7" s="47" t="s">
        <v>250</v>
      </c>
      <c r="I7" s="8">
        <f t="shared" ref="I7:AM7" si="1">SUBTOTAL(109,I3:I6)</f>
        <v>-123546503.61457588</v>
      </c>
      <c r="J7" s="8">
        <f t="shared" si="1"/>
        <v>-112688990.40417698</v>
      </c>
      <c r="K7" s="8">
        <f t="shared" si="1"/>
        <v>-102935855.06050405</v>
      </c>
      <c r="L7" s="8">
        <f t="shared" si="1"/>
        <v>-4477565.7928704843</v>
      </c>
      <c r="M7" s="8">
        <f t="shared" si="1"/>
        <v>-4057808.3148223492</v>
      </c>
      <c r="N7" s="8">
        <f t="shared" si="1"/>
        <v>-3679952.1894731745</v>
      </c>
      <c r="O7" s="8">
        <f t="shared" si="1"/>
        <v>-3338427.3868341185</v>
      </c>
      <c r="P7" s="8">
        <f t="shared" si="1"/>
        <v>-3029342.0761839398</v>
      </c>
      <c r="Q7" s="8">
        <f t="shared" si="1"/>
        <v>-2749922.0955668264</v>
      </c>
      <c r="R7" s="8">
        <f t="shared" si="1"/>
        <v>-2497141.7141477484</v>
      </c>
      <c r="S7" s="8">
        <f t="shared" si="1"/>
        <v>-2268256.9903528756</v>
      </c>
      <c r="T7" s="8">
        <f t="shared" si="1"/>
        <v>-2117433.1015609051</v>
      </c>
      <c r="U7" s="8">
        <f t="shared" si="1"/>
        <v>-1923596.3322674811</v>
      </c>
      <c r="V7" s="8">
        <f t="shared" si="1"/>
        <v>-1747189.3416216541</v>
      </c>
      <c r="W7" s="8">
        <f t="shared" si="1"/>
        <v>-1587016.0178925588</v>
      </c>
      <c r="X7" s="8">
        <f t="shared" si="1"/>
        <v>-1441334.9127052187</v>
      </c>
      <c r="Y7" s="8">
        <f t="shared" si="1"/>
        <v>-1308979.7067381395</v>
      </c>
      <c r="Z7" s="8">
        <f t="shared" si="1"/>
        <v>-1188514.1782358736</v>
      </c>
      <c r="AA7" s="8">
        <f t="shared" si="1"/>
        <v>-1079002.0839481107</v>
      </c>
      <c r="AB7" s="8">
        <f t="shared" si="1"/>
        <v>-979420.44649715372</v>
      </c>
      <c r="AC7" s="8">
        <f t="shared" si="1"/>
        <v>-889106.67939396959</v>
      </c>
      <c r="AD7" s="8">
        <f t="shared" si="1"/>
        <v>-807016.41775091609</v>
      </c>
      <c r="AE7" s="8">
        <f t="shared" si="1"/>
        <v>-875862.72450209898</v>
      </c>
      <c r="AF7" s="8">
        <f t="shared" si="1"/>
        <v>-795580.18913279439</v>
      </c>
      <c r="AG7" s="8">
        <f t="shared" si="1"/>
        <v>-722655.68630224257</v>
      </c>
      <c r="AH7" s="8">
        <f t="shared" si="1"/>
        <v>-656354.6428454218</v>
      </c>
      <c r="AI7" s="8">
        <f t="shared" si="1"/>
        <v>-695797.18139760173</v>
      </c>
      <c r="AJ7" s="8">
        <f t="shared" si="1"/>
        <v>-632255.5569549076</v>
      </c>
      <c r="AK7" s="8">
        <f t="shared" si="1"/>
        <v>-574422.07717184199</v>
      </c>
      <c r="AL7" s="8">
        <f t="shared" si="1"/>
        <v>-521802.86579837883</v>
      </c>
      <c r="AM7" s="44">
        <f t="shared" si="1"/>
        <v>-385813105.78222573</v>
      </c>
      <c r="AR7" s="65">
        <f>SUBTOTAL(109,AR3:AR6)</f>
        <v>38482</v>
      </c>
    </row>
    <row r="8" spans="1:45" x14ac:dyDescent="0.35">
      <c r="A8" s="83" t="s">
        <v>368</v>
      </c>
      <c r="B8" s="83"/>
      <c r="C8" s="83"/>
      <c r="D8" s="83"/>
      <c r="E8" s="47"/>
      <c r="H8" s="47" t="s">
        <v>285</v>
      </c>
      <c r="I8" s="8">
        <f>I7</f>
        <v>-123546503.61457588</v>
      </c>
      <c r="J8" s="8">
        <f t="shared" ref="J8:AL8" si="2">J7+I8</f>
        <v>-236235494.01875287</v>
      </c>
      <c r="K8" s="8">
        <f t="shared" si="2"/>
        <v>-339171349.07925689</v>
      </c>
      <c r="L8" s="8">
        <f t="shared" si="2"/>
        <v>-343648914.87212735</v>
      </c>
      <c r="M8" s="8">
        <f t="shared" si="2"/>
        <v>-347706723.18694973</v>
      </c>
      <c r="N8" s="8">
        <f t="shared" si="2"/>
        <v>-351386675.37642288</v>
      </c>
      <c r="O8" s="8">
        <f t="shared" si="2"/>
        <v>-354725102.76325703</v>
      </c>
      <c r="P8" s="8">
        <f t="shared" si="2"/>
        <v>-357754444.83944094</v>
      </c>
      <c r="Q8" s="8">
        <f t="shared" si="2"/>
        <v>-360504366.93500775</v>
      </c>
      <c r="R8" s="8">
        <f t="shared" si="2"/>
        <v>-363001508.6491555</v>
      </c>
      <c r="S8" s="8">
        <f t="shared" si="2"/>
        <v>-365269765.63950837</v>
      </c>
      <c r="T8" s="8">
        <f t="shared" si="2"/>
        <v>-367387198.74106926</v>
      </c>
      <c r="U8" s="8">
        <f t="shared" si="2"/>
        <v>-369310795.07333672</v>
      </c>
      <c r="V8" s="8">
        <f t="shared" si="2"/>
        <v>-371057984.41495836</v>
      </c>
      <c r="W8" s="8">
        <f t="shared" si="2"/>
        <v>-372645000.4328509</v>
      </c>
      <c r="X8" s="8">
        <f t="shared" si="2"/>
        <v>-374086335.34555614</v>
      </c>
      <c r="Y8" s="8">
        <f t="shared" si="2"/>
        <v>-375395315.05229425</v>
      </c>
      <c r="Z8" s="8">
        <f t="shared" si="2"/>
        <v>-376583829.23053014</v>
      </c>
      <c r="AA8" s="8">
        <f t="shared" si="2"/>
        <v>-377662831.31447828</v>
      </c>
      <c r="AB8" s="8">
        <f t="shared" si="2"/>
        <v>-378642251.76097542</v>
      </c>
      <c r="AC8" s="8">
        <f t="shared" si="2"/>
        <v>-379531358.44036937</v>
      </c>
      <c r="AD8" s="8">
        <f t="shared" si="2"/>
        <v>-380338374.85812026</v>
      </c>
      <c r="AE8" s="8">
        <f t="shared" si="2"/>
        <v>-381214237.58262235</v>
      </c>
      <c r="AF8" s="8">
        <f t="shared" si="2"/>
        <v>-382009817.77175516</v>
      </c>
      <c r="AG8" s="8">
        <f t="shared" si="2"/>
        <v>-382732473.4580574</v>
      </c>
      <c r="AH8" s="8">
        <f t="shared" si="2"/>
        <v>-383388828.1009028</v>
      </c>
      <c r="AI8" s="8">
        <f t="shared" si="2"/>
        <v>-384084625.28230041</v>
      </c>
      <c r="AJ8" s="8">
        <f t="shared" si="2"/>
        <v>-384716880.83925533</v>
      </c>
      <c r="AK8" s="8">
        <f t="shared" si="2"/>
        <v>-385291302.9164272</v>
      </c>
      <c r="AL8" s="8">
        <f t="shared" si="2"/>
        <v>-385813105.78222555</v>
      </c>
      <c r="AM8" s="44"/>
    </row>
    <row r="9" spans="1:45" x14ac:dyDescent="0.35"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45" x14ac:dyDescent="0.35">
      <c r="H10" s="47" t="s">
        <v>284</v>
      </c>
      <c r="I10" s="2">
        <v>0</v>
      </c>
      <c r="J10" s="2">
        <v>1</v>
      </c>
      <c r="K10" s="2">
        <v>2</v>
      </c>
      <c r="L10" s="2">
        <v>3</v>
      </c>
      <c r="M10" s="2">
        <v>4</v>
      </c>
      <c r="N10" s="2">
        <v>5</v>
      </c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">
        <v>11</v>
      </c>
      <c r="U10" s="2">
        <v>12</v>
      </c>
      <c r="V10" s="2">
        <v>13</v>
      </c>
      <c r="W10" s="2">
        <v>14</v>
      </c>
      <c r="X10" s="2">
        <v>15</v>
      </c>
      <c r="Y10" s="2">
        <v>16</v>
      </c>
      <c r="Z10" s="2">
        <v>17</v>
      </c>
      <c r="AA10" s="2">
        <v>18</v>
      </c>
      <c r="AB10" s="2">
        <v>19</v>
      </c>
      <c r="AC10" s="2">
        <v>20</v>
      </c>
      <c r="AD10" s="2">
        <v>21</v>
      </c>
      <c r="AE10" s="2">
        <v>22</v>
      </c>
      <c r="AF10" s="2">
        <v>23</v>
      </c>
      <c r="AG10" s="2">
        <v>24</v>
      </c>
      <c r="AH10" s="2">
        <v>25</v>
      </c>
      <c r="AI10" s="2">
        <v>26</v>
      </c>
      <c r="AJ10" s="2">
        <v>27</v>
      </c>
      <c r="AK10" s="2">
        <v>28</v>
      </c>
      <c r="AL10" s="2">
        <v>29</v>
      </c>
    </row>
    <row r="11" spans="1:45" x14ac:dyDescent="0.35">
      <c r="A11" s="2" t="s">
        <v>254</v>
      </c>
      <c r="B11" s="46">
        <v>9.5500000000000002E-2</v>
      </c>
      <c r="C11" s="2" t="s">
        <v>255</v>
      </c>
      <c r="I11" s="2">
        <f>1/(1+$B$11)^I10</f>
        <v>1</v>
      </c>
      <c r="J11" s="2">
        <f t="shared" ref="J11:AL11" si="3">1/(1+$B$11)^J10</f>
        <v>0.91282519397535378</v>
      </c>
      <c r="K11" s="2">
        <f t="shared" si="3"/>
        <v>0.83324983475614223</v>
      </c>
      <c r="L11" s="2">
        <f t="shared" si="3"/>
        <v>0.76061144204120701</v>
      </c>
      <c r="M11" s="2">
        <f t="shared" si="3"/>
        <v>0.69430528712113837</v>
      </c>
      <c r="N11" s="2">
        <f t="shared" si="3"/>
        <v>0.63377935839446675</v>
      </c>
      <c r="O11" s="2">
        <f t="shared" si="3"/>
        <v>0.57852976576400439</v>
      </c>
      <c r="P11" s="2">
        <f t="shared" si="3"/>
        <v>0.52809654565404329</v>
      </c>
      <c r="Q11" s="2">
        <f t="shared" si="3"/>
        <v>0.48205983172436634</v>
      </c>
      <c r="R11" s="2">
        <f t="shared" si="3"/>
        <v>0.44003635940152108</v>
      </c>
      <c r="S11" s="2">
        <f t="shared" si="3"/>
        <v>0.40167627512690202</v>
      </c>
      <c r="T11" s="2">
        <f t="shared" si="3"/>
        <v>0.36666022375801188</v>
      </c>
      <c r="U11" s="2">
        <f t="shared" si="3"/>
        <v>0.33469668987495382</v>
      </c>
      <c r="V11" s="2">
        <f t="shared" si="3"/>
        <v>0.30551957085801351</v>
      </c>
      <c r="W11" s="2">
        <f t="shared" si="3"/>
        <v>0.27888596153173301</v>
      </c>
      <c r="X11" s="2">
        <f t="shared" si="3"/>
        <v>0.25457413193220724</v>
      </c>
      <c r="Y11" s="2">
        <f t="shared" si="3"/>
        <v>0.23238168136212439</v>
      </c>
      <c r="Z11" s="2">
        <f t="shared" si="3"/>
        <v>0.21212385336570003</v>
      </c>
      <c r="AA11" s="2">
        <f t="shared" si="3"/>
        <v>0.19363199759534466</v>
      </c>
      <c r="AB11" s="2">
        <f t="shared" si="3"/>
        <v>0.17675216576480571</v>
      </c>
      <c r="AC11" s="2">
        <f t="shared" si="3"/>
        <v>0.16134382999982266</v>
      </c>
      <c r="AD11" s="2">
        <f t="shared" si="3"/>
        <v>0.14727871291631461</v>
      </c>
      <c r="AE11" s="2">
        <f t="shared" si="3"/>
        <v>0.13443971968627533</v>
      </c>
      <c r="AF11" s="2">
        <f t="shared" si="3"/>
        <v>0.12271996320061647</v>
      </c>
      <c r="AG11" s="2">
        <f t="shared" si="3"/>
        <v>0.11202187421325101</v>
      </c>
      <c r="AH11" s="2">
        <f t="shared" si="3"/>
        <v>0.10225638905819352</v>
      </c>
      <c r="AI11" s="2">
        <f t="shared" si="3"/>
        <v>9.3342208177264741E-2</v>
      </c>
      <c r="AJ11" s="2">
        <f t="shared" si="3"/>
        <v>8.520511928549955E-2</v>
      </c>
      <c r="AK11" s="2">
        <f t="shared" si="3"/>
        <v>7.7777379539479274E-2</v>
      </c>
      <c r="AL11" s="2">
        <f t="shared" si="3"/>
        <v>7.0997151565019873E-2</v>
      </c>
    </row>
    <row r="13" spans="1:45" x14ac:dyDescent="0.35">
      <c r="A13" s="63" t="s">
        <v>354</v>
      </c>
    </row>
  </sheetData>
  <autoFilter ref="A2:AS2" xr:uid="{0BDDB8A6-BD67-4F3F-8138-2CDE05318792}"/>
  <mergeCells count="1">
    <mergeCell ref="A8:D8"/>
  </mergeCells>
  <conditionalFormatting sqref="D5">
    <cfRule type="duplicateValues" dxfId="30" priority="251"/>
  </conditionalFormatting>
  <hyperlinks>
    <hyperlink ref="A13" location="Introdução!A1" display="Introdução!A1" xr:uid="{4710D2B9-30B3-4394-A019-1B0E4E901C59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Introdução</vt:lpstr>
      <vt:lpstr>BLOCOS - AMPLIAR</vt:lpstr>
      <vt:lpstr>BLOCO ACRE + AMAZONAS</vt:lpstr>
      <vt:lpstr>BLOCO AMAZONAS - 2</vt:lpstr>
      <vt:lpstr>BLOCO AMAZONAS - 3</vt:lpstr>
      <vt:lpstr>BLOCO MARANHÃO + TOCANTINS</vt:lpstr>
      <vt:lpstr>BLOCO MATO GROSSO - 1</vt:lpstr>
      <vt:lpstr>BLOCO MATO GROSSO - 2</vt:lpstr>
      <vt:lpstr>BLOCO PARÁ - 1</vt:lpstr>
      <vt:lpstr>BLOCO PARÁ - 2</vt:lpstr>
      <vt:lpstr>BLOCO PARÁ - 3</vt:lpstr>
      <vt:lpstr>BLOCO RONDÔNIA</vt:lpstr>
      <vt:lpstr>BLOCO NORDESTE</vt:lpstr>
      <vt:lpstr>FLUXO DE CAIXA DESC.-BLOCOS PAN</vt:lpstr>
      <vt:lpstr>FLUXO DE CAIXA DESC.-SEM MULT.</vt:lpstr>
      <vt:lpstr>FLUXO DE CAIXA NOM.- BLOCOS PAN</vt:lpstr>
      <vt:lpstr>CAPEX - BLOCOS PAN</vt:lpstr>
      <vt:lpstr>CAPEX - BLOCOS PAN S- MULT.</vt:lpstr>
      <vt:lpstr>CAPEX - BLOCOS PAN (ANO A ANO)</vt:lpstr>
      <vt:lpstr>CAPEX - BLOCOS PAN_ANO S- MULT</vt:lpstr>
      <vt:lpstr>OPEX - BLOCOS PAN</vt:lpstr>
      <vt:lpstr>RECEITAS - BLOCOS PAN</vt:lpstr>
      <vt:lpstr>BASE PAN - CAPEX</vt:lpstr>
      <vt:lpstr>BASE PAN - OPEX</vt:lpstr>
      <vt:lpstr>BASE PAN - RECEITAS</vt:lpstr>
      <vt:lpstr>BASE PAN - CAPEX - 1º ANO</vt:lpstr>
      <vt:lpstr>CAPEX Manut. Estr_PPD e Taxiway</vt:lpstr>
      <vt:lpstr>CAPEX Manut. Estratégicos_Pátio</vt:lpstr>
      <vt:lpstr>CAPEX Manut. Estr_Naveg. Aérea</vt:lpstr>
      <vt:lpstr>CAPEX Manut. Estr_Cerca Operac.</vt:lpstr>
      <vt:lpstr>Receitas - Aerop. Estratégicos</vt:lpstr>
      <vt:lpstr>Projeção - Demanda PAX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Eduardo Arruda</dc:creator>
  <cp:lastModifiedBy>Fábio Eduardo Arruda</cp:lastModifiedBy>
  <dcterms:created xsi:type="dcterms:W3CDTF">2024-07-10T19:48:23Z</dcterms:created>
  <dcterms:modified xsi:type="dcterms:W3CDTF">2024-12-09T15:41:28Z</dcterms:modified>
</cp:coreProperties>
</file>