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bruno.fiorillo\Desktop\Limpeza e Copeiragem SP 2021\"/>
    </mc:Choice>
  </mc:AlternateContent>
  <xr:revisionPtr revIDLastSave="207" documentId="8_{A08D5ABC-480A-45A3-9B6A-B7E7E7F229CC}" xr6:coauthVersionLast="47" xr6:coauthVersionMax="47" xr10:uidLastSave="{DB979358-0E17-4066-BB5B-07CAD1F3DD26}"/>
  <bookViews>
    <workbookView xWindow="-110" yWindow="-110" windowWidth="19420" windowHeight="10420" tabRatio="894" firstSheet="5" activeTab="5" xr2:uid="{00000000-000D-0000-FFFF-FFFF00000000}"/>
  </bookViews>
  <sheets>
    <sheet name="Dias trabalhados" sheetId="53" state="hidden" r:id="rId1"/>
    <sheet name="Analista 40h" sheetId="28" r:id="rId2"/>
    <sheet name="Aux. Escrit. 40h" sheetId="56" r:id="rId3"/>
    <sheet name="Monitor 40h" sheetId="57" r:id="rId4"/>
    <sheet name="Vigia 40h" sheetId="59" r:id="rId5"/>
    <sheet name="RESUMO" sheetId="54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28" l="1"/>
  <c r="J31" i="28"/>
  <c r="J31" i="59"/>
  <c r="I24" i="59"/>
  <c r="J31" i="57"/>
  <c r="I24" i="57"/>
  <c r="J31" i="56"/>
  <c r="I24" i="56"/>
  <c r="J58" i="56"/>
  <c r="J58" i="28"/>
  <c r="I41" i="59"/>
  <c r="I41" i="56"/>
  <c r="I89" i="28"/>
  <c r="I88" i="28"/>
  <c r="I86" i="28"/>
  <c r="I84" i="28"/>
  <c r="I41" i="28"/>
  <c r="I89" i="59"/>
  <c r="I88" i="59"/>
  <c r="I87" i="59"/>
  <c r="I86" i="59"/>
  <c r="I85" i="59"/>
  <c r="I84" i="59"/>
  <c r="I89" i="57"/>
  <c r="I88" i="57"/>
  <c r="I87" i="57"/>
  <c r="I86" i="57"/>
  <c r="I85" i="57"/>
  <c r="I84" i="57"/>
  <c r="I89" i="56"/>
  <c r="I88" i="56"/>
  <c r="I87" i="56"/>
  <c r="I86" i="56"/>
  <c r="I85" i="56"/>
  <c r="I84" i="56"/>
  <c r="I77" i="59"/>
  <c r="I76" i="59"/>
  <c r="I74" i="59"/>
  <c r="I75" i="59" s="1"/>
  <c r="I77" i="57"/>
  <c r="I76" i="57"/>
  <c r="I74" i="57"/>
  <c r="I75" i="57" s="1"/>
  <c r="I77" i="56"/>
  <c r="I76" i="56"/>
  <c r="I74" i="56"/>
  <c r="I75" i="56" s="1"/>
  <c r="I77" i="28"/>
  <c r="I76" i="28"/>
  <c r="I74" i="28"/>
  <c r="I75" i="28" s="1"/>
  <c r="E7" i="54"/>
  <c r="E6" i="54"/>
  <c r="E5" i="54"/>
  <c r="M150" i="57"/>
  <c r="M151" i="57" s="1"/>
  <c r="M152" i="57"/>
  <c r="J35" i="57" s="1"/>
  <c r="J37" i="56"/>
  <c r="J41" i="56"/>
  <c r="J42" i="56"/>
  <c r="J43" i="56"/>
  <c r="J46" i="56"/>
  <c r="J47" i="56"/>
  <c r="J48" i="56"/>
  <c r="J49" i="56"/>
  <c r="J50" i="56"/>
  <c r="J51" i="56"/>
  <c r="J52" i="56"/>
  <c r="J53" i="56"/>
  <c r="J54" i="56"/>
  <c r="J63" i="56"/>
  <c r="J67" i="56"/>
  <c r="J68" i="56"/>
  <c r="J69" i="56"/>
  <c r="J70" i="56"/>
  <c r="J76" i="56"/>
  <c r="J84" i="56"/>
  <c r="J86" i="56"/>
  <c r="J88" i="56"/>
  <c r="J89" i="56"/>
  <c r="J90" i="56"/>
  <c r="J104" i="56"/>
  <c r="J136" i="56"/>
  <c r="J137" i="56"/>
  <c r="I43" i="56"/>
  <c r="I54" i="56"/>
  <c r="J74" i="56"/>
  <c r="J75" i="56"/>
  <c r="J77" i="56"/>
  <c r="J85" i="56"/>
  <c r="J87" i="56"/>
  <c r="I91" i="56"/>
  <c r="I92" i="56"/>
  <c r="J92" i="56" s="1"/>
  <c r="I93" i="56"/>
  <c r="I94" i="56"/>
  <c r="J94" i="56" s="1"/>
  <c r="I95" i="56"/>
  <c r="I123" i="56"/>
  <c r="I125" i="56"/>
  <c r="E4" i="53"/>
  <c r="J62" i="59"/>
  <c r="E5" i="53"/>
  <c r="E15" i="53"/>
  <c r="E14" i="53"/>
  <c r="E13" i="53"/>
  <c r="E12" i="53"/>
  <c r="E11" i="53"/>
  <c r="E10" i="53"/>
  <c r="E9" i="53"/>
  <c r="E8" i="53"/>
  <c r="E7" i="53"/>
  <c r="E6" i="53"/>
  <c r="K16" i="53"/>
  <c r="J16" i="53"/>
  <c r="I16" i="53"/>
  <c r="H16" i="53"/>
  <c r="G16" i="53"/>
  <c r="E8" i="54"/>
  <c r="U31" i="57"/>
  <c r="V31" i="57" s="1"/>
  <c r="I91" i="59"/>
  <c r="I91" i="57"/>
  <c r="I122" i="59"/>
  <c r="F16" i="53"/>
  <c r="E16" i="53"/>
  <c r="D16" i="53"/>
  <c r="I125" i="59"/>
  <c r="I123" i="59"/>
  <c r="J104" i="59"/>
  <c r="I54" i="59"/>
  <c r="I43" i="59"/>
  <c r="J37" i="59"/>
  <c r="I125" i="57"/>
  <c r="I123" i="57"/>
  <c r="J104" i="57"/>
  <c r="I54" i="57"/>
  <c r="I43" i="57"/>
  <c r="I85" i="28"/>
  <c r="J37" i="28"/>
  <c r="J89" i="28" s="1"/>
  <c r="I79" i="59" l="1"/>
  <c r="I78" i="59"/>
  <c r="I79" i="57"/>
  <c r="I78" i="57"/>
  <c r="I79" i="56"/>
  <c r="J79" i="56" s="1"/>
  <c r="I78" i="56"/>
  <c r="I79" i="28"/>
  <c r="I92" i="59"/>
  <c r="J91" i="56"/>
  <c r="J93" i="56" s="1"/>
  <c r="J95" i="56" s="1"/>
  <c r="E9" i="54"/>
  <c r="J58" i="59"/>
  <c r="J58" i="57"/>
  <c r="J37" i="57"/>
  <c r="I92" i="57"/>
  <c r="J136" i="59"/>
  <c r="J90" i="59"/>
  <c r="J89" i="59"/>
  <c r="J88" i="59"/>
  <c r="J87" i="59"/>
  <c r="J86" i="59"/>
  <c r="J85" i="59"/>
  <c r="J84" i="59"/>
  <c r="J91" i="59" s="1"/>
  <c r="J79" i="59"/>
  <c r="J76" i="59"/>
  <c r="J42" i="59"/>
  <c r="J41" i="59"/>
  <c r="J43" i="59" s="1"/>
  <c r="J78" i="59"/>
  <c r="J74" i="59"/>
  <c r="J77" i="59"/>
  <c r="I94" i="59"/>
  <c r="J94" i="59" s="1"/>
  <c r="J136" i="57"/>
  <c r="J90" i="57"/>
  <c r="J89" i="57"/>
  <c r="J88" i="57"/>
  <c r="J87" i="57"/>
  <c r="J86" i="57"/>
  <c r="J85" i="57"/>
  <c r="J84" i="57"/>
  <c r="J91" i="57" s="1"/>
  <c r="J79" i="57"/>
  <c r="J76" i="57"/>
  <c r="J42" i="57"/>
  <c r="J41" i="57"/>
  <c r="J43" i="57" s="1"/>
  <c r="J78" i="57"/>
  <c r="J74" i="57"/>
  <c r="J77" i="57"/>
  <c r="I94" i="57"/>
  <c r="J94" i="57" s="1"/>
  <c r="J76" i="28"/>
  <c r="J85" i="28"/>
  <c r="J78" i="56" l="1"/>
  <c r="J80" i="56" s="1"/>
  <c r="I80" i="56"/>
  <c r="J138" i="56"/>
  <c r="J103" i="56"/>
  <c r="J105" i="56" s="1"/>
  <c r="J63" i="59"/>
  <c r="J69" i="59" s="1"/>
  <c r="J63" i="57"/>
  <c r="J69" i="57" s="1"/>
  <c r="J92" i="57"/>
  <c r="J93" i="57" s="1"/>
  <c r="J95" i="57" s="1"/>
  <c r="J92" i="59"/>
  <c r="J93" i="59" s="1"/>
  <c r="I93" i="59"/>
  <c r="I95" i="59" s="1"/>
  <c r="J75" i="59"/>
  <c r="J80" i="59" s="1"/>
  <c r="J138" i="59" s="1"/>
  <c r="I80" i="59"/>
  <c r="J67" i="59"/>
  <c r="J53" i="59"/>
  <c r="J52" i="59"/>
  <c r="J51" i="59"/>
  <c r="J50" i="59"/>
  <c r="J49" i="59"/>
  <c r="J48" i="59"/>
  <c r="J47" i="59"/>
  <c r="J46" i="59"/>
  <c r="J54" i="59" s="1"/>
  <c r="J68" i="59" s="1"/>
  <c r="J95" i="59"/>
  <c r="J103" i="59"/>
  <c r="J105" i="59" s="1"/>
  <c r="J139" i="59" s="1"/>
  <c r="I93" i="57"/>
  <c r="I95" i="57" s="1"/>
  <c r="J75" i="57"/>
  <c r="J80" i="57" s="1"/>
  <c r="J138" i="57" s="1"/>
  <c r="I80" i="57"/>
  <c r="J67" i="57"/>
  <c r="J53" i="57"/>
  <c r="J52" i="57"/>
  <c r="J51" i="57"/>
  <c r="J50" i="57"/>
  <c r="J49" i="57"/>
  <c r="J48" i="57"/>
  <c r="J47" i="57"/>
  <c r="J46" i="57"/>
  <c r="J103" i="57"/>
  <c r="J105" i="57" s="1"/>
  <c r="I125" i="28"/>
  <c r="I123" i="28"/>
  <c r="J54" i="57" l="1"/>
  <c r="J68" i="57" s="1"/>
  <c r="J139" i="56"/>
  <c r="J109" i="56"/>
  <c r="J110" i="56"/>
  <c r="J139" i="57"/>
  <c r="J70" i="59"/>
  <c r="J70" i="57"/>
  <c r="I87" i="28"/>
  <c r="I54" i="28"/>
  <c r="I78" i="28" s="1"/>
  <c r="J113" i="56" l="1"/>
  <c r="J109" i="57"/>
  <c r="J137" i="59"/>
  <c r="J109" i="59"/>
  <c r="J137" i="57"/>
  <c r="I91" i="28"/>
  <c r="J140" i="56" l="1"/>
  <c r="J141" i="56" s="1"/>
  <c r="J110" i="59"/>
  <c r="J113" i="59" s="1"/>
  <c r="J110" i="57"/>
  <c r="J113" i="57" s="1"/>
  <c r="I94" i="28"/>
  <c r="J94" i="28" s="1"/>
  <c r="I43" i="28"/>
  <c r="I92" i="28" s="1"/>
  <c r="J117" i="56" l="1"/>
  <c r="J118" i="56"/>
  <c r="J120" i="56"/>
  <c r="J121" i="56"/>
  <c r="J122" i="56"/>
  <c r="J140" i="59"/>
  <c r="J141" i="59" s="1"/>
  <c r="J140" i="57"/>
  <c r="J141" i="57" s="1"/>
  <c r="J92" i="28"/>
  <c r="I93" i="28"/>
  <c r="I95" i="28" s="1"/>
  <c r="I80" i="28"/>
  <c r="J123" i="56" l="1"/>
  <c r="J142" i="56" s="1"/>
  <c r="J143" i="56" s="1"/>
  <c r="F6" i="54" s="1"/>
  <c r="G6" i="54" s="1"/>
  <c r="J128" i="56"/>
  <c r="J130" i="56" s="1"/>
  <c r="J132" i="56" s="1"/>
  <c r="J117" i="59"/>
  <c r="J117" i="57"/>
  <c r="J104" i="28"/>
  <c r="J63" i="28"/>
  <c r="J69" i="28" s="1"/>
  <c r="J136" i="28"/>
  <c r="J41" i="28"/>
  <c r="J74" i="28"/>
  <c r="J84" i="28"/>
  <c r="J77" i="28"/>
  <c r="J78" i="28"/>
  <c r="J87" i="28"/>
  <c r="J75" i="28"/>
  <c r="J79" i="28"/>
  <c r="J88" i="28"/>
  <c r="J90" i="28"/>
  <c r="J86" i="28"/>
  <c r="J42" i="28"/>
  <c r="J118" i="59" l="1"/>
  <c r="J118" i="57"/>
  <c r="J91" i="28"/>
  <c r="J93" i="28" s="1"/>
  <c r="J95" i="28" s="1"/>
  <c r="J80" i="28"/>
  <c r="J138" i="28" s="1"/>
  <c r="J43" i="28"/>
  <c r="J128" i="59" l="1"/>
  <c r="J130" i="59" s="1"/>
  <c r="J132" i="59" s="1"/>
  <c r="J122" i="59"/>
  <c r="J121" i="59"/>
  <c r="J120" i="59"/>
  <c r="J123" i="59" s="1"/>
  <c r="J142" i="59" s="1"/>
  <c r="J143" i="59" s="1"/>
  <c r="F8" i="54" s="1"/>
  <c r="G8" i="54" s="1"/>
  <c r="J128" i="57"/>
  <c r="J130" i="57" s="1"/>
  <c r="J132" i="57" s="1"/>
  <c r="J122" i="57"/>
  <c r="J121" i="57"/>
  <c r="J120" i="57"/>
  <c r="J123" i="57" s="1"/>
  <c r="J142" i="57" s="1"/>
  <c r="J143" i="57" s="1"/>
  <c r="F7" i="54" s="1"/>
  <c r="G7" i="54" s="1"/>
  <c r="J103" i="28"/>
  <c r="J105" i="28" s="1"/>
  <c r="J139" i="28" s="1"/>
  <c r="J67" i="28"/>
  <c r="J46" i="28"/>
  <c r="J52" i="28"/>
  <c r="J53" i="28"/>
  <c r="J49" i="28"/>
  <c r="J50" i="28"/>
  <c r="J51" i="28"/>
  <c r="J47" i="28"/>
  <c r="J48" i="28"/>
  <c r="H6" i="54" l="1"/>
  <c r="J54" i="28"/>
  <c r="J68" i="28" s="1"/>
  <c r="J70" i="28"/>
  <c r="H7" i="54" l="1"/>
  <c r="J109" i="28"/>
  <c r="J137" i="28"/>
  <c r="J110" i="28"/>
  <c r="J113" i="28" l="1"/>
  <c r="J140" i="28" l="1"/>
  <c r="J141" i="28" s="1"/>
  <c r="J117" i="28" s="1"/>
  <c r="J118" i="28" l="1"/>
  <c r="J121" i="28" l="1"/>
  <c r="J122" i="28"/>
  <c r="J120" i="28"/>
  <c r="J123" i="28" s="1"/>
  <c r="J142" i="28"/>
  <c r="J143" i="28" s="1"/>
  <c r="F5" i="54" s="1"/>
  <c r="J128" i="28"/>
  <c r="J130" i="28" s="1"/>
  <c r="J132" i="28" s="1"/>
  <c r="G5" i="54" l="1"/>
  <c r="H8" i="54"/>
  <c r="I5" i="54" l="1"/>
  <c r="H5" i="54"/>
  <c r="J5" i="54" s="1"/>
  <c r="K5" i="54" s="1"/>
  <c r="K9" i="54" s="1"/>
  <c r="I9" i="54"/>
  <c r="J9" i="54" l="1"/>
</calcChain>
</file>

<file path=xl/sharedStrings.xml><?xml version="1.0" encoding="utf-8"?>
<sst xmlns="http://schemas.openxmlformats.org/spreadsheetml/2006/main" count="988" uniqueCount="218">
  <si>
    <t>ANEXO ... - PLANILHA DE CUSTOS E FORMAÇÃO DE PREÇOS</t>
  </si>
  <si>
    <t>Período previsto</t>
  </si>
  <si>
    <t>Feriados</t>
  </si>
  <si>
    <t>Dias úteis</t>
  </si>
  <si>
    <r>
      <rPr>
        <b/>
        <sz val="10"/>
        <color rgb="FF000000"/>
        <rFont val="Cambria"/>
        <scheme val="major"/>
      </rPr>
      <t xml:space="preserve">média de dias Trabalhados </t>
    </r>
    <r>
      <rPr>
        <b/>
        <u/>
        <sz val="10"/>
        <color rgb="FF000000"/>
        <rFont val="Cambria"/>
        <scheme val="major"/>
      </rPr>
      <t>(incluindo sábado, domingo e feriado)</t>
    </r>
  </si>
  <si>
    <t>Quant. feriado MD</t>
  </si>
  <si>
    <t>Quant. feriado MDO</t>
  </si>
  <si>
    <t>Quant. feriado MRCO</t>
  </si>
  <si>
    <t>Quant. feriado MRSJDR</t>
  </si>
  <si>
    <t>Quant. feriado MRDC</t>
  </si>
  <si>
    <t>Quant. feriado MDINC</t>
  </si>
  <si>
    <t>01/09/2024 a 30/09/2024</t>
  </si>
  <si>
    <t>07 Independência do Brasil</t>
  </si>
  <si>
    <t>01/10/2024 a 31/10/2024</t>
  </si>
  <si>
    <t>12 Nossa Sra. Aparecida</t>
  </si>
  <si>
    <t>01/11/2024 a 30/11/2024</t>
  </si>
  <si>
    <t>02 Finados | 15 Proclamação da República | 20 Consciência Negra</t>
  </si>
  <si>
    <t>01/12/2024 a 31/12/2024</t>
  </si>
  <si>
    <r>
      <rPr>
        <sz val="10"/>
        <color rgb="FF00B050"/>
        <rFont val="Cambria"/>
      </rPr>
      <t>08 Nossa Senhora da Conceição (Diamantina, Serro e Ouro Preto)</t>
    </r>
    <r>
      <rPr>
        <sz val="10"/>
        <color rgb="FF000000"/>
        <rFont val="Cambria"/>
      </rPr>
      <t xml:space="preserve"> | 25 Natal* | </t>
    </r>
    <r>
      <rPr>
        <sz val="10"/>
        <color rgb="FF00B050"/>
        <rFont val="Cambria"/>
      </rPr>
      <t>08 Aniv. Cidade SJDR</t>
    </r>
  </si>
  <si>
    <t>01/01/2025 a 31/01/2025</t>
  </si>
  <si>
    <t>01 Confraternização Universal*</t>
  </si>
  <si>
    <t>01/02/2025 a 28/02/2025</t>
  </si>
  <si>
    <t>-</t>
  </si>
  <si>
    <t>01/03/2025 a 31/03/2025</t>
  </si>
  <si>
    <t>03 e 04 Carnaval*</t>
  </si>
  <si>
    <t>01/04/2025 a 30/04/2025</t>
  </si>
  <si>
    <t>18 Paixão de Cristo | 21 Tiradentes</t>
  </si>
  <si>
    <t>01/05/2025 a 31/05/2025</t>
  </si>
  <si>
    <t xml:space="preserve">01 Dia do trabalhador </t>
  </si>
  <si>
    <t>01/06/2025 a 30/06/2025</t>
  </si>
  <si>
    <r>
      <rPr>
        <sz val="10"/>
        <color rgb="FF00B050"/>
        <rFont val="Cambria"/>
        <scheme val="major"/>
      </rPr>
      <t xml:space="preserve">13 - Santo Antônio (Diamantina) | </t>
    </r>
    <r>
      <rPr>
        <sz val="10"/>
        <color rgb="FF000000"/>
        <rFont val="Cambria"/>
        <scheme val="major"/>
      </rPr>
      <t xml:space="preserve">19 Corpus Christi
</t>
    </r>
    <r>
      <rPr>
        <sz val="10"/>
        <color rgb="FF00B050"/>
        <rFont val="Cambria"/>
        <scheme val="major"/>
      </rPr>
      <t>14 - Nhá Chica (SJDR)</t>
    </r>
  </si>
  <si>
    <t>01/07/2025 a 31/07/2025</t>
  </si>
  <si>
    <t>8 - aniversário de Ouro Preto</t>
  </si>
  <si>
    <t>01/08/2025 a 31/08/2025</t>
  </si>
  <si>
    <t>15 - Assunção Nossa Senhora (SJDR e OP)</t>
  </si>
  <si>
    <t>Média</t>
  </si>
  <si>
    <t>* sem abertura</t>
  </si>
  <si>
    <t>PREGÃO N.º ____/2024</t>
  </si>
  <si>
    <t>IN 05/2017/SEGES/MPDG - ANEXO VII-D</t>
  </si>
  <si>
    <t>PLANILHA DE CUSTOS E FORMAÇÃO DE PREÇOS</t>
  </si>
  <si>
    <t>Nº do Processo 01469.000158/2023-40</t>
  </si>
  <si>
    <t>Categoria profissional: Analista Técnico Especializado – NS Júnior</t>
  </si>
  <si>
    <t>Discriminação dos Serviços</t>
  </si>
  <si>
    <t>Museu R. de Caeté</t>
  </si>
  <si>
    <t>A</t>
  </si>
  <si>
    <t>Data de apresentação da proposta</t>
  </si>
  <si>
    <t>B</t>
  </si>
  <si>
    <t>Unidade de Medida</t>
  </si>
  <si>
    <t>Posto</t>
  </si>
  <si>
    <t>C</t>
  </si>
  <si>
    <t>Quantidade de empregados por unidade de medida</t>
  </si>
  <si>
    <t>Nº de meses de execução contratual</t>
  </si>
  <si>
    <t>D</t>
  </si>
  <si>
    <t>Município</t>
  </si>
  <si>
    <t>CAETÉ/MG</t>
  </si>
  <si>
    <t>E</t>
  </si>
  <si>
    <t>Acordo, Convenção ou Dissídio Coletivo</t>
  </si>
  <si>
    <t>F</t>
  </si>
  <si>
    <t>Número do registro da convenção no MTE</t>
  </si>
  <si>
    <t>Identificação do Serviço</t>
  </si>
  <si>
    <t>Tipo de Serviço</t>
  </si>
  <si>
    <t xml:space="preserve">Quantidade total a contratar </t>
  </si>
  <si>
    <t>Apoio Administrativo</t>
  </si>
  <si>
    <t>Dados para composição dos custos referentes à mão-de-obra</t>
  </si>
  <si>
    <t>Tipo de serviço (mesmo serviço com características distintas)</t>
  </si>
  <si>
    <t>Classificação Brasileira de Ocupações (CBO)</t>
  </si>
  <si>
    <t>4110-10</t>
  </si>
  <si>
    <t>Salário Nominativo da Categoria Profissional</t>
  </si>
  <si>
    <t>Categoria profissional (vinculada à execução contratual)</t>
  </si>
  <si>
    <t>Analista Técnico Especializado – NS Júnior</t>
  </si>
  <si>
    <t>Jornada de Trabalho</t>
  </si>
  <si>
    <t>40 horas</t>
  </si>
  <si>
    <t>Data base da categoria (dia/mês/ano)</t>
  </si>
  <si>
    <t>MÓDULO 1 - COMPOSIÇÃO DA REMUNERAÇÃO</t>
  </si>
  <si>
    <t>COMPOSIÇÃO DA REMUNERAÇÃO</t>
  </si>
  <si>
    <t>%</t>
  </si>
  <si>
    <t>VALOR (R$)</t>
  </si>
  <si>
    <t>Salário Base</t>
  </si>
  <si>
    <t xml:space="preserve">Adicional Periculosidade </t>
  </si>
  <si>
    <t>Adicional Insalubridade</t>
  </si>
  <si>
    <t>Adicional Noturno</t>
  </si>
  <si>
    <r>
      <t xml:space="preserve">Adicional de Feriado Trabalhado </t>
    </r>
    <r>
      <rPr>
        <sz val="9"/>
        <color rgb="FF000000"/>
        <rFont val="Cambria"/>
        <scheme val="major"/>
      </rPr>
      <t xml:space="preserve">- </t>
    </r>
    <r>
      <rPr>
        <i/>
        <sz val="9"/>
        <color rgb="FF000000"/>
        <rFont val="Cambria"/>
        <scheme val="major"/>
      </rPr>
      <t>Somente se houver previsão em instrumento coletivo da categoria</t>
    </r>
  </si>
  <si>
    <t>Outros (especificar)</t>
  </si>
  <si>
    <t>TOTAL DO MÓDULO 1</t>
  </si>
  <si>
    <t>MÓDULO 2 – ENCARGOS E BENEFÍCIOS ANUAIS, MENSAIS E DIÁRIOS</t>
  </si>
  <si>
    <t>Submódulo 2.1 - 13º Salário, Férias e Adicional de Férias</t>
  </si>
  <si>
    <t>13º salário (Percentual obrigatório conforme Anexo XII - IN 05/17)</t>
  </si>
  <si>
    <t>Férias e adicional de Férias (Percentual obrigatório conforme Anexo XII - IN 5/17)</t>
  </si>
  <si>
    <t>TOTAL SUBMÓDULO 2.1</t>
  </si>
  <si>
    <t>Submódulo 2.2 - GPS, FGTS e Outras Contribuições</t>
  </si>
  <si>
    <t xml:space="preserve">INSS </t>
  </si>
  <si>
    <t xml:space="preserve">Salário Educação </t>
  </si>
  <si>
    <t>GIIL/RAT = SAT = RAT ajustado = RAT × FAP</t>
  </si>
  <si>
    <t>SESC ou SESI</t>
  </si>
  <si>
    <t xml:space="preserve">SENAI - SENAC </t>
  </si>
  <si>
    <t xml:space="preserve">SEBRAE </t>
  </si>
  <si>
    <t>G</t>
  </si>
  <si>
    <t xml:space="preserve">INCRA </t>
  </si>
  <si>
    <t>H</t>
  </si>
  <si>
    <t xml:space="preserve">FGTS </t>
  </si>
  <si>
    <t>TOTAL SUBMÓDULO 2.2</t>
  </si>
  <si>
    <t>Submódulo 2.3 - Benefícios Mensais e Diários</t>
  </si>
  <si>
    <t>Vale Transporte ( R$ VT * 2 * Qtd.  dias) - (6% * Salário Base)</t>
  </si>
  <si>
    <t>Auxílio-Refeição/Alimentação e Cesta Básica (Qtd. Dias * R$ VA * 80%)</t>
  </si>
  <si>
    <t>Programa de Alimentação do Trabalhador – PAT e Auxílio Creche</t>
  </si>
  <si>
    <t>Auxílio Saúde - PAF</t>
  </si>
  <si>
    <t>Seguro de Vida</t>
  </si>
  <si>
    <t>Outros (Assistência Odontologica, Contribuição Assistencial)</t>
  </si>
  <si>
    <t>TOTAL SUBMÓDULO 2.3</t>
  </si>
  <si>
    <t>QUADRO-RESUMO DO MÓDULO 2 - ENCARGOS, BENEFÍCIOS ANUAIS, MENSAIS E DIÁRIOS</t>
  </si>
  <si>
    <t>Módulo 2 - Encargos, Benefícios Anuais, Mensais e Diários</t>
  </si>
  <si>
    <t>2.1</t>
  </si>
  <si>
    <t>13º Salário, Férias e Adicional de Férias</t>
  </si>
  <si>
    <t>2.2</t>
  </si>
  <si>
    <t>GPS, FGTS e Outras Contribuições</t>
  </si>
  <si>
    <t>2.3</t>
  </si>
  <si>
    <t>Benefícios Mensais e Diários</t>
  </si>
  <si>
    <t>TOTAL DO MÓDULO 2</t>
  </si>
  <si>
    <t>MÓDULO 3 – PROVISÃO PARA RESCISÃO</t>
  </si>
  <si>
    <t>PROVISÃO PARA RESCISÃO</t>
  </si>
  <si>
    <t>Aviso Prévio Indenizado</t>
  </si>
  <si>
    <t>Incidência do FGTS sobre Aviso Prévio Indenizado</t>
  </si>
  <si>
    <t>Multa do FGTS  sobre o aviso prévio indenizado</t>
  </si>
  <si>
    <t xml:space="preserve">Aviso Prévio Trabalhado </t>
  </si>
  <si>
    <t>Incidência do submódulo 2.2 sobre o Aviso Prévio Trabalhado</t>
  </si>
  <si>
    <t>Multa do FGTS  sobre o aviso prévio trabalhado</t>
  </si>
  <si>
    <t>TOTAL DO MÓDULO 3</t>
  </si>
  <si>
    <t>MÓDULO 4 – CUSTO DE REPOSIÇÃO DO PROFISSIONAL AUSENTE</t>
  </si>
  <si>
    <t>Submódulo 4.1 - Substituto nas Ausências Legais</t>
  </si>
  <si>
    <t>Substituto na cobertura de Férias</t>
  </si>
  <si>
    <t>Substituto na cobertura de Ausência por doença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</si>
  <si>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</si>
  <si>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</si>
  <si>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</si>
  <si>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</si>
  <si>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Outras ausências (especificar)</t>
  </si>
  <si>
    <t>Subtotal SUBMÓDULO 4.1 antes da Incidência do Proporcional de ferias, 1/3 e 13º sobre o custo de reposição</t>
  </si>
  <si>
    <t>Incidência do proporcional de férias, 1/3 e 13º sobre custo de reposição (exceto L. maternidade)</t>
  </si>
  <si>
    <t xml:space="preserve">Subtotal SUBMÓDULO 4.1 antes da Incidência do Submódulo 2.2 sobre o custo de reposição					</t>
  </si>
  <si>
    <t>I</t>
  </si>
  <si>
    <t>Incidência do Submodulo 2.2 sobre o custo de reposição</t>
  </si>
  <si>
    <t xml:space="preserve">TOTAL SUBMÓDULO 4.1 </t>
  </si>
  <si>
    <t>Submódulo 4.2 - Intrajornada</t>
  </si>
  <si>
    <t xml:space="preserve"> Substituto na cobertura de Intervalo para repouso ou alimentação</t>
  </si>
  <si>
    <t>TOTAL SUBMÓDULO 4.2</t>
  </si>
  <si>
    <t>QUADRO-RESUMO DO MÓDULO 4 - CUSTO DE REPOSIÇÃO DO PROFISSIONAL AUSENTE</t>
  </si>
  <si>
    <t>Módulo 4 - Custo de Reposição do Profissional Ausente</t>
  </si>
  <si>
    <t>4.1</t>
  </si>
  <si>
    <t>Substituto nas Ausências Legais</t>
  </si>
  <si>
    <t>4.2</t>
  </si>
  <si>
    <t>Substituto na Intrajornada</t>
  </si>
  <si>
    <t>TOTAL DO MÓDULO 4</t>
  </si>
  <si>
    <t>MÓDULO 5 – INSUMOS DIVERSOS</t>
  </si>
  <si>
    <t>INSUMOS DIVERSOS</t>
  </si>
  <si>
    <t xml:space="preserve">Uniformes </t>
  </si>
  <si>
    <t>Materiais</t>
  </si>
  <si>
    <t>Utensílios</t>
  </si>
  <si>
    <t>TOTAL DO MÓDULO 5</t>
  </si>
  <si>
    <t>MÓDULO 6 – CUSTOS INDIRETOS, TRIBUTOS E LUCRO</t>
  </si>
  <si>
    <t>CUSTOS INDIRETOS, TRIBUTOS E LUCRO</t>
  </si>
  <si>
    <t>Custos Indiretos</t>
  </si>
  <si>
    <t>Lucro</t>
  </si>
  <si>
    <t>TRIBUTOS</t>
  </si>
  <si>
    <t>C.1</t>
  </si>
  <si>
    <t>PIS (Lucro Presumido)</t>
  </si>
  <si>
    <t>C.2</t>
  </si>
  <si>
    <t>COFINS (Lucro Presumido)</t>
  </si>
  <si>
    <t>C.3</t>
  </si>
  <si>
    <t>ISS</t>
  </si>
  <si>
    <t>TOTAL DO MÓDULO 6</t>
  </si>
  <si>
    <t>a)</t>
  </si>
  <si>
    <t>Tributos % = To = .............................................................</t>
  </si>
  <si>
    <t>b)</t>
  </si>
  <si>
    <t>(Total dos Módulos 1, 2, 3, 4 e 5+ Custos indiretos + lucro)= Po = ...................................</t>
  </si>
  <si>
    <t>c)</t>
  </si>
  <si>
    <t>Po / (1 - To) = P1 = ..............................................................................</t>
  </si>
  <si>
    <t>Valor dos Tributos = P1 - Po</t>
  </si>
  <si>
    <t>QUADRO RESUMO DO CUSTO POR EMPREGADO</t>
  </si>
  <si>
    <t>Mão-de-Obra vinculada à execução contratual (valor por empregado)</t>
  </si>
  <si>
    <t>Subtotal (A + B + C + D + E)</t>
  </si>
  <si>
    <t>PREÇO TOTAL POR EMPREGADO</t>
  </si>
  <si>
    <t xml:space="preserve">VT </t>
  </si>
  <si>
    <t>Caeté</t>
  </si>
  <si>
    <t>VT gratuito</t>
  </si>
  <si>
    <r>
      <rPr>
        <b/>
        <sz val="11"/>
        <color rgb="FF000000"/>
        <rFont val="Calibri"/>
        <scheme val="minor"/>
      </rPr>
      <t xml:space="preserve">Observação:
</t>
    </r>
    <r>
      <rPr>
        <sz val="11"/>
        <color rgb="FF000000"/>
        <rFont val="Calibri"/>
        <scheme val="minor"/>
      </rPr>
      <t>Conforme entendimento do TCU no Acórdão nº 1.186/2017 - Plenário, a Administração: 
"deve estabelecer na minuta do contrato que a parcela mensal a título de aviso prévio trabalhado será no percentual máximo de 1,94% no primeiro ano, e, em caso de prorrogação do contrato, o percentual máximo dessa parcela será de 0,194% a cada ano de prorrogação, a ser incluído por ocasião da formulação do aditivo da prorrogação do contrato, conforme a Lei 12.506/2011"</t>
    </r>
  </si>
  <si>
    <t>Categoria profissional: Auxiliar de Escritório</t>
  </si>
  <si>
    <t>4110-05</t>
  </si>
  <si>
    <t>Auxiliar de Escritório</t>
  </si>
  <si>
    <r>
      <t xml:space="preserve">Adicional de Feriado Trabalhado </t>
    </r>
    <r>
      <rPr>
        <sz val="9"/>
        <color theme="1"/>
        <rFont val="Cambria"/>
        <scheme val="major"/>
      </rPr>
      <t xml:space="preserve">- </t>
    </r>
    <r>
      <rPr>
        <i/>
        <sz val="9"/>
        <color theme="1"/>
        <rFont val="Cambria"/>
        <scheme val="major"/>
      </rPr>
      <t>Somente se houver previsão em instrumento coletivo da categoria</t>
    </r>
  </si>
  <si>
    <t>Programa de Alimentação do Trabalhador – PAT</t>
  </si>
  <si>
    <t>Categoria profissional: Monitor de Público e Atividades Culturais</t>
  </si>
  <si>
    <t>3714-10</t>
  </si>
  <si>
    <t>Monitor de Público e atividades culturais</t>
  </si>
  <si>
    <r>
      <rPr>
        <sz val="10"/>
        <color rgb="FFFF0000"/>
        <rFont val="Cambria"/>
        <scheme val="major"/>
      </rPr>
      <t xml:space="preserve">Adicional de Feriado Trabalhado </t>
    </r>
    <r>
      <rPr>
        <sz val="9"/>
        <color rgb="FF000000"/>
        <rFont val="Cambria"/>
        <scheme val="major"/>
      </rPr>
      <t xml:space="preserve">- </t>
    </r>
    <r>
      <rPr>
        <i/>
        <sz val="9"/>
        <color rgb="FF000000"/>
        <rFont val="Cambria"/>
        <scheme val="major"/>
      </rPr>
      <t>Somente se houver previsão em instrumento coletivo da categoria</t>
    </r>
  </si>
  <si>
    <t>Outros (Contribuição Assistencial)</t>
  </si>
  <si>
    <t>Cálculo Feriado trabalhado (8 feriados/ano):</t>
  </si>
  <si>
    <t>Categoria profissional: Vigia</t>
  </si>
  <si>
    <t xml:space="preserve">Museu R. de Caeté	</t>
  </si>
  <si>
    <t>5174-20</t>
  </si>
  <si>
    <t>Vigia</t>
  </si>
  <si>
    <t>não trabalhará no feriado</t>
  </si>
  <si>
    <t>Outros (Assistência Odontologica)</t>
  </si>
  <si>
    <t>RESUMO - VALOR GLOBAL ESTIMADO</t>
  </si>
  <si>
    <t>APOIO ADMINISTRATIVO</t>
  </si>
  <si>
    <t>Grupo</t>
  </si>
  <si>
    <t>Unidade</t>
  </si>
  <si>
    <t>Tipo</t>
  </si>
  <si>
    <t>Qtd. Postos</t>
  </si>
  <si>
    <t>Valor Empregado</t>
  </si>
  <si>
    <t>Valor mensal</t>
  </si>
  <si>
    <t>Valor 
anual</t>
  </si>
  <si>
    <t>R$ Mensal Unidade</t>
  </si>
  <si>
    <t>R$ Anual Unidade</t>
  </si>
  <si>
    <t>R$ Anual Quinquenal</t>
  </si>
  <si>
    <t>MUSEU REGIONAL DE CAETÉ - MRC</t>
  </si>
  <si>
    <t xml:space="preserve">Auxiliar de Escritório - Nível I </t>
  </si>
  <si>
    <t xml:space="preserve">Monitor de Público e Atividades Culturais 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</si>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</sst>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&quot;R$ &quot;* #,##0.00_);_(&quot;R$ &quot;* \(#,##0.00\);_(&quot;R$ &quot;* &quot;-&quot;??_);_(@_)"/>
    <numFmt numFmtId="166" formatCode="&quot;R$ &quot;#,##0.00_);[Red]\(&quot;R$ &quot;#,##0.00\)"/>
    <numFmt numFmtId="167" formatCode="_-[$R$-416]\ * #,##0.00_-;\-[$R$-416]\ * #,##0.00_-;_-[$R$-416]\ * &quot;-&quot;??_-;_-@_-"/>
    <numFmt numFmtId="168" formatCode="0.000%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rgb="FF242424"/>
      <name val="Aptos Narrow"/>
      <charset val="1"/>
    </font>
    <font>
      <u/>
      <sz val="11"/>
      <color theme="10"/>
      <name val="Calibri"/>
      <family val="2"/>
      <scheme val="minor"/>
    </font>
    <font>
      <b/>
      <sz val="10"/>
      <name val="Cambria"/>
      <scheme val="major"/>
    </font>
    <font>
      <sz val="11"/>
      <color theme="1"/>
      <name val="Cambria"/>
      <scheme val="major"/>
    </font>
    <font>
      <sz val="10"/>
      <name val="Cambria"/>
      <scheme val="major"/>
    </font>
    <font>
      <sz val="10"/>
      <color rgb="FF000000"/>
      <name val="Cambria"/>
      <scheme val="major"/>
    </font>
    <font>
      <sz val="10"/>
      <color rgb="FFFF0000"/>
      <name val="Cambria"/>
      <scheme val="major"/>
    </font>
    <font>
      <sz val="9"/>
      <color rgb="FF000000"/>
      <name val="Cambria"/>
      <scheme val="major"/>
    </font>
    <font>
      <i/>
      <sz val="9"/>
      <color rgb="FF000000"/>
      <name val="Cambria"/>
      <scheme val="major"/>
    </font>
    <font>
      <i/>
      <sz val="11"/>
      <color rgb="FFFF0000"/>
      <name val="Cambria"/>
      <scheme val="major"/>
    </font>
    <font>
      <b/>
      <i/>
      <sz val="10"/>
      <name val="Cambria"/>
      <scheme val="major"/>
    </font>
    <font>
      <i/>
      <sz val="8"/>
      <color rgb="FFFF0000"/>
      <name val="Cambria"/>
      <scheme val="major"/>
    </font>
    <font>
      <b/>
      <sz val="10"/>
      <color rgb="FFFF0000"/>
      <name val="Cambria"/>
      <scheme val="major"/>
    </font>
    <font>
      <b/>
      <sz val="14"/>
      <name val="Cambria"/>
      <scheme val="major"/>
    </font>
    <font>
      <b/>
      <sz val="12"/>
      <name val="Cambria"/>
      <scheme val="major"/>
    </font>
    <font>
      <b/>
      <sz val="10"/>
      <color rgb="FF000000"/>
      <name val="Cambria"/>
      <scheme val="major"/>
    </font>
    <font>
      <b/>
      <sz val="12"/>
      <color rgb="FF000000"/>
      <name val="Calibri"/>
      <family val="2"/>
    </font>
    <font>
      <b/>
      <sz val="10"/>
      <color rgb="FFFFFFFF"/>
      <name val="Cambria"/>
      <scheme val="major"/>
    </font>
    <font>
      <b/>
      <sz val="10"/>
      <color theme="1"/>
      <name val="Cambria"/>
      <scheme val="major"/>
    </font>
    <font>
      <sz val="10"/>
      <color theme="1"/>
      <name val="Cambria"/>
      <scheme val="major"/>
    </font>
    <font>
      <sz val="11"/>
      <color rgb="FFFF0000"/>
      <name val="Cambria"/>
      <scheme val="major"/>
    </font>
    <font>
      <sz val="11"/>
      <color theme="0"/>
      <name val="Cambria"/>
      <scheme val="major"/>
    </font>
    <font>
      <b/>
      <sz val="11"/>
      <color theme="1"/>
      <name val="Cambria"/>
      <scheme val="major"/>
    </font>
    <font>
      <sz val="8"/>
      <color theme="1"/>
      <name val="Cambria"/>
      <scheme val="major"/>
    </font>
    <font>
      <b/>
      <sz val="11"/>
      <color rgb="FFFF0000"/>
      <name val="Cambria"/>
      <scheme val="major"/>
    </font>
    <font>
      <b/>
      <sz val="9"/>
      <color theme="1"/>
      <name val="Cambria"/>
      <scheme val="major"/>
    </font>
    <font>
      <sz val="9"/>
      <color theme="1"/>
      <name val="Cambria"/>
      <scheme val="major"/>
    </font>
    <font>
      <sz val="9"/>
      <color theme="1"/>
      <name val="Calibri"/>
      <family val="2"/>
      <scheme val="minor"/>
    </font>
    <font>
      <strike/>
      <sz val="10"/>
      <name val="Cambria"/>
      <scheme val="major"/>
    </font>
    <font>
      <b/>
      <strike/>
      <sz val="10"/>
      <name val="Cambria"/>
      <scheme val="major"/>
    </font>
    <font>
      <strike/>
      <sz val="11"/>
      <color theme="1"/>
      <name val="Cambria"/>
      <scheme val="major"/>
    </font>
    <font>
      <i/>
      <strike/>
      <sz val="8"/>
      <name val="Cambria"/>
      <scheme val="major"/>
    </font>
    <font>
      <strike/>
      <sz val="10"/>
      <name val="Arial"/>
      <family val="2"/>
    </font>
    <font>
      <strike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trike/>
      <sz val="10"/>
      <color rgb="FF000000"/>
      <name val="Cambria"/>
      <scheme val="major"/>
    </font>
    <font>
      <u/>
      <sz val="8"/>
      <color theme="10"/>
      <name val="Calibri"/>
      <family val="2"/>
      <scheme val="minor"/>
    </font>
    <font>
      <i/>
      <sz val="11"/>
      <color theme="1"/>
      <name val="Cambria"/>
      <scheme val="major"/>
    </font>
    <font>
      <sz val="10"/>
      <color rgb="FF00B050"/>
      <name val="Cambria"/>
      <scheme val="major"/>
    </font>
    <font>
      <sz val="10"/>
      <color rgb="FF00B050"/>
      <name val="Cambria"/>
    </font>
    <font>
      <sz val="10"/>
      <color rgb="FF000000"/>
      <name val="Cambria"/>
    </font>
    <font>
      <sz val="10"/>
      <color theme="1"/>
      <name val="Cambria"/>
    </font>
    <font>
      <sz val="12"/>
      <color rgb="FF000000"/>
      <name val="Calibri"/>
      <charset val="1"/>
    </font>
    <font>
      <i/>
      <sz val="9"/>
      <color theme="1"/>
      <name val="Cambria"/>
      <scheme val="major"/>
    </font>
    <font>
      <i/>
      <sz val="8"/>
      <color theme="1"/>
      <name val="Cambria"/>
      <scheme val="major"/>
    </font>
    <font>
      <sz val="11"/>
      <color rgb="FF000000"/>
      <name val="Cambria"/>
      <scheme val="major"/>
    </font>
    <font>
      <strike/>
      <sz val="11"/>
      <color rgb="FF000000"/>
      <name val="Cambria"/>
      <scheme val="major"/>
    </font>
    <font>
      <b/>
      <u/>
      <sz val="10"/>
      <color rgb="FF000000"/>
      <name val="Cambria"/>
      <scheme val="major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203764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8">
    <xf numFmtId="0" fontId="0" fillId="0" borderId="0"/>
    <xf numFmtId="0" fontId="3" fillId="0" borderId="0"/>
    <xf numFmtId="9" fontId="3" fillId="0" borderId="0" applyFill="0" applyBorder="0" applyAlignment="0" applyProtection="0"/>
    <xf numFmtId="165" fontId="3" fillId="0" borderId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40">
    <xf numFmtId="0" fontId="0" fillId="0" borderId="0" xfId="0"/>
    <xf numFmtId="0" fontId="3" fillId="0" borderId="0" xfId="1"/>
    <xf numFmtId="2" fontId="3" fillId="0" borderId="0" xfId="1" applyNumberForma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4" fontId="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2" fontId="3" fillId="3" borderId="0" xfId="1" applyNumberFormat="1" applyFill="1" applyAlignment="1">
      <alignment vertical="center"/>
    </xf>
    <xf numFmtId="0" fontId="3" fillId="3" borderId="0" xfId="1" applyFill="1"/>
    <xf numFmtId="0" fontId="0" fillId="3" borderId="0" xfId="0" applyFill="1"/>
    <xf numFmtId="0" fontId="7" fillId="0" borderId="0" xfId="1" applyFont="1" applyAlignment="1">
      <alignment horizontal="center" vertical="center"/>
    </xf>
    <xf numFmtId="0" fontId="8" fillId="0" borderId="0" xfId="0" applyFont="1"/>
    <xf numFmtId="0" fontId="7" fillId="3" borderId="0" xfId="1" applyFont="1" applyFill="1" applyAlignment="1">
      <alignment horizontal="center" vertical="center"/>
    </xf>
    <xf numFmtId="0" fontId="9" fillId="0" borderId="0" xfId="1" applyFont="1" applyAlignment="1">
      <alignment horizontal="center"/>
    </xf>
    <xf numFmtId="0" fontId="9" fillId="3" borderId="0" xfId="1" applyFont="1" applyFill="1" applyAlignment="1">
      <alignment horizontal="center"/>
    </xf>
    <xf numFmtId="0" fontId="7" fillId="0" borderId="0" xfId="1" applyFont="1" applyAlignment="1">
      <alignment horizontal="center"/>
    </xf>
    <xf numFmtId="0" fontId="7" fillId="3" borderId="0" xfId="1" applyFont="1" applyFill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3" borderId="0" xfId="1" applyFont="1" applyFill="1" applyAlignment="1">
      <alignment horizontal="left" vertical="center"/>
    </xf>
    <xf numFmtId="0" fontId="7" fillId="2" borderId="13" xfId="1" applyFont="1" applyFill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3" borderId="0" xfId="1" applyFont="1" applyFill="1" applyAlignment="1">
      <alignment horizontal="center" vertical="center" wrapText="1"/>
    </xf>
    <xf numFmtId="0" fontId="9" fillId="0" borderId="0" xfId="1" applyFont="1" applyAlignment="1">
      <alignment horizontal="left" vertical="center"/>
    </xf>
    <xf numFmtId="0" fontId="8" fillId="3" borderId="0" xfId="0" applyFont="1" applyFill="1"/>
    <xf numFmtId="0" fontId="7" fillId="3" borderId="0" xfId="1" applyFont="1" applyFill="1" applyAlignment="1">
      <alignment horizontal="center" vertical="center" wrapText="1"/>
    </xf>
    <xf numFmtId="0" fontId="7" fillId="0" borderId="13" xfId="1" applyFont="1" applyBorder="1" applyAlignment="1">
      <alignment horizontal="center" vertical="center"/>
    </xf>
    <xf numFmtId="0" fontId="9" fillId="0" borderId="13" xfId="1" applyFont="1" applyBorder="1" applyAlignment="1">
      <alignment vertical="center"/>
    </xf>
    <xf numFmtId="167" fontId="9" fillId="0" borderId="13" xfId="1" applyNumberFormat="1" applyFont="1" applyBorder="1" applyAlignment="1">
      <alignment horizontal="right" vertical="center"/>
    </xf>
    <xf numFmtId="167" fontId="9" fillId="3" borderId="0" xfId="1" applyNumberFormat="1" applyFont="1" applyFill="1" applyAlignment="1">
      <alignment horizontal="right" vertical="center"/>
    </xf>
    <xf numFmtId="10" fontId="9" fillId="0" borderId="13" xfId="2" applyNumberFormat="1" applyFont="1" applyBorder="1" applyAlignment="1">
      <alignment horizontal="center" vertical="center"/>
    </xf>
    <xf numFmtId="167" fontId="9" fillId="0" borderId="13" xfId="1" applyNumberFormat="1" applyFont="1" applyBorder="1" applyAlignment="1">
      <alignment vertical="center"/>
    </xf>
    <xf numFmtId="167" fontId="9" fillId="3" borderId="0" xfId="1" applyNumberFormat="1" applyFont="1" applyFill="1" applyAlignment="1">
      <alignment vertical="center"/>
    </xf>
    <xf numFmtId="10" fontId="9" fillId="0" borderId="13" xfId="2" applyNumberFormat="1" applyFont="1" applyFill="1" applyBorder="1" applyAlignment="1">
      <alignment horizontal="center" vertical="center"/>
    </xf>
    <xf numFmtId="167" fontId="7" fillId="0" borderId="13" xfId="1" applyNumberFormat="1" applyFont="1" applyBorder="1" applyAlignment="1">
      <alignment vertical="center"/>
    </xf>
    <xf numFmtId="167" fontId="7" fillId="3" borderId="0" xfId="1" applyNumberFormat="1" applyFont="1" applyFill="1" applyAlignment="1">
      <alignment vertical="center"/>
    </xf>
    <xf numFmtId="2" fontId="7" fillId="0" borderId="0" xfId="1" applyNumberFormat="1" applyFont="1" applyAlignment="1">
      <alignment vertical="center"/>
    </xf>
    <xf numFmtId="2" fontId="7" fillId="3" borderId="0" xfId="1" applyNumberFormat="1" applyFont="1" applyFill="1" applyAlignment="1">
      <alignment vertical="center"/>
    </xf>
    <xf numFmtId="0" fontId="7" fillId="6" borderId="13" xfId="1" applyFont="1" applyFill="1" applyBorder="1" applyAlignment="1">
      <alignment horizontal="center" vertical="center"/>
    </xf>
    <xf numFmtId="10" fontId="9" fillId="0" borderId="13" xfId="1" applyNumberFormat="1" applyFont="1" applyBorder="1" applyAlignment="1">
      <alignment horizontal="center" vertical="center"/>
    </xf>
    <xf numFmtId="2" fontId="9" fillId="0" borderId="13" xfId="1" applyNumberFormat="1" applyFont="1" applyBorder="1" applyAlignment="1">
      <alignment vertical="center"/>
    </xf>
    <xf numFmtId="2" fontId="9" fillId="3" borderId="0" xfId="1" applyNumberFormat="1" applyFont="1" applyFill="1" applyAlignment="1">
      <alignment vertical="center"/>
    </xf>
    <xf numFmtId="10" fontId="9" fillId="3" borderId="13" xfId="1" applyNumberFormat="1" applyFont="1" applyFill="1" applyBorder="1" applyAlignment="1">
      <alignment horizontal="center" vertical="center"/>
    </xf>
    <xf numFmtId="10" fontId="7" fillId="0" borderId="13" xfId="1" applyNumberFormat="1" applyFont="1" applyBorder="1" applyAlignment="1">
      <alignment horizontal="center" vertical="center"/>
    </xf>
    <xf numFmtId="2" fontId="7" fillId="0" borderId="13" xfId="1" applyNumberFormat="1" applyFont="1" applyBorder="1" applyAlignment="1">
      <alignment vertical="center"/>
    </xf>
    <xf numFmtId="0" fontId="7" fillId="5" borderId="13" xfId="1" applyFont="1" applyFill="1" applyBorder="1" applyAlignment="1">
      <alignment horizontal="center" vertical="center"/>
    </xf>
    <xf numFmtId="10" fontId="7" fillId="6" borderId="13" xfId="1" applyNumberFormat="1" applyFont="1" applyFill="1" applyBorder="1" applyAlignment="1">
      <alignment horizontal="center" vertical="center"/>
    </xf>
    <xf numFmtId="2" fontId="9" fillId="0" borderId="13" xfId="1" applyNumberFormat="1" applyFont="1" applyBorder="1" applyAlignment="1">
      <alignment horizontal="right" vertical="center"/>
    </xf>
    <xf numFmtId="2" fontId="9" fillId="3" borderId="0" xfId="1" applyNumberFormat="1" applyFont="1" applyFill="1" applyAlignment="1">
      <alignment horizontal="right" vertical="center"/>
    </xf>
    <xf numFmtId="0" fontId="7" fillId="0" borderId="17" xfId="1" applyFont="1" applyBorder="1" applyAlignment="1">
      <alignment horizontal="center" vertical="center"/>
    </xf>
    <xf numFmtId="0" fontId="14" fillId="0" borderId="0" xfId="0" applyFont="1"/>
    <xf numFmtId="0" fontId="16" fillId="3" borderId="0" xfId="1" applyFont="1" applyFill="1" applyAlignment="1">
      <alignment horizontal="left" vertical="center"/>
    </xf>
    <xf numFmtId="2" fontId="9" fillId="0" borderId="13" xfId="1" applyNumberFormat="1" applyFont="1" applyBorder="1" applyAlignment="1">
      <alignment horizontal="center" vertical="center"/>
    </xf>
    <xf numFmtId="2" fontId="9" fillId="3" borderId="0" xfId="1" applyNumberFormat="1" applyFont="1" applyFill="1" applyAlignment="1">
      <alignment horizontal="center" vertical="center"/>
    </xf>
    <xf numFmtId="10" fontId="9" fillId="0" borderId="13" xfId="2" applyNumberFormat="1" applyFont="1" applyBorder="1" applyAlignment="1">
      <alignment vertical="center"/>
    </xf>
    <xf numFmtId="10" fontId="11" fillId="0" borderId="13" xfId="2" applyNumberFormat="1" applyFont="1" applyBorder="1" applyAlignment="1">
      <alignment vertical="center"/>
    </xf>
    <xf numFmtId="0" fontId="9" fillId="3" borderId="0" xfId="1" applyFont="1" applyFill="1" applyAlignment="1">
      <alignment horizontal="left" vertical="center"/>
    </xf>
    <xf numFmtId="0" fontId="17" fillId="0" borderId="7" xfId="1" applyFont="1" applyBorder="1" applyAlignment="1">
      <alignment horizontal="center" vertical="center"/>
    </xf>
    <xf numFmtId="10" fontId="17" fillId="0" borderId="5" xfId="2" applyNumberFormat="1" applyFont="1" applyBorder="1" applyAlignment="1">
      <alignment vertical="center"/>
    </xf>
    <xf numFmtId="2" fontId="17" fillId="0" borderId="8" xfId="1" applyNumberFormat="1" applyFont="1" applyBorder="1" applyAlignment="1">
      <alignment vertical="center"/>
    </xf>
    <xf numFmtId="2" fontId="17" fillId="3" borderId="0" xfId="1" applyNumberFormat="1" applyFont="1" applyFill="1" applyAlignment="1">
      <alignment vertical="center"/>
    </xf>
    <xf numFmtId="0" fontId="17" fillId="0" borderId="9" xfId="1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10" fontId="17" fillId="0" borderId="0" xfId="2" applyNumberFormat="1" applyFont="1" applyBorder="1" applyAlignment="1">
      <alignment vertical="center"/>
    </xf>
    <xf numFmtId="2" fontId="17" fillId="0" borderId="10" xfId="1" applyNumberFormat="1" applyFont="1" applyBorder="1" applyAlignment="1">
      <alignment vertical="center"/>
    </xf>
    <xf numFmtId="0" fontId="11" fillId="0" borderId="9" xfId="1" applyFont="1" applyBorder="1" applyAlignment="1">
      <alignment vertical="center"/>
    </xf>
    <xf numFmtId="0" fontId="17" fillId="0" borderId="11" xfId="1" applyFont="1" applyBorder="1" applyAlignment="1">
      <alignment horizontal="center" vertical="center"/>
    </xf>
    <xf numFmtId="10" fontId="17" fillId="0" borderId="1" xfId="2" applyNumberFormat="1" applyFont="1" applyBorder="1" applyAlignment="1">
      <alignment vertical="center"/>
    </xf>
    <xf numFmtId="2" fontId="17" fillId="0" borderId="12" xfId="1" applyNumberFormat="1" applyFont="1" applyBorder="1" applyAlignment="1">
      <alignment vertical="center"/>
    </xf>
    <xf numFmtId="167" fontId="19" fillId="0" borderId="13" xfId="1" applyNumberFormat="1" applyFont="1" applyBorder="1" applyAlignment="1">
      <alignment horizontal="center" vertical="center"/>
    </xf>
    <xf numFmtId="164" fontId="19" fillId="3" borderId="0" xfId="1" applyNumberFormat="1" applyFont="1" applyFill="1" applyAlignment="1">
      <alignment horizontal="center" vertical="center"/>
    </xf>
    <xf numFmtId="167" fontId="9" fillId="0" borderId="22" xfId="1" applyNumberFormat="1" applyFont="1" applyBorder="1" applyAlignment="1">
      <alignment horizontal="right" vertical="center"/>
    </xf>
    <xf numFmtId="0" fontId="9" fillId="7" borderId="0" xfId="1" applyFont="1" applyFill="1" applyAlignment="1">
      <alignment vertical="center"/>
    </xf>
    <xf numFmtId="0" fontId="20" fillId="7" borderId="0" xfId="1" applyFont="1" applyFill="1" applyAlignment="1">
      <alignment horizontal="center" vertical="center"/>
    </xf>
    <xf numFmtId="0" fontId="20" fillId="7" borderId="0" xfId="1" applyFont="1" applyFill="1" applyAlignment="1">
      <alignment horizontal="right" vertical="center"/>
    </xf>
    <xf numFmtId="9" fontId="9" fillId="7" borderId="17" xfId="1" applyNumberFormat="1" applyFont="1" applyFill="1" applyBorder="1" applyAlignment="1">
      <alignment horizontal="center" vertical="center"/>
    </xf>
    <xf numFmtId="167" fontId="10" fillId="7" borderId="17" xfId="5" applyNumberFormat="1" applyFont="1" applyFill="1" applyBorder="1" applyAlignment="1" applyProtection="1">
      <alignment horizontal="center" vertical="center"/>
    </xf>
    <xf numFmtId="0" fontId="20" fillId="9" borderId="24" xfId="0" applyFont="1" applyFill="1" applyBorder="1" applyAlignment="1">
      <alignment horizontal="center" vertical="center" wrapText="1"/>
    </xf>
    <xf numFmtId="0" fontId="20" fillId="9" borderId="25" xfId="0" applyFont="1" applyFill="1" applyBorder="1" applyAlignment="1">
      <alignment horizontal="center" vertical="center" wrapText="1"/>
    </xf>
    <xf numFmtId="0" fontId="20" fillId="9" borderId="18" xfId="0" applyFont="1" applyFill="1" applyBorder="1" applyAlignment="1">
      <alignment horizontal="center" vertical="center" wrapText="1"/>
    </xf>
    <xf numFmtId="0" fontId="20" fillId="9" borderId="19" xfId="0" applyFont="1" applyFill="1" applyBorder="1" applyAlignment="1">
      <alignment horizontal="center" vertical="center" wrapText="1"/>
    </xf>
    <xf numFmtId="0" fontId="20" fillId="9" borderId="20" xfId="0" applyFont="1" applyFill="1" applyBorder="1" applyAlignment="1">
      <alignment horizontal="center" vertical="center" wrapText="1"/>
    </xf>
    <xf numFmtId="0" fontId="20" fillId="9" borderId="26" xfId="0" applyFont="1" applyFill="1" applyBorder="1" applyAlignment="1">
      <alignment horizontal="center" vertical="center" wrapText="1"/>
    </xf>
    <xf numFmtId="0" fontId="20" fillId="9" borderId="35" xfId="0" applyFont="1" applyFill="1" applyBorder="1" applyAlignment="1">
      <alignment horizontal="center" vertical="center"/>
    </xf>
    <xf numFmtId="0" fontId="25" fillId="0" borderId="0" xfId="0" applyFont="1"/>
    <xf numFmtId="0" fontId="11" fillId="3" borderId="0" xfId="1" applyFont="1" applyFill="1" applyAlignment="1">
      <alignment horizontal="center" vertical="center" wrapText="1"/>
    </xf>
    <xf numFmtId="0" fontId="26" fillId="0" borderId="0" xfId="0" applyFont="1"/>
    <xf numFmtId="0" fontId="27" fillId="0" borderId="0" xfId="0" applyFont="1"/>
    <xf numFmtId="0" fontId="16" fillId="0" borderId="0" xfId="0" applyFont="1"/>
    <xf numFmtId="0" fontId="28" fillId="0" borderId="0" xfId="0" applyFont="1"/>
    <xf numFmtId="0" fontId="11" fillId="0" borderId="13" xfId="1" applyFont="1" applyBorder="1" applyAlignment="1">
      <alignment horizontal="center" vertical="center"/>
    </xf>
    <xf numFmtId="2" fontId="24" fillId="0" borderId="13" xfId="1" applyNumberFormat="1" applyFont="1" applyBorder="1" applyAlignment="1">
      <alignment horizontal="right" vertical="center"/>
    </xf>
    <xf numFmtId="167" fontId="0" fillId="0" borderId="0" xfId="0" applyNumberFormat="1"/>
    <xf numFmtId="0" fontId="29" fillId="0" borderId="0" xfId="0" applyFont="1"/>
    <xf numFmtId="0" fontId="23" fillId="3" borderId="44" xfId="0" applyFont="1" applyFill="1" applyBorder="1" applyAlignment="1">
      <alignment horizontal="center" vertical="center"/>
    </xf>
    <xf numFmtId="0" fontId="33" fillId="0" borderId="13" xfId="1" applyFont="1" applyBorder="1" applyAlignment="1">
      <alignment horizontal="center" vertical="center"/>
    </xf>
    <xf numFmtId="0" fontId="33" fillId="0" borderId="0" xfId="1" applyFont="1" applyAlignment="1">
      <alignment horizontal="center" vertical="center"/>
    </xf>
    <xf numFmtId="10" fontId="33" fillId="0" borderId="13" xfId="2" applyNumberFormat="1" applyFont="1" applyBorder="1" applyAlignment="1">
      <alignment horizontal="center" vertical="center"/>
    </xf>
    <xf numFmtId="10" fontId="33" fillId="0" borderId="13" xfId="2" applyNumberFormat="1" applyFont="1" applyFill="1" applyBorder="1" applyAlignment="1">
      <alignment horizontal="center" vertical="center"/>
    </xf>
    <xf numFmtId="0" fontId="34" fillId="0" borderId="13" xfId="1" applyFont="1" applyBorder="1" applyAlignment="1">
      <alignment horizontal="center" vertical="center"/>
    </xf>
    <xf numFmtId="0" fontId="34" fillId="0" borderId="0" xfId="1" applyFont="1" applyAlignment="1">
      <alignment horizontal="center" vertical="center"/>
    </xf>
    <xf numFmtId="2" fontId="34" fillId="0" borderId="0" xfId="1" applyNumberFormat="1" applyFont="1" applyAlignment="1">
      <alignment vertical="center"/>
    </xf>
    <xf numFmtId="10" fontId="34" fillId="0" borderId="13" xfId="1" applyNumberFormat="1" applyFont="1" applyBorder="1" applyAlignment="1">
      <alignment horizontal="center" vertical="center"/>
    </xf>
    <xf numFmtId="10" fontId="33" fillId="0" borderId="13" xfId="1" applyNumberFormat="1" applyFont="1" applyBorder="1" applyAlignment="1">
      <alignment horizontal="center" vertical="center"/>
    </xf>
    <xf numFmtId="10" fontId="34" fillId="6" borderId="13" xfId="1" applyNumberFormat="1" applyFont="1" applyFill="1" applyBorder="1" applyAlignment="1">
      <alignment horizontal="center" vertical="center"/>
    </xf>
    <xf numFmtId="0" fontId="35" fillId="0" borderId="0" xfId="0" applyFont="1"/>
    <xf numFmtId="0" fontId="35" fillId="3" borderId="0" xfId="0" applyFont="1" applyFill="1"/>
    <xf numFmtId="10" fontId="9" fillId="3" borderId="13" xfId="2" applyNumberFormat="1" applyFont="1" applyFill="1" applyBorder="1" applyAlignment="1">
      <alignment horizontal="center" vertical="center"/>
    </xf>
    <xf numFmtId="0" fontId="33" fillId="0" borderId="13" xfId="1" applyFont="1" applyBorder="1" applyAlignment="1">
      <alignment vertical="center"/>
    </xf>
    <xf numFmtId="0" fontId="37" fillId="0" borderId="0" xfId="1" applyFont="1"/>
    <xf numFmtId="2" fontId="37" fillId="0" borderId="0" xfId="1" applyNumberFormat="1" applyFont="1" applyAlignment="1">
      <alignment vertical="center"/>
    </xf>
    <xf numFmtId="0" fontId="38" fillId="0" borderId="0" xfId="0" applyFont="1"/>
    <xf numFmtId="167" fontId="0" fillId="0" borderId="20" xfId="0" applyNumberFormat="1" applyBorder="1"/>
    <xf numFmtId="0" fontId="0" fillId="0" borderId="33" xfId="0" applyBorder="1"/>
    <xf numFmtId="0" fontId="0" fillId="0" borderId="48" xfId="0" applyBorder="1"/>
    <xf numFmtId="167" fontId="39" fillId="0" borderId="34" xfId="0" applyNumberFormat="1" applyFont="1" applyBorder="1"/>
    <xf numFmtId="167" fontId="0" fillId="0" borderId="32" xfId="0" applyNumberFormat="1" applyBorder="1"/>
    <xf numFmtId="10" fontId="10" fillId="3" borderId="13" xfId="1" applyNumberFormat="1" applyFont="1" applyFill="1" applyBorder="1" applyAlignment="1">
      <alignment horizontal="center" vertical="center"/>
    </xf>
    <xf numFmtId="10" fontId="10" fillId="3" borderId="13" xfId="1" applyNumberFormat="1" applyFont="1" applyFill="1" applyBorder="1" applyAlignment="1">
      <alignment vertical="center"/>
    </xf>
    <xf numFmtId="10" fontId="10" fillId="0" borderId="22" xfId="1" applyNumberFormat="1" applyFont="1" applyBorder="1" applyAlignment="1">
      <alignment vertical="center"/>
    </xf>
    <xf numFmtId="10" fontId="10" fillId="0" borderId="13" xfId="1" applyNumberFormat="1" applyFont="1" applyBorder="1" applyAlignment="1">
      <alignment vertical="center"/>
    </xf>
    <xf numFmtId="0" fontId="24" fillId="0" borderId="17" xfId="0" applyFont="1" applyBorder="1" applyAlignment="1">
      <alignment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1" fontId="23" fillId="0" borderId="47" xfId="0" applyNumberFormat="1" applyFont="1" applyBorder="1" applyAlignment="1">
      <alignment horizontal="center" vertical="center" wrapText="1"/>
    </xf>
    <xf numFmtId="0" fontId="42" fillId="0" borderId="0" xfId="0" applyFont="1"/>
    <xf numFmtId="0" fontId="23" fillId="10" borderId="38" xfId="0" applyFont="1" applyFill="1" applyBorder="1" applyAlignment="1">
      <alignment horizontal="center" vertical="center"/>
    </xf>
    <xf numFmtId="0" fontId="24" fillId="0" borderId="17" xfId="0" applyFont="1" applyBorder="1" applyAlignment="1">
      <alignment horizontal="center" vertical="center" wrapText="1"/>
    </xf>
    <xf numFmtId="10" fontId="9" fillId="0" borderId="17" xfId="2" applyNumberFormat="1" applyFont="1" applyBorder="1" applyAlignment="1">
      <alignment horizontal="center" vertical="center"/>
    </xf>
    <xf numFmtId="167" fontId="9" fillId="0" borderId="17" xfId="1" applyNumberFormat="1" applyFont="1" applyBorder="1" applyAlignment="1">
      <alignment vertical="center"/>
    </xf>
    <xf numFmtId="10" fontId="9" fillId="0" borderId="17" xfId="2" applyNumberFormat="1" applyFont="1" applyFill="1" applyBorder="1" applyAlignment="1">
      <alignment horizontal="center" vertical="center"/>
    </xf>
    <xf numFmtId="167" fontId="11" fillId="0" borderId="17" xfId="1" applyNumberFormat="1" applyFont="1" applyBorder="1" applyAlignment="1">
      <alignment vertical="center"/>
    </xf>
    <xf numFmtId="0" fontId="7" fillId="0" borderId="23" xfId="1" applyFont="1" applyBorder="1" applyAlignment="1">
      <alignment horizontal="center" vertical="center"/>
    </xf>
    <xf numFmtId="10" fontId="9" fillId="0" borderId="23" xfId="2" applyNumberFormat="1" applyFont="1" applyBorder="1" applyAlignment="1">
      <alignment horizontal="center" vertical="center"/>
    </xf>
    <xf numFmtId="167" fontId="9" fillId="0" borderId="23" xfId="1" applyNumberFormat="1" applyFont="1" applyBorder="1" applyAlignment="1">
      <alignment vertical="center"/>
    </xf>
    <xf numFmtId="167" fontId="7" fillId="0" borderId="22" xfId="1" applyNumberFormat="1" applyFont="1" applyBorder="1" applyAlignment="1">
      <alignment vertical="center"/>
    </xf>
    <xf numFmtId="167" fontId="0" fillId="0" borderId="0" xfId="0" applyNumberFormat="1" applyAlignment="1">
      <alignment vertical="center"/>
    </xf>
    <xf numFmtId="2" fontId="7" fillId="3" borderId="13" xfId="1" applyNumberFormat="1" applyFont="1" applyFill="1" applyBorder="1" applyAlignment="1">
      <alignment vertical="center"/>
    </xf>
    <xf numFmtId="10" fontId="17" fillId="3" borderId="0" xfId="2" applyNumberFormat="1" applyFont="1" applyFill="1" applyBorder="1" applyAlignment="1">
      <alignment vertical="center"/>
    </xf>
    <xf numFmtId="0" fontId="9" fillId="3" borderId="0" xfId="1" applyFont="1" applyFill="1" applyAlignment="1">
      <alignment vertical="center"/>
    </xf>
    <xf numFmtId="10" fontId="9" fillId="3" borderId="0" xfId="2" applyNumberFormat="1" applyFont="1" applyFill="1" applyBorder="1" applyAlignment="1">
      <alignment horizontal="center" vertical="center"/>
    </xf>
    <xf numFmtId="167" fontId="11" fillId="3" borderId="0" xfId="1" applyNumberFormat="1" applyFont="1" applyFill="1" applyAlignment="1">
      <alignment vertical="center"/>
    </xf>
    <xf numFmtId="10" fontId="9" fillId="3" borderId="0" xfId="1" applyNumberFormat="1" applyFont="1" applyFill="1" applyAlignment="1">
      <alignment horizontal="center" vertical="center"/>
    </xf>
    <xf numFmtId="10" fontId="7" fillId="3" borderId="0" xfId="1" applyNumberFormat="1" applyFont="1" applyFill="1" applyAlignment="1">
      <alignment horizontal="center" vertical="center"/>
    </xf>
    <xf numFmtId="44" fontId="11" fillId="3" borderId="0" xfId="1" applyNumberFormat="1" applyFont="1" applyFill="1" applyAlignment="1">
      <alignment horizontal="center" vertical="center"/>
    </xf>
    <xf numFmtId="9" fontId="9" fillId="3" borderId="0" xfId="1" applyNumberFormat="1" applyFont="1" applyFill="1" applyAlignment="1">
      <alignment horizontal="center" vertical="center"/>
    </xf>
    <xf numFmtId="168" fontId="9" fillId="3" borderId="0" xfId="1" applyNumberFormat="1" applyFont="1" applyFill="1" applyAlignment="1">
      <alignment horizontal="center" vertical="center"/>
    </xf>
    <xf numFmtId="10" fontId="10" fillId="3" borderId="0" xfId="1" applyNumberFormat="1" applyFont="1" applyFill="1" applyAlignment="1">
      <alignment horizontal="center" vertical="center"/>
    </xf>
    <xf numFmtId="10" fontId="10" fillId="3" borderId="0" xfId="1" applyNumberFormat="1" applyFont="1" applyFill="1" applyAlignment="1">
      <alignment vertical="center"/>
    </xf>
    <xf numFmtId="10" fontId="9" fillId="3" borderId="0" xfId="2" applyNumberFormat="1" applyFont="1" applyFill="1" applyBorder="1" applyAlignment="1">
      <alignment vertical="center"/>
    </xf>
    <xf numFmtId="10" fontId="11" fillId="3" borderId="0" xfId="2" applyNumberFormat="1" applyFont="1" applyFill="1" applyBorder="1" applyAlignment="1">
      <alignment vertical="center"/>
    </xf>
    <xf numFmtId="0" fontId="18" fillId="3" borderId="0" xfId="1" applyFont="1" applyFill="1" applyAlignment="1">
      <alignment horizontal="center" vertical="center"/>
    </xf>
    <xf numFmtId="167" fontId="19" fillId="3" borderId="0" xfId="1" applyNumberFormat="1" applyFont="1" applyFill="1" applyAlignment="1">
      <alignment horizontal="center" vertical="center"/>
    </xf>
    <xf numFmtId="9" fontId="9" fillId="7" borderId="28" xfId="1" applyNumberFormat="1" applyFont="1" applyFill="1" applyBorder="1" applyAlignment="1">
      <alignment horizontal="center" vertical="center"/>
    </xf>
    <xf numFmtId="167" fontId="10" fillId="7" borderId="29" xfId="5" applyNumberFormat="1" applyFont="1" applyFill="1" applyBorder="1" applyAlignment="1" applyProtection="1">
      <alignment horizontal="center" vertical="center"/>
    </xf>
    <xf numFmtId="167" fontId="20" fillId="9" borderId="35" xfId="0" applyNumberFormat="1" applyFont="1" applyFill="1" applyBorder="1" applyAlignment="1">
      <alignment horizontal="center" vertical="center"/>
    </xf>
    <xf numFmtId="167" fontId="20" fillId="9" borderId="3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3" fillId="0" borderId="17" xfId="0" applyFont="1" applyBorder="1" applyAlignment="1">
      <alignment horizontal="left" vertical="center" wrapText="1"/>
    </xf>
    <xf numFmtId="0" fontId="46" fillId="0" borderId="17" xfId="0" applyFont="1" applyBorder="1" applyAlignment="1">
      <alignment vertical="center" wrapText="1"/>
    </xf>
    <xf numFmtId="0" fontId="47" fillId="0" borderId="0" xfId="0" applyFont="1"/>
    <xf numFmtId="0" fontId="24" fillId="11" borderId="29" xfId="0" applyFont="1" applyFill="1" applyBorder="1" applyAlignment="1">
      <alignment horizontal="center" vertical="center"/>
    </xf>
    <xf numFmtId="0" fontId="24" fillId="3" borderId="29" xfId="0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/>
    </xf>
    <xf numFmtId="0" fontId="49" fillId="0" borderId="0" xfId="0" applyFont="1"/>
    <xf numFmtId="2" fontId="10" fillId="0" borderId="13" xfId="1" applyNumberFormat="1" applyFont="1" applyBorder="1" applyAlignment="1">
      <alignment horizontal="right" vertical="center"/>
    </xf>
    <xf numFmtId="0" fontId="10" fillId="0" borderId="13" xfId="1" applyFont="1" applyBorder="1" applyAlignment="1">
      <alignment horizontal="center" vertical="center"/>
    </xf>
    <xf numFmtId="0" fontId="20" fillId="3" borderId="0" xfId="1" applyFont="1" applyFill="1" applyAlignment="1">
      <alignment horizontal="center" vertical="center"/>
    </xf>
    <xf numFmtId="0" fontId="20" fillId="0" borderId="13" xfId="1" applyFont="1" applyBorder="1" applyAlignment="1">
      <alignment horizontal="center" vertical="center"/>
    </xf>
    <xf numFmtId="167" fontId="10" fillId="0" borderId="13" xfId="1" applyNumberFormat="1" applyFont="1" applyBorder="1" applyAlignment="1">
      <alignment horizontal="center" vertical="center"/>
    </xf>
    <xf numFmtId="0" fontId="50" fillId="0" borderId="0" xfId="0" applyFont="1"/>
    <xf numFmtId="2" fontId="10" fillId="3" borderId="0" xfId="1" applyNumberFormat="1" applyFont="1" applyFill="1" applyAlignment="1">
      <alignment horizontal="right" vertical="center"/>
    </xf>
    <xf numFmtId="2" fontId="10" fillId="0" borderId="23" xfId="1" applyNumberFormat="1" applyFont="1" applyBorder="1" applyAlignment="1">
      <alignment horizontal="right" vertical="center"/>
    </xf>
    <xf numFmtId="2" fontId="20" fillId="0" borderId="13" xfId="1" applyNumberFormat="1" applyFont="1" applyBorder="1" applyAlignment="1">
      <alignment vertical="center"/>
    </xf>
    <xf numFmtId="2" fontId="20" fillId="3" borderId="0" xfId="1" applyNumberFormat="1" applyFont="1" applyFill="1" applyAlignment="1">
      <alignment vertical="center"/>
    </xf>
    <xf numFmtId="0" fontId="7" fillId="0" borderId="0" xfId="1" applyFont="1"/>
    <xf numFmtId="167" fontId="8" fillId="0" borderId="0" xfId="0" applyNumberFormat="1" applyFont="1" applyAlignment="1">
      <alignment horizontal="center" vertical="center"/>
    </xf>
    <xf numFmtId="0" fontId="32" fillId="0" borderId="0" xfId="0" applyFont="1"/>
    <xf numFmtId="167" fontId="8" fillId="0" borderId="0" xfId="0" applyNumberFormat="1" applyFont="1"/>
    <xf numFmtId="0" fontId="51" fillId="0" borderId="0" xfId="0" applyFont="1"/>
    <xf numFmtId="0" fontId="50" fillId="3" borderId="0" xfId="0" applyFont="1" applyFill="1"/>
    <xf numFmtId="0" fontId="51" fillId="3" borderId="0" xfId="0" applyFont="1" applyFill="1"/>
    <xf numFmtId="0" fontId="40" fillId="0" borderId="13" xfId="1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4" fillId="0" borderId="54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23" fillId="10" borderId="55" xfId="0" applyFont="1" applyFill="1" applyBorder="1" applyAlignment="1">
      <alignment horizontal="center" vertical="center"/>
    </xf>
    <xf numFmtId="0" fontId="24" fillId="0" borderId="46" xfId="0" applyFont="1" applyBorder="1" applyAlignment="1">
      <alignment horizontal="center" vertical="center" wrapText="1"/>
    </xf>
    <xf numFmtId="1" fontId="23" fillId="0" borderId="56" xfId="0" applyNumberFormat="1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0" fillId="0" borderId="45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/>
    </xf>
    <xf numFmtId="0" fontId="10" fillId="3" borderId="0" xfId="1" applyFont="1" applyFill="1" applyAlignment="1">
      <alignment horizontal="center" vertical="center"/>
    </xf>
    <xf numFmtId="0" fontId="24" fillId="3" borderId="39" xfId="0" applyFont="1" applyFill="1" applyBorder="1" applyAlignment="1">
      <alignment horizontal="left" vertical="center" wrapText="1"/>
    </xf>
    <xf numFmtId="0" fontId="24" fillId="3" borderId="39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10" fontId="10" fillId="0" borderId="13" xfId="2" applyNumberFormat="1" applyFont="1" applyBorder="1" applyAlignment="1">
      <alignment vertical="center"/>
    </xf>
    <xf numFmtId="167" fontId="7" fillId="0" borderId="17" xfId="1" applyNumberFormat="1" applyFont="1" applyBorder="1" applyAlignment="1">
      <alignment vertical="center"/>
    </xf>
    <xf numFmtId="167" fontId="10" fillId="3" borderId="0" xfId="1" applyNumberFormat="1" applyFont="1" applyFill="1" applyAlignment="1">
      <alignment horizontal="center" vertical="center"/>
    </xf>
    <xf numFmtId="9" fontId="10" fillId="0" borderId="13" xfId="1" applyNumberFormat="1" applyFont="1" applyBorder="1" applyAlignment="1">
      <alignment horizontal="center" vertical="center"/>
    </xf>
    <xf numFmtId="167" fontId="24" fillId="3" borderId="39" xfId="0" applyNumberFormat="1" applyFont="1" applyFill="1" applyBorder="1" applyAlignment="1">
      <alignment horizontal="right" vertical="center" wrapText="1"/>
    </xf>
    <xf numFmtId="0" fontId="24" fillId="0" borderId="0" xfId="0" applyFont="1" applyAlignment="1">
      <alignment vertical="center"/>
    </xf>
    <xf numFmtId="43" fontId="21" fillId="0" borderId="0" xfId="0" applyNumberFormat="1" applyFont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10" fontId="9" fillId="10" borderId="13" xfId="1" applyNumberFormat="1" applyFont="1" applyFill="1" applyBorder="1" applyAlignment="1">
      <alignment horizontal="center" vertical="center"/>
    </xf>
    <xf numFmtId="168" fontId="9" fillId="0" borderId="13" xfId="1" applyNumberFormat="1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27" fillId="0" borderId="36" xfId="0" applyFont="1" applyBorder="1" applyAlignment="1">
      <alignment horizontal="left" vertical="center" wrapText="1"/>
    </xf>
    <xf numFmtId="0" fontId="27" fillId="0" borderId="37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9" fillId="0" borderId="15" xfId="1" applyFont="1" applyBorder="1" applyAlignment="1">
      <alignment horizontal="left" vertical="center"/>
    </xf>
    <xf numFmtId="0" fontId="9" fillId="0" borderId="16" xfId="1" applyFont="1" applyBorder="1" applyAlignment="1">
      <alignment horizontal="left" vertical="center"/>
    </xf>
    <xf numFmtId="0" fontId="9" fillId="0" borderId="14" xfId="1" applyFont="1" applyBorder="1" applyAlignment="1">
      <alignment horizontal="left" vertical="center"/>
    </xf>
    <xf numFmtId="0" fontId="6" fillId="0" borderId="15" xfId="7" applyBorder="1" applyAlignment="1">
      <alignment horizontal="center" vertical="center" wrapText="1"/>
    </xf>
    <xf numFmtId="0" fontId="6" fillId="0" borderId="14" xfId="7" applyBorder="1" applyAlignment="1">
      <alignment horizontal="center" vertical="center" wrapText="1"/>
    </xf>
    <xf numFmtId="0" fontId="54" fillId="0" borderId="18" xfId="0" applyFont="1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48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/>
    </xf>
    <xf numFmtId="0" fontId="9" fillId="0" borderId="13" xfId="1" applyFont="1" applyBorder="1" applyAlignment="1">
      <alignment horizontal="left" vertical="center"/>
    </xf>
    <xf numFmtId="14" fontId="9" fillId="0" borderId="13" xfId="1" applyNumberFormat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41" fillId="0" borderId="15" xfId="7" applyFont="1" applyBorder="1" applyAlignment="1">
      <alignment horizontal="center" vertical="center"/>
    </xf>
    <xf numFmtId="0" fontId="41" fillId="0" borderId="14" xfId="7" applyFont="1" applyBorder="1" applyAlignment="1">
      <alignment horizontal="center" vertical="center"/>
    </xf>
    <xf numFmtId="0" fontId="7" fillId="2" borderId="15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10" fillId="0" borderId="13" xfId="1" applyFont="1" applyBorder="1" applyAlignment="1">
      <alignment horizontal="left" vertical="center"/>
    </xf>
    <xf numFmtId="0" fontId="7" fillId="2" borderId="13" xfId="1" applyFont="1" applyFill="1" applyBorder="1" applyAlignment="1">
      <alignment horizontal="center" vertical="center"/>
    </xf>
    <xf numFmtId="0" fontId="7" fillId="4" borderId="13" xfId="1" applyFont="1" applyFill="1" applyBorder="1" applyAlignment="1">
      <alignment horizontal="center" vertical="center"/>
    </xf>
    <xf numFmtId="0" fontId="7" fillId="0" borderId="15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9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14" fontId="10" fillId="0" borderId="13" xfId="1" applyNumberFormat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 wrapText="1"/>
    </xf>
    <xf numFmtId="0" fontId="7" fillId="6" borderId="13" xfId="1" applyFont="1" applyFill="1" applyBorder="1" applyAlignment="1">
      <alignment horizontal="center" vertical="center"/>
    </xf>
    <xf numFmtId="0" fontId="7" fillId="5" borderId="3" xfId="1" applyFont="1" applyFill="1" applyBorder="1" applyAlignment="1">
      <alignment horizontal="center" vertical="center"/>
    </xf>
    <xf numFmtId="0" fontId="7" fillId="5" borderId="0" xfId="1" applyFont="1" applyFill="1" applyAlignment="1">
      <alignment horizontal="center" vertical="center"/>
    </xf>
    <xf numFmtId="0" fontId="7" fillId="5" borderId="13" xfId="1" applyFont="1" applyFill="1" applyBorder="1" applyAlignment="1">
      <alignment horizontal="center" vertical="center"/>
    </xf>
    <xf numFmtId="0" fontId="7" fillId="5" borderId="15" xfId="1" applyFont="1" applyFill="1" applyBorder="1" applyAlignment="1">
      <alignment horizontal="center" vertical="center"/>
    </xf>
    <xf numFmtId="0" fontId="20" fillId="0" borderId="13" xfId="1" applyFont="1" applyBorder="1" applyAlignment="1">
      <alignment horizontal="center" vertical="center"/>
    </xf>
    <xf numFmtId="0" fontId="9" fillId="0" borderId="13" xfId="1" applyFont="1" applyBorder="1" applyAlignment="1">
      <alignment vertical="center"/>
    </xf>
    <xf numFmtId="0" fontId="10" fillId="0" borderId="13" xfId="1" applyFont="1" applyBorder="1" applyAlignment="1">
      <alignment vertical="center"/>
    </xf>
    <xf numFmtId="0" fontId="10" fillId="0" borderId="15" xfId="1" applyFont="1" applyBorder="1" applyAlignment="1">
      <alignment horizontal="left" vertical="center"/>
    </xf>
    <xf numFmtId="0" fontId="10" fillId="0" borderId="16" xfId="1" applyFont="1" applyBorder="1" applyAlignment="1">
      <alignment horizontal="left" vertical="center"/>
    </xf>
    <xf numFmtId="0" fontId="10" fillId="0" borderId="14" xfId="1" applyFont="1" applyBorder="1" applyAlignment="1">
      <alignment horizontal="left" vertical="center"/>
    </xf>
    <xf numFmtId="0" fontId="10" fillId="3" borderId="15" xfId="1" applyFont="1" applyFill="1" applyBorder="1" applyAlignment="1">
      <alignment horizontal="left" vertical="center"/>
    </xf>
    <xf numFmtId="0" fontId="10" fillId="3" borderId="16" xfId="1" applyFont="1" applyFill="1" applyBorder="1" applyAlignment="1">
      <alignment horizontal="left" vertical="center"/>
    </xf>
    <xf numFmtId="0" fontId="10" fillId="3" borderId="14" xfId="1" applyFont="1" applyFill="1" applyBorder="1" applyAlignment="1">
      <alignment horizontal="left" vertical="center"/>
    </xf>
    <xf numFmtId="0" fontId="9" fillId="0" borderId="13" xfId="1" applyFont="1" applyBorder="1" applyAlignment="1">
      <alignment horizontal="left" vertical="center" wrapText="1"/>
    </xf>
    <xf numFmtId="0" fontId="7" fillId="0" borderId="1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5" borderId="4" xfId="1" applyFont="1" applyFill="1" applyBorder="1" applyAlignment="1">
      <alignment horizontal="center" vertical="center"/>
    </xf>
    <xf numFmtId="0" fontId="7" fillId="5" borderId="5" xfId="1" applyFont="1" applyFill="1" applyBorder="1" applyAlignment="1">
      <alignment horizontal="center" vertical="center"/>
    </xf>
    <xf numFmtId="0" fontId="15" fillId="0" borderId="13" xfId="1" applyFont="1" applyBorder="1" applyAlignment="1">
      <alignment horizontal="center" vertical="center"/>
    </xf>
    <xf numFmtId="0" fontId="16" fillId="5" borderId="2" xfId="1" applyFont="1" applyFill="1" applyBorder="1" applyAlignment="1">
      <alignment horizontal="left" vertical="center"/>
    </xf>
    <xf numFmtId="0" fontId="16" fillId="5" borderId="16" xfId="1" applyFont="1" applyFill="1" applyBorder="1" applyAlignment="1">
      <alignment horizontal="left" vertical="center"/>
    </xf>
    <xf numFmtId="0" fontId="7" fillId="5" borderId="6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0" fontId="18" fillId="0" borderId="13" xfId="1" applyFont="1" applyBorder="1" applyAlignment="1">
      <alignment horizontal="center" vertical="center"/>
    </xf>
    <xf numFmtId="0" fontId="17" fillId="0" borderId="1" xfId="1" applyFont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17" fillId="0" borderId="5" xfId="1" applyFont="1" applyBorder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7" fillId="0" borderId="13" xfId="1" applyFont="1" applyBorder="1" applyAlignment="1">
      <alignment horizontal="left" vertical="center"/>
    </xf>
    <xf numFmtId="0" fontId="24" fillId="0" borderId="13" xfId="1" applyFont="1" applyBorder="1" applyAlignment="1">
      <alignment horizontal="left" vertical="center"/>
    </xf>
    <xf numFmtId="14" fontId="40" fillId="0" borderId="15" xfId="1" applyNumberFormat="1" applyFont="1" applyBorder="1" applyAlignment="1">
      <alignment horizontal="center" vertical="center"/>
    </xf>
    <xf numFmtId="14" fontId="40" fillId="0" borderId="14" xfId="1" applyNumberFormat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36" fillId="0" borderId="15" xfId="1" applyFont="1" applyBorder="1" applyAlignment="1">
      <alignment horizontal="center" vertical="center" wrapText="1"/>
    </xf>
    <xf numFmtId="0" fontId="36" fillId="0" borderId="14" xfId="1" applyFont="1" applyBorder="1" applyAlignment="1">
      <alignment horizontal="center" vertical="center" wrapText="1"/>
    </xf>
    <xf numFmtId="0" fontId="6" fillId="0" borderId="15" xfId="7" applyBorder="1" applyAlignment="1">
      <alignment horizontal="center" vertical="center"/>
    </xf>
    <xf numFmtId="0" fontId="6" fillId="0" borderId="14" xfId="7" applyBorder="1" applyAlignment="1">
      <alignment horizontal="center" vertical="center"/>
    </xf>
    <xf numFmtId="0" fontId="24" fillId="0" borderId="18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0" fontId="20" fillId="5" borderId="13" xfId="1" applyFont="1" applyFill="1" applyBorder="1" applyAlignment="1">
      <alignment horizontal="center" vertical="center"/>
    </xf>
    <xf numFmtId="0" fontId="20" fillId="5" borderId="15" xfId="1" applyFont="1" applyFill="1" applyBorder="1" applyAlignment="1">
      <alignment horizontal="center" vertical="center"/>
    </xf>
    <xf numFmtId="0" fontId="9" fillId="0" borderId="23" xfId="1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/>
    </xf>
    <xf numFmtId="0" fontId="10" fillId="0" borderId="17" xfId="1" applyFont="1" applyBorder="1" applyAlignment="1">
      <alignment horizontal="left" vertical="center"/>
    </xf>
    <xf numFmtId="0" fontId="7" fillId="0" borderId="22" xfId="1" applyFont="1" applyBorder="1" applyAlignment="1">
      <alignment horizontal="center" vertical="center"/>
    </xf>
    <xf numFmtId="0" fontId="7" fillId="3" borderId="0" xfId="1" applyFont="1" applyFill="1" applyAlignment="1">
      <alignment horizontal="center" vertical="center" wrapText="1"/>
    </xf>
    <xf numFmtId="14" fontId="10" fillId="3" borderId="0" xfId="1" applyNumberFormat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6" fillId="3" borderId="0" xfId="7" applyFill="1" applyBorder="1" applyAlignment="1">
      <alignment horizontal="center" vertical="center" wrapText="1"/>
    </xf>
    <xf numFmtId="0" fontId="6" fillId="3" borderId="0" xfId="7" applyFill="1" applyBorder="1" applyAlignment="1">
      <alignment horizontal="center" vertical="center"/>
    </xf>
    <xf numFmtId="14" fontId="9" fillId="3" borderId="0" xfId="1" applyNumberFormat="1" applyFont="1" applyFill="1" applyAlignment="1">
      <alignment horizontal="center" vertical="center"/>
    </xf>
    <xf numFmtId="0" fontId="41" fillId="3" borderId="0" xfId="7" applyFont="1" applyFill="1" applyBorder="1" applyAlignment="1">
      <alignment horizontal="center" vertical="center"/>
    </xf>
    <xf numFmtId="0" fontId="20" fillId="3" borderId="0" xfId="1" applyFont="1" applyFill="1" applyAlignment="1">
      <alignment horizontal="center" vertical="center"/>
    </xf>
    <xf numFmtId="166" fontId="9" fillId="3" borderId="0" xfId="1" applyNumberFormat="1" applyFont="1" applyFill="1" applyAlignment="1">
      <alignment horizontal="center" vertical="center"/>
    </xf>
    <xf numFmtId="166" fontId="9" fillId="0" borderId="13" xfId="1" applyNumberFormat="1" applyFont="1" applyBorder="1" applyAlignment="1">
      <alignment horizontal="center" vertical="center"/>
    </xf>
    <xf numFmtId="0" fontId="30" fillId="0" borderId="0" xfId="0" applyFont="1" applyAlignment="1">
      <alignment horizontal="center" wrapText="1"/>
    </xf>
    <xf numFmtId="0" fontId="9" fillId="3" borderId="15" xfId="1" applyFont="1" applyFill="1" applyBorder="1" applyAlignment="1">
      <alignment horizontal="left" vertical="center"/>
    </xf>
    <xf numFmtId="0" fontId="9" fillId="3" borderId="16" xfId="1" applyFont="1" applyFill="1" applyBorder="1" applyAlignment="1">
      <alignment horizontal="left" vertical="center"/>
    </xf>
    <xf numFmtId="0" fontId="9" fillId="3" borderId="14" xfId="1" applyFont="1" applyFill="1" applyBorder="1" applyAlignment="1">
      <alignment horizontal="left" vertical="center"/>
    </xf>
    <xf numFmtId="0" fontId="22" fillId="8" borderId="3" xfId="0" applyFont="1" applyFill="1" applyBorder="1" applyAlignment="1">
      <alignment horizontal="center"/>
    </xf>
    <xf numFmtId="0" fontId="22" fillId="8" borderId="0" xfId="0" applyFont="1" applyFill="1" applyAlignment="1">
      <alignment horizontal="center"/>
    </xf>
    <xf numFmtId="0" fontId="23" fillId="3" borderId="18" xfId="0" applyFont="1" applyFill="1" applyBorder="1" applyAlignment="1">
      <alignment horizontal="center" vertical="center" wrapText="1"/>
    </xf>
    <xf numFmtId="0" fontId="23" fillId="3" borderId="31" xfId="0" applyFont="1" applyFill="1" applyBorder="1" applyAlignment="1">
      <alignment horizontal="center" vertical="center" wrapText="1"/>
    </xf>
    <xf numFmtId="0" fontId="23" fillId="3" borderId="33" xfId="0" applyFont="1" applyFill="1" applyBorder="1" applyAlignment="1">
      <alignment horizontal="center" vertical="center" wrapText="1"/>
    </xf>
    <xf numFmtId="0" fontId="23" fillId="3" borderId="18" xfId="0" applyFont="1" applyFill="1" applyBorder="1" applyAlignment="1">
      <alignment horizontal="center" vertical="center"/>
    </xf>
    <xf numFmtId="0" fontId="23" fillId="3" borderId="31" xfId="0" applyFont="1" applyFill="1" applyBorder="1" applyAlignment="1">
      <alignment horizontal="center" vertical="center"/>
    </xf>
    <xf numFmtId="0" fontId="23" fillId="3" borderId="33" xfId="0" applyFont="1" applyFill="1" applyBorder="1" applyAlignment="1">
      <alignment horizontal="center" vertical="center"/>
    </xf>
    <xf numFmtId="4" fontId="24" fillId="3" borderId="20" xfId="0" applyNumberFormat="1" applyFont="1" applyFill="1" applyBorder="1" applyAlignment="1">
      <alignment horizontal="center" vertical="center"/>
    </xf>
    <xf numFmtId="4" fontId="24" fillId="3" borderId="32" xfId="0" applyNumberFormat="1" applyFont="1" applyFill="1" applyBorder="1" applyAlignment="1">
      <alignment horizontal="center" vertical="center"/>
    </xf>
    <xf numFmtId="4" fontId="24" fillId="3" borderId="34" xfId="0" applyNumberFormat="1" applyFont="1" applyFill="1" applyBorder="1" applyAlignment="1">
      <alignment horizontal="center" vertical="center"/>
    </xf>
    <xf numFmtId="4" fontId="24" fillId="3" borderId="42" xfId="0" applyNumberFormat="1" applyFont="1" applyFill="1" applyBorder="1" applyAlignment="1">
      <alignment horizontal="center" vertical="center"/>
    </xf>
    <xf numFmtId="4" fontId="24" fillId="3" borderId="43" xfId="0" applyNumberFormat="1" applyFont="1" applyFill="1" applyBorder="1" applyAlignment="1">
      <alignment horizontal="center" vertical="center"/>
    </xf>
    <xf numFmtId="4" fontId="24" fillId="3" borderId="44" xfId="0" applyNumberFormat="1" applyFont="1" applyFill="1" applyBorder="1" applyAlignment="1">
      <alignment horizontal="center" vertical="center"/>
    </xf>
    <xf numFmtId="8" fontId="45" fillId="0" borderId="15" xfId="0" applyNumberFormat="1" applyFont="1" applyBorder="1" applyAlignment="1"/>
    <xf numFmtId="0" fontId="45" fillId="0" borderId="14" xfId="0" applyFont="1" applyBorder="1" applyAlignment="1"/>
  </cellXfs>
  <cellStyles count="8">
    <cellStyle name="Hyperlink" xfId="7" xr:uid="{00000000-000B-0000-0000-000008000000}"/>
    <cellStyle name="Moeda 2" xfId="6" xr:uid="{6F3DF74B-83FE-48E8-B7D2-1871FC592213}"/>
    <cellStyle name="Moeda 3" xfId="3" xr:uid="{808B5339-4C0D-46E1-8635-0F69445771DA}"/>
    <cellStyle name="Normal" xfId="0" builtinId="0"/>
    <cellStyle name="Normal 2" xfId="1" xr:uid="{1465AF81-0025-41F7-A8A9-10FB7BAC5101}"/>
    <cellStyle name="Normal 2 2" xfId="4" xr:uid="{BFAE33D4-1961-435A-A000-505E248F19CB}"/>
    <cellStyle name="Porcentagem 2" xfId="2" xr:uid="{947EA1A2-51CE-4182-9FCF-CB917206EB31}"/>
    <cellStyle name="Vírgula 2" xfId="5" xr:uid="{35C80681-BE1B-49AA-B9E8-8B152FB6DE6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54561-4B70-47DC-98D2-70B4994DDB6B}">
  <dimension ref="B1:M46"/>
  <sheetViews>
    <sheetView showGridLines="0" topLeftCell="B1" workbookViewId="0">
      <selection activeCell="L6" sqref="L6"/>
    </sheetView>
  </sheetViews>
  <sheetFormatPr defaultColWidth="9.140625" defaultRowHeight="15" customHeight="1"/>
  <cols>
    <col min="1" max="1" width="0.7109375" customWidth="1"/>
    <col min="2" max="2" width="24.28515625" customWidth="1"/>
    <col min="3" max="3" width="41.7109375" customWidth="1"/>
    <col min="4" max="4" width="8.28515625" customWidth="1"/>
    <col min="5" max="5" width="26.42578125" customWidth="1"/>
    <col min="6" max="6" width="7.140625" hidden="1" customWidth="1"/>
    <col min="7" max="7" width="8.5703125" hidden="1" customWidth="1"/>
    <col min="8" max="9" width="0" hidden="1" customWidth="1"/>
    <col min="11" max="11" width="0" hidden="1" customWidth="1"/>
    <col min="12" max="12" width="15.85546875" customWidth="1"/>
    <col min="243" max="243" width="3" customWidth="1"/>
    <col min="244" max="244" width="5.5703125" customWidth="1"/>
    <col min="245" max="245" width="10.85546875" customWidth="1"/>
    <col min="246" max="246" width="53.5703125" customWidth="1"/>
    <col min="247" max="247" width="8.5703125" customWidth="1"/>
    <col min="248" max="248" width="5" customWidth="1"/>
    <col min="249" max="249" width="11.42578125" customWidth="1"/>
    <col min="250" max="250" width="8.140625" customWidth="1"/>
    <col min="252" max="252" width="18.140625" customWidth="1"/>
    <col min="253" max="253" width="19.140625" customWidth="1"/>
    <col min="254" max="254" width="3.85546875" customWidth="1"/>
    <col min="499" max="499" width="3" customWidth="1"/>
    <col min="500" max="500" width="5.5703125" customWidth="1"/>
    <col min="501" max="501" width="10.85546875" customWidth="1"/>
    <col min="502" max="502" width="53.5703125" customWidth="1"/>
    <col min="503" max="503" width="8.5703125" customWidth="1"/>
    <col min="504" max="504" width="5" customWidth="1"/>
    <col min="505" max="505" width="11.42578125" customWidth="1"/>
    <col min="506" max="506" width="8.140625" customWidth="1"/>
    <col min="508" max="508" width="18.140625" customWidth="1"/>
    <col min="509" max="509" width="19.140625" customWidth="1"/>
    <col min="510" max="510" width="3.85546875" customWidth="1"/>
    <col min="755" max="755" width="3" customWidth="1"/>
    <col min="756" max="756" width="5.5703125" customWidth="1"/>
    <col min="757" max="757" width="10.85546875" customWidth="1"/>
    <col min="758" max="758" width="53.5703125" customWidth="1"/>
    <col min="759" max="759" width="8.5703125" customWidth="1"/>
    <col min="760" max="760" width="5" customWidth="1"/>
    <col min="761" max="761" width="11.42578125" customWidth="1"/>
    <col min="762" max="762" width="8.140625" customWidth="1"/>
    <col min="764" max="764" width="18.140625" customWidth="1"/>
    <col min="765" max="765" width="19.140625" customWidth="1"/>
    <col min="766" max="766" width="3.85546875" customWidth="1"/>
    <col min="1011" max="1011" width="3" customWidth="1"/>
    <col min="1012" max="1012" width="5.5703125" customWidth="1"/>
    <col min="1013" max="1013" width="10.85546875" customWidth="1"/>
    <col min="1014" max="1014" width="53.5703125" customWidth="1"/>
    <col min="1015" max="1015" width="8.5703125" customWidth="1"/>
    <col min="1016" max="1016" width="5" customWidth="1"/>
    <col min="1017" max="1017" width="11.42578125" customWidth="1"/>
    <col min="1018" max="1018" width="8.140625" customWidth="1"/>
    <col min="1020" max="1020" width="18.140625" customWidth="1"/>
    <col min="1021" max="1021" width="19.140625" customWidth="1"/>
    <col min="1022" max="1022" width="3.85546875" customWidth="1"/>
    <col min="1267" max="1267" width="3" customWidth="1"/>
    <col min="1268" max="1268" width="5.5703125" customWidth="1"/>
    <col min="1269" max="1269" width="10.85546875" customWidth="1"/>
    <col min="1270" max="1270" width="53.5703125" customWidth="1"/>
    <col min="1271" max="1271" width="8.5703125" customWidth="1"/>
    <col min="1272" max="1272" width="5" customWidth="1"/>
    <col min="1273" max="1273" width="11.42578125" customWidth="1"/>
    <col min="1274" max="1274" width="8.140625" customWidth="1"/>
    <col min="1276" max="1276" width="18.140625" customWidth="1"/>
    <col min="1277" max="1277" width="19.140625" customWidth="1"/>
    <col min="1278" max="1278" width="3.85546875" customWidth="1"/>
    <col min="1523" max="1523" width="3" customWidth="1"/>
    <col min="1524" max="1524" width="5.5703125" customWidth="1"/>
    <col min="1525" max="1525" width="10.85546875" customWidth="1"/>
    <col min="1526" max="1526" width="53.5703125" customWidth="1"/>
    <col min="1527" max="1527" width="8.5703125" customWidth="1"/>
    <col min="1528" max="1528" width="5" customWidth="1"/>
    <col min="1529" max="1529" width="11.42578125" customWidth="1"/>
    <col min="1530" max="1530" width="8.140625" customWidth="1"/>
    <col min="1532" max="1532" width="18.140625" customWidth="1"/>
    <col min="1533" max="1533" width="19.140625" customWidth="1"/>
    <col min="1534" max="1534" width="3.85546875" customWidth="1"/>
    <col min="1779" max="1779" width="3" customWidth="1"/>
    <col min="1780" max="1780" width="5.5703125" customWidth="1"/>
    <col min="1781" max="1781" width="10.85546875" customWidth="1"/>
    <col min="1782" max="1782" width="53.5703125" customWidth="1"/>
    <col min="1783" max="1783" width="8.5703125" customWidth="1"/>
    <col min="1784" max="1784" width="5" customWidth="1"/>
    <col min="1785" max="1785" width="11.42578125" customWidth="1"/>
    <col min="1786" max="1786" width="8.140625" customWidth="1"/>
    <col min="1788" max="1788" width="18.140625" customWidth="1"/>
    <col min="1789" max="1789" width="19.140625" customWidth="1"/>
    <col min="1790" max="1790" width="3.85546875" customWidth="1"/>
    <col min="2035" max="2035" width="3" customWidth="1"/>
    <col min="2036" max="2036" width="5.5703125" customWidth="1"/>
    <col min="2037" max="2037" width="10.85546875" customWidth="1"/>
    <col min="2038" max="2038" width="53.5703125" customWidth="1"/>
    <col min="2039" max="2039" width="8.5703125" customWidth="1"/>
    <col min="2040" max="2040" width="5" customWidth="1"/>
    <col min="2041" max="2041" width="11.42578125" customWidth="1"/>
    <col min="2042" max="2042" width="8.140625" customWidth="1"/>
    <col min="2044" max="2044" width="18.140625" customWidth="1"/>
    <col min="2045" max="2045" width="19.140625" customWidth="1"/>
    <col min="2046" max="2046" width="3.85546875" customWidth="1"/>
    <col min="2291" max="2291" width="3" customWidth="1"/>
    <col min="2292" max="2292" width="5.5703125" customWidth="1"/>
    <col min="2293" max="2293" width="10.85546875" customWidth="1"/>
    <col min="2294" max="2294" width="53.5703125" customWidth="1"/>
    <col min="2295" max="2295" width="8.5703125" customWidth="1"/>
    <col min="2296" max="2296" width="5" customWidth="1"/>
    <col min="2297" max="2297" width="11.42578125" customWidth="1"/>
    <col min="2298" max="2298" width="8.140625" customWidth="1"/>
    <col min="2300" max="2300" width="18.140625" customWidth="1"/>
    <col min="2301" max="2301" width="19.140625" customWidth="1"/>
    <col min="2302" max="2302" width="3.85546875" customWidth="1"/>
    <col min="2547" max="2547" width="3" customWidth="1"/>
    <col min="2548" max="2548" width="5.5703125" customWidth="1"/>
    <col min="2549" max="2549" width="10.85546875" customWidth="1"/>
    <col min="2550" max="2550" width="53.5703125" customWidth="1"/>
    <col min="2551" max="2551" width="8.5703125" customWidth="1"/>
    <col min="2552" max="2552" width="5" customWidth="1"/>
    <col min="2553" max="2553" width="11.42578125" customWidth="1"/>
    <col min="2554" max="2554" width="8.140625" customWidth="1"/>
    <col min="2556" max="2556" width="18.140625" customWidth="1"/>
    <col min="2557" max="2557" width="19.140625" customWidth="1"/>
    <col min="2558" max="2558" width="3.85546875" customWidth="1"/>
    <col min="2803" max="2803" width="3" customWidth="1"/>
    <col min="2804" max="2804" width="5.5703125" customWidth="1"/>
    <col min="2805" max="2805" width="10.85546875" customWidth="1"/>
    <col min="2806" max="2806" width="53.5703125" customWidth="1"/>
    <col min="2807" max="2807" width="8.5703125" customWidth="1"/>
    <col min="2808" max="2808" width="5" customWidth="1"/>
    <col min="2809" max="2809" width="11.42578125" customWidth="1"/>
    <col min="2810" max="2810" width="8.140625" customWidth="1"/>
    <col min="2812" max="2812" width="18.140625" customWidth="1"/>
    <col min="2813" max="2813" width="19.140625" customWidth="1"/>
    <col min="2814" max="2814" width="3.85546875" customWidth="1"/>
    <col min="3059" max="3059" width="3" customWidth="1"/>
    <col min="3060" max="3060" width="5.5703125" customWidth="1"/>
    <col min="3061" max="3061" width="10.85546875" customWidth="1"/>
    <col min="3062" max="3062" width="53.5703125" customWidth="1"/>
    <col min="3063" max="3063" width="8.5703125" customWidth="1"/>
    <col min="3064" max="3064" width="5" customWidth="1"/>
    <col min="3065" max="3065" width="11.42578125" customWidth="1"/>
    <col min="3066" max="3066" width="8.140625" customWidth="1"/>
    <col min="3068" max="3068" width="18.140625" customWidth="1"/>
    <col min="3069" max="3069" width="19.140625" customWidth="1"/>
    <col min="3070" max="3070" width="3.85546875" customWidth="1"/>
    <col min="3315" max="3315" width="3" customWidth="1"/>
    <col min="3316" max="3316" width="5.5703125" customWidth="1"/>
    <col min="3317" max="3317" width="10.85546875" customWidth="1"/>
    <col min="3318" max="3318" width="53.5703125" customWidth="1"/>
    <col min="3319" max="3319" width="8.5703125" customWidth="1"/>
    <col min="3320" max="3320" width="5" customWidth="1"/>
    <col min="3321" max="3321" width="11.42578125" customWidth="1"/>
    <col min="3322" max="3322" width="8.140625" customWidth="1"/>
    <col min="3324" max="3324" width="18.140625" customWidth="1"/>
    <col min="3325" max="3325" width="19.140625" customWidth="1"/>
    <col min="3326" max="3326" width="3.85546875" customWidth="1"/>
    <col min="3571" max="3571" width="3" customWidth="1"/>
    <col min="3572" max="3572" width="5.5703125" customWidth="1"/>
    <col min="3573" max="3573" width="10.85546875" customWidth="1"/>
    <col min="3574" max="3574" width="53.5703125" customWidth="1"/>
    <col min="3575" max="3575" width="8.5703125" customWidth="1"/>
    <col min="3576" max="3576" width="5" customWidth="1"/>
    <col min="3577" max="3577" width="11.42578125" customWidth="1"/>
    <col min="3578" max="3578" width="8.140625" customWidth="1"/>
    <col min="3580" max="3580" width="18.140625" customWidth="1"/>
    <col min="3581" max="3581" width="19.140625" customWidth="1"/>
    <col min="3582" max="3582" width="3.85546875" customWidth="1"/>
    <col min="3827" max="3827" width="3" customWidth="1"/>
    <col min="3828" max="3828" width="5.5703125" customWidth="1"/>
    <col min="3829" max="3829" width="10.85546875" customWidth="1"/>
    <col min="3830" max="3830" width="53.5703125" customWidth="1"/>
    <col min="3831" max="3831" width="8.5703125" customWidth="1"/>
    <col min="3832" max="3832" width="5" customWidth="1"/>
    <col min="3833" max="3833" width="11.42578125" customWidth="1"/>
    <col min="3834" max="3834" width="8.140625" customWidth="1"/>
    <col min="3836" max="3836" width="18.140625" customWidth="1"/>
    <col min="3837" max="3837" width="19.140625" customWidth="1"/>
    <col min="3838" max="3838" width="3.85546875" customWidth="1"/>
    <col min="4083" max="4083" width="3" customWidth="1"/>
    <col min="4084" max="4084" width="5.5703125" customWidth="1"/>
    <col min="4085" max="4085" width="10.85546875" customWidth="1"/>
    <col min="4086" max="4086" width="53.5703125" customWidth="1"/>
    <col min="4087" max="4087" width="8.5703125" customWidth="1"/>
    <col min="4088" max="4088" width="5" customWidth="1"/>
    <col min="4089" max="4089" width="11.42578125" customWidth="1"/>
    <col min="4090" max="4090" width="8.140625" customWidth="1"/>
    <col min="4092" max="4092" width="18.140625" customWidth="1"/>
    <col min="4093" max="4093" width="19.140625" customWidth="1"/>
    <col min="4094" max="4094" width="3.85546875" customWidth="1"/>
    <col min="4339" max="4339" width="3" customWidth="1"/>
    <col min="4340" max="4340" width="5.5703125" customWidth="1"/>
    <col min="4341" max="4341" width="10.85546875" customWidth="1"/>
    <col min="4342" max="4342" width="53.5703125" customWidth="1"/>
    <col min="4343" max="4343" width="8.5703125" customWidth="1"/>
    <col min="4344" max="4344" width="5" customWidth="1"/>
    <col min="4345" max="4345" width="11.42578125" customWidth="1"/>
    <col min="4346" max="4346" width="8.140625" customWidth="1"/>
    <col min="4348" max="4348" width="18.140625" customWidth="1"/>
    <col min="4349" max="4349" width="19.140625" customWidth="1"/>
    <col min="4350" max="4350" width="3.85546875" customWidth="1"/>
    <col min="4595" max="4595" width="3" customWidth="1"/>
    <col min="4596" max="4596" width="5.5703125" customWidth="1"/>
    <col min="4597" max="4597" width="10.85546875" customWidth="1"/>
    <col min="4598" max="4598" width="53.5703125" customWidth="1"/>
    <col min="4599" max="4599" width="8.5703125" customWidth="1"/>
    <col min="4600" max="4600" width="5" customWidth="1"/>
    <col min="4601" max="4601" width="11.42578125" customWidth="1"/>
    <col min="4602" max="4602" width="8.140625" customWidth="1"/>
    <col min="4604" max="4604" width="18.140625" customWidth="1"/>
    <col min="4605" max="4605" width="19.140625" customWidth="1"/>
    <col min="4606" max="4606" width="3.85546875" customWidth="1"/>
    <col min="4851" max="4851" width="3" customWidth="1"/>
    <col min="4852" max="4852" width="5.5703125" customWidth="1"/>
    <col min="4853" max="4853" width="10.85546875" customWidth="1"/>
    <col min="4854" max="4854" width="53.5703125" customWidth="1"/>
    <col min="4855" max="4855" width="8.5703125" customWidth="1"/>
    <col min="4856" max="4856" width="5" customWidth="1"/>
    <col min="4857" max="4857" width="11.42578125" customWidth="1"/>
    <col min="4858" max="4858" width="8.140625" customWidth="1"/>
    <col min="4860" max="4860" width="18.140625" customWidth="1"/>
    <col min="4861" max="4861" width="19.140625" customWidth="1"/>
    <col min="4862" max="4862" width="3.85546875" customWidth="1"/>
    <col min="5107" max="5107" width="3" customWidth="1"/>
    <col min="5108" max="5108" width="5.5703125" customWidth="1"/>
    <col min="5109" max="5109" width="10.85546875" customWidth="1"/>
    <col min="5110" max="5110" width="53.5703125" customWidth="1"/>
    <col min="5111" max="5111" width="8.5703125" customWidth="1"/>
    <col min="5112" max="5112" width="5" customWidth="1"/>
    <col min="5113" max="5113" width="11.42578125" customWidth="1"/>
    <col min="5114" max="5114" width="8.140625" customWidth="1"/>
    <col min="5116" max="5116" width="18.140625" customWidth="1"/>
    <col min="5117" max="5117" width="19.140625" customWidth="1"/>
    <col min="5118" max="5118" width="3.85546875" customWidth="1"/>
    <col min="5363" max="5363" width="3" customWidth="1"/>
    <col min="5364" max="5364" width="5.5703125" customWidth="1"/>
    <col min="5365" max="5365" width="10.85546875" customWidth="1"/>
    <col min="5366" max="5366" width="53.5703125" customWidth="1"/>
    <col min="5367" max="5367" width="8.5703125" customWidth="1"/>
    <col min="5368" max="5368" width="5" customWidth="1"/>
    <col min="5369" max="5369" width="11.42578125" customWidth="1"/>
    <col min="5370" max="5370" width="8.140625" customWidth="1"/>
    <col min="5372" max="5372" width="18.140625" customWidth="1"/>
    <col min="5373" max="5373" width="19.140625" customWidth="1"/>
    <col min="5374" max="5374" width="3.85546875" customWidth="1"/>
    <col min="5619" max="5619" width="3" customWidth="1"/>
    <col min="5620" max="5620" width="5.5703125" customWidth="1"/>
    <col min="5621" max="5621" width="10.85546875" customWidth="1"/>
    <col min="5622" max="5622" width="53.5703125" customWidth="1"/>
    <col min="5623" max="5623" width="8.5703125" customWidth="1"/>
    <col min="5624" max="5624" width="5" customWidth="1"/>
    <col min="5625" max="5625" width="11.42578125" customWidth="1"/>
    <col min="5626" max="5626" width="8.140625" customWidth="1"/>
    <col min="5628" max="5628" width="18.140625" customWidth="1"/>
    <col min="5629" max="5629" width="19.140625" customWidth="1"/>
    <col min="5630" max="5630" width="3.85546875" customWidth="1"/>
    <col min="5875" max="5875" width="3" customWidth="1"/>
    <col min="5876" max="5876" width="5.5703125" customWidth="1"/>
    <col min="5877" max="5877" width="10.85546875" customWidth="1"/>
    <col min="5878" max="5878" width="53.5703125" customWidth="1"/>
    <col min="5879" max="5879" width="8.5703125" customWidth="1"/>
    <col min="5880" max="5880" width="5" customWidth="1"/>
    <col min="5881" max="5881" width="11.42578125" customWidth="1"/>
    <col min="5882" max="5882" width="8.140625" customWidth="1"/>
    <col min="5884" max="5884" width="18.140625" customWidth="1"/>
    <col min="5885" max="5885" width="19.140625" customWidth="1"/>
    <col min="5886" max="5886" width="3.85546875" customWidth="1"/>
    <col min="6131" max="6131" width="3" customWidth="1"/>
    <col min="6132" max="6132" width="5.5703125" customWidth="1"/>
    <col min="6133" max="6133" width="10.85546875" customWidth="1"/>
    <col min="6134" max="6134" width="53.5703125" customWidth="1"/>
    <col min="6135" max="6135" width="8.5703125" customWidth="1"/>
    <col min="6136" max="6136" width="5" customWidth="1"/>
    <col min="6137" max="6137" width="11.42578125" customWidth="1"/>
    <col min="6138" max="6138" width="8.140625" customWidth="1"/>
    <col min="6140" max="6140" width="18.140625" customWidth="1"/>
    <col min="6141" max="6141" width="19.140625" customWidth="1"/>
    <col min="6142" max="6142" width="3.85546875" customWidth="1"/>
    <col min="6387" max="6387" width="3" customWidth="1"/>
    <col min="6388" max="6388" width="5.5703125" customWidth="1"/>
    <col min="6389" max="6389" width="10.85546875" customWidth="1"/>
    <col min="6390" max="6390" width="53.5703125" customWidth="1"/>
    <col min="6391" max="6391" width="8.5703125" customWidth="1"/>
    <col min="6392" max="6392" width="5" customWidth="1"/>
    <col min="6393" max="6393" width="11.42578125" customWidth="1"/>
    <col min="6394" max="6394" width="8.140625" customWidth="1"/>
    <col min="6396" max="6396" width="18.140625" customWidth="1"/>
    <col min="6397" max="6397" width="19.140625" customWidth="1"/>
    <col min="6398" max="6398" width="3.85546875" customWidth="1"/>
    <col min="6643" max="6643" width="3" customWidth="1"/>
    <col min="6644" max="6644" width="5.5703125" customWidth="1"/>
    <col min="6645" max="6645" width="10.85546875" customWidth="1"/>
    <col min="6646" max="6646" width="53.5703125" customWidth="1"/>
    <col min="6647" max="6647" width="8.5703125" customWidth="1"/>
    <col min="6648" max="6648" width="5" customWidth="1"/>
    <col min="6649" max="6649" width="11.42578125" customWidth="1"/>
    <col min="6650" max="6650" width="8.140625" customWidth="1"/>
    <col min="6652" max="6652" width="18.140625" customWidth="1"/>
    <col min="6653" max="6653" width="19.140625" customWidth="1"/>
    <col min="6654" max="6654" width="3.85546875" customWidth="1"/>
    <col min="6899" max="6899" width="3" customWidth="1"/>
    <col min="6900" max="6900" width="5.5703125" customWidth="1"/>
    <col min="6901" max="6901" width="10.85546875" customWidth="1"/>
    <col min="6902" max="6902" width="53.5703125" customWidth="1"/>
    <col min="6903" max="6903" width="8.5703125" customWidth="1"/>
    <col min="6904" max="6904" width="5" customWidth="1"/>
    <col min="6905" max="6905" width="11.42578125" customWidth="1"/>
    <col min="6906" max="6906" width="8.140625" customWidth="1"/>
    <col min="6908" max="6908" width="18.140625" customWidth="1"/>
    <col min="6909" max="6909" width="19.140625" customWidth="1"/>
    <col min="6910" max="6910" width="3.85546875" customWidth="1"/>
    <col min="7155" max="7155" width="3" customWidth="1"/>
    <col min="7156" max="7156" width="5.5703125" customWidth="1"/>
    <col min="7157" max="7157" width="10.85546875" customWidth="1"/>
    <col min="7158" max="7158" width="53.5703125" customWidth="1"/>
    <col min="7159" max="7159" width="8.5703125" customWidth="1"/>
    <col min="7160" max="7160" width="5" customWidth="1"/>
    <col min="7161" max="7161" width="11.42578125" customWidth="1"/>
    <col min="7162" max="7162" width="8.140625" customWidth="1"/>
    <col min="7164" max="7164" width="18.140625" customWidth="1"/>
    <col min="7165" max="7165" width="19.140625" customWidth="1"/>
    <col min="7166" max="7166" width="3.85546875" customWidth="1"/>
    <col min="7411" max="7411" width="3" customWidth="1"/>
    <col min="7412" max="7412" width="5.5703125" customWidth="1"/>
    <col min="7413" max="7413" width="10.85546875" customWidth="1"/>
    <col min="7414" max="7414" width="53.5703125" customWidth="1"/>
    <col min="7415" max="7415" width="8.5703125" customWidth="1"/>
    <col min="7416" max="7416" width="5" customWidth="1"/>
    <col min="7417" max="7417" width="11.42578125" customWidth="1"/>
    <col min="7418" max="7418" width="8.140625" customWidth="1"/>
    <col min="7420" max="7420" width="18.140625" customWidth="1"/>
    <col min="7421" max="7421" width="19.140625" customWidth="1"/>
    <col min="7422" max="7422" width="3.85546875" customWidth="1"/>
    <col min="7667" max="7667" width="3" customWidth="1"/>
    <col min="7668" max="7668" width="5.5703125" customWidth="1"/>
    <col min="7669" max="7669" width="10.85546875" customWidth="1"/>
    <col min="7670" max="7670" width="53.5703125" customWidth="1"/>
    <col min="7671" max="7671" width="8.5703125" customWidth="1"/>
    <col min="7672" max="7672" width="5" customWidth="1"/>
    <col min="7673" max="7673" width="11.42578125" customWidth="1"/>
    <col min="7674" max="7674" width="8.140625" customWidth="1"/>
    <col min="7676" max="7676" width="18.140625" customWidth="1"/>
    <col min="7677" max="7677" width="19.140625" customWidth="1"/>
    <col min="7678" max="7678" width="3.85546875" customWidth="1"/>
    <col min="7923" max="7923" width="3" customWidth="1"/>
    <col min="7924" max="7924" width="5.5703125" customWidth="1"/>
    <col min="7925" max="7925" width="10.85546875" customWidth="1"/>
    <col min="7926" max="7926" width="53.5703125" customWidth="1"/>
    <col min="7927" max="7927" width="8.5703125" customWidth="1"/>
    <col min="7928" max="7928" width="5" customWidth="1"/>
    <col min="7929" max="7929" width="11.42578125" customWidth="1"/>
    <col min="7930" max="7930" width="8.140625" customWidth="1"/>
    <col min="7932" max="7932" width="18.140625" customWidth="1"/>
    <col min="7933" max="7933" width="19.140625" customWidth="1"/>
    <col min="7934" max="7934" width="3.85546875" customWidth="1"/>
    <col min="8179" max="8179" width="3" customWidth="1"/>
    <col min="8180" max="8180" width="5.5703125" customWidth="1"/>
    <col min="8181" max="8181" width="10.85546875" customWidth="1"/>
    <col min="8182" max="8182" width="53.5703125" customWidth="1"/>
    <col min="8183" max="8183" width="8.5703125" customWidth="1"/>
    <col min="8184" max="8184" width="5" customWidth="1"/>
    <col min="8185" max="8185" width="11.42578125" customWidth="1"/>
    <col min="8186" max="8186" width="8.140625" customWidth="1"/>
    <col min="8188" max="8188" width="18.140625" customWidth="1"/>
    <col min="8189" max="8189" width="19.140625" customWidth="1"/>
    <col min="8190" max="8190" width="3.85546875" customWidth="1"/>
    <col min="8435" max="8435" width="3" customWidth="1"/>
    <col min="8436" max="8436" width="5.5703125" customWidth="1"/>
    <col min="8437" max="8437" width="10.85546875" customWidth="1"/>
    <col min="8438" max="8438" width="53.5703125" customWidth="1"/>
    <col min="8439" max="8439" width="8.5703125" customWidth="1"/>
    <col min="8440" max="8440" width="5" customWidth="1"/>
    <col min="8441" max="8441" width="11.42578125" customWidth="1"/>
    <col min="8442" max="8442" width="8.140625" customWidth="1"/>
    <col min="8444" max="8444" width="18.140625" customWidth="1"/>
    <col min="8445" max="8445" width="19.140625" customWidth="1"/>
    <col min="8446" max="8446" width="3.85546875" customWidth="1"/>
    <col min="8691" max="8691" width="3" customWidth="1"/>
    <col min="8692" max="8692" width="5.5703125" customWidth="1"/>
    <col min="8693" max="8693" width="10.85546875" customWidth="1"/>
    <col min="8694" max="8694" width="53.5703125" customWidth="1"/>
    <col min="8695" max="8695" width="8.5703125" customWidth="1"/>
    <col min="8696" max="8696" width="5" customWidth="1"/>
    <col min="8697" max="8697" width="11.42578125" customWidth="1"/>
    <col min="8698" max="8698" width="8.140625" customWidth="1"/>
    <col min="8700" max="8700" width="18.140625" customWidth="1"/>
    <col min="8701" max="8701" width="19.140625" customWidth="1"/>
    <col min="8702" max="8702" width="3.85546875" customWidth="1"/>
    <col min="8947" max="8947" width="3" customWidth="1"/>
    <col min="8948" max="8948" width="5.5703125" customWidth="1"/>
    <col min="8949" max="8949" width="10.85546875" customWidth="1"/>
    <col min="8950" max="8950" width="53.5703125" customWidth="1"/>
    <col min="8951" max="8951" width="8.5703125" customWidth="1"/>
    <col min="8952" max="8952" width="5" customWidth="1"/>
    <col min="8953" max="8953" width="11.42578125" customWidth="1"/>
    <col min="8954" max="8954" width="8.140625" customWidth="1"/>
    <col min="8956" max="8956" width="18.140625" customWidth="1"/>
    <col min="8957" max="8957" width="19.140625" customWidth="1"/>
    <col min="8958" max="8958" width="3.85546875" customWidth="1"/>
    <col min="9203" max="9203" width="3" customWidth="1"/>
    <col min="9204" max="9204" width="5.5703125" customWidth="1"/>
    <col min="9205" max="9205" width="10.85546875" customWidth="1"/>
    <col min="9206" max="9206" width="53.5703125" customWidth="1"/>
    <col min="9207" max="9207" width="8.5703125" customWidth="1"/>
    <col min="9208" max="9208" width="5" customWidth="1"/>
    <col min="9209" max="9209" width="11.42578125" customWidth="1"/>
    <col min="9210" max="9210" width="8.140625" customWidth="1"/>
    <col min="9212" max="9212" width="18.140625" customWidth="1"/>
    <col min="9213" max="9213" width="19.140625" customWidth="1"/>
    <col min="9214" max="9214" width="3.85546875" customWidth="1"/>
    <col min="9459" max="9459" width="3" customWidth="1"/>
    <col min="9460" max="9460" width="5.5703125" customWidth="1"/>
    <col min="9461" max="9461" width="10.85546875" customWidth="1"/>
    <col min="9462" max="9462" width="53.5703125" customWidth="1"/>
    <col min="9463" max="9463" width="8.5703125" customWidth="1"/>
    <col min="9464" max="9464" width="5" customWidth="1"/>
    <col min="9465" max="9465" width="11.42578125" customWidth="1"/>
    <col min="9466" max="9466" width="8.140625" customWidth="1"/>
    <col min="9468" max="9468" width="18.140625" customWidth="1"/>
    <col min="9469" max="9469" width="19.140625" customWidth="1"/>
    <col min="9470" max="9470" width="3.85546875" customWidth="1"/>
    <col min="9715" max="9715" width="3" customWidth="1"/>
    <col min="9716" max="9716" width="5.5703125" customWidth="1"/>
    <col min="9717" max="9717" width="10.85546875" customWidth="1"/>
    <col min="9718" max="9718" width="53.5703125" customWidth="1"/>
    <col min="9719" max="9719" width="8.5703125" customWidth="1"/>
    <col min="9720" max="9720" width="5" customWidth="1"/>
    <col min="9721" max="9721" width="11.42578125" customWidth="1"/>
    <col min="9722" max="9722" width="8.140625" customWidth="1"/>
    <col min="9724" max="9724" width="18.140625" customWidth="1"/>
    <col min="9725" max="9725" width="19.140625" customWidth="1"/>
    <col min="9726" max="9726" width="3.85546875" customWidth="1"/>
    <col min="9971" max="9971" width="3" customWidth="1"/>
    <col min="9972" max="9972" width="5.5703125" customWidth="1"/>
    <col min="9973" max="9973" width="10.85546875" customWidth="1"/>
    <col min="9974" max="9974" width="53.5703125" customWidth="1"/>
    <col min="9975" max="9975" width="8.5703125" customWidth="1"/>
    <col min="9976" max="9976" width="5" customWidth="1"/>
    <col min="9977" max="9977" width="11.42578125" customWidth="1"/>
    <col min="9978" max="9978" width="8.140625" customWidth="1"/>
    <col min="9980" max="9980" width="18.140625" customWidth="1"/>
    <col min="9981" max="9981" width="19.140625" customWidth="1"/>
    <col min="9982" max="9982" width="3.85546875" customWidth="1"/>
    <col min="10227" max="10227" width="3" customWidth="1"/>
    <col min="10228" max="10228" width="5.5703125" customWidth="1"/>
    <col min="10229" max="10229" width="10.85546875" customWidth="1"/>
    <col min="10230" max="10230" width="53.5703125" customWidth="1"/>
    <col min="10231" max="10231" width="8.5703125" customWidth="1"/>
    <col min="10232" max="10232" width="5" customWidth="1"/>
    <col min="10233" max="10233" width="11.42578125" customWidth="1"/>
    <col min="10234" max="10234" width="8.140625" customWidth="1"/>
    <col min="10236" max="10236" width="18.140625" customWidth="1"/>
    <col min="10237" max="10237" width="19.140625" customWidth="1"/>
    <col min="10238" max="10238" width="3.85546875" customWidth="1"/>
    <col min="10483" max="10483" width="3" customWidth="1"/>
    <col min="10484" max="10484" width="5.5703125" customWidth="1"/>
    <col min="10485" max="10485" width="10.85546875" customWidth="1"/>
    <col min="10486" max="10486" width="53.5703125" customWidth="1"/>
    <col min="10487" max="10487" width="8.5703125" customWidth="1"/>
    <col min="10488" max="10488" width="5" customWidth="1"/>
    <col min="10489" max="10489" width="11.42578125" customWidth="1"/>
    <col min="10490" max="10490" width="8.140625" customWidth="1"/>
    <col min="10492" max="10492" width="18.140625" customWidth="1"/>
    <col min="10493" max="10493" width="19.140625" customWidth="1"/>
    <col min="10494" max="10494" width="3.85546875" customWidth="1"/>
    <col min="10739" max="10739" width="3" customWidth="1"/>
    <col min="10740" max="10740" width="5.5703125" customWidth="1"/>
    <col min="10741" max="10741" width="10.85546875" customWidth="1"/>
    <col min="10742" max="10742" width="53.5703125" customWidth="1"/>
    <col min="10743" max="10743" width="8.5703125" customWidth="1"/>
    <col min="10744" max="10744" width="5" customWidth="1"/>
    <col min="10745" max="10745" width="11.42578125" customWidth="1"/>
    <col min="10746" max="10746" width="8.140625" customWidth="1"/>
    <col min="10748" max="10748" width="18.140625" customWidth="1"/>
    <col min="10749" max="10749" width="19.140625" customWidth="1"/>
    <col min="10750" max="10750" width="3.85546875" customWidth="1"/>
    <col min="10995" max="10995" width="3" customWidth="1"/>
    <col min="10996" max="10996" width="5.5703125" customWidth="1"/>
    <col min="10997" max="10997" width="10.85546875" customWidth="1"/>
    <col min="10998" max="10998" width="53.5703125" customWidth="1"/>
    <col min="10999" max="10999" width="8.5703125" customWidth="1"/>
    <col min="11000" max="11000" width="5" customWidth="1"/>
    <col min="11001" max="11001" width="11.42578125" customWidth="1"/>
    <col min="11002" max="11002" width="8.140625" customWidth="1"/>
    <col min="11004" max="11004" width="18.140625" customWidth="1"/>
    <col min="11005" max="11005" width="19.140625" customWidth="1"/>
    <col min="11006" max="11006" width="3.85546875" customWidth="1"/>
    <col min="11251" max="11251" width="3" customWidth="1"/>
    <col min="11252" max="11252" width="5.5703125" customWidth="1"/>
    <col min="11253" max="11253" width="10.85546875" customWidth="1"/>
    <col min="11254" max="11254" width="53.5703125" customWidth="1"/>
    <col min="11255" max="11255" width="8.5703125" customWidth="1"/>
    <col min="11256" max="11256" width="5" customWidth="1"/>
    <col min="11257" max="11257" width="11.42578125" customWidth="1"/>
    <col min="11258" max="11258" width="8.140625" customWidth="1"/>
    <col min="11260" max="11260" width="18.140625" customWidth="1"/>
    <col min="11261" max="11261" width="19.140625" customWidth="1"/>
    <col min="11262" max="11262" width="3.85546875" customWidth="1"/>
    <col min="11507" max="11507" width="3" customWidth="1"/>
    <col min="11508" max="11508" width="5.5703125" customWidth="1"/>
    <col min="11509" max="11509" width="10.85546875" customWidth="1"/>
    <col min="11510" max="11510" width="53.5703125" customWidth="1"/>
    <col min="11511" max="11511" width="8.5703125" customWidth="1"/>
    <col min="11512" max="11512" width="5" customWidth="1"/>
    <col min="11513" max="11513" width="11.42578125" customWidth="1"/>
    <col min="11514" max="11514" width="8.140625" customWidth="1"/>
    <col min="11516" max="11516" width="18.140625" customWidth="1"/>
    <col min="11517" max="11517" width="19.140625" customWidth="1"/>
    <col min="11518" max="11518" width="3.85546875" customWidth="1"/>
    <col min="11763" max="11763" width="3" customWidth="1"/>
    <col min="11764" max="11764" width="5.5703125" customWidth="1"/>
    <col min="11765" max="11765" width="10.85546875" customWidth="1"/>
    <col min="11766" max="11766" width="53.5703125" customWidth="1"/>
    <col min="11767" max="11767" width="8.5703125" customWidth="1"/>
    <col min="11768" max="11768" width="5" customWidth="1"/>
    <col min="11769" max="11769" width="11.42578125" customWidth="1"/>
    <col min="11770" max="11770" width="8.140625" customWidth="1"/>
    <col min="11772" max="11772" width="18.140625" customWidth="1"/>
    <col min="11773" max="11773" width="19.140625" customWidth="1"/>
    <col min="11774" max="11774" width="3.85546875" customWidth="1"/>
    <col min="12019" max="12019" width="3" customWidth="1"/>
    <col min="12020" max="12020" width="5.5703125" customWidth="1"/>
    <col min="12021" max="12021" width="10.85546875" customWidth="1"/>
    <col min="12022" max="12022" width="53.5703125" customWidth="1"/>
    <col min="12023" max="12023" width="8.5703125" customWidth="1"/>
    <col min="12024" max="12024" width="5" customWidth="1"/>
    <col min="12025" max="12025" width="11.42578125" customWidth="1"/>
    <col min="12026" max="12026" width="8.140625" customWidth="1"/>
    <col min="12028" max="12028" width="18.140625" customWidth="1"/>
    <col min="12029" max="12029" width="19.140625" customWidth="1"/>
    <col min="12030" max="12030" width="3.85546875" customWidth="1"/>
    <col min="12275" max="12275" width="3" customWidth="1"/>
    <col min="12276" max="12276" width="5.5703125" customWidth="1"/>
    <col min="12277" max="12277" width="10.85546875" customWidth="1"/>
    <col min="12278" max="12278" width="53.5703125" customWidth="1"/>
    <col min="12279" max="12279" width="8.5703125" customWidth="1"/>
    <col min="12280" max="12280" width="5" customWidth="1"/>
    <col min="12281" max="12281" width="11.42578125" customWidth="1"/>
    <col min="12282" max="12282" width="8.140625" customWidth="1"/>
    <col min="12284" max="12284" width="18.140625" customWidth="1"/>
    <col min="12285" max="12285" width="19.140625" customWidth="1"/>
    <col min="12286" max="12286" width="3.85546875" customWidth="1"/>
    <col min="12531" max="12531" width="3" customWidth="1"/>
    <col min="12532" max="12532" width="5.5703125" customWidth="1"/>
    <col min="12533" max="12533" width="10.85546875" customWidth="1"/>
    <col min="12534" max="12534" width="53.5703125" customWidth="1"/>
    <col min="12535" max="12535" width="8.5703125" customWidth="1"/>
    <col min="12536" max="12536" width="5" customWidth="1"/>
    <col min="12537" max="12537" width="11.42578125" customWidth="1"/>
    <col min="12538" max="12538" width="8.140625" customWidth="1"/>
    <col min="12540" max="12540" width="18.140625" customWidth="1"/>
    <col min="12541" max="12541" width="19.140625" customWidth="1"/>
    <col min="12542" max="12542" width="3.85546875" customWidth="1"/>
    <col min="12787" max="12787" width="3" customWidth="1"/>
    <col min="12788" max="12788" width="5.5703125" customWidth="1"/>
    <col min="12789" max="12789" width="10.85546875" customWidth="1"/>
    <col min="12790" max="12790" width="53.5703125" customWidth="1"/>
    <col min="12791" max="12791" width="8.5703125" customWidth="1"/>
    <col min="12792" max="12792" width="5" customWidth="1"/>
    <col min="12793" max="12793" width="11.42578125" customWidth="1"/>
    <col min="12794" max="12794" width="8.140625" customWidth="1"/>
    <col min="12796" max="12796" width="18.140625" customWidth="1"/>
    <col min="12797" max="12797" width="19.140625" customWidth="1"/>
    <col min="12798" max="12798" width="3.85546875" customWidth="1"/>
    <col min="13043" max="13043" width="3" customWidth="1"/>
    <col min="13044" max="13044" width="5.5703125" customWidth="1"/>
    <col min="13045" max="13045" width="10.85546875" customWidth="1"/>
    <col min="13046" max="13046" width="53.5703125" customWidth="1"/>
    <col min="13047" max="13047" width="8.5703125" customWidth="1"/>
    <col min="13048" max="13048" width="5" customWidth="1"/>
    <col min="13049" max="13049" width="11.42578125" customWidth="1"/>
    <col min="13050" max="13050" width="8.140625" customWidth="1"/>
    <col min="13052" max="13052" width="18.140625" customWidth="1"/>
    <col min="13053" max="13053" width="19.140625" customWidth="1"/>
    <col min="13054" max="13054" width="3.85546875" customWidth="1"/>
    <col min="13299" max="13299" width="3" customWidth="1"/>
    <col min="13300" max="13300" width="5.5703125" customWidth="1"/>
    <col min="13301" max="13301" width="10.85546875" customWidth="1"/>
    <col min="13302" max="13302" width="53.5703125" customWidth="1"/>
    <col min="13303" max="13303" width="8.5703125" customWidth="1"/>
    <col min="13304" max="13304" width="5" customWidth="1"/>
    <col min="13305" max="13305" width="11.42578125" customWidth="1"/>
    <col min="13306" max="13306" width="8.140625" customWidth="1"/>
    <col min="13308" max="13308" width="18.140625" customWidth="1"/>
    <col min="13309" max="13309" width="19.140625" customWidth="1"/>
    <col min="13310" max="13310" width="3.85546875" customWidth="1"/>
    <col min="13555" max="13555" width="3" customWidth="1"/>
    <col min="13556" max="13556" width="5.5703125" customWidth="1"/>
    <col min="13557" max="13557" width="10.85546875" customWidth="1"/>
    <col min="13558" max="13558" width="53.5703125" customWidth="1"/>
    <col min="13559" max="13559" width="8.5703125" customWidth="1"/>
    <col min="13560" max="13560" width="5" customWidth="1"/>
    <col min="13561" max="13561" width="11.42578125" customWidth="1"/>
    <col min="13562" max="13562" width="8.140625" customWidth="1"/>
    <col min="13564" max="13564" width="18.140625" customWidth="1"/>
    <col min="13565" max="13565" width="19.140625" customWidth="1"/>
    <col min="13566" max="13566" width="3.85546875" customWidth="1"/>
    <col min="13811" max="13811" width="3" customWidth="1"/>
    <col min="13812" max="13812" width="5.5703125" customWidth="1"/>
    <col min="13813" max="13813" width="10.85546875" customWidth="1"/>
    <col min="13814" max="13814" width="53.5703125" customWidth="1"/>
    <col min="13815" max="13815" width="8.5703125" customWidth="1"/>
    <col min="13816" max="13816" width="5" customWidth="1"/>
    <col min="13817" max="13817" width="11.42578125" customWidth="1"/>
    <col min="13818" max="13818" width="8.140625" customWidth="1"/>
    <col min="13820" max="13820" width="18.140625" customWidth="1"/>
    <col min="13821" max="13821" width="19.140625" customWidth="1"/>
    <col min="13822" max="13822" width="3.85546875" customWidth="1"/>
    <col min="14067" max="14067" width="3" customWidth="1"/>
    <col min="14068" max="14068" width="5.5703125" customWidth="1"/>
    <col min="14069" max="14069" width="10.85546875" customWidth="1"/>
    <col min="14070" max="14070" width="53.5703125" customWidth="1"/>
    <col min="14071" max="14071" width="8.5703125" customWidth="1"/>
    <col min="14072" max="14072" width="5" customWidth="1"/>
    <col min="14073" max="14073" width="11.42578125" customWidth="1"/>
    <col min="14074" max="14074" width="8.140625" customWidth="1"/>
    <col min="14076" max="14076" width="18.140625" customWidth="1"/>
    <col min="14077" max="14077" width="19.140625" customWidth="1"/>
    <col min="14078" max="14078" width="3.85546875" customWidth="1"/>
    <col min="14323" max="14323" width="3" customWidth="1"/>
    <col min="14324" max="14324" width="5.5703125" customWidth="1"/>
    <col min="14325" max="14325" width="10.85546875" customWidth="1"/>
    <col min="14326" max="14326" width="53.5703125" customWidth="1"/>
    <col min="14327" max="14327" width="8.5703125" customWidth="1"/>
    <col min="14328" max="14328" width="5" customWidth="1"/>
    <col min="14329" max="14329" width="11.42578125" customWidth="1"/>
    <col min="14330" max="14330" width="8.140625" customWidth="1"/>
    <col min="14332" max="14332" width="18.140625" customWidth="1"/>
    <col min="14333" max="14333" width="19.140625" customWidth="1"/>
    <col min="14334" max="14334" width="3.85546875" customWidth="1"/>
    <col min="14579" max="14579" width="3" customWidth="1"/>
    <col min="14580" max="14580" width="5.5703125" customWidth="1"/>
    <col min="14581" max="14581" width="10.85546875" customWidth="1"/>
    <col min="14582" max="14582" width="53.5703125" customWidth="1"/>
    <col min="14583" max="14583" width="8.5703125" customWidth="1"/>
    <col min="14584" max="14584" width="5" customWidth="1"/>
    <col min="14585" max="14585" width="11.42578125" customWidth="1"/>
    <col min="14586" max="14586" width="8.140625" customWidth="1"/>
    <col min="14588" max="14588" width="18.140625" customWidth="1"/>
    <col min="14589" max="14589" width="19.140625" customWidth="1"/>
    <col min="14590" max="14590" width="3.85546875" customWidth="1"/>
    <col min="14835" max="14835" width="3" customWidth="1"/>
    <col min="14836" max="14836" width="5.5703125" customWidth="1"/>
    <col min="14837" max="14837" width="10.85546875" customWidth="1"/>
    <col min="14838" max="14838" width="53.5703125" customWidth="1"/>
    <col min="14839" max="14839" width="8.5703125" customWidth="1"/>
    <col min="14840" max="14840" width="5" customWidth="1"/>
    <col min="14841" max="14841" width="11.42578125" customWidth="1"/>
    <col min="14842" max="14842" width="8.140625" customWidth="1"/>
    <col min="14844" max="14844" width="18.140625" customWidth="1"/>
    <col min="14845" max="14845" width="19.140625" customWidth="1"/>
    <col min="14846" max="14846" width="3.85546875" customWidth="1"/>
    <col min="15091" max="15091" width="3" customWidth="1"/>
    <col min="15092" max="15092" width="5.5703125" customWidth="1"/>
    <col min="15093" max="15093" width="10.85546875" customWidth="1"/>
    <col min="15094" max="15094" width="53.5703125" customWidth="1"/>
    <col min="15095" max="15095" width="8.5703125" customWidth="1"/>
    <col min="15096" max="15096" width="5" customWidth="1"/>
    <col min="15097" max="15097" width="11.42578125" customWidth="1"/>
    <col min="15098" max="15098" width="8.140625" customWidth="1"/>
    <col min="15100" max="15100" width="18.140625" customWidth="1"/>
    <col min="15101" max="15101" width="19.140625" customWidth="1"/>
    <col min="15102" max="15102" width="3.85546875" customWidth="1"/>
    <col min="15347" max="15347" width="3" customWidth="1"/>
    <col min="15348" max="15348" width="5.5703125" customWidth="1"/>
    <col min="15349" max="15349" width="10.85546875" customWidth="1"/>
    <col min="15350" max="15350" width="53.5703125" customWidth="1"/>
    <col min="15351" max="15351" width="8.5703125" customWidth="1"/>
    <col min="15352" max="15352" width="5" customWidth="1"/>
    <col min="15353" max="15353" width="11.42578125" customWidth="1"/>
    <col min="15354" max="15354" width="8.140625" customWidth="1"/>
    <col min="15356" max="15356" width="18.140625" customWidth="1"/>
    <col min="15357" max="15357" width="19.140625" customWidth="1"/>
    <col min="15358" max="15358" width="3.85546875" customWidth="1"/>
    <col min="15603" max="15603" width="3" customWidth="1"/>
    <col min="15604" max="15604" width="5.5703125" customWidth="1"/>
    <col min="15605" max="15605" width="10.85546875" customWidth="1"/>
    <col min="15606" max="15606" width="53.5703125" customWidth="1"/>
    <col min="15607" max="15607" width="8.5703125" customWidth="1"/>
    <col min="15608" max="15608" width="5" customWidth="1"/>
    <col min="15609" max="15609" width="11.42578125" customWidth="1"/>
    <col min="15610" max="15610" width="8.140625" customWidth="1"/>
    <col min="15612" max="15612" width="18.140625" customWidth="1"/>
    <col min="15613" max="15613" width="19.140625" customWidth="1"/>
    <col min="15614" max="15614" width="3.85546875" customWidth="1"/>
    <col min="15859" max="15859" width="3" customWidth="1"/>
    <col min="15860" max="15860" width="5.5703125" customWidth="1"/>
    <col min="15861" max="15861" width="10.85546875" customWidth="1"/>
    <col min="15862" max="15862" width="53.5703125" customWidth="1"/>
    <col min="15863" max="15863" width="8.5703125" customWidth="1"/>
    <col min="15864" max="15864" width="5" customWidth="1"/>
    <col min="15865" max="15865" width="11.42578125" customWidth="1"/>
    <col min="15866" max="15866" width="8.140625" customWidth="1"/>
    <col min="15868" max="15868" width="18.140625" customWidth="1"/>
    <col min="15869" max="15869" width="19.140625" customWidth="1"/>
    <col min="15870" max="15870" width="3.85546875" customWidth="1"/>
    <col min="16115" max="16115" width="3" customWidth="1"/>
    <col min="16116" max="16116" width="5.5703125" customWidth="1"/>
    <col min="16117" max="16117" width="10.85546875" customWidth="1"/>
    <col min="16118" max="16118" width="53.5703125" customWidth="1"/>
    <col min="16119" max="16119" width="8.5703125" customWidth="1"/>
    <col min="16120" max="16120" width="5" customWidth="1"/>
    <col min="16121" max="16121" width="11.42578125" customWidth="1"/>
    <col min="16122" max="16122" width="8.140625" customWidth="1"/>
    <col min="16124" max="16124" width="18.140625" customWidth="1"/>
    <col min="16125" max="16125" width="19.140625" customWidth="1"/>
    <col min="16126" max="16126" width="3.85546875" customWidth="1"/>
  </cols>
  <sheetData>
    <row r="1" spans="2:13" ht="8.25" customHeight="1"/>
    <row r="2" spans="2:13" ht="25.5" customHeight="1">
      <c r="B2" s="215" t="s">
        <v>0</v>
      </c>
      <c r="C2" s="216"/>
      <c r="D2" s="217"/>
      <c r="E2" s="220"/>
      <c r="F2" s="220"/>
    </row>
    <row r="3" spans="2:13" ht="43.5" customHeight="1">
      <c r="B3" s="187" t="s">
        <v>1</v>
      </c>
      <c r="C3" s="188" t="s">
        <v>2</v>
      </c>
      <c r="D3" s="189" t="s">
        <v>3</v>
      </c>
      <c r="E3" s="199" t="s">
        <v>4</v>
      </c>
      <c r="F3" s="190" t="s">
        <v>5</v>
      </c>
      <c r="G3" s="191" t="s">
        <v>6</v>
      </c>
      <c r="H3" s="191" t="s">
        <v>7</v>
      </c>
      <c r="I3" s="191" t="s">
        <v>8</v>
      </c>
      <c r="J3" s="191" t="s">
        <v>9</v>
      </c>
      <c r="K3" s="191" t="s">
        <v>10</v>
      </c>
      <c r="L3" s="197"/>
    </row>
    <row r="4" spans="2:13" s="6" customFormat="1">
      <c r="B4" s="124" t="s">
        <v>11</v>
      </c>
      <c r="C4" s="123" t="s">
        <v>12</v>
      </c>
      <c r="D4" s="125">
        <v>21</v>
      </c>
      <c r="E4" s="195">
        <f>D4+1+3</f>
        <v>25</v>
      </c>
      <c r="F4" s="192">
        <v>1</v>
      </c>
      <c r="G4" s="126">
        <v>1</v>
      </c>
      <c r="H4" s="126">
        <v>1</v>
      </c>
      <c r="I4" s="126">
        <v>1</v>
      </c>
      <c r="J4" s="126">
        <v>1</v>
      </c>
      <c r="K4" s="127">
        <v>1</v>
      </c>
      <c r="L4" s="198"/>
    </row>
    <row r="5" spans="2:13" s="6" customFormat="1">
      <c r="B5" s="124" t="s">
        <v>13</v>
      </c>
      <c r="C5" s="123" t="s">
        <v>14</v>
      </c>
      <c r="D5" s="125">
        <v>23</v>
      </c>
      <c r="E5" s="195">
        <f>D5+1+2</f>
        <v>26</v>
      </c>
      <c r="F5" s="192">
        <v>1</v>
      </c>
      <c r="G5" s="126">
        <v>1</v>
      </c>
      <c r="H5" s="126">
        <v>1</v>
      </c>
      <c r="I5" s="126">
        <v>1</v>
      </c>
      <c r="J5" s="126">
        <v>1</v>
      </c>
      <c r="K5" s="167">
        <v>1</v>
      </c>
    </row>
    <row r="6" spans="2:13" s="6" customFormat="1" ht="25.5">
      <c r="B6" s="124" t="s">
        <v>15</v>
      </c>
      <c r="C6" s="123" t="s">
        <v>16</v>
      </c>
      <c r="D6" s="125">
        <v>19</v>
      </c>
      <c r="E6" s="195">
        <f>D6+3+2</f>
        <v>24</v>
      </c>
      <c r="F6" s="192">
        <v>3</v>
      </c>
      <c r="G6" s="166">
        <v>3</v>
      </c>
      <c r="H6" s="126">
        <v>3</v>
      </c>
      <c r="I6" s="126">
        <v>3</v>
      </c>
      <c r="J6" s="126">
        <v>3</v>
      </c>
      <c r="K6" s="126">
        <v>3</v>
      </c>
      <c r="M6" s="161"/>
    </row>
    <row r="7" spans="2:13" s="6" customFormat="1" ht="25.5">
      <c r="B7" s="124" t="s">
        <v>17</v>
      </c>
      <c r="C7" s="163" t="s">
        <v>18</v>
      </c>
      <c r="D7" s="125">
        <v>21</v>
      </c>
      <c r="E7" s="195">
        <f>D7+1+3</f>
        <v>25</v>
      </c>
      <c r="F7" s="193">
        <v>1</v>
      </c>
      <c r="G7" s="127">
        <v>0</v>
      </c>
      <c r="H7" s="127">
        <v>1</v>
      </c>
      <c r="I7" s="127">
        <v>1</v>
      </c>
      <c r="J7" s="127">
        <v>0</v>
      </c>
      <c r="K7" s="127">
        <v>1</v>
      </c>
      <c r="M7"/>
    </row>
    <row r="8" spans="2:13" ht="18" customHeight="1">
      <c r="B8" s="124" t="s">
        <v>19</v>
      </c>
      <c r="C8" s="123" t="s">
        <v>20</v>
      </c>
      <c r="D8" s="125">
        <v>22</v>
      </c>
      <c r="E8" s="195">
        <f>D8+2</f>
        <v>24</v>
      </c>
      <c r="F8" s="192">
        <v>0</v>
      </c>
      <c r="G8" s="126">
        <v>0</v>
      </c>
      <c r="H8" s="126">
        <v>0</v>
      </c>
      <c r="I8" s="126">
        <v>0</v>
      </c>
      <c r="J8" s="126">
        <v>0</v>
      </c>
      <c r="K8" s="126">
        <v>0</v>
      </c>
    </row>
    <row r="9" spans="2:13" ht="21" customHeight="1">
      <c r="B9" s="124" t="s">
        <v>21</v>
      </c>
      <c r="C9" s="131" t="s">
        <v>22</v>
      </c>
      <c r="D9" s="125">
        <v>20</v>
      </c>
      <c r="E9" s="195">
        <f>D9+2</f>
        <v>22</v>
      </c>
      <c r="F9" s="192">
        <v>0</v>
      </c>
      <c r="G9" s="126">
        <v>0</v>
      </c>
      <c r="H9" s="126">
        <v>0</v>
      </c>
      <c r="I9" s="126">
        <v>0</v>
      </c>
      <c r="J9" s="126">
        <v>0</v>
      </c>
      <c r="K9" s="126">
        <v>0</v>
      </c>
      <c r="M9" s="6"/>
    </row>
    <row r="10" spans="2:13">
      <c r="B10" s="124" t="s">
        <v>23</v>
      </c>
      <c r="C10" s="123" t="s">
        <v>24</v>
      </c>
      <c r="D10" s="125">
        <v>19</v>
      </c>
      <c r="E10" s="195">
        <f>D10+2</f>
        <v>21</v>
      </c>
      <c r="F10" s="192">
        <v>0</v>
      </c>
      <c r="G10" s="126">
        <v>0</v>
      </c>
      <c r="H10" s="165">
        <v>1</v>
      </c>
      <c r="I10" s="126">
        <v>0</v>
      </c>
      <c r="J10" s="126">
        <v>0</v>
      </c>
      <c r="K10" s="126">
        <v>0</v>
      </c>
      <c r="M10" s="6"/>
    </row>
    <row r="11" spans="2:13" ht="33" customHeight="1">
      <c r="B11" s="124" t="s">
        <v>25</v>
      </c>
      <c r="C11" s="123" t="s">
        <v>26</v>
      </c>
      <c r="D11" s="125">
        <v>20</v>
      </c>
      <c r="E11" s="195">
        <f>D11+2+2</f>
        <v>24</v>
      </c>
      <c r="F11" s="192">
        <v>2</v>
      </c>
      <c r="G11" s="165">
        <v>1</v>
      </c>
      <c r="H11" s="167">
        <v>2</v>
      </c>
      <c r="I11" s="126">
        <v>2</v>
      </c>
      <c r="J11" s="165">
        <v>1</v>
      </c>
      <c r="K11" s="126">
        <v>2</v>
      </c>
      <c r="M11" s="6"/>
    </row>
    <row r="12" spans="2:13" ht="33" customHeight="1">
      <c r="B12" s="124" t="s">
        <v>27</v>
      </c>
      <c r="C12" s="123" t="s">
        <v>28</v>
      </c>
      <c r="D12" s="125">
        <v>21</v>
      </c>
      <c r="E12" s="195">
        <f>D12+1+2</f>
        <v>24</v>
      </c>
      <c r="F12" s="192">
        <v>1</v>
      </c>
      <c r="G12" s="126">
        <v>1</v>
      </c>
      <c r="H12" s="126">
        <v>1</v>
      </c>
      <c r="I12" s="126">
        <v>1</v>
      </c>
      <c r="J12" s="126">
        <v>1</v>
      </c>
      <c r="K12" s="126">
        <v>1</v>
      </c>
      <c r="M12" s="6"/>
    </row>
    <row r="13" spans="2:13" ht="33" customHeight="1">
      <c r="B13" s="124" t="s">
        <v>29</v>
      </c>
      <c r="C13" s="123" t="s">
        <v>30</v>
      </c>
      <c r="D13" s="125">
        <v>20</v>
      </c>
      <c r="E13" s="195">
        <f>D13+2+2</f>
        <v>24</v>
      </c>
      <c r="F13" s="192">
        <v>2</v>
      </c>
      <c r="G13" s="126">
        <v>1</v>
      </c>
      <c r="H13" s="126">
        <v>1</v>
      </c>
      <c r="I13" s="126">
        <v>2</v>
      </c>
      <c r="J13" s="126">
        <v>1</v>
      </c>
      <c r="K13" s="126">
        <v>1</v>
      </c>
      <c r="M13" s="6"/>
    </row>
    <row r="14" spans="2:13" ht="33" customHeight="1">
      <c r="B14" s="124" t="s">
        <v>31</v>
      </c>
      <c r="C14" s="162" t="s">
        <v>32</v>
      </c>
      <c r="D14" s="125">
        <v>23</v>
      </c>
      <c r="E14" s="195">
        <f>D14+1+2</f>
        <v>26</v>
      </c>
      <c r="F14" s="192">
        <v>0</v>
      </c>
      <c r="G14" s="126">
        <v>0</v>
      </c>
      <c r="H14" s="126">
        <v>0</v>
      </c>
      <c r="I14" s="126">
        <v>0</v>
      </c>
      <c r="J14" s="126">
        <v>0</v>
      </c>
      <c r="K14" s="126">
        <v>1</v>
      </c>
      <c r="M14" s="6"/>
    </row>
    <row r="15" spans="2:13" ht="33" customHeight="1">
      <c r="B15" s="124" t="s">
        <v>33</v>
      </c>
      <c r="C15" s="162" t="s">
        <v>34</v>
      </c>
      <c r="D15" s="125">
        <v>21</v>
      </c>
      <c r="E15" s="195">
        <f>D15+1+3</f>
        <v>25</v>
      </c>
      <c r="F15" s="192">
        <v>0</v>
      </c>
      <c r="G15" s="126">
        <v>0</v>
      </c>
      <c r="H15" s="126">
        <v>0</v>
      </c>
      <c r="I15" s="126">
        <v>1</v>
      </c>
      <c r="J15" s="126">
        <v>0</v>
      </c>
      <c r="K15" s="126">
        <v>1</v>
      </c>
    </row>
    <row r="16" spans="2:13" ht="27.75" customHeight="1">
      <c r="B16" s="218" t="s">
        <v>35</v>
      </c>
      <c r="C16" s="219"/>
      <c r="D16" s="128">
        <f>AVERAGE(D4:D15)</f>
        <v>20.833333333333332</v>
      </c>
      <c r="E16" s="196">
        <f>AVERAGE(E4:E15)</f>
        <v>24.166666666666668</v>
      </c>
      <c r="F16" s="194">
        <f>SUM(F4:F15)</f>
        <v>11</v>
      </c>
      <c r="G16" s="130">
        <f>SUM(G4:G15)</f>
        <v>8</v>
      </c>
      <c r="H16" s="130">
        <f>SUM(H4:H15)</f>
        <v>11</v>
      </c>
      <c r="I16" s="130">
        <f>SUM(I4:I15)</f>
        <v>12</v>
      </c>
      <c r="J16" s="130">
        <f>SUM(J4:J15)</f>
        <v>8</v>
      </c>
      <c r="K16" s="130">
        <f>SUM(K4:K15)</f>
        <v>12</v>
      </c>
      <c r="L16" s="161"/>
    </row>
    <row r="17" spans="2:5">
      <c r="B17" s="129" t="s">
        <v>36</v>
      </c>
    </row>
    <row r="18" spans="2:5" ht="14.25" customHeight="1"/>
    <row r="19" spans="2:5" s="6" customFormat="1" ht="16.5" customHeight="1">
      <c r="E19" s="164"/>
    </row>
    <row r="20" spans="2:5" s="6" customFormat="1" ht="15" customHeight="1">
      <c r="E20" s="164"/>
    </row>
    <row r="21" spans="2:5" s="6" customFormat="1" ht="15" customHeight="1">
      <c r="E21" s="164"/>
    </row>
    <row r="22" spans="2:5" s="6" customFormat="1" ht="15" customHeight="1">
      <c r="E22" s="164"/>
    </row>
    <row r="23" spans="2:5" s="6" customFormat="1" ht="15" customHeight="1">
      <c r="E23" s="164"/>
    </row>
    <row r="24" spans="2:5" s="6" customFormat="1" ht="15" customHeight="1">
      <c r="E24" s="164"/>
    </row>
    <row r="25" spans="2:5" ht="27" customHeight="1">
      <c r="E25" s="164"/>
    </row>
    <row r="26" spans="2:5" s="7" customFormat="1" ht="15" customHeight="1">
      <c r="E26" s="164"/>
    </row>
    <row r="27" spans="2:5" s="6" customFormat="1" ht="27" customHeight="1"/>
    <row r="28" spans="2:5" ht="27" customHeight="1"/>
    <row r="29" spans="2:5" ht="27" customHeight="1"/>
    <row r="30" spans="2:5" ht="37.5" customHeight="1"/>
    <row r="31" spans="2:5" ht="27" customHeight="1"/>
    <row r="32" spans="2:5" ht="27" customHeight="1"/>
    <row r="33" ht="37.5" customHeight="1"/>
    <row r="34" ht="37.5" customHeight="1"/>
    <row r="35" ht="27" customHeight="1"/>
    <row r="36" ht="37.5" customHeight="1"/>
    <row r="37" s="6" customFormat="1" ht="37.5" customHeight="1"/>
    <row r="38" ht="37.5" customHeight="1"/>
    <row r="39" ht="27" customHeight="1"/>
    <row r="40" ht="36" customHeight="1"/>
    <row r="41" ht="4.5" customHeight="1"/>
    <row r="42" ht="23.25" customHeight="1"/>
    <row r="43" ht="6.75" customHeight="1"/>
    <row r="44" ht="21" customHeight="1"/>
    <row r="45"/>
    <row r="46"/>
  </sheetData>
  <mergeCells count="3">
    <mergeCell ref="B2:D2"/>
    <mergeCell ref="B16:C16"/>
    <mergeCell ref="E2:F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2323B-78E5-46DE-817A-82A0AAB1A502}">
  <dimension ref="B1:M157"/>
  <sheetViews>
    <sheetView showGridLines="0" topLeftCell="A22" zoomScale="80" zoomScaleNormal="80" workbookViewId="0">
      <selection activeCell="I24" sqref="I24:J24"/>
    </sheetView>
  </sheetViews>
  <sheetFormatPr defaultRowHeight="15" customHeight="1"/>
  <cols>
    <col min="1" max="1" width="2.85546875" customWidth="1"/>
    <col min="2" max="2" width="10.42578125" customWidth="1"/>
    <col min="3" max="3" width="49.5703125" bestFit="1" customWidth="1"/>
    <col min="7" max="7" width="3.5703125" customWidth="1"/>
    <col min="8" max="8" width="4.140625" hidden="1" customWidth="1"/>
    <col min="9" max="9" width="9.5703125" customWidth="1"/>
    <col min="10" max="10" width="14" customWidth="1"/>
    <col min="11" max="11" width="5.140625" customWidth="1"/>
    <col min="12" max="12" width="2.85546875" customWidth="1"/>
    <col min="13" max="13" width="2.7109375" customWidth="1"/>
  </cols>
  <sheetData>
    <row r="1" spans="2:13">
      <c r="B1" s="250" t="s">
        <v>37</v>
      </c>
      <c r="C1" s="250"/>
      <c r="D1" s="250"/>
      <c r="E1" s="250"/>
      <c r="F1" s="250"/>
      <c r="G1" s="250"/>
      <c r="H1" s="250"/>
      <c r="I1" s="250"/>
      <c r="J1" s="250"/>
      <c r="K1" s="12"/>
      <c r="L1" s="12"/>
      <c r="M1" s="12"/>
    </row>
    <row r="2" spans="2:13">
      <c r="B2" s="251" t="s">
        <v>38</v>
      </c>
      <c r="C2" s="251"/>
      <c r="D2" s="251"/>
      <c r="E2" s="251"/>
      <c r="F2" s="251"/>
      <c r="G2" s="251"/>
      <c r="H2" s="251"/>
      <c r="I2" s="251"/>
      <c r="J2" s="251"/>
      <c r="K2" s="12"/>
      <c r="L2" s="12"/>
      <c r="M2" s="12"/>
    </row>
    <row r="3" spans="2:13">
      <c r="B3" s="251" t="s">
        <v>39</v>
      </c>
      <c r="C3" s="251"/>
      <c r="D3" s="251"/>
      <c r="E3" s="251"/>
      <c r="F3" s="251"/>
      <c r="G3" s="251"/>
      <c r="H3" s="251"/>
      <c r="I3" s="251"/>
      <c r="J3" s="251"/>
      <c r="K3" s="12"/>
      <c r="L3" s="12"/>
      <c r="M3" s="12"/>
    </row>
    <row r="4" spans="2:13">
      <c r="B4" s="252" t="s">
        <v>40</v>
      </c>
      <c r="C4" s="252"/>
      <c r="D4" s="252"/>
      <c r="E4" s="252"/>
      <c r="F4" s="252"/>
      <c r="G4" s="252"/>
      <c r="H4" s="252"/>
      <c r="I4" s="252"/>
      <c r="J4" s="252"/>
      <c r="K4" s="12"/>
      <c r="L4" s="12"/>
      <c r="M4" s="12"/>
    </row>
    <row r="5" spans="2:13">
      <c r="B5" s="253"/>
      <c r="C5" s="253"/>
      <c r="D5" s="253"/>
      <c r="E5" s="253"/>
      <c r="F5" s="253"/>
      <c r="G5" s="253"/>
      <c r="H5" s="253"/>
      <c r="I5" s="253"/>
      <c r="J5" s="253"/>
      <c r="K5" s="12"/>
      <c r="L5" s="12"/>
      <c r="M5" s="12"/>
    </row>
    <row r="6" spans="2:13">
      <c r="B6" s="254" t="s">
        <v>41</v>
      </c>
      <c r="C6" s="254"/>
      <c r="D6" s="254"/>
      <c r="E6" s="254"/>
      <c r="F6" s="254"/>
      <c r="G6" s="254"/>
      <c r="H6" s="254"/>
      <c r="I6" s="254"/>
      <c r="J6" s="254"/>
      <c r="K6" s="12"/>
      <c r="L6" s="12"/>
      <c r="M6" s="12"/>
    </row>
    <row r="7" spans="2:13">
      <c r="B7" s="235"/>
      <c r="C7" s="235"/>
      <c r="D7" s="235"/>
      <c r="E7" s="235"/>
      <c r="F7" s="235"/>
      <c r="G7" s="235"/>
      <c r="H7" s="235"/>
      <c r="I7" s="235"/>
      <c r="J7" s="235"/>
      <c r="K7" s="12"/>
      <c r="L7" s="12"/>
      <c r="M7" s="12"/>
    </row>
    <row r="8" spans="2:13">
      <c r="B8" s="241" t="s">
        <v>42</v>
      </c>
      <c r="C8" s="242"/>
      <c r="D8" s="242"/>
      <c r="E8" s="242"/>
      <c r="F8" s="242"/>
      <c r="G8" s="243"/>
      <c r="H8" s="22"/>
      <c r="I8" s="241" t="s">
        <v>43</v>
      </c>
      <c r="J8" s="243"/>
      <c r="K8" s="12"/>
      <c r="L8" s="12"/>
      <c r="M8" s="12"/>
    </row>
    <row r="9" spans="2:13">
      <c r="B9" s="23" t="s">
        <v>44</v>
      </c>
      <c r="C9" s="236" t="s">
        <v>45</v>
      </c>
      <c r="D9" s="236"/>
      <c r="E9" s="236"/>
      <c r="F9" s="236"/>
      <c r="G9" s="236"/>
      <c r="H9" s="236"/>
      <c r="I9" s="237"/>
      <c r="J9" s="238"/>
      <c r="K9" s="12"/>
      <c r="L9" s="12"/>
      <c r="M9" s="12"/>
    </row>
    <row r="10" spans="2:13">
      <c r="B10" s="23" t="s">
        <v>46</v>
      </c>
      <c r="C10" s="236" t="s">
        <v>47</v>
      </c>
      <c r="D10" s="236"/>
      <c r="E10" s="236"/>
      <c r="F10" s="236"/>
      <c r="G10" s="236"/>
      <c r="H10" s="236"/>
      <c r="I10" s="238" t="s">
        <v>48</v>
      </c>
      <c r="J10" s="238"/>
      <c r="K10" s="12"/>
      <c r="L10" s="12"/>
      <c r="M10" s="12"/>
    </row>
    <row r="11" spans="2:13">
      <c r="B11" s="23" t="s">
        <v>49</v>
      </c>
      <c r="C11" s="236" t="s">
        <v>50</v>
      </c>
      <c r="D11" s="236"/>
      <c r="E11" s="236"/>
      <c r="F11" s="236"/>
      <c r="G11" s="236"/>
      <c r="H11" s="236"/>
      <c r="I11" s="244">
        <v>1</v>
      </c>
      <c r="J11" s="244"/>
      <c r="K11" s="12"/>
      <c r="L11" s="89"/>
      <c r="M11" s="89"/>
    </row>
    <row r="12" spans="2:13">
      <c r="B12" s="23" t="s">
        <v>46</v>
      </c>
      <c r="C12" s="236" t="s">
        <v>51</v>
      </c>
      <c r="D12" s="236"/>
      <c r="E12" s="236"/>
      <c r="F12" s="236"/>
      <c r="G12" s="236"/>
      <c r="H12" s="236"/>
      <c r="I12" s="238">
        <v>12</v>
      </c>
      <c r="J12" s="238"/>
      <c r="K12" s="12"/>
      <c r="L12" s="12"/>
      <c r="M12" s="12"/>
    </row>
    <row r="13" spans="2:13">
      <c r="B13" s="23" t="s">
        <v>52</v>
      </c>
      <c r="C13" s="236" t="s">
        <v>53</v>
      </c>
      <c r="D13" s="236"/>
      <c r="E13" s="236"/>
      <c r="F13" s="236"/>
      <c r="G13" s="236"/>
      <c r="H13" s="236"/>
      <c r="I13" s="238" t="s">
        <v>54</v>
      </c>
      <c r="J13" s="238"/>
      <c r="K13" s="12"/>
      <c r="L13" s="12"/>
      <c r="M13" s="12"/>
    </row>
    <row r="14" spans="2:13">
      <c r="B14" s="23" t="s">
        <v>55</v>
      </c>
      <c r="C14" s="221" t="s">
        <v>56</v>
      </c>
      <c r="D14" s="222"/>
      <c r="E14" s="222"/>
      <c r="F14" s="222"/>
      <c r="G14" s="222"/>
      <c r="H14" s="223"/>
      <c r="I14" s="239"/>
      <c r="J14" s="240"/>
      <c r="K14" s="88"/>
      <c r="L14" s="86"/>
      <c r="M14" s="12"/>
    </row>
    <row r="15" spans="2:13" ht="19.5" customHeight="1">
      <c r="B15" s="23" t="s">
        <v>57</v>
      </c>
      <c r="C15" s="221" t="s">
        <v>58</v>
      </c>
      <c r="D15" s="222"/>
      <c r="E15" s="222"/>
      <c r="F15" s="222"/>
      <c r="G15" s="222"/>
      <c r="H15" s="223"/>
      <c r="I15" s="224"/>
      <c r="J15" s="225"/>
      <c r="K15" s="12"/>
      <c r="L15" s="12"/>
      <c r="M15" s="12"/>
    </row>
    <row r="16" spans="2:13">
      <c r="B16" s="18"/>
      <c r="C16" s="25"/>
      <c r="D16" s="25"/>
      <c r="E16" s="25"/>
      <c r="F16" s="25"/>
      <c r="G16" s="25"/>
      <c r="H16" s="25"/>
      <c r="I16" s="18"/>
      <c r="J16" s="18"/>
      <c r="K16" s="12"/>
      <c r="L16" s="12"/>
      <c r="M16" s="12"/>
    </row>
    <row r="17" spans="2:13">
      <c r="B17" s="246" t="s">
        <v>59</v>
      </c>
      <c r="C17" s="246"/>
      <c r="D17" s="246"/>
      <c r="E17" s="246"/>
      <c r="F17" s="246"/>
      <c r="G17" s="246"/>
      <c r="H17" s="246"/>
      <c r="I17" s="246"/>
      <c r="J17" s="246"/>
      <c r="K17" s="12"/>
      <c r="L17" s="26"/>
      <c r="M17" s="26"/>
    </row>
    <row r="18" spans="2:13">
      <c r="B18" s="238" t="s">
        <v>60</v>
      </c>
      <c r="C18" s="238"/>
      <c r="D18" s="238" t="s">
        <v>47</v>
      </c>
      <c r="E18" s="238"/>
      <c r="F18" s="238" t="s">
        <v>61</v>
      </c>
      <c r="G18" s="238"/>
      <c r="H18" s="238"/>
      <c r="I18" s="238"/>
      <c r="J18" s="238"/>
      <c r="K18" s="12"/>
      <c r="L18" s="12"/>
      <c r="M18" s="12"/>
    </row>
    <row r="19" spans="2:13">
      <c r="B19" s="238" t="s">
        <v>62</v>
      </c>
      <c r="C19" s="238"/>
      <c r="D19" s="238" t="s">
        <v>48</v>
      </c>
      <c r="E19" s="238"/>
      <c r="F19" s="244">
        <v>1</v>
      </c>
      <c r="G19" s="244"/>
      <c r="H19" s="244"/>
      <c r="I19" s="244"/>
      <c r="J19" s="244"/>
      <c r="K19" s="89"/>
      <c r="L19" s="89"/>
      <c r="M19" s="89"/>
    </row>
    <row r="20" spans="2:13">
      <c r="B20" s="18"/>
      <c r="C20" s="25"/>
      <c r="D20" s="25"/>
      <c r="E20" s="25"/>
      <c r="F20" s="25"/>
      <c r="G20" s="25"/>
      <c r="H20" s="25"/>
      <c r="I20" s="18"/>
      <c r="J20" s="18"/>
      <c r="K20" s="12"/>
      <c r="L20" s="12"/>
      <c r="M20" s="12"/>
    </row>
    <row r="21" spans="2:13">
      <c r="B21" s="246" t="s">
        <v>63</v>
      </c>
      <c r="C21" s="246"/>
      <c r="D21" s="246"/>
      <c r="E21" s="246"/>
      <c r="F21" s="246"/>
      <c r="G21" s="246"/>
      <c r="H21" s="246"/>
      <c r="I21" s="246"/>
      <c r="J21" s="246"/>
      <c r="K21" s="12"/>
      <c r="L21" s="26"/>
      <c r="M21" s="26"/>
    </row>
    <row r="22" spans="2:13">
      <c r="B22" s="23">
        <v>1</v>
      </c>
      <c r="C22" s="236" t="s">
        <v>64</v>
      </c>
      <c r="D22" s="236"/>
      <c r="E22" s="236"/>
      <c r="F22" s="236"/>
      <c r="G22" s="236"/>
      <c r="H22" s="236"/>
      <c r="I22" s="238" t="s">
        <v>62</v>
      </c>
      <c r="J22" s="238"/>
      <c r="K22" s="12"/>
      <c r="L22" s="12"/>
      <c r="M22" s="12"/>
    </row>
    <row r="23" spans="2:13">
      <c r="B23" s="23">
        <v>2</v>
      </c>
      <c r="C23" s="236" t="s">
        <v>65</v>
      </c>
      <c r="D23" s="236"/>
      <c r="E23" s="236"/>
      <c r="F23" s="236"/>
      <c r="G23" s="236"/>
      <c r="H23" s="236"/>
      <c r="I23" s="238" t="s">
        <v>66</v>
      </c>
      <c r="J23" s="238"/>
      <c r="K23" s="12"/>
      <c r="L23" s="12"/>
      <c r="M23" s="12"/>
    </row>
    <row r="24" spans="2:13">
      <c r="B24" s="23">
        <v>3</v>
      </c>
      <c r="C24" s="236" t="s">
        <v>67</v>
      </c>
      <c r="D24" s="236"/>
      <c r="E24" s="236"/>
      <c r="F24" s="236"/>
      <c r="G24" s="236"/>
      <c r="H24" s="236"/>
      <c r="I24" s="338">
        <f>(2792.59*6.5%)+2792.59</f>
        <v>2974.10835</v>
      </c>
      <c r="J24" s="339"/>
      <c r="K24" s="12"/>
      <c r="L24" s="12"/>
      <c r="M24" s="12"/>
    </row>
    <row r="25" spans="2:13" ht="29.25" customHeight="1">
      <c r="B25" s="23">
        <v>4</v>
      </c>
      <c r="C25" s="236" t="s">
        <v>68</v>
      </c>
      <c r="D25" s="236"/>
      <c r="E25" s="236"/>
      <c r="F25" s="236"/>
      <c r="G25" s="236"/>
      <c r="H25" s="236"/>
      <c r="I25" s="257" t="s">
        <v>69</v>
      </c>
      <c r="J25" s="257"/>
      <c r="K25" s="12"/>
      <c r="L25" s="12"/>
      <c r="M25" s="12"/>
    </row>
    <row r="26" spans="2:13">
      <c r="B26" s="23">
        <v>5</v>
      </c>
      <c r="C26" s="221" t="s">
        <v>70</v>
      </c>
      <c r="D26" s="222"/>
      <c r="E26" s="222"/>
      <c r="F26" s="222"/>
      <c r="G26" s="222"/>
      <c r="H26" s="223"/>
      <c r="I26" s="248" t="s">
        <v>71</v>
      </c>
      <c r="J26" s="249"/>
      <c r="K26" s="12"/>
      <c r="L26" s="12"/>
      <c r="M26" s="12"/>
    </row>
    <row r="27" spans="2:13">
      <c r="B27" s="23">
        <v>6</v>
      </c>
      <c r="C27" s="236" t="s">
        <v>72</v>
      </c>
      <c r="D27" s="236"/>
      <c r="E27" s="236"/>
      <c r="F27" s="236"/>
      <c r="G27" s="236"/>
      <c r="H27" s="236"/>
      <c r="I27" s="255"/>
      <c r="J27" s="256"/>
      <c r="K27" s="12"/>
      <c r="L27" s="12"/>
      <c r="M27" s="12"/>
    </row>
    <row r="28" spans="2:13">
      <c r="B28" s="253"/>
      <c r="C28" s="253"/>
      <c r="D28" s="253"/>
      <c r="E28" s="253"/>
      <c r="F28" s="253"/>
      <c r="G28" s="253"/>
      <c r="H28" s="253"/>
      <c r="I28" s="253"/>
      <c r="J28" s="253"/>
      <c r="K28" s="12"/>
      <c r="L28" s="12"/>
      <c r="M28" s="12"/>
    </row>
    <row r="29" spans="2:13">
      <c r="B29" s="247" t="s">
        <v>73</v>
      </c>
      <c r="C29" s="247"/>
      <c r="D29" s="247"/>
      <c r="E29" s="247"/>
      <c r="F29" s="247"/>
      <c r="G29" s="247"/>
      <c r="H29" s="247"/>
      <c r="I29" s="247"/>
      <c r="J29" s="247"/>
      <c r="K29" s="12"/>
      <c r="L29" s="26"/>
      <c r="M29" s="26"/>
    </row>
    <row r="30" spans="2:13">
      <c r="B30" s="28">
        <v>1</v>
      </c>
      <c r="C30" s="244" t="s">
        <v>74</v>
      </c>
      <c r="D30" s="244"/>
      <c r="E30" s="244"/>
      <c r="F30" s="244"/>
      <c r="G30" s="244"/>
      <c r="H30" s="244"/>
      <c r="I30" s="28" t="s">
        <v>75</v>
      </c>
      <c r="J30" s="28" t="s">
        <v>76</v>
      </c>
      <c r="K30" s="12"/>
      <c r="L30" s="12"/>
      <c r="M30" s="12"/>
    </row>
    <row r="31" spans="2:13">
      <c r="B31" s="28" t="s">
        <v>44</v>
      </c>
      <c r="C31" s="236" t="s">
        <v>77</v>
      </c>
      <c r="D31" s="236"/>
      <c r="E31" s="236"/>
      <c r="F31" s="236"/>
      <c r="G31" s="236"/>
      <c r="H31" s="236"/>
      <c r="I31" s="29"/>
      <c r="J31" s="30">
        <f>I24</f>
        <v>2974.10835</v>
      </c>
      <c r="K31" s="12"/>
      <c r="L31" s="12"/>
      <c r="M31" s="12"/>
    </row>
    <row r="32" spans="2:13" ht="15" customHeight="1">
      <c r="B32" s="28" t="s">
        <v>46</v>
      </c>
      <c r="C32" s="236" t="s">
        <v>78</v>
      </c>
      <c r="D32" s="236"/>
      <c r="E32" s="236"/>
      <c r="F32" s="236"/>
      <c r="G32" s="236"/>
      <c r="H32" s="236"/>
      <c r="I32" s="32"/>
      <c r="J32" s="33">
        <v>0</v>
      </c>
      <c r="K32" s="12"/>
      <c r="L32" s="12"/>
      <c r="M32" s="12"/>
    </row>
    <row r="33" spans="2:13">
      <c r="B33" s="28" t="s">
        <v>49</v>
      </c>
      <c r="C33" s="236" t="s">
        <v>79</v>
      </c>
      <c r="D33" s="236"/>
      <c r="E33" s="236"/>
      <c r="F33" s="236"/>
      <c r="G33" s="236"/>
      <c r="H33" s="236"/>
      <c r="I33" s="32"/>
      <c r="J33" s="33">
        <v>0</v>
      </c>
      <c r="K33" s="12"/>
      <c r="L33" s="12"/>
      <c r="M33" s="12"/>
    </row>
    <row r="34" spans="2:13">
      <c r="B34" s="28" t="s">
        <v>52</v>
      </c>
      <c r="C34" s="236" t="s">
        <v>80</v>
      </c>
      <c r="D34" s="236"/>
      <c r="E34" s="236"/>
      <c r="F34" s="236"/>
      <c r="G34" s="236"/>
      <c r="H34" s="236"/>
      <c r="I34" s="32"/>
      <c r="J34" s="33">
        <v>0</v>
      </c>
      <c r="K34" s="12"/>
      <c r="L34" s="12"/>
      <c r="M34" s="12"/>
    </row>
    <row r="35" spans="2:13">
      <c r="B35" s="28" t="s">
        <v>55</v>
      </c>
      <c r="C35" s="245" t="s">
        <v>81</v>
      </c>
      <c r="D35" s="245"/>
      <c r="E35" s="245"/>
      <c r="F35" s="245"/>
      <c r="G35" s="245"/>
      <c r="H35" s="245"/>
      <c r="I35" s="35"/>
      <c r="J35" s="33">
        <v>0</v>
      </c>
      <c r="K35" s="12"/>
      <c r="L35" s="12"/>
      <c r="M35" s="12"/>
    </row>
    <row r="36" spans="2:13">
      <c r="B36" s="28" t="s">
        <v>57</v>
      </c>
      <c r="C36" s="236" t="s">
        <v>82</v>
      </c>
      <c r="D36" s="236"/>
      <c r="E36" s="236"/>
      <c r="F36" s="236"/>
      <c r="G36" s="236"/>
      <c r="H36" s="236"/>
      <c r="I36" s="32"/>
      <c r="J36" s="33">
        <v>0</v>
      </c>
      <c r="K36" s="12"/>
      <c r="L36" s="12"/>
      <c r="M36" s="12"/>
    </row>
    <row r="37" spans="2:13">
      <c r="B37" s="244" t="s">
        <v>83</v>
      </c>
      <c r="C37" s="244"/>
      <c r="D37" s="244"/>
      <c r="E37" s="244"/>
      <c r="F37" s="244"/>
      <c r="G37" s="244"/>
      <c r="H37" s="244"/>
      <c r="I37" s="244"/>
      <c r="J37" s="36">
        <f>SUM(J31:J36)</f>
        <v>2974.10835</v>
      </c>
      <c r="K37" s="12"/>
      <c r="L37" s="12"/>
      <c r="M37" s="12"/>
    </row>
    <row r="38" spans="2:13">
      <c r="B38" s="11"/>
      <c r="C38" s="11"/>
      <c r="D38" s="11"/>
      <c r="E38" s="11"/>
      <c r="F38" s="11"/>
      <c r="G38" s="11"/>
      <c r="H38" s="11"/>
      <c r="I38" s="11"/>
      <c r="J38" s="38"/>
      <c r="K38" s="12"/>
      <c r="L38" s="12"/>
      <c r="M38" s="12"/>
    </row>
    <row r="39" spans="2:13">
      <c r="B39" s="247" t="s">
        <v>84</v>
      </c>
      <c r="C39" s="247"/>
      <c r="D39" s="247"/>
      <c r="E39" s="247"/>
      <c r="F39" s="247"/>
      <c r="G39" s="247"/>
      <c r="H39" s="247"/>
      <c r="I39" s="247"/>
      <c r="J39" s="247"/>
      <c r="K39" s="12"/>
      <c r="L39" s="26"/>
      <c r="M39" s="26"/>
    </row>
    <row r="40" spans="2:13">
      <c r="B40" s="258" t="s">
        <v>85</v>
      </c>
      <c r="C40" s="258"/>
      <c r="D40" s="258"/>
      <c r="E40" s="258"/>
      <c r="F40" s="258"/>
      <c r="G40" s="258"/>
      <c r="H40" s="258"/>
      <c r="I40" s="40" t="s">
        <v>75</v>
      </c>
      <c r="J40" s="40" t="s">
        <v>76</v>
      </c>
      <c r="K40" s="12"/>
      <c r="L40" s="12"/>
      <c r="M40" s="12"/>
    </row>
    <row r="41" spans="2:13">
      <c r="B41" s="28" t="s">
        <v>44</v>
      </c>
      <c r="C41" s="236" t="s">
        <v>86</v>
      </c>
      <c r="D41" s="236"/>
      <c r="E41" s="236"/>
      <c r="F41" s="236"/>
      <c r="G41" s="236"/>
      <c r="H41" s="236"/>
      <c r="I41" s="41">
        <f>1/12</f>
        <v>8.3333333333333329E-2</v>
      </c>
      <c r="J41" s="42">
        <f>TRUNC($J$37*I41,2)</f>
        <v>247.84</v>
      </c>
      <c r="K41" s="12"/>
      <c r="L41" s="12"/>
      <c r="M41" s="12"/>
    </row>
    <row r="42" spans="2:13">
      <c r="B42" s="28" t="s">
        <v>46</v>
      </c>
      <c r="C42" s="236" t="s">
        <v>87</v>
      </c>
      <c r="D42" s="236"/>
      <c r="E42" s="236"/>
      <c r="F42" s="236"/>
      <c r="G42" s="236"/>
      <c r="H42" s="236"/>
      <c r="I42" s="44">
        <v>0.121</v>
      </c>
      <c r="J42" s="42">
        <f>TRUNC($J$37*I42,2)</f>
        <v>359.86</v>
      </c>
      <c r="K42" s="12"/>
      <c r="L42" s="12"/>
      <c r="M42" s="12"/>
    </row>
    <row r="43" spans="2:13">
      <c r="B43" s="244" t="s">
        <v>88</v>
      </c>
      <c r="C43" s="244"/>
      <c r="D43" s="244"/>
      <c r="E43" s="244"/>
      <c r="F43" s="244"/>
      <c r="G43" s="244"/>
      <c r="H43" s="244"/>
      <c r="I43" s="45">
        <f>SUM(I41:I42)</f>
        <v>0.20433333333333331</v>
      </c>
      <c r="J43" s="46">
        <f>SUM(J41:J42)</f>
        <v>607.70000000000005</v>
      </c>
      <c r="K43" s="12"/>
      <c r="L43" s="12"/>
      <c r="M43" s="12"/>
    </row>
    <row r="44" spans="2:13">
      <c r="B44" s="259"/>
      <c r="C44" s="260"/>
      <c r="D44" s="260"/>
      <c r="E44" s="260"/>
      <c r="F44" s="260"/>
      <c r="G44" s="260"/>
      <c r="H44" s="260"/>
      <c r="I44" s="260"/>
      <c r="J44" s="260"/>
      <c r="K44" s="12"/>
      <c r="L44" s="12"/>
      <c r="M44" s="12"/>
    </row>
    <row r="45" spans="2:13">
      <c r="B45" s="258" t="s">
        <v>89</v>
      </c>
      <c r="C45" s="258"/>
      <c r="D45" s="258"/>
      <c r="E45" s="258"/>
      <c r="F45" s="258"/>
      <c r="G45" s="258"/>
      <c r="H45" s="258"/>
      <c r="I45" s="40" t="s">
        <v>75</v>
      </c>
      <c r="J45" s="40" t="s">
        <v>76</v>
      </c>
      <c r="K45" s="12"/>
      <c r="L45" s="12"/>
      <c r="M45" s="12"/>
    </row>
    <row r="46" spans="2:13">
      <c r="B46" s="28" t="s">
        <v>44</v>
      </c>
      <c r="C46" s="236" t="s">
        <v>90</v>
      </c>
      <c r="D46" s="236"/>
      <c r="E46" s="236"/>
      <c r="F46" s="236"/>
      <c r="G46" s="236"/>
      <c r="H46" s="236"/>
      <c r="I46" s="41">
        <v>0.2</v>
      </c>
      <c r="J46" s="42">
        <f>TRUNC(($J$37+$J$43)*$I$46,2)</f>
        <v>716.36</v>
      </c>
      <c r="K46" s="12"/>
      <c r="L46" s="12"/>
      <c r="M46" s="12"/>
    </row>
    <row r="47" spans="2:13">
      <c r="B47" s="28" t="s">
        <v>46</v>
      </c>
      <c r="C47" s="236" t="s">
        <v>91</v>
      </c>
      <c r="D47" s="236"/>
      <c r="E47" s="236"/>
      <c r="F47" s="236"/>
      <c r="G47" s="236"/>
      <c r="H47" s="236"/>
      <c r="I47" s="41">
        <v>2.5000000000000001E-2</v>
      </c>
      <c r="J47" s="42">
        <f>TRUNC(($J$37+$J$43)*$I$47,2)</f>
        <v>89.54</v>
      </c>
      <c r="K47" s="12"/>
      <c r="L47" s="12"/>
      <c r="M47" s="12"/>
    </row>
    <row r="48" spans="2:13">
      <c r="B48" s="28" t="s">
        <v>49</v>
      </c>
      <c r="C48" s="236" t="s">
        <v>92</v>
      </c>
      <c r="D48" s="236"/>
      <c r="E48" s="236"/>
      <c r="F48" s="236"/>
      <c r="G48" s="236"/>
      <c r="H48" s="236"/>
      <c r="I48" s="213"/>
      <c r="J48" s="42">
        <f>TRUNC(($J$37+$J$43)*$I$48,2)</f>
        <v>0</v>
      </c>
      <c r="K48" s="12"/>
      <c r="L48" s="12"/>
      <c r="M48" s="12"/>
    </row>
    <row r="49" spans="2:13">
      <c r="B49" s="28" t="s">
        <v>52</v>
      </c>
      <c r="C49" s="236" t="s">
        <v>93</v>
      </c>
      <c r="D49" s="236"/>
      <c r="E49" s="236"/>
      <c r="F49" s="236"/>
      <c r="G49" s="236"/>
      <c r="H49" s="236"/>
      <c r="I49" s="41">
        <v>1.4999999999999999E-2</v>
      </c>
      <c r="J49" s="42">
        <f>TRUNC(($J$37+$J$43)*$I$49,2)</f>
        <v>53.72</v>
      </c>
      <c r="K49" s="12"/>
      <c r="L49" s="12"/>
      <c r="M49" s="12"/>
    </row>
    <row r="50" spans="2:13">
      <c r="B50" s="28" t="s">
        <v>55</v>
      </c>
      <c r="C50" s="236" t="s">
        <v>94</v>
      </c>
      <c r="D50" s="236"/>
      <c r="E50" s="236"/>
      <c r="F50" s="236"/>
      <c r="G50" s="236"/>
      <c r="H50" s="236"/>
      <c r="I50" s="41">
        <v>0.01</v>
      </c>
      <c r="J50" s="42">
        <f>TRUNC(($J$37+$J$43)*$I$50,2)</f>
        <v>35.81</v>
      </c>
      <c r="K50" s="12"/>
      <c r="L50" s="12"/>
      <c r="M50" s="12"/>
    </row>
    <row r="51" spans="2:13">
      <c r="B51" s="28" t="s">
        <v>57</v>
      </c>
      <c r="C51" s="236" t="s">
        <v>95</v>
      </c>
      <c r="D51" s="236"/>
      <c r="E51" s="236"/>
      <c r="F51" s="236"/>
      <c r="G51" s="236"/>
      <c r="H51" s="236"/>
      <c r="I51" s="41">
        <v>6.0000000000000001E-3</v>
      </c>
      <c r="J51" s="42">
        <f>TRUNC(($J$37+$J$43)*$I$51,2)</f>
        <v>21.49</v>
      </c>
      <c r="K51" s="12"/>
      <c r="L51" s="12"/>
      <c r="M51" s="12"/>
    </row>
    <row r="52" spans="2:13">
      <c r="B52" s="28" t="s">
        <v>96</v>
      </c>
      <c r="C52" s="236" t="s">
        <v>97</v>
      </c>
      <c r="D52" s="236"/>
      <c r="E52" s="236"/>
      <c r="F52" s="236"/>
      <c r="G52" s="236"/>
      <c r="H52" s="236"/>
      <c r="I52" s="41">
        <v>2E-3</v>
      </c>
      <c r="J52" s="42">
        <f>TRUNC(($J$37+$J$43)*$I$52,2)</f>
        <v>7.16</v>
      </c>
      <c r="K52" s="12"/>
      <c r="L52" s="12"/>
      <c r="M52" s="12"/>
    </row>
    <row r="53" spans="2:13">
      <c r="B53" s="28" t="s">
        <v>98</v>
      </c>
      <c r="C53" s="236" t="s">
        <v>99</v>
      </c>
      <c r="D53" s="236"/>
      <c r="E53" s="236"/>
      <c r="F53" s="236"/>
      <c r="G53" s="236"/>
      <c r="H53" s="236"/>
      <c r="I53" s="41">
        <v>0.08</v>
      </c>
      <c r="J53" s="42">
        <f>TRUNC(($J$37+$J$43)*$I$53,2)</f>
        <v>286.54000000000002</v>
      </c>
      <c r="K53" s="12"/>
      <c r="L53" s="12"/>
      <c r="M53" s="12"/>
    </row>
    <row r="54" spans="2:13">
      <c r="B54" s="244" t="s">
        <v>100</v>
      </c>
      <c r="C54" s="244"/>
      <c r="D54" s="244"/>
      <c r="E54" s="244"/>
      <c r="F54" s="244"/>
      <c r="G54" s="244"/>
      <c r="H54" s="244"/>
      <c r="I54" s="45">
        <f>SUM(I46:I53)</f>
        <v>0.33800000000000002</v>
      </c>
      <c r="J54" s="46">
        <f>SUM(J46:J53)</f>
        <v>1210.6200000000001</v>
      </c>
      <c r="K54" s="12"/>
      <c r="L54" s="12"/>
      <c r="M54" s="12"/>
    </row>
    <row r="55" spans="2:13">
      <c r="B55" s="261"/>
      <c r="C55" s="261"/>
      <c r="D55" s="261"/>
      <c r="E55" s="261"/>
      <c r="F55" s="261"/>
      <c r="G55" s="261"/>
      <c r="H55" s="261"/>
      <c r="I55" s="261"/>
      <c r="J55" s="262"/>
      <c r="K55" s="12"/>
      <c r="L55" s="12"/>
      <c r="M55" s="12"/>
    </row>
    <row r="56" spans="2:13">
      <c r="B56" s="258" t="s">
        <v>101</v>
      </c>
      <c r="C56" s="258"/>
      <c r="D56" s="258"/>
      <c r="E56" s="258"/>
      <c r="F56" s="258"/>
      <c r="G56" s="258"/>
      <c r="H56" s="258"/>
      <c r="I56" s="48"/>
      <c r="J56" s="40" t="s">
        <v>76</v>
      </c>
      <c r="K56" s="12"/>
      <c r="L56" s="12"/>
      <c r="M56" s="12"/>
    </row>
    <row r="57" spans="2:13">
      <c r="B57" s="28" t="s">
        <v>44</v>
      </c>
      <c r="C57" s="264" t="s">
        <v>102</v>
      </c>
      <c r="D57" s="264"/>
      <c r="E57" s="264"/>
      <c r="F57" s="264"/>
      <c r="G57" s="264"/>
      <c r="H57" s="264"/>
      <c r="I57" s="23" t="s">
        <v>22</v>
      </c>
      <c r="J57" s="49">
        <v>0</v>
      </c>
      <c r="K57" s="12"/>
      <c r="L57" s="12"/>
      <c r="M57" s="12"/>
    </row>
    <row r="58" spans="2:13">
      <c r="B58" s="172" t="s">
        <v>46</v>
      </c>
      <c r="C58" s="265" t="s">
        <v>103</v>
      </c>
      <c r="D58" s="265"/>
      <c r="E58" s="265"/>
      <c r="F58" s="265"/>
      <c r="G58" s="265"/>
      <c r="H58" s="265"/>
      <c r="I58" s="173">
        <v>0</v>
      </c>
      <c r="J58" s="169">
        <f>TRUNC((22*I58)*80%)</f>
        <v>0</v>
      </c>
      <c r="K58" s="174"/>
      <c r="L58" s="174"/>
      <c r="M58" s="174"/>
    </row>
    <row r="59" spans="2:13">
      <c r="B59" s="172" t="s">
        <v>49</v>
      </c>
      <c r="C59" s="266" t="s">
        <v>104</v>
      </c>
      <c r="D59" s="267"/>
      <c r="E59" s="267"/>
      <c r="F59" s="267"/>
      <c r="G59" s="267"/>
      <c r="H59" s="268"/>
      <c r="I59" s="170" t="s">
        <v>22</v>
      </c>
      <c r="J59" s="169">
        <v>0</v>
      </c>
      <c r="K59" s="174"/>
      <c r="L59" s="174"/>
      <c r="M59" s="174"/>
    </row>
    <row r="60" spans="2:13">
      <c r="B60" s="172" t="s">
        <v>52</v>
      </c>
      <c r="C60" s="265" t="s">
        <v>105</v>
      </c>
      <c r="D60" s="265"/>
      <c r="E60" s="265"/>
      <c r="F60" s="265"/>
      <c r="G60" s="265"/>
      <c r="H60" s="265"/>
      <c r="I60" s="170" t="s">
        <v>22</v>
      </c>
      <c r="J60" s="169">
        <v>0</v>
      </c>
      <c r="K60" s="174"/>
      <c r="L60" s="174"/>
      <c r="M60" s="174"/>
    </row>
    <row r="61" spans="2:13">
      <c r="B61" s="172" t="s">
        <v>55</v>
      </c>
      <c r="C61" s="269" t="s">
        <v>106</v>
      </c>
      <c r="D61" s="270"/>
      <c r="E61" s="270"/>
      <c r="F61" s="270"/>
      <c r="G61" s="270"/>
      <c r="H61" s="271"/>
      <c r="I61" s="170" t="s">
        <v>22</v>
      </c>
      <c r="J61" s="169">
        <v>0</v>
      </c>
      <c r="K61" s="174"/>
      <c r="L61" s="174"/>
      <c r="M61" s="174"/>
    </row>
    <row r="62" spans="2:13">
      <c r="B62" s="172" t="s">
        <v>57</v>
      </c>
      <c r="C62" s="265" t="s">
        <v>107</v>
      </c>
      <c r="D62" s="265"/>
      <c r="E62" s="265"/>
      <c r="F62" s="265"/>
      <c r="G62" s="265"/>
      <c r="H62" s="265"/>
      <c r="I62" s="170" t="s">
        <v>22</v>
      </c>
      <c r="J62" s="169">
        <v>0</v>
      </c>
      <c r="K62" s="174"/>
      <c r="L62" s="174"/>
      <c r="M62" s="174"/>
    </row>
    <row r="63" spans="2:13">
      <c r="B63" s="263" t="s">
        <v>108</v>
      </c>
      <c r="C63" s="263"/>
      <c r="D63" s="263"/>
      <c r="E63" s="263"/>
      <c r="F63" s="263"/>
      <c r="G63" s="263"/>
      <c r="H63" s="263"/>
      <c r="I63" s="263"/>
      <c r="J63" s="177">
        <f>SUM(J57:J62)</f>
        <v>0</v>
      </c>
      <c r="K63" s="174"/>
      <c r="L63" s="174"/>
      <c r="M63" s="174"/>
    </row>
    <row r="64" spans="2:13">
      <c r="B64" s="261"/>
      <c r="C64" s="261"/>
      <c r="D64" s="261"/>
      <c r="E64" s="261"/>
      <c r="F64" s="261"/>
      <c r="G64" s="261"/>
      <c r="H64" s="261"/>
      <c r="I64" s="261"/>
      <c r="J64" s="262"/>
      <c r="K64" s="12"/>
      <c r="L64" s="26"/>
      <c r="M64" s="26"/>
    </row>
    <row r="65" spans="2:13">
      <c r="B65" s="246" t="s">
        <v>109</v>
      </c>
      <c r="C65" s="246"/>
      <c r="D65" s="246"/>
      <c r="E65" s="246"/>
      <c r="F65" s="246"/>
      <c r="G65" s="246"/>
      <c r="H65" s="246"/>
      <c r="I65" s="246"/>
      <c r="J65" s="246"/>
      <c r="K65" s="12"/>
      <c r="L65" s="26"/>
      <c r="M65" s="26"/>
    </row>
    <row r="66" spans="2:13">
      <c r="B66" s="244" t="s">
        <v>110</v>
      </c>
      <c r="C66" s="244"/>
      <c r="D66" s="244"/>
      <c r="E66" s="244"/>
      <c r="F66" s="244"/>
      <c r="G66" s="244"/>
      <c r="H66" s="244"/>
      <c r="I66" s="244"/>
      <c r="J66" s="28" t="s">
        <v>76</v>
      </c>
      <c r="K66" s="12"/>
      <c r="L66" s="12"/>
      <c r="M66" s="12"/>
    </row>
    <row r="67" spans="2:13">
      <c r="B67" s="28" t="s">
        <v>111</v>
      </c>
      <c r="C67" s="236" t="s">
        <v>112</v>
      </c>
      <c r="D67" s="236"/>
      <c r="E67" s="236"/>
      <c r="F67" s="236"/>
      <c r="G67" s="236"/>
      <c r="H67" s="236"/>
      <c r="I67" s="236"/>
      <c r="J67" s="42">
        <f>J43</f>
        <v>607.70000000000005</v>
      </c>
      <c r="K67" s="12"/>
      <c r="L67" s="12"/>
      <c r="M67" s="12"/>
    </row>
    <row r="68" spans="2:13">
      <c r="B68" s="28" t="s">
        <v>113</v>
      </c>
      <c r="C68" s="236" t="s">
        <v>114</v>
      </c>
      <c r="D68" s="236"/>
      <c r="E68" s="236"/>
      <c r="F68" s="236"/>
      <c r="G68" s="236"/>
      <c r="H68" s="236"/>
      <c r="I68" s="236"/>
      <c r="J68" s="42">
        <f>J54</f>
        <v>1210.6200000000001</v>
      </c>
      <c r="K68" s="12"/>
      <c r="L68" s="12"/>
      <c r="M68" s="12"/>
    </row>
    <row r="69" spans="2:13">
      <c r="B69" s="28" t="s">
        <v>115</v>
      </c>
      <c r="C69" s="236" t="s">
        <v>116</v>
      </c>
      <c r="D69" s="236"/>
      <c r="E69" s="236"/>
      <c r="F69" s="236"/>
      <c r="G69" s="236"/>
      <c r="H69" s="236"/>
      <c r="I69" s="236"/>
      <c r="J69" s="42">
        <f>J63</f>
        <v>0</v>
      </c>
      <c r="K69" s="12"/>
      <c r="L69" s="12"/>
      <c r="M69" s="12"/>
    </row>
    <row r="70" spans="2:13">
      <c r="B70" s="244" t="s">
        <v>117</v>
      </c>
      <c r="C70" s="244"/>
      <c r="D70" s="244"/>
      <c r="E70" s="244"/>
      <c r="F70" s="244"/>
      <c r="G70" s="244"/>
      <c r="H70" s="244"/>
      <c r="I70" s="244"/>
      <c r="J70" s="46">
        <f>SUM(J67:J69)</f>
        <v>1818.3200000000002</v>
      </c>
      <c r="K70" s="12"/>
      <c r="L70" s="12"/>
      <c r="M70" s="12"/>
    </row>
    <row r="71" spans="2:13">
      <c r="B71" s="275"/>
      <c r="C71" s="276"/>
      <c r="D71" s="276"/>
      <c r="E71" s="276"/>
      <c r="F71" s="276"/>
      <c r="G71" s="276"/>
      <c r="H71" s="276"/>
      <c r="I71" s="276"/>
      <c r="J71" s="276"/>
      <c r="K71" s="12"/>
      <c r="L71" s="12"/>
      <c r="M71" s="12"/>
    </row>
    <row r="72" spans="2:13">
      <c r="B72" s="247" t="s">
        <v>118</v>
      </c>
      <c r="C72" s="247"/>
      <c r="D72" s="247"/>
      <c r="E72" s="247"/>
      <c r="F72" s="247"/>
      <c r="G72" s="247"/>
      <c r="H72" s="247"/>
      <c r="I72" s="247"/>
      <c r="J72" s="247"/>
      <c r="K72" s="12"/>
      <c r="L72" s="26"/>
      <c r="M72" s="26"/>
    </row>
    <row r="73" spans="2:13">
      <c r="B73" s="28">
        <v>3</v>
      </c>
      <c r="C73" s="244" t="s">
        <v>119</v>
      </c>
      <c r="D73" s="244"/>
      <c r="E73" s="244"/>
      <c r="F73" s="244"/>
      <c r="G73" s="244"/>
      <c r="H73" s="244"/>
      <c r="I73" s="28" t="s">
        <v>75</v>
      </c>
      <c r="J73" s="28" t="s">
        <v>76</v>
      </c>
      <c r="K73" s="12"/>
      <c r="L73" s="12"/>
      <c r="M73" s="12"/>
    </row>
    <row r="74" spans="2:13">
      <c r="B74" s="28" t="s">
        <v>44</v>
      </c>
      <c r="C74" s="236" t="s">
        <v>120</v>
      </c>
      <c r="D74" s="236"/>
      <c r="E74" s="236"/>
      <c r="F74" s="236"/>
      <c r="G74" s="236"/>
      <c r="H74" s="236"/>
      <c r="I74" s="41">
        <f>(1/12)*0.05</f>
        <v>4.1666666666666666E-3</v>
      </c>
      <c r="J74" s="42">
        <f>TRUNC(I74*$J$37,2)</f>
        <v>12.39</v>
      </c>
      <c r="K74" s="12"/>
      <c r="L74" s="12"/>
      <c r="M74" s="12"/>
    </row>
    <row r="75" spans="2:13">
      <c r="B75" s="28" t="s">
        <v>46</v>
      </c>
      <c r="C75" s="236" t="s">
        <v>121</v>
      </c>
      <c r="D75" s="236"/>
      <c r="E75" s="236"/>
      <c r="F75" s="236"/>
      <c r="G75" s="236"/>
      <c r="H75" s="236"/>
      <c r="I75" s="41">
        <f>I53*I74</f>
        <v>3.3333333333333332E-4</v>
      </c>
      <c r="J75" s="42">
        <f>TRUNC(I75*$J$37,2)</f>
        <v>0.99</v>
      </c>
      <c r="K75" s="12"/>
      <c r="L75" s="12"/>
      <c r="M75" s="12"/>
    </row>
    <row r="76" spans="2:13">
      <c r="B76" s="28" t="s">
        <v>49</v>
      </c>
      <c r="C76" s="272" t="s">
        <v>122</v>
      </c>
      <c r="D76" s="272"/>
      <c r="E76" s="272"/>
      <c r="F76" s="272"/>
      <c r="G76" s="272"/>
      <c r="H76" s="272"/>
      <c r="I76" s="41">
        <f>((1+(2/12)+(1/3*1/12))*0.08*0.4*0.9)</f>
        <v>3.4400000000000007E-2</v>
      </c>
      <c r="J76" s="42">
        <f>TRUNC(I76*$J$37,2)</f>
        <v>102.3</v>
      </c>
      <c r="K76" s="12"/>
      <c r="L76" s="12"/>
      <c r="M76" s="12"/>
    </row>
    <row r="77" spans="2:13">
      <c r="B77" s="28" t="s">
        <v>52</v>
      </c>
      <c r="C77" s="236" t="s">
        <v>123</v>
      </c>
      <c r="D77" s="236"/>
      <c r="E77" s="236"/>
      <c r="F77" s="236"/>
      <c r="G77" s="236"/>
      <c r="H77" s="236"/>
      <c r="I77" s="41">
        <f>((7/30)/12)</f>
        <v>1.9444444444444445E-2</v>
      </c>
      <c r="J77" s="42">
        <f t="shared" ref="J77:J78" si="0">TRUNC(I77*$J$37,2)</f>
        <v>57.82</v>
      </c>
      <c r="K77" s="12"/>
      <c r="L77" s="12"/>
      <c r="M77" s="12"/>
    </row>
    <row r="78" spans="2:13">
      <c r="B78" s="28" t="s">
        <v>55</v>
      </c>
      <c r="C78" s="236" t="s">
        <v>124</v>
      </c>
      <c r="D78" s="236"/>
      <c r="E78" s="236"/>
      <c r="F78" s="236"/>
      <c r="G78" s="236"/>
      <c r="H78" s="236"/>
      <c r="I78" s="44">
        <f>I54*I77</f>
        <v>6.5722222222222224E-3</v>
      </c>
      <c r="J78" s="42">
        <f t="shared" si="0"/>
        <v>19.54</v>
      </c>
      <c r="K78" s="12"/>
      <c r="L78" s="12"/>
      <c r="M78" s="12"/>
    </row>
    <row r="79" spans="2:13">
      <c r="B79" s="28" t="s">
        <v>57</v>
      </c>
      <c r="C79" s="272" t="s">
        <v>125</v>
      </c>
      <c r="D79" s="272"/>
      <c r="E79" s="272"/>
      <c r="F79" s="272"/>
      <c r="G79" s="272"/>
      <c r="H79" s="272"/>
      <c r="I79" s="41">
        <f>I77*0.08*0.4</f>
        <v>6.2222222222222236E-4</v>
      </c>
      <c r="J79" s="42">
        <f>TRUNC(I79*$J$37,2)</f>
        <v>1.85</v>
      </c>
      <c r="K79" s="12"/>
      <c r="L79" s="12"/>
      <c r="M79" s="12"/>
    </row>
    <row r="80" spans="2:13">
      <c r="B80" s="244" t="s">
        <v>126</v>
      </c>
      <c r="C80" s="244"/>
      <c r="D80" s="244"/>
      <c r="E80" s="244"/>
      <c r="F80" s="244"/>
      <c r="G80" s="244"/>
      <c r="H80" s="244"/>
      <c r="I80" s="45">
        <f>SUM(I74:I79)</f>
        <v>6.5538888888888897E-2</v>
      </c>
      <c r="J80" s="46">
        <f>SUM(J74:J79)</f>
        <v>194.89</v>
      </c>
      <c r="K80" s="12"/>
      <c r="L80" s="12"/>
      <c r="M80" s="12"/>
    </row>
    <row r="81" spans="2:13">
      <c r="B81" s="273"/>
      <c r="C81" s="274"/>
      <c r="D81" s="274"/>
      <c r="E81" s="274"/>
      <c r="F81" s="274"/>
      <c r="G81" s="274"/>
      <c r="H81" s="274"/>
      <c r="I81" s="274"/>
      <c r="J81" s="274"/>
      <c r="K81" s="12"/>
      <c r="L81" s="12"/>
      <c r="M81" s="12"/>
    </row>
    <row r="82" spans="2:13">
      <c r="B82" s="247" t="s">
        <v>127</v>
      </c>
      <c r="C82" s="247"/>
      <c r="D82" s="247"/>
      <c r="E82" s="247"/>
      <c r="F82" s="247"/>
      <c r="G82" s="247"/>
      <c r="H82" s="247"/>
      <c r="I82" s="247"/>
      <c r="J82" s="247"/>
      <c r="K82" s="12"/>
      <c r="L82" s="26"/>
      <c r="M82" s="26"/>
    </row>
    <row r="83" spans="2:13">
      <c r="B83" s="244" t="s">
        <v>128</v>
      </c>
      <c r="C83" s="244"/>
      <c r="D83" s="244"/>
      <c r="E83" s="244"/>
      <c r="F83" s="244"/>
      <c r="G83" s="244"/>
      <c r="H83" s="244"/>
      <c r="I83" s="28" t="s">
        <v>75</v>
      </c>
      <c r="J83" s="28" t="s">
        <v>76</v>
      </c>
      <c r="K83" s="52"/>
      <c r="L83" s="12"/>
      <c r="M83" s="12"/>
    </row>
    <row r="84" spans="2:13">
      <c r="B84" s="28" t="s">
        <v>44</v>
      </c>
      <c r="C84" s="236" t="s">
        <v>129</v>
      </c>
      <c r="D84" s="236"/>
      <c r="E84" s="236"/>
      <c r="F84" s="236"/>
      <c r="G84" s="236"/>
      <c r="H84" s="236"/>
      <c r="I84" s="119">
        <f>1/12</f>
        <v>8.3333333333333329E-2</v>
      </c>
      <c r="J84" s="42">
        <f>TRUNC(($J$37)*I84,2)</f>
        <v>247.84</v>
      </c>
      <c r="K84" s="90"/>
      <c r="L84" s="12"/>
      <c r="M84" s="12"/>
    </row>
    <row r="85" spans="2:13">
      <c r="B85" s="28" t="s">
        <v>46</v>
      </c>
      <c r="C85" s="236" t="s">
        <v>130</v>
      </c>
      <c r="D85" s="236"/>
      <c r="E85" s="236"/>
      <c r="F85" s="236"/>
      <c r="G85" s="236"/>
      <c r="H85" s="236"/>
      <c r="I85" s="41">
        <f>(5/30/12)</f>
        <v>1.3888888888888888E-2</v>
      </c>
      <c r="J85" s="42">
        <f t="shared" ref="J85" si="1">TRUNC(($J$37)*I85,2)</f>
        <v>41.3</v>
      </c>
      <c r="K85" s="91"/>
      <c r="L85" s="12"/>
      <c r="M85" s="12"/>
    </row>
    <row r="86" spans="2:13">
      <c r="B86" s="28" t="s">
        <v>49</v>
      </c>
      <c r="C86" s="236" t="s">
        <v>131</v>
      </c>
      <c r="D86" s="236"/>
      <c r="E86" s="236"/>
      <c r="F86" s="236"/>
      <c r="G86" s="236"/>
      <c r="H86" s="236"/>
      <c r="I86" s="41">
        <f>((1/30)/12)</f>
        <v>2.7777777777777779E-3</v>
      </c>
      <c r="J86" s="42">
        <f t="shared" ref="J86:J90" si="2">TRUNC(($J$37)*I86,2)</f>
        <v>8.26</v>
      </c>
      <c r="K86" s="91"/>
      <c r="L86" s="12"/>
      <c r="M86" s="12"/>
    </row>
    <row r="87" spans="2:13">
      <c r="B87" s="28" t="s">
        <v>52</v>
      </c>
      <c r="C87" s="236" t="s">
        <v>132</v>
      </c>
      <c r="D87" s="236"/>
      <c r="E87" s="236"/>
      <c r="F87" s="236"/>
      <c r="G87" s="236"/>
      <c r="H87" s="236"/>
      <c r="I87" s="119">
        <f>((5/30)/12)*1.5%</f>
        <v>2.0833333333333332E-4</v>
      </c>
      <c r="J87" s="42">
        <f t="shared" si="2"/>
        <v>0.61</v>
      </c>
      <c r="K87" s="90"/>
      <c r="L87" s="12"/>
      <c r="M87" s="12"/>
    </row>
    <row r="88" spans="2:13">
      <c r="B88" s="28" t="s">
        <v>55</v>
      </c>
      <c r="C88" s="236" t="s">
        <v>133</v>
      </c>
      <c r="D88" s="236"/>
      <c r="E88" s="236"/>
      <c r="F88" s="236"/>
      <c r="G88" s="236"/>
      <c r="H88" s="236"/>
      <c r="I88" s="119">
        <f>((15/30)/12)*0.0178</f>
        <v>7.4166666666666662E-4</v>
      </c>
      <c r="J88" s="42">
        <f t="shared" si="2"/>
        <v>2.2000000000000002</v>
      </c>
      <c r="K88" s="90"/>
      <c r="L88" s="12"/>
      <c r="M88" s="12"/>
    </row>
    <row r="89" spans="2:13">
      <c r="B89" s="28" t="s">
        <v>57</v>
      </c>
      <c r="C89" s="236" t="s">
        <v>134</v>
      </c>
      <c r="D89" s="236"/>
      <c r="E89" s="236"/>
      <c r="F89" s="236"/>
      <c r="G89" s="236"/>
      <c r="H89" s="236"/>
      <c r="I89" s="119">
        <f>(((1/12)+(1/3*1/12))*(0.24*0.22)*((6/12)))</f>
        <v>2.9333333333333334E-3</v>
      </c>
      <c r="J89" s="42">
        <f>TRUNC(($J$37)*I89,2)</f>
        <v>8.7200000000000006</v>
      </c>
      <c r="K89" s="90"/>
      <c r="L89" s="12"/>
      <c r="M89" s="12"/>
    </row>
    <row r="90" spans="2:13">
      <c r="B90" s="28" t="s">
        <v>96</v>
      </c>
      <c r="C90" s="236" t="s">
        <v>135</v>
      </c>
      <c r="D90" s="236"/>
      <c r="E90" s="236"/>
      <c r="F90" s="236"/>
      <c r="G90" s="236"/>
      <c r="H90" s="236"/>
      <c r="I90" s="41">
        <v>0</v>
      </c>
      <c r="J90" s="42">
        <f t="shared" si="2"/>
        <v>0</v>
      </c>
      <c r="K90" s="12"/>
      <c r="L90" s="12"/>
      <c r="M90" s="12"/>
    </row>
    <row r="91" spans="2:13">
      <c r="B91" s="277" t="s">
        <v>136</v>
      </c>
      <c r="C91" s="277"/>
      <c r="D91" s="277"/>
      <c r="E91" s="277"/>
      <c r="F91" s="277"/>
      <c r="G91" s="277"/>
      <c r="H91" s="277"/>
      <c r="I91" s="45">
        <f>SUM(I84:I90)</f>
        <v>0.10388333333333333</v>
      </c>
      <c r="J91" s="46">
        <f>SUM(J84:J90)</f>
        <v>308.93</v>
      </c>
      <c r="K91" s="12"/>
      <c r="L91" s="12"/>
      <c r="M91" s="12"/>
    </row>
    <row r="92" spans="2:13">
      <c r="B92" s="28" t="s">
        <v>98</v>
      </c>
      <c r="C92" s="236" t="s">
        <v>137</v>
      </c>
      <c r="D92" s="236"/>
      <c r="E92" s="236"/>
      <c r="F92" s="236"/>
      <c r="G92" s="236"/>
      <c r="H92" s="236"/>
      <c r="I92" s="41">
        <f>(I91-I89)*I43</f>
        <v>2.0627449999999999E-2</v>
      </c>
      <c r="J92" s="42">
        <f t="shared" ref="J92" si="3">TRUNC(($J$37)*I92,2)</f>
        <v>61.34</v>
      </c>
      <c r="K92" s="12"/>
      <c r="L92" s="12"/>
      <c r="M92" s="12"/>
    </row>
    <row r="93" spans="2:13">
      <c r="B93" s="277" t="s">
        <v>138</v>
      </c>
      <c r="C93" s="277"/>
      <c r="D93" s="277"/>
      <c r="E93" s="277"/>
      <c r="F93" s="277"/>
      <c r="G93" s="277"/>
      <c r="H93" s="277"/>
      <c r="I93" s="45">
        <f>SUM(I91:I92)</f>
        <v>0.12451078333333332</v>
      </c>
      <c r="J93" s="46">
        <f>SUM(J91:J92)</f>
        <v>370.27</v>
      </c>
      <c r="K93" s="12"/>
      <c r="L93" s="12"/>
      <c r="M93" s="12"/>
    </row>
    <row r="94" spans="2:13">
      <c r="B94" s="28" t="s">
        <v>139</v>
      </c>
      <c r="C94" s="236" t="s">
        <v>140</v>
      </c>
      <c r="D94" s="236"/>
      <c r="E94" s="236"/>
      <c r="F94" s="236"/>
      <c r="G94" s="236"/>
      <c r="H94" s="236"/>
      <c r="I94" s="41">
        <f>I91*I54</f>
        <v>3.5112566666666664E-2</v>
      </c>
      <c r="J94" s="42">
        <f t="shared" ref="J94" si="4">TRUNC(($J$37)*I94,2)</f>
        <v>104.42</v>
      </c>
      <c r="K94" s="12"/>
      <c r="L94" s="12"/>
      <c r="M94" s="12"/>
    </row>
    <row r="95" spans="2:13">
      <c r="B95" s="244" t="s">
        <v>141</v>
      </c>
      <c r="C95" s="244"/>
      <c r="D95" s="244"/>
      <c r="E95" s="244"/>
      <c r="F95" s="244"/>
      <c r="G95" s="244"/>
      <c r="H95" s="244"/>
      <c r="I95" s="45">
        <f>SUM(I93:I94)</f>
        <v>0.15962335</v>
      </c>
      <c r="J95" s="46">
        <f>J94+J93</f>
        <v>474.69</v>
      </c>
      <c r="K95" s="12"/>
      <c r="L95" s="12"/>
      <c r="M95" s="12"/>
    </row>
    <row r="96" spans="2:13">
      <c r="B96" s="278"/>
      <c r="C96" s="279"/>
      <c r="D96" s="279"/>
      <c r="E96" s="279"/>
      <c r="F96" s="279"/>
      <c r="G96" s="279"/>
      <c r="H96" s="279"/>
      <c r="I96" s="279"/>
      <c r="J96" s="279"/>
      <c r="K96" s="12"/>
      <c r="L96" s="12"/>
      <c r="M96" s="12"/>
    </row>
    <row r="97" spans="2:13">
      <c r="B97" s="244" t="s">
        <v>142</v>
      </c>
      <c r="C97" s="244"/>
      <c r="D97" s="244"/>
      <c r="E97" s="244"/>
      <c r="F97" s="244"/>
      <c r="G97" s="244"/>
      <c r="H97" s="244"/>
      <c r="I97" s="28" t="s">
        <v>75</v>
      </c>
      <c r="J97" s="28" t="s">
        <v>76</v>
      </c>
      <c r="K97" s="12"/>
      <c r="L97" s="12"/>
      <c r="M97" s="12"/>
    </row>
    <row r="98" spans="2:13">
      <c r="B98" s="28" t="s">
        <v>44</v>
      </c>
      <c r="C98" s="272" t="s">
        <v>143</v>
      </c>
      <c r="D98" s="236"/>
      <c r="E98" s="236"/>
      <c r="F98" s="236"/>
      <c r="G98" s="236"/>
      <c r="H98" s="236"/>
      <c r="I98" s="41">
        <v>0</v>
      </c>
      <c r="J98" s="42">
        <v>0</v>
      </c>
      <c r="K98" s="12"/>
      <c r="L98" s="12"/>
      <c r="M98" s="12"/>
    </row>
    <row r="99" spans="2:13">
      <c r="B99" s="244" t="s">
        <v>144</v>
      </c>
      <c r="C99" s="244"/>
      <c r="D99" s="244"/>
      <c r="E99" s="244"/>
      <c r="F99" s="244"/>
      <c r="G99" s="244"/>
      <c r="H99" s="244"/>
      <c r="I99" s="45">
        <v>0</v>
      </c>
      <c r="J99" s="46">
        <v>0</v>
      </c>
      <c r="K99" s="12"/>
      <c r="L99" s="12"/>
      <c r="M99" s="12"/>
    </row>
    <row r="100" spans="2:13">
      <c r="B100" s="280"/>
      <c r="C100" s="281"/>
      <c r="D100" s="281"/>
      <c r="E100" s="281"/>
      <c r="F100" s="281"/>
      <c r="G100" s="281"/>
      <c r="H100" s="281"/>
      <c r="I100" s="281"/>
      <c r="J100" s="281"/>
      <c r="K100" s="12"/>
      <c r="L100" s="12"/>
      <c r="M100" s="12"/>
    </row>
    <row r="101" spans="2:13">
      <c r="B101" s="246" t="s">
        <v>145</v>
      </c>
      <c r="C101" s="246"/>
      <c r="D101" s="246"/>
      <c r="E101" s="246"/>
      <c r="F101" s="246"/>
      <c r="G101" s="246"/>
      <c r="H101" s="246"/>
      <c r="I101" s="246"/>
      <c r="J101" s="246"/>
      <c r="K101" s="12"/>
      <c r="L101" s="26"/>
      <c r="M101" s="26"/>
    </row>
    <row r="102" spans="2:13">
      <c r="B102" s="244" t="s">
        <v>146</v>
      </c>
      <c r="C102" s="244"/>
      <c r="D102" s="244"/>
      <c r="E102" s="244"/>
      <c r="F102" s="244"/>
      <c r="G102" s="244"/>
      <c r="H102" s="244"/>
      <c r="I102" s="244"/>
      <c r="J102" s="28" t="s">
        <v>76</v>
      </c>
      <c r="K102" s="12"/>
      <c r="L102" s="12"/>
      <c r="M102" s="12"/>
    </row>
    <row r="103" spans="2:13">
      <c r="B103" s="28" t="s">
        <v>147</v>
      </c>
      <c r="C103" s="236" t="s">
        <v>148</v>
      </c>
      <c r="D103" s="236"/>
      <c r="E103" s="236"/>
      <c r="F103" s="236"/>
      <c r="G103" s="236"/>
      <c r="H103" s="236"/>
      <c r="I103" s="236"/>
      <c r="J103" s="42">
        <f>J95</f>
        <v>474.69</v>
      </c>
      <c r="K103" s="12"/>
      <c r="L103" s="12"/>
      <c r="M103" s="12"/>
    </row>
    <row r="104" spans="2:13">
      <c r="B104" s="28" t="s">
        <v>149</v>
      </c>
      <c r="C104" s="236" t="s">
        <v>150</v>
      </c>
      <c r="D104" s="236"/>
      <c r="E104" s="236"/>
      <c r="F104" s="236"/>
      <c r="G104" s="236"/>
      <c r="H104" s="236"/>
      <c r="I104" s="236"/>
      <c r="J104" s="42">
        <f>J99</f>
        <v>0</v>
      </c>
      <c r="K104" s="12"/>
      <c r="L104" s="12"/>
      <c r="M104" s="12"/>
    </row>
    <row r="105" spans="2:13">
      <c r="B105" s="244" t="s">
        <v>151</v>
      </c>
      <c r="C105" s="244"/>
      <c r="D105" s="244"/>
      <c r="E105" s="244"/>
      <c r="F105" s="244"/>
      <c r="G105" s="244"/>
      <c r="H105" s="244"/>
      <c r="I105" s="244"/>
      <c r="J105" s="46">
        <f>SUM(J103:J104)</f>
        <v>474.69</v>
      </c>
      <c r="K105" s="12"/>
      <c r="L105" s="12"/>
      <c r="M105" s="12"/>
    </row>
    <row r="106" spans="2:13">
      <c r="B106" s="275"/>
      <c r="C106" s="276"/>
      <c r="D106" s="276"/>
      <c r="E106" s="276"/>
      <c r="F106" s="276"/>
      <c r="G106" s="276"/>
      <c r="H106" s="276"/>
      <c r="I106" s="276"/>
      <c r="J106" s="276"/>
      <c r="K106" s="12"/>
      <c r="L106" s="12"/>
      <c r="M106" s="12"/>
    </row>
    <row r="107" spans="2:13">
      <c r="B107" s="247" t="s">
        <v>152</v>
      </c>
      <c r="C107" s="247"/>
      <c r="D107" s="247"/>
      <c r="E107" s="247"/>
      <c r="F107" s="247"/>
      <c r="G107" s="247"/>
      <c r="H107" s="247"/>
      <c r="I107" s="247"/>
      <c r="J107" s="247"/>
      <c r="K107" s="12"/>
      <c r="L107" s="26"/>
      <c r="M107" s="26"/>
    </row>
    <row r="108" spans="2:13">
      <c r="B108" s="28">
        <v>5</v>
      </c>
      <c r="C108" s="244" t="s">
        <v>153</v>
      </c>
      <c r="D108" s="244"/>
      <c r="E108" s="244"/>
      <c r="F108" s="244"/>
      <c r="G108" s="244"/>
      <c r="H108" s="244"/>
      <c r="I108" s="28"/>
      <c r="J108" s="28" t="s">
        <v>76</v>
      </c>
      <c r="K108" s="12"/>
      <c r="L108" s="12"/>
      <c r="M108" s="12"/>
    </row>
    <row r="109" spans="2:13">
      <c r="B109" s="28" t="s">
        <v>44</v>
      </c>
      <c r="C109" s="265" t="s">
        <v>154</v>
      </c>
      <c r="D109" s="265"/>
      <c r="E109" s="265"/>
      <c r="F109" s="265"/>
      <c r="G109" s="265"/>
      <c r="H109" s="265"/>
      <c r="I109" s="41"/>
      <c r="J109" s="42">
        <f>($J$37+$J$70+$J$80+$J$105)*I109</f>
        <v>0</v>
      </c>
      <c r="K109" s="12"/>
      <c r="L109" s="12"/>
      <c r="M109" s="12"/>
    </row>
    <row r="110" spans="2:13">
      <c r="B110" s="28" t="s">
        <v>46</v>
      </c>
      <c r="C110" s="264" t="s">
        <v>155</v>
      </c>
      <c r="D110" s="264"/>
      <c r="E110" s="264"/>
      <c r="F110" s="264"/>
      <c r="G110" s="264"/>
      <c r="H110" s="264"/>
      <c r="I110" s="41"/>
      <c r="J110" s="42">
        <f>(($J$37+$J$70+$J$80+$J$105+J109)*I110)*(1-9.25%)</f>
        <v>0</v>
      </c>
      <c r="K110" s="12"/>
      <c r="L110" s="12"/>
      <c r="M110" s="12"/>
    </row>
    <row r="111" spans="2:13">
      <c r="B111" s="47" t="s">
        <v>49</v>
      </c>
      <c r="C111" s="264" t="s">
        <v>156</v>
      </c>
      <c r="D111" s="264"/>
      <c r="E111" s="264"/>
      <c r="F111" s="264"/>
      <c r="G111" s="264"/>
      <c r="H111" s="264"/>
      <c r="I111" s="23" t="s">
        <v>22</v>
      </c>
      <c r="J111" s="42">
        <v>0</v>
      </c>
      <c r="K111" s="12"/>
      <c r="L111" s="12"/>
      <c r="M111" s="12"/>
    </row>
    <row r="112" spans="2:13">
      <c r="B112" s="47" t="s">
        <v>52</v>
      </c>
      <c r="C112" s="264" t="s">
        <v>82</v>
      </c>
      <c r="D112" s="264"/>
      <c r="E112" s="264"/>
      <c r="F112" s="264"/>
      <c r="G112" s="264"/>
      <c r="H112" s="264"/>
      <c r="I112" s="23" t="s">
        <v>22</v>
      </c>
      <c r="J112" s="42">
        <v>0</v>
      </c>
      <c r="K112" s="12"/>
      <c r="L112" s="12"/>
      <c r="M112" s="12"/>
    </row>
    <row r="113" spans="2:13">
      <c r="B113" s="244" t="s">
        <v>157</v>
      </c>
      <c r="C113" s="244"/>
      <c r="D113" s="244"/>
      <c r="E113" s="244"/>
      <c r="F113" s="244"/>
      <c r="G113" s="244"/>
      <c r="H113" s="244"/>
      <c r="I113" s="45" t="s">
        <v>22</v>
      </c>
      <c r="J113" s="46">
        <f>SUM(J109:J112)</f>
        <v>0</v>
      </c>
      <c r="K113" s="12"/>
      <c r="L113" s="12"/>
      <c r="M113" s="12"/>
    </row>
    <row r="114" spans="2:13">
      <c r="B114" s="275"/>
      <c r="C114" s="276"/>
      <c r="D114" s="276"/>
      <c r="E114" s="276"/>
      <c r="F114" s="276"/>
      <c r="G114" s="276"/>
      <c r="H114" s="276"/>
      <c r="I114" s="276"/>
      <c r="J114" s="276"/>
      <c r="K114" s="12"/>
      <c r="L114" s="12"/>
      <c r="M114" s="12"/>
    </row>
    <row r="115" spans="2:13">
      <c r="B115" s="247" t="s">
        <v>158</v>
      </c>
      <c r="C115" s="247"/>
      <c r="D115" s="247"/>
      <c r="E115" s="247"/>
      <c r="F115" s="247"/>
      <c r="G115" s="247"/>
      <c r="H115" s="247"/>
      <c r="I115" s="247"/>
      <c r="J115" s="247"/>
      <c r="K115" s="12"/>
      <c r="L115" s="26"/>
      <c r="M115" s="26"/>
    </row>
    <row r="116" spans="2:13">
      <c r="B116" s="28">
        <v>6</v>
      </c>
      <c r="C116" s="244" t="s">
        <v>159</v>
      </c>
      <c r="D116" s="244"/>
      <c r="E116" s="244"/>
      <c r="F116" s="244"/>
      <c r="G116" s="244"/>
      <c r="H116" s="244"/>
      <c r="I116" s="28" t="s">
        <v>75</v>
      </c>
      <c r="J116" s="28" t="s">
        <v>76</v>
      </c>
      <c r="K116" s="12"/>
      <c r="L116" s="12"/>
      <c r="M116" s="12"/>
    </row>
    <row r="117" spans="2:13">
      <c r="B117" s="28" t="s">
        <v>44</v>
      </c>
      <c r="C117" s="236" t="s">
        <v>160</v>
      </c>
      <c r="D117" s="236"/>
      <c r="E117" s="236"/>
      <c r="F117" s="236"/>
      <c r="G117" s="236"/>
      <c r="H117" s="236"/>
      <c r="I117" s="120">
        <v>0</v>
      </c>
      <c r="J117" s="42">
        <f>TRUNC(((J141)*I117),2)</f>
        <v>0</v>
      </c>
      <c r="K117" s="90"/>
      <c r="L117" s="12"/>
      <c r="M117" s="12"/>
    </row>
    <row r="118" spans="2:13">
      <c r="B118" s="28" t="s">
        <v>46</v>
      </c>
      <c r="C118" s="236" t="s">
        <v>161</v>
      </c>
      <c r="D118" s="236"/>
      <c r="E118" s="236"/>
      <c r="F118" s="236"/>
      <c r="G118" s="236"/>
      <c r="H118" s="236"/>
      <c r="I118" s="120">
        <v>0</v>
      </c>
      <c r="J118" s="42">
        <f>TRUNC(((J141+J117)*I118),2)</f>
        <v>0</v>
      </c>
      <c r="K118" s="90"/>
      <c r="L118" s="12"/>
      <c r="M118" s="12"/>
    </row>
    <row r="119" spans="2:13">
      <c r="B119" s="28" t="s">
        <v>49</v>
      </c>
      <c r="C119" s="287" t="s">
        <v>162</v>
      </c>
      <c r="D119" s="287"/>
      <c r="E119" s="287"/>
      <c r="F119" s="287"/>
      <c r="G119" s="287"/>
      <c r="H119" s="287"/>
      <c r="I119" s="109"/>
      <c r="J119" s="54"/>
      <c r="K119" s="12"/>
      <c r="L119" s="12"/>
      <c r="M119" s="12"/>
    </row>
    <row r="120" spans="2:13">
      <c r="B120" s="28" t="s">
        <v>163</v>
      </c>
      <c r="C120" s="236" t="s">
        <v>164</v>
      </c>
      <c r="D120" s="236"/>
      <c r="E120" s="236"/>
      <c r="F120" s="236"/>
      <c r="G120" s="236"/>
      <c r="H120" s="236"/>
      <c r="I120" s="56">
        <v>1.6500000000000001E-2</v>
      </c>
      <c r="J120" s="42">
        <f>TRUNC(I120*((J141+J117+J118)/(1-I125)),2)</f>
        <v>102.7</v>
      </c>
      <c r="K120" s="12"/>
      <c r="L120" s="12"/>
      <c r="M120" s="12"/>
    </row>
    <row r="121" spans="2:13">
      <c r="B121" s="28" t="s">
        <v>165</v>
      </c>
      <c r="C121" s="236" t="s">
        <v>166</v>
      </c>
      <c r="D121" s="236"/>
      <c r="E121" s="236"/>
      <c r="F121" s="236"/>
      <c r="G121" s="236"/>
      <c r="H121" s="236"/>
      <c r="I121" s="56">
        <v>7.5999999999999998E-2</v>
      </c>
      <c r="J121" s="42">
        <f>TRUNC(I121*(J141+J117+J118)/(1-I125),2)</f>
        <v>473.06</v>
      </c>
      <c r="K121" s="12"/>
      <c r="L121" s="12"/>
      <c r="M121" s="12"/>
    </row>
    <row r="122" spans="2:13">
      <c r="B122" s="28" t="s">
        <v>167</v>
      </c>
      <c r="C122" s="236" t="s">
        <v>168</v>
      </c>
      <c r="D122" s="236"/>
      <c r="E122" s="236"/>
      <c r="F122" s="236"/>
      <c r="G122" s="236"/>
      <c r="H122" s="236"/>
      <c r="I122" s="57">
        <v>0.03</v>
      </c>
      <c r="J122" s="42">
        <f>TRUNC(I122*(J141+J117+J118)/(1-I125),2)</f>
        <v>186.73</v>
      </c>
      <c r="K122" s="12"/>
      <c r="L122" s="12"/>
      <c r="M122" s="12"/>
    </row>
    <row r="123" spans="2:13">
      <c r="B123" s="244" t="s">
        <v>169</v>
      </c>
      <c r="C123" s="244"/>
      <c r="D123" s="244"/>
      <c r="E123" s="244"/>
      <c r="F123" s="244"/>
      <c r="G123" s="244"/>
      <c r="H123" s="244"/>
      <c r="I123" s="56">
        <f>SUM(I117:I122)</f>
        <v>0.1225</v>
      </c>
      <c r="J123" s="46">
        <f>SUM(J117:J122)</f>
        <v>762.49</v>
      </c>
      <c r="K123" s="12"/>
      <c r="L123" s="12"/>
      <c r="M123" s="12"/>
    </row>
    <row r="124" spans="2:13">
      <c r="B124" s="18"/>
      <c r="C124" s="284"/>
      <c r="D124" s="284"/>
      <c r="E124" s="284"/>
      <c r="F124" s="284"/>
      <c r="G124" s="284"/>
      <c r="H124" s="284"/>
      <c r="I124" s="284"/>
      <c r="J124" s="284"/>
      <c r="K124" s="12"/>
      <c r="L124" s="12"/>
      <c r="M124" s="12"/>
    </row>
    <row r="125" spans="2:13">
      <c r="B125" s="59" t="s">
        <v>170</v>
      </c>
      <c r="C125" s="285" t="s">
        <v>171</v>
      </c>
      <c r="D125" s="285"/>
      <c r="E125" s="285"/>
      <c r="F125" s="285"/>
      <c r="G125" s="285"/>
      <c r="H125" s="285"/>
      <c r="I125" s="60">
        <f>I120+I121+I122</f>
        <v>0.1225</v>
      </c>
      <c r="J125" s="61"/>
      <c r="K125" s="12"/>
      <c r="L125" s="12"/>
      <c r="M125" s="12"/>
    </row>
    <row r="126" spans="2:13">
      <c r="B126" s="63"/>
      <c r="C126" s="286">
        <v>100</v>
      </c>
      <c r="D126" s="286"/>
      <c r="E126" s="286"/>
      <c r="F126" s="286"/>
      <c r="G126" s="286"/>
      <c r="H126" s="286"/>
      <c r="I126" s="65"/>
      <c r="J126" s="66"/>
      <c r="K126" s="12"/>
      <c r="L126" s="12"/>
      <c r="M126" s="12"/>
    </row>
    <row r="127" spans="2:13">
      <c r="B127" s="67"/>
      <c r="C127" s="64"/>
      <c r="D127" s="64"/>
      <c r="E127" s="64"/>
      <c r="F127" s="64"/>
      <c r="G127" s="64"/>
      <c r="H127" s="64"/>
      <c r="I127" s="65"/>
      <c r="J127" s="66"/>
      <c r="K127" s="12"/>
      <c r="L127" s="12"/>
      <c r="M127" s="12"/>
    </row>
    <row r="128" spans="2:13">
      <c r="B128" s="63" t="s">
        <v>172</v>
      </c>
      <c r="C128" s="286" t="s">
        <v>173</v>
      </c>
      <c r="D128" s="286"/>
      <c r="E128" s="286"/>
      <c r="F128" s="286"/>
      <c r="G128" s="286"/>
      <c r="H128" s="286"/>
      <c r="I128" s="65"/>
      <c r="J128" s="66">
        <f>J37+J70+J80+J105+J113+J117+J118</f>
        <v>5462.0083500000001</v>
      </c>
      <c r="K128" s="12"/>
      <c r="L128" s="12"/>
      <c r="M128" s="12"/>
    </row>
    <row r="129" spans="2:13">
      <c r="B129" s="63"/>
      <c r="C129" s="64"/>
      <c r="D129" s="64"/>
      <c r="E129" s="64"/>
      <c r="F129" s="64"/>
      <c r="G129" s="64"/>
      <c r="H129" s="64"/>
      <c r="I129" s="65"/>
      <c r="J129" s="66"/>
      <c r="K129" s="12"/>
      <c r="L129" s="12"/>
      <c r="M129" s="12"/>
    </row>
    <row r="130" spans="2:13">
      <c r="B130" s="63" t="s">
        <v>174</v>
      </c>
      <c r="C130" s="286" t="s">
        <v>175</v>
      </c>
      <c r="D130" s="286"/>
      <c r="E130" s="286"/>
      <c r="F130" s="286"/>
      <c r="G130" s="286"/>
      <c r="H130" s="286"/>
      <c r="I130" s="65"/>
      <c r="J130" s="66">
        <f>TRUNC(J128/(1-I125),2)</f>
        <v>6224.51</v>
      </c>
      <c r="K130" s="12"/>
      <c r="L130" s="12"/>
      <c r="M130" s="12"/>
    </row>
    <row r="131" spans="2:13">
      <c r="B131" s="63"/>
      <c r="C131" s="64"/>
      <c r="D131" s="64"/>
      <c r="E131" s="64"/>
      <c r="F131" s="64"/>
      <c r="G131" s="64"/>
      <c r="H131" s="64"/>
      <c r="I131" s="65"/>
      <c r="J131" s="66"/>
      <c r="K131" s="12"/>
      <c r="L131" s="12"/>
      <c r="M131" s="12"/>
    </row>
    <row r="132" spans="2:13">
      <c r="B132" s="68"/>
      <c r="C132" s="283" t="s">
        <v>176</v>
      </c>
      <c r="D132" s="283"/>
      <c r="E132" s="283"/>
      <c r="F132" s="283"/>
      <c r="G132" s="283"/>
      <c r="H132" s="283"/>
      <c r="I132" s="69"/>
      <c r="J132" s="70">
        <f>J130-J128</f>
        <v>762.50165000000015</v>
      </c>
      <c r="K132" s="12"/>
      <c r="L132" s="12"/>
      <c r="M132" s="12"/>
    </row>
    <row r="133" spans="2:13">
      <c r="B133" s="18"/>
      <c r="C133" s="18"/>
      <c r="D133" s="18"/>
      <c r="E133" s="18"/>
      <c r="F133" s="18"/>
      <c r="G133" s="18"/>
      <c r="H133" s="18"/>
      <c r="I133" s="18"/>
      <c r="J133" s="38"/>
      <c r="K133" s="12"/>
      <c r="L133" s="12"/>
      <c r="M133" s="12"/>
    </row>
    <row r="134" spans="2:13">
      <c r="B134" s="246" t="s">
        <v>177</v>
      </c>
      <c r="C134" s="246"/>
      <c r="D134" s="246"/>
      <c r="E134" s="246"/>
      <c r="F134" s="246"/>
      <c r="G134" s="246"/>
      <c r="H134" s="246"/>
      <c r="I134" s="246"/>
      <c r="J134" s="246"/>
      <c r="K134" s="12"/>
      <c r="L134" s="26"/>
      <c r="M134" s="26"/>
    </row>
    <row r="135" spans="2:13">
      <c r="B135" s="244" t="s">
        <v>178</v>
      </c>
      <c r="C135" s="244"/>
      <c r="D135" s="244"/>
      <c r="E135" s="244"/>
      <c r="F135" s="244"/>
      <c r="G135" s="244"/>
      <c r="H135" s="244"/>
      <c r="I135" s="244"/>
      <c r="J135" s="28" t="s">
        <v>76</v>
      </c>
      <c r="K135" s="12"/>
      <c r="L135" s="12"/>
      <c r="M135" s="12"/>
    </row>
    <row r="136" spans="2:13">
      <c r="B136" s="23" t="s">
        <v>44</v>
      </c>
      <c r="C136" s="236" t="s">
        <v>73</v>
      </c>
      <c r="D136" s="236"/>
      <c r="E136" s="236"/>
      <c r="F136" s="236"/>
      <c r="G136" s="236"/>
      <c r="H136" s="236"/>
      <c r="I136" s="236"/>
      <c r="J136" s="42">
        <f>J37</f>
        <v>2974.10835</v>
      </c>
      <c r="K136" s="12"/>
      <c r="L136" s="12"/>
      <c r="M136" s="12"/>
    </row>
    <row r="137" spans="2:13">
      <c r="B137" s="23" t="s">
        <v>46</v>
      </c>
      <c r="C137" s="236" t="s">
        <v>84</v>
      </c>
      <c r="D137" s="236"/>
      <c r="E137" s="236"/>
      <c r="F137" s="236"/>
      <c r="G137" s="236"/>
      <c r="H137" s="236"/>
      <c r="I137" s="236"/>
      <c r="J137" s="42">
        <f>J70</f>
        <v>1818.3200000000002</v>
      </c>
      <c r="K137" s="12"/>
      <c r="L137" s="12"/>
      <c r="M137" s="12"/>
    </row>
    <row r="138" spans="2:13">
      <c r="B138" s="23" t="s">
        <v>49</v>
      </c>
      <c r="C138" s="236" t="s">
        <v>118</v>
      </c>
      <c r="D138" s="236"/>
      <c r="E138" s="236"/>
      <c r="F138" s="236"/>
      <c r="G138" s="236"/>
      <c r="H138" s="236"/>
      <c r="I138" s="236"/>
      <c r="J138" s="42">
        <f>J80</f>
        <v>194.89</v>
      </c>
      <c r="K138" s="12"/>
      <c r="L138" s="12"/>
      <c r="M138" s="12"/>
    </row>
    <row r="139" spans="2:13">
      <c r="B139" s="23" t="s">
        <v>52</v>
      </c>
      <c r="C139" s="236" t="s">
        <v>127</v>
      </c>
      <c r="D139" s="236"/>
      <c r="E139" s="236"/>
      <c r="F139" s="236"/>
      <c r="G139" s="236"/>
      <c r="H139" s="236"/>
      <c r="I139" s="236"/>
      <c r="J139" s="42">
        <f>J105</f>
        <v>474.69</v>
      </c>
      <c r="K139" s="12"/>
      <c r="L139" s="12"/>
      <c r="M139" s="12"/>
    </row>
    <row r="140" spans="2:13">
      <c r="B140" s="23" t="s">
        <v>55</v>
      </c>
      <c r="C140" s="236" t="s">
        <v>152</v>
      </c>
      <c r="D140" s="236"/>
      <c r="E140" s="236"/>
      <c r="F140" s="236"/>
      <c r="G140" s="236"/>
      <c r="H140" s="236"/>
      <c r="I140" s="236"/>
      <c r="J140" s="42">
        <f>J113</f>
        <v>0</v>
      </c>
      <c r="K140" s="12"/>
      <c r="L140" s="12"/>
      <c r="M140" s="12"/>
    </row>
    <row r="141" spans="2:13">
      <c r="B141" s="28"/>
      <c r="C141" s="244" t="s">
        <v>179</v>
      </c>
      <c r="D141" s="244"/>
      <c r="E141" s="244"/>
      <c r="F141" s="244"/>
      <c r="G141" s="244"/>
      <c r="H141" s="244"/>
      <c r="I141" s="244"/>
      <c r="J141" s="46">
        <f>SUM(J136:J140)</f>
        <v>5462.0083500000001</v>
      </c>
      <c r="K141" s="12"/>
      <c r="L141" s="12"/>
      <c r="M141" s="12"/>
    </row>
    <row r="142" spans="2:13">
      <c r="B142" s="23" t="s">
        <v>57</v>
      </c>
      <c r="C142" s="236" t="s">
        <v>158</v>
      </c>
      <c r="D142" s="236"/>
      <c r="E142" s="236"/>
      <c r="F142" s="236"/>
      <c r="G142" s="236"/>
      <c r="H142" s="236"/>
      <c r="I142" s="236"/>
      <c r="J142" s="42">
        <f>J123</f>
        <v>762.49</v>
      </c>
      <c r="K142" s="12"/>
      <c r="L142" s="12"/>
      <c r="M142" s="12"/>
    </row>
    <row r="143" spans="2:13" ht="18">
      <c r="B143" s="282" t="s">
        <v>180</v>
      </c>
      <c r="C143" s="282"/>
      <c r="D143" s="282"/>
      <c r="E143" s="282"/>
      <c r="F143" s="282"/>
      <c r="G143" s="282"/>
      <c r="H143" s="282"/>
      <c r="I143" s="282"/>
      <c r="J143" s="71">
        <f>TRUNC(J141+J142,2)</f>
        <v>6224.49</v>
      </c>
      <c r="K143" s="12"/>
      <c r="L143" s="12"/>
      <c r="M143" s="12"/>
    </row>
    <row r="144" spans="2:13">
      <c r="B144" s="1"/>
      <c r="C144" s="1"/>
      <c r="D144" s="1"/>
      <c r="E144" s="1"/>
      <c r="F144" s="1"/>
      <c r="G144" s="1"/>
      <c r="H144" s="1"/>
      <c r="I144" s="1"/>
      <c r="J144" s="2"/>
    </row>
    <row r="145" spans="2:12">
      <c r="B145" s="1"/>
      <c r="C145" s="1"/>
      <c r="D145" s="1"/>
      <c r="E145" s="1"/>
      <c r="F145" s="1"/>
      <c r="G145" s="1"/>
      <c r="H145" s="1"/>
      <c r="I145" s="1"/>
      <c r="J145" s="1"/>
    </row>
    <row r="146" spans="2:12">
      <c r="B146" s="4"/>
      <c r="C146" s="5"/>
      <c r="D146" s="1"/>
      <c r="E146" s="1"/>
      <c r="F146" s="1"/>
      <c r="G146" s="1"/>
      <c r="H146" s="1"/>
      <c r="I146" s="1"/>
      <c r="J146" s="179"/>
    </row>
    <row r="147" spans="2:12">
      <c r="B147" s="3"/>
      <c r="C147" s="74"/>
      <c r="D147" s="75" t="s">
        <v>168</v>
      </c>
      <c r="E147" s="75" t="s">
        <v>181</v>
      </c>
      <c r="F147" s="74"/>
      <c r="J147" s="180"/>
      <c r="K147" s="181"/>
    </row>
    <row r="148" spans="2:12">
      <c r="C148" s="76" t="s">
        <v>182</v>
      </c>
      <c r="D148" s="77">
        <v>0.03</v>
      </c>
      <c r="E148" s="78">
        <v>0</v>
      </c>
      <c r="F148" s="74" t="s">
        <v>183</v>
      </c>
      <c r="J148" s="182"/>
      <c r="K148" s="181"/>
    </row>
    <row r="149" spans="2:12">
      <c r="C149" s="12"/>
      <c r="D149" s="12"/>
      <c r="E149" s="12"/>
      <c r="F149" s="12"/>
    </row>
    <row r="150" spans="2:12"/>
    <row r="152" spans="2:12" ht="15" customHeight="1">
      <c r="B152" s="226" t="s">
        <v>184</v>
      </c>
      <c r="C152" s="227"/>
      <c r="D152" s="227"/>
      <c r="E152" s="227"/>
      <c r="F152" s="227"/>
      <c r="G152" s="227"/>
      <c r="H152" s="227"/>
      <c r="I152" s="227"/>
      <c r="J152" s="227"/>
      <c r="K152" s="227"/>
      <c r="L152" s="228"/>
    </row>
    <row r="153" spans="2:12" ht="15" customHeight="1">
      <c r="B153" s="229"/>
      <c r="C153" s="230"/>
      <c r="D153" s="230"/>
      <c r="E153" s="230"/>
      <c r="F153" s="230"/>
      <c r="G153" s="230"/>
      <c r="H153" s="230"/>
      <c r="I153" s="230"/>
      <c r="J153" s="230"/>
      <c r="K153" s="230"/>
      <c r="L153" s="231"/>
    </row>
    <row r="154" spans="2:12" ht="15" customHeight="1">
      <c r="B154" s="229"/>
      <c r="C154" s="230"/>
      <c r="D154" s="230"/>
      <c r="E154" s="230"/>
      <c r="F154" s="230"/>
      <c r="G154" s="230"/>
      <c r="H154" s="230"/>
      <c r="I154" s="230"/>
      <c r="J154" s="230"/>
      <c r="K154" s="230"/>
      <c r="L154" s="231"/>
    </row>
    <row r="155" spans="2:12" ht="15" customHeight="1">
      <c r="B155" s="229"/>
      <c r="C155" s="230"/>
      <c r="D155" s="230"/>
      <c r="E155" s="230"/>
      <c r="F155" s="230"/>
      <c r="G155" s="230"/>
      <c r="H155" s="230"/>
      <c r="I155" s="230"/>
      <c r="J155" s="230"/>
      <c r="K155" s="230"/>
      <c r="L155" s="231"/>
    </row>
    <row r="156" spans="2:12" ht="15" customHeight="1">
      <c r="B156" s="229"/>
      <c r="C156" s="230"/>
      <c r="D156" s="230"/>
      <c r="E156" s="230"/>
      <c r="F156" s="230"/>
      <c r="G156" s="230"/>
      <c r="H156" s="230"/>
      <c r="I156" s="230"/>
      <c r="J156" s="230"/>
      <c r="K156" s="230"/>
      <c r="L156" s="231"/>
    </row>
    <row r="157" spans="2:12" ht="15" customHeight="1">
      <c r="B157" s="232"/>
      <c r="C157" s="233"/>
      <c r="D157" s="233"/>
      <c r="E157" s="233"/>
      <c r="F157" s="233"/>
      <c r="G157" s="233"/>
      <c r="H157" s="233"/>
      <c r="I157" s="233"/>
      <c r="J157" s="233"/>
      <c r="K157" s="233"/>
      <c r="L157" s="234"/>
    </row>
  </sheetData>
  <mergeCells count="155">
    <mergeCell ref="C117:H117"/>
    <mergeCell ref="C118:H118"/>
    <mergeCell ref="C119:H119"/>
    <mergeCell ref="C120:H120"/>
    <mergeCell ref="C121:H121"/>
    <mergeCell ref="C122:H122"/>
    <mergeCell ref="C111:H111"/>
    <mergeCell ref="C112:H112"/>
    <mergeCell ref="B113:H113"/>
    <mergeCell ref="B114:J114"/>
    <mergeCell ref="B115:J115"/>
    <mergeCell ref="C116:H116"/>
    <mergeCell ref="C142:I142"/>
    <mergeCell ref="B143:I143"/>
    <mergeCell ref="C132:H132"/>
    <mergeCell ref="B134:J134"/>
    <mergeCell ref="B135:I135"/>
    <mergeCell ref="C136:I136"/>
    <mergeCell ref="C137:I137"/>
    <mergeCell ref="C138:I138"/>
    <mergeCell ref="B123:H123"/>
    <mergeCell ref="C124:J124"/>
    <mergeCell ref="C125:H125"/>
    <mergeCell ref="C126:H126"/>
    <mergeCell ref="C128:H128"/>
    <mergeCell ref="C130:H130"/>
    <mergeCell ref="C139:I139"/>
    <mergeCell ref="C140:I140"/>
    <mergeCell ref="C141:I141"/>
    <mergeCell ref="C108:H108"/>
    <mergeCell ref="C109:H109"/>
    <mergeCell ref="C110:H110"/>
    <mergeCell ref="B99:H99"/>
    <mergeCell ref="B100:J100"/>
    <mergeCell ref="B101:J101"/>
    <mergeCell ref="B102:I102"/>
    <mergeCell ref="C103:I103"/>
    <mergeCell ref="C104:I104"/>
    <mergeCell ref="B105:I105"/>
    <mergeCell ref="B106:J106"/>
    <mergeCell ref="B107:J107"/>
    <mergeCell ref="C89:H89"/>
    <mergeCell ref="C90:H90"/>
    <mergeCell ref="B91:H91"/>
    <mergeCell ref="B96:J96"/>
    <mergeCell ref="B97:H97"/>
    <mergeCell ref="C98:H98"/>
    <mergeCell ref="B82:J82"/>
    <mergeCell ref="B83:H83"/>
    <mergeCell ref="C84:H84"/>
    <mergeCell ref="C86:H86"/>
    <mergeCell ref="C87:H87"/>
    <mergeCell ref="C88:H88"/>
    <mergeCell ref="C94:H94"/>
    <mergeCell ref="B93:H93"/>
    <mergeCell ref="B95:H95"/>
    <mergeCell ref="C85:H85"/>
    <mergeCell ref="C92:H92"/>
    <mergeCell ref="C75:H75"/>
    <mergeCell ref="C77:H77"/>
    <mergeCell ref="C78:H78"/>
    <mergeCell ref="C79:H79"/>
    <mergeCell ref="B80:H80"/>
    <mergeCell ref="B81:J81"/>
    <mergeCell ref="C69:I69"/>
    <mergeCell ref="B70:I70"/>
    <mergeCell ref="B71:J71"/>
    <mergeCell ref="B72:J72"/>
    <mergeCell ref="C73:H73"/>
    <mergeCell ref="C74:H74"/>
    <mergeCell ref="C76:H76"/>
    <mergeCell ref="B63:I63"/>
    <mergeCell ref="B64:J64"/>
    <mergeCell ref="B65:J65"/>
    <mergeCell ref="B66:I66"/>
    <mergeCell ref="C67:I67"/>
    <mergeCell ref="C68:I68"/>
    <mergeCell ref="C57:H57"/>
    <mergeCell ref="C58:H58"/>
    <mergeCell ref="C59:H59"/>
    <mergeCell ref="C60:H60"/>
    <mergeCell ref="C61:H61"/>
    <mergeCell ref="C62:H62"/>
    <mergeCell ref="B54:H54"/>
    <mergeCell ref="B55:J55"/>
    <mergeCell ref="B56:H56"/>
    <mergeCell ref="B45:H45"/>
    <mergeCell ref="C46:H46"/>
    <mergeCell ref="C47:H47"/>
    <mergeCell ref="C48:H48"/>
    <mergeCell ref="C49:H49"/>
    <mergeCell ref="C50:H50"/>
    <mergeCell ref="F19:J19"/>
    <mergeCell ref="B21:J21"/>
    <mergeCell ref="C22:H22"/>
    <mergeCell ref="I22:J22"/>
    <mergeCell ref="C26:H26"/>
    <mergeCell ref="B37:I37"/>
    <mergeCell ref="C51:H51"/>
    <mergeCell ref="C52:H52"/>
    <mergeCell ref="C53:H53"/>
    <mergeCell ref="B39:J39"/>
    <mergeCell ref="B40:H40"/>
    <mergeCell ref="C41:H41"/>
    <mergeCell ref="C42:H42"/>
    <mergeCell ref="B43:H43"/>
    <mergeCell ref="B44:J44"/>
    <mergeCell ref="F18:J18"/>
    <mergeCell ref="B29:J29"/>
    <mergeCell ref="C30:H30"/>
    <mergeCell ref="C31:H31"/>
    <mergeCell ref="I26:J26"/>
    <mergeCell ref="B1:J1"/>
    <mergeCell ref="B2:J2"/>
    <mergeCell ref="B3:J3"/>
    <mergeCell ref="B4:J4"/>
    <mergeCell ref="B5:J5"/>
    <mergeCell ref="B6:J6"/>
    <mergeCell ref="C27:H27"/>
    <mergeCell ref="I27:J27"/>
    <mergeCell ref="B28:J28"/>
    <mergeCell ref="C13:H13"/>
    <mergeCell ref="I13:J13"/>
    <mergeCell ref="C23:H23"/>
    <mergeCell ref="I23:J23"/>
    <mergeCell ref="C24:H24"/>
    <mergeCell ref="I24:J24"/>
    <mergeCell ref="C25:H25"/>
    <mergeCell ref="I25:J25"/>
    <mergeCell ref="B19:C19"/>
    <mergeCell ref="D19:E19"/>
    <mergeCell ref="C15:H15"/>
    <mergeCell ref="I15:J15"/>
    <mergeCell ref="B152:L157"/>
    <mergeCell ref="B7:J7"/>
    <mergeCell ref="C9:H9"/>
    <mergeCell ref="I9:J9"/>
    <mergeCell ref="C12:H12"/>
    <mergeCell ref="I12:J12"/>
    <mergeCell ref="C14:H14"/>
    <mergeCell ref="I14:J14"/>
    <mergeCell ref="B8:G8"/>
    <mergeCell ref="I8:J8"/>
    <mergeCell ref="C10:H10"/>
    <mergeCell ref="I10:J10"/>
    <mergeCell ref="C11:H11"/>
    <mergeCell ref="I11:J11"/>
    <mergeCell ref="C32:H32"/>
    <mergeCell ref="C33:H33"/>
    <mergeCell ref="C34:H34"/>
    <mergeCell ref="C35:H35"/>
    <mergeCell ref="C36:H36"/>
    <mergeCell ref="B17:J17"/>
    <mergeCell ref="B18:C18"/>
    <mergeCell ref="D18:E18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15736-89C4-4245-9E4C-C9AD136D4611}">
  <dimension ref="B1:M157"/>
  <sheetViews>
    <sheetView showGridLines="0" topLeftCell="A18" zoomScale="80" zoomScaleNormal="80" workbookViewId="0">
      <selection activeCell="I24" sqref="I24:J24"/>
    </sheetView>
  </sheetViews>
  <sheetFormatPr defaultRowHeight="15" customHeight="1"/>
  <cols>
    <col min="1" max="1" width="2.85546875" customWidth="1"/>
    <col min="2" max="2" width="10.42578125" customWidth="1"/>
    <col min="3" max="3" width="49.5703125" bestFit="1" customWidth="1"/>
    <col min="7" max="7" width="3.5703125" customWidth="1"/>
    <col min="8" max="8" width="4.140625" hidden="1" customWidth="1"/>
    <col min="9" max="9" width="8.42578125" style="113" customWidth="1"/>
    <col min="10" max="10" width="14" style="113" customWidth="1"/>
    <col min="11" max="11" width="5.140625" customWidth="1"/>
    <col min="12" max="12" width="2.85546875" customWidth="1"/>
    <col min="13" max="13" width="2.7109375" customWidth="1"/>
  </cols>
  <sheetData>
    <row r="1" spans="2:13">
      <c r="B1" s="250" t="s">
        <v>37</v>
      </c>
      <c r="C1" s="250"/>
      <c r="D1" s="250"/>
      <c r="E1" s="250"/>
      <c r="F1" s="250"/>
      <c r="G1" s="250"/>
      <c r="H1" s="250"/>
      <c r="I1" s="250"/>
      <c r="J1" s="250"/>
      <c r="K1" s="12"/>
      <c r="L1" s="12"/>
      <c r="M1" s="12"/>
    </row>
    <row r="2" spans="2:13">
      <c r="B2" s="251" t="s">
        <v>38</v>
      </c>
      <c r="C2" s="251"/>
      <c r="D2" s="251"/>
      <c r="E2" s="251"/>
      <c r="F2" s="251"/>
      <c r="G2" s="251"/>
      <c r="H2" s="251"/>
      <c r="I2" s="251"/>
      <c r="J2" s="251"/>
      <c r="K2" s="12"/>
      <c r="L2" s="12"/>
      <c r="M2" s="12"/>
    </row>
    <row r="3" spans="2:13">
      <c r="B3" s="251" t="s">
        <v>39</v>
      </c>
      <c r="C3" s="251"/>
      <c r="D3" s="251"/>
      <c r="E3" s="251"/>
      <c r="F3" s="251"/>
      <c r="G3" s="251"/>
      <c r="H3" s="251"/>
      <c r="I3" s="251"/>
      <c r="J3" s="251"/>
      <c r="K3" s="12"/>
      <c r="L3" s="12"/>
      <c r="M3" s="12"/>
    </row>
    <row r="4" spans="2:13">
      <c r="B4" s="252" t="s">
        <v>40</v>
      </c>
      <c r="C4" s="252"/>
      <c r="D4" s="252"/>
      <c r="E4" s="252"/>
      <c r="F4" s="252"/>
      <c r="G4" s="252"/>
      <c r="H4" s="252"/>
      <c r="I4" s="252"/>
      <c r="J4" s="252"/>
      <c r="K4" s="12"/>
      <c r="L4" s="12"/>
      <c r="M4" s="12"/>
    </row>
    <row r="5" spans="2:13">
      <c r="B5" s="253"/>
      <c r="C5" s="253"/>
      <c r="D5" s="253"/>
      <c r="E5" s="253"/>
      <c r="F5" s="253"/>
      <c r="G5" s="253"/>
      <c r="H5" s="253"/>
      <c r="I5" s="253"/>
      <c r="J5" s="253"/>
      <c r="K5" s="12"/>
      <c r="L5" s="12"/>
      <c r="M5" s="12"/>
    </row>
    <row r="6" spans="2:13">
      <c r="B6" s="254" t="s">
        <v>185</v>
      </c>
      <c r="C6" s="254"/>
      <c r="D6" s="254"/>
      <c r="E6" s="254"/>
      <c r="F6" s="254"/>
      <c r="G6" s="254"/>
      <c r="H6" s="254"/>
      <c r="I6" s="254"/>
      <c r="J6" s="254"/>
      <c r="K6" s="12"/>
      <c r="L6" s="12"/>
      <c r="M6" s="12"/>
    </row>
    <row r="7" spans="2:13">
      <c r="B7" s="235"/>
      <c r="C7" s="235"/>
      <c r="D7" s="235"/>
      <c r="E7" s="235"/>
      <c r="F7" s="235"/>
      <c r="G7" s="235"/>
      <c r="H7" s="235"/>
      <c r="I7" s="235"/>
      <c r="J7" s="235"/>
      <c r="K7" s="12"/>
      <c r="L7" s="12"/>
      <c r="M7" s="12"/>
    </row>
    <row r="8" spans="2:13">
      <c r="B8" s="241" t="s">
        <v>42</v>
      </c>
      <c r="C8" s="242"/>
      <c r="D8" s="242"/>
      <c r="E8" s="242"/>
      <c r="F8" s="242"/>
      <c r="G8" s="243"/>
      <c r="H8" s="22"/>
      <c r="I8" s="241" t="s">
        <v>43</v>
      </c>
      <c r="J8" s="243"/>
      <c r="K8" s="12"/>
      <c r="L8" s="12"/>
      <c r="M8" s="12"/>
    </row>
    <row r="9" spans="2:13">
      <c r="B9" s="23" t="s">
        <v>44</v>
      </c>
      <c r="C9" s="236" t="s">
        <v>45</v>
      </c>
      <c r="D9" s="236"/>
      <c r="E9" s="236"/>
      <c r="F9" s="236"/>
      <c r="G9" s="236"/>
      <c r="H9" s="236"/>
      <c r="I9" s="237"/>
      <c r="J9" s="238"/>
      <c r="K9" s="12"/>
      <c r="L9" s="12"/>
      <c r="M9" s="12"/>
    </row>
    <row r="10" spans="2:13">
      <c r="B10" s="23" t="s">
        <v>46</v>
      </c>
      <c r="C10" s="236" t="s">
        <v>47</v>
      </c>
      <c r="D10" s="236"/>
      <c r="E10" s="236"/>
      <c r="F10" s="236"/>
      <c r="G10" s="236"/>
      <c r="H10" s="236"/>
      <c r="I10" s="238" t="s">
        <v>48</v>
      </c>
      <c r="J10" s="238"/>
      <c r="K10" s="12"/>
      <c r="L10" s="12"/>
      <c r="M10" s="12"/>
    </row>
    <row r="11" spans="2:13">
      <c r="B11" s="23" t="s">
        <v>49</v>
      </c>
      <c r="C11" s="236" t="s">
        <v>50</v>
      </c>
      <c r="D11" s="236"/>
      <c r="E11" s="236"/>
      <c r="F11" s="236"/>
      <c r="G11" s="236"/>
      <c r="H11" s="236"/>
      <c r="I11" s="244">
        <v>1</v>
      </c>
      <c r="J11" s="244"/>
      <c r="K11" s="12"/>
      <c r="L11" s="89"/>
      <c r="M11" s="89"/>
    </row>
    <row r="12" spans="2:13">
      <c r="B12" s="23" t="s">
        <v>46</v>
      </c>
      <c r="C12" s="236" t="s">
        <v>51</v>
      </c>
      <c r="D12" s="236"/>
      <c r="E12" s="236"/>
      <c r="F12" s="236"/>
      <c r="G12" s="236"/>
      <c r="H12" s="236"/>
      <c r="I12" s="238">
        <v>12</v>
      </c>
      <c r="J12" s="238"/>
      <c r="K12" s="12"/>
      <c r="L12" s="12"/>
      <c r="M12" s="12"/>
    </row>
    <row r="13" spans="2:13">
      <c r="B13" s="23" t="s">
        <v>52</v>
      </c>
      <c r="C13" s="236" t="s">
        <v>53</v>
      </c>
      <c r="D13" s="236"/>
      <c r="E13" s="236"/>
      <c r="F13" s="236"/>
      <c r="G13" s="236"/>
      <c r="H13" s="236"/>
      <c r="I13" s="238" t="s">
        <v>54</v>
      </c>
      <c r="J13" s="238"/>
      <c r="K13" s="12"/>
      <c r="L13" s="12"/>
      <c r="M13" s="12"/>
    </row>
    <row r="14" spans="2:13" ht="15" customHeight="1">
      <c r="B14" s="23" t="s">
        <v>55</v>
      </c>
      <c r="C14" s="221" t="s">
        <v>56</v>
      </c>
      <c r="D14" s="222"/>
      <c r="E14" s="222"/>
      <c r="F14" s="222"/>
      <c r="G14" s="222"/>
      <c r="H14" s="223"/>
      <c r="I14" s="296"/>
      <c r="J14" s="297"/>
      <c r="K14" s="88"/>
      <c r="L14" s="86"/>
      <c r="M14" s="12"/>
    </row>
    <row r="15" spans="2:13" ht="19.5" customHeight="1">
      <c r="B15" s="23" t="s">
        <v>57</v>
      </c>
      <c r="C15" s="221" t="s">
        <v>58</v>
      </c>
      <c r="D15" s="222"/>
      <c r="E15" s="222"/>
      <c r="F15" s="222"/>
      <c r="G15" s="222"/>
      <c r="H15" s="223"/>
      <c r="I15" s="294"/>
      <c r="J15" s="295"/>
      <c r="K15" s="12"/>
      <c r="L15" s="12"/>
      <c r="M15" s="12"/>
    </row>
    <row r="16" spans="2:13">
      <c r="B16" s="18"/>
      <c r="C16" s="25"/>
      <c r="D16" s="25"/>
      <c r="E16" s="25"/>
      <c r="F16" s="25"/>
      <c r="G16" s="25"/>
      <c r="H16" s="25"/>
      <c r="I16" s="98"/>
      <c r="J16" s="98"/>
      <c r="K16" s="12"/>
      <c r="L16" s="12"/>
      <c r="M16" s="12"/>
    </row>
    <row r="17" spans="2:13">
      <c r="B17" s="246" t="s">
        <v>59</v>
      </c>
      <c r="C17" s="246"/>
      <c r="D17" s="246"/>
      <c r="E17" s="246"/>
      <c r="F17" s="246"/>
      <c r="G17" s="246"/>
      <c r="H17" s="246"/>
      <c r="I17" s="246"/>
      <c r="J17" s="246"/>
      <c r="K17" s="12"/>
      <c r="L17" s="26"/>
      <c r="M17" s="26"/>
    </row>
    <row r="18" spans="2:13">
      <c r="B18" s="238" t="s">
        <v>60</v>
      </c>
      <c r="C18" s="238"/>
      <c r="D18" s="238" t="s">
        <v>47</v>
      </c>
      <c r="E18" s="238"/>
      <c r="F18" s="238" t="s">
        <v>61</v>
      </c>
      <c r="G18" s="238"/>
      <c r="H18" s="238"/>
      <c r="I18" s="238"/>
      <c r="J18" s="238"/>
      <c r="K18" s="12"/>
      <c r="L18" s="12"/>
      <c r="M18" s="12"/>
    </row>
    <row r="19" spans="2:13">
      <c r="B19" s="238" t="s">
        <v>62</v>
      </c>
      <c r="C19" s="238"/>
      <c r="D19" s="238" t="s">
        <v>48</v>
      </c>
      <c r="E19" s="238"/>
      <c r="F19" s="263">
        <v>1</v>
      </c>
      <c r="G19" s="263"/>
      <c r="H19" s="263"/>
      <c r="I19" s="263"/>
      <c r="J19" s="263"/>
      <c r="K19" s="89"/>
      <c r="L19" s="89"/>
      <c r="M19" s="89"/>
    </row>
    <row r="20" spans="2:13">
      <c r="B20" s="18"/>
      <c r="C20" s="25"/>
      <c r="D20" s="25"/>
      <c r="E20" s="25"/>
      <c r="F20" s="25"/>
      <c r="G20" s="25"/>
      <c r="H20" s="25"/>
      <c r="I20" s="98"/>
      <c r="J20" s="98"/>
      <c r="K20" s="12"/>
      <c r="L20" s="12"/>
      <c r="M20" s="12"/>
    </row>
    <row r="21" spans="2:13">
      <c r="B21" s="246" t="s">
        <v>63</v>
      </c>
      <c r="C21" s="246"/>
      <c r="D21" s="246"/>
      <c r="E21" s="246"/>
      <c r="F21" s="246"/>
      <c r="G21" s="246"/>
      <c r="H21" s="246"/>
      <c r="I21" s="246"/>
      <c r="J21" s="246"/>
      <c r="K21" s="12"/>
      <c r="L21" s="26"/>
      <c r="M21" s="26"/>
    </row>
    <row r="22" spans="2:13">
      <c r="B22" s="23">
        <v>1</v>
      </c>
      <c r="C22" s="236" t="s">
        <v>64</v>
      </c>
      <c r="D22" s="236"/>
      <c r="E22" s="236"/>
      <c r="F22" s="236"/>
      <c r="G22" s="236"/>
      <c r="H22" s="236"/>
      <c r="I22" s="291" t="s">
        <v>62</v>
      </c>
      <c r="J22" s="291"/>
      <c r="K22" s="12"/>
      <c r="L22" s="12"/>
      <c r="M22" s="12"/>
    </row>
    <row r="23" spans="2:13">
      <c r="B23" s="23">
        <v>2</v>
      </c>
      <c r="C23" s="236" t="s">
        <v>65</v>
      </c>
      <c r="D23" s="236"/>
      <c r="E23" s="236"/>
      <c r="F23" s="236"/>
      <c r="G23" s="236"/>
      <c r="H23" s="236"/>
      <c r="I23" s="292" t="s">
        <v>186</v>
      </c>
      <c r="J23" s="293"/>
      <c r="K23" s="12"/>
      <c r="L23" s="12"/>
      <c r="M23" s="12"/>
    </row>
    <row r="24" spans="2:13">
      <c r="B24" s="23">
        <v>3</v>
      </c>
      <c r="C24" s="236" t="s">
        <v>67</v>
      </c>
      <c r="D24" s="236"/>
      <c r="E24" s="236"/>
      <c r="F24" s="236"/>
      <c r="G24" s="236"/>
      <c r="H24" s="236"/>
      <c r="I24" s="338">
        <f>(1914/220)*200</f>
        <v>1739.9999999999998</v>
      </c>
      <c r="J24" s="339"/>
      <c r="K24" s="12"/>
      <c r="L24" s="12"/>
      <c r="M24" s="12"/>
    </row>
    <row r="25" spans="2:13" ht="15" customHeight="1">
      <c r="B25" s="23">
        <v>4</v>
      </c>
      <c r="C25" s="236" t="s">
        <v>68</v>
      </c>
      <c r="D25" s="236"/>
      <c r="E25" s="236"/>
      <c r="F25" s="236"/>
      <c r="G25" s="236"/>
      <c r="H25" s="236"/>
      <c r="I25" s="257" t="s">
        <v>187</v>
      </c>
      <c r="J25" s="257"/>
      <c r="K25" s="12"/>
      <c r="L25" s="12"/>
      <c r="M25" s="12"/>
    </row>
    <row r="26" spans="2:13">
      <c r="B26" s="23">
        <v>5</v>
      </c>
      <c r="C26" s="221" t="s">
        <v>70</v>
      </c>
      <c r="D26" s="222"/>
      <c r="E26" s="222"/>
      <c r="F26" s="222"/>
      <c r="G26" s="222"/>
      <c r="H26" s="223"/>
      <c r="I26" s="248" t="s">
        <v>71</v>
      </c>
      <c r="J26" s="249"/>
      <c r="K26" s="12"/>
      <c r="L26" s="12"/>
      <c r="M26" s="12"/>
    </row>
    <row r="27" spans="2:13">
      <c r="B27" s="23">
        <v>6</v>
      </c>
      <c r="C27" s="236" t="s">
        <v>72</v>
      </c>
      <c r="D27" s="236"/>
      <c r="E27" s="236"/>
      <c r="F27" s="236"/>
      <c r="G27" s="236"/>
      <c r="H27" s="236"/>
      <c r="I27" s="289"/>
      <c r="J27" s="290"/>
      <c r="K27" s="12"/>
      <c r="L27" s="12"/>
      <c r="M27" s="12"/>
    </row>
    <row r="28" spans="2:13">
      <c r="B28" s="253"/>
      <c r="C28" s="253"/>
      <c r="D28" s="253"/>
      <c r="E28" s="253"/>
      <c r="F28" s="253"/>
      <c r="G28" s="253"/>
      <c r="H28" s="253"/>
      <c r="I28" s="253"/>
      <c r="J28" s="253"/>
      <c r="K28" s="12"/>
      <c r="L28" s="12"/>
      <c r="M28" s="12"/>
    </row>
    <row r="29" spans="2:13">
      <c r="B29" s="247" t="s">
        <v>73</v>
      </c>
      <c r="C29" s="247"/>
      <c r="D29" s="247"/>
      <c r="E29" s="247"/>
      <c r="F29" s="247"/>
      <c r="G29" s="247"/>
      <c r="H29" s="247"/>
      <c r="I29" s="247"/>
      <c r="J29" s="247"/>
      <c r="K29" s="12"/>
      <c r="L29" s="26"/>
      <c r="M29" s="26"/>
    </row>
    <row r="30" spans="2:13">
      <c r="B30" s="28">
        <v>1</v>
      </c>
      <c r="C30" s="244" t="s">
        <v>74</v>
      </c>
      <c r="D30" s="244"/>
      <c r="E30" s="244"/>
      <c r="F30" s="244"/>
      <c r="G30" s="244"/>
      <c r="H30" s="244"/>
      <c r="I30" s="28" t="s">
        <v>75</v>
      </c>
      <c r="J30" s="28" t="s">
        <v>76</v>
      </c>
      <c r="K30" s="12"/>
      <c r="L30" s="12"/>
      <c r="M30" s="12"/>
    </row>
    <row r="31" spans="2:13">
      <c r="B31" s="28" t="s">
        <v>44</v>
      </c>
      <c r="C31" s="236" t="s">
        <v>77</v>
      </c>
      <c r="D31" s="236"/>
      <c r="E31" s="236"/>
      <c r="F31" s="236"/>
      <c r="G31" s="236"/>
      <c r="H31" s="236"/>
      <c r="I31" s="110"/>
      <c r="J31" s="73">
        <f>I24</f>
        <v>1739.9999999999998</v>
      </c>
      <c r="K31" s="12"/>
      <c r="L31" s="12"/>
      <c r="M31" s="12"/>
    </row>
    <row r="32" spans="2:13" ht="15" customHeight="1">
      <c r="B32" s="28" t="s">
        <v>46</v>
      </c>
      <c r="C32" s="236" t="s">
        <v>78</v>
      </c>
      <c r="D32" s="236"/>
      <c r="E32" s="236"/>
      <c r="F32" s="236"/>
      <c r="G32" s="236"/>
      <c r="H32" s="236"/>
      <c r="I32" s="99"/>
      <c r="J32" s="33">
        <v>0</v>
      </c>
      <c r="K32" s="12"/>
      <c r="L32" s="12"/>
      <c r="M32" s="12"/>
    </row>
    <row r="33" spans="2:13">
      <c r="B33" s="28" t="s">
        <v>49</v>
      </c>
      <c r="C33" s="236" t="s">
        <v>79</v>
      </c>
      <c r="D33" s="236"/>
      <c r="E33" s="236"/>
      <c r="F33" s="236"/>
      <c r="G33" s="236"/>
      <c r="H33" s="236"/>
      <c r="I33" s="99"/>
      <c r="J33" s="33">
        <v>0</v>
      </c>
      <c r="K33" s="12"/>
      <c r="L33" s="12"/>
      <c r="M33" s="12"/>
    </row>
    <row r="34" spans="2:13">
      <c r="B34" s="28" t="s">
        <v>52</v>
      </c>
      <c r="C34" s="236" t="s">
        <v>80</v>
      </c>
      <c r="D34" s="236"/>
      <c r="E34" s="236"/>
      <c r="F34" s="236"/>
      <c r="G34" s="236"/>
      <c r="H34" s="236"/>
      <c r="I34" s="99"/>
      <c r="J34" s="33">
        <v>0</v>
      </c>
      <c r="K34" s="12"/>
      <c r="L34" s="12"/>
      <c r="M34" s="12"/>
    </row>
    <row r="35" spans="2:13">
      <c r="B35" s="28" t="s">
        <v>55</v>
      </c>
      <c r="C35" s="288" t="s">
        <v>188</v>
      </c>
      <c r="D35" s="288"/>
      <c r="E35" s="288"/>
      <c r="F35" s="288"/>
      <c r="G35" s="288"/>
      <c r="H35" s="288"/>
      <c r="I35" s="100"/>
      <c r="J35" s="33">
        <v>0</v>
      </c>
      <c r="K35" s="12"/>
      <c r="L35" s="12"/>
      <c r="M35" s="12"/>
    </row>
    <row r="36" spans="2:13">
      <c r="B36" s="28" t="s">
        <v>57</v>
      </c>
      <c r="C36" s="236" t="s">
        <v>82</v>
      </c>
      <c r="D36" s="236"/>
      <c r="E36" s="236"/>
      <c r="F36" s="236"/>
      <c r="G36" s="236"/>
      <c r="H36" s="236"/>
      <c r="I36" s="99"/>
      <c r="J36" s="138">
        <v>0</v>
      </c>
      <c r="K36" s="12"/>
      <c r="L36" s="12"/>
      <c r="M36" s="12"/>
    </row>
    <row r="37" spans="2:13">
      <c r="B37" s="244" t="s">
        <v>83</v>
      </c>
      <c r="C37" s="244"/>
      <c r="D37" s="244"/>
      <c r="E37" s="244"/>
      <c r="F37" s="244"/>
      <c r="G37" s="244"/>
      <c r="H37" s="244"/>
      <c r="I37" s="273"/>
      <c r="J37" s="206">
        <f>SUM(J31:J36)</f>
        <v>1739.9999999999998</v>
      </c>
      <c r="K37" s="12"/>
      <c r="L37" s="12"/>
      <c r="M37" s="12"/>
    </row>
    <row r="38" spans="2:13">
      <c r="B38" s="11"/>
      <c r="C38" s="11"/>
      <c r="D38" s="11"/>
      <c r="E38" s="11"/>
      <c r="F38" s="11"/>
      <c r="G38" s="11"/>
      <c r="H38" s="11"/>
      <c r="I38" s="102"/>
      <c r="J38" s="103"/>
      <c r="K38" s="12"/>
      <c r="L38" s="12"/>
      <c r="M38" s="12"/>
    </row>
    <row r="39" spans="2:13">
      <c r="B39" s="247" t="s">
        <v>84</v>
      </c>
      <c r="C39" s="247"/>
      <c r="D39" s="247"/>
      <c r="E39" s="247"/>
      <c r="F39" s="247"/>
      <c r="G39" s="247"/>
      <c r="H39" s="247"/>
      <c r="I39" s="247"/>
      <c r="J39" s="247"/>
      <c r="K39" s="12"/>
      <c r="L39" s="26"/>
      <c r="M39" s="26"/>
    </row>
    <row r="40" spans="2:13">
      <c r="B40" s="258" t="s">
        <v>85</v>
      </c>
      <c r="C40" s="258"/>
      <c r="D40" s="258"/>
      <c r="E40" s="258"/>
      <c r="F40" s="258"/>
      <c r="G40" s="258"/>
      <c r="H40" s="258"/>
      <c r="I40" s="40" t="s">
        <v>75</v>
      </c>
      <c r="J40" s="40" t="s">
        <v>76</v>
      </c>
      <c r="K40" s="12"/>
      <c r="L40" s="12"/>
      <c r="M40" s="12"/>
    </row>
    <row r="41" spans="2:13">
      <c r="B41" s="28" t="s">
        <v>44</v>
      </c>
      <c r="C41" s="236" t="s">
        <v>86</v>
      </c>
      <c r="D41" s="236"/>
      <c r="E41" s="236"/>
      <c r="F41" s="236"/>
      <c r="G41" s="236"/>
      <c r="H41" s="236"/>
      <c r="I41" s="41">
        <f>1/12</f>
        <v>8.3333333333333329E-2</v>
      </c>
      <c r="J41" s="42">
        <f>TRUNC($J$37*I41,2)</f>
        <v>145</v>
      </c>
      <c r="K41" s="12"/>
      <c r="L41" s="12"/>
      <c r="M41" s="12"/>
    </row>
    <row r="42" spans="2:13">
      <c r="B42" s="28" t="s">
        <v>46</v>
      </c>
      <c r="C42" s="236" t="s">
        <v>87</v>
      </c>
      <c r="D42" s="236"/>
      <c r="E42" s="236"/>
      <c r="F42" s="236"/>
      <c r="G42" s="236"/>
      <c r="H42" s="236"/>
      <c r="I42" s="44">
        <v>0.121</v>
      </c>
      <c r="J42" s="42">
        <f>TRUNC($J$37*I42,2)</f>
        <v>210.54</v>
      </c>
      <c r="K42" s="12"/>
      <c r="L42" s="12"/>
      <c r="M42" s="12"/>
    </row>
    <row r="43" spans="2:13">
      <c r="B43" s="244" t="s">
        <v>88</v>
      </c>
      <c r="C43" s="244"/>
      <c r="D43" s="244"/>
      <c r="E43" s="244"/>
      <c r="F43" s="244"/>
      <c r="G43" s="244"/>
      <c r="H43" s="244"/>
      <c r="I43" s="45">
        <f>SUM(I41:I42)</f>
        <v>0.20433333333333331</v>
      </c>
      <c r="J43" s="46">
        <f>SUM(J41:J42)</f>
        <v>355.53999999999996</v>
      </c>
      <c r="K43" s="12"/>
      <c r="L43" s="12"/>
      <c r="M43" s="12"/>
    </row>
    <row r="44" spans="2:13">
      <c r="B44" s="259"/>
      <c r="C44" s="260"/>
      <c r="D44" s="260"/>
      <c r="E44" s="260"/>
      <c r="F44" s="260"/>
      <c r="G44" s="260"/>
      <c r="H44" s="260"/>
      <c r="I44" s="260"/>
      <c r="J44" s="260"/>
      <c r="K44" s="12"/>
      <c r="L44" s="12"/>
      <c r="M44" s="12"/>
    </row>
    <row r="45" spans="2:13">
      <c r="B45" s="258" t="s">
        <v>89</v>
      </c>
      <c r="C45" s="258"/>
      <c r="D45" s="258"/>
      <c r="E45" s="258"/>
      <c r="F45" s="258"/>
      <c r="G45" s="258"/>
      <c r="H45" s="258"/>
      <c r="I45" s="40" t="s">
        <v>75</v>
      </c>
      <c r="J45" s="40" t="s">
        <v>76</v>
      </c>
      <c r="K45" s="12"/>
      <c r="L45" s="12"/>
      <c r="M45" s="12"/>
    </row>
    <row r="46" spans="2:13">
      <c r="B46" s="28" t="s">
        <v>44</v>
      </c>
      <c r="C46" s="236" t="s">
        <v>90</v>
      </c>
      <c r="D46" s="236"/>
      <c r="E46" s="236"/>
      <c r="F46" s="236"/>
      <c r="G46" s="236"/>
      <c r="H46" s="236"/>
      <c r="I46" s="41">
        <v>0.2</v>
      </c>
      <c r="J46" s="42">
        <f>TRUNC(($J$37+$J$43)*$I$46,2)</f>
        <v>419.1</v>
      </c>
      <c r="K46" s="12"/>
      <c r="L46" s="12"/>
      <c r="M46" s="12"/>
    </row>
    <row r="47" spans="2:13">
      <c r="B47" s="28" t="s">
        <v>46</v>
      </c>
      <c r="C47" s="236" t="s">
        <v>91</v>
      </c>
      <c r="D47" s="236"/>
      <c r="E47" s="236"/>
      <c r="F47" s="236"/>
      <c r="G47" s="236"/>
      <c r="H47" s="236"/>
      <c r="I47" s="41">
        <v>2.5000000000000001E-2</v>
      </c>
      <c r="J47" s="42">
        <f>TRUNC(($J$37+$J$43)*$I$47,2)</f>
        <v>52.38</v>
      </c>
      <c r="K47" s="12"/>
      <c r="L47" s="12"/>
      <c r="M47" s="12"/>
    </row>
    <row r="48" spans="2:13">
      <c r="B48" s="28" t="s">
        <v>49</v>
      </c>
      <c r="C48" s="236" t="s">
        <v>92</v>
      </c>
      <c r="D48" s="236"/>
      <c r="E48" s="236"/>
      <c r="F48" s="236"/>
      <c r="G48" s="236"/>
      <c r="H48" s="236"/>
      <c r="I48" s="213"/>
      <c r="J48" s="42">
        <f>TRUNC(($J$37+$J$43)*$I$48,2)</f>
        <v>0</v>
      </c>
      <c r="K48" s="12"/>
      <c r="L48" s="12"/>
      <c r="M48" s="12"/>
    </row>
    <row r="49" spans="2:13">
      <c r="B49" s="28" t="s">
        <v>52</v>
      </c>
      <c r="C49" s="236" t="s">
        <v>93</v>
      </c>
      <c r="D49" s="236"/>
      <c r="E49" s="236"/>
      <c r="F49" s="236"/>
      <c r="G49" s="236"/>
      <c r="H49" s="236"/>
      <c r="I49" s="41">
        <v>1.4999999999999999E-2</v>
      </c>
      <c r="J49" s="42">
        <f>TRUNC(($J$37+$J$43)*$I$49,2)</f>
        <v>31.43</v>
      </c>
      <c r="K49" s="12"/>
      <c r="L49" s="12"/>
      <c r="M49" s="12"/>
    </row>
    <row r="50" spans="2:13">
      <c r="B50" s="28" t="s">
        <v>55</v>
      </c>
      <c r="C50" s="236" t="s">
        <v>94</v>
      </c>
      <c r="D50" s="236"/>
      <c r="E50" s="236"/>
      <c r="F50" s="236"/>
      <c r="G50" s="236"/>
      <c r="H50" s="236"/>
      <c r="I50" s="41">
        <v>0.01</v>
      </c>
      <c r="J50" s="42">
        <f>TRUNC(($J$37+$J$43)*$I$50,2)</f>
        <v>20.95</v>
      </c>
      <c r="K50" s="12"/>
      <c r="L50" s="12"/>
      <c r="M50" s="12"/>
    </row>
    <row r="51" spans="2:13">
      <c r="B51" s="28" t="s">
        <v>57</v>
      </c>
      <c r="C51" s="236" t="s">
        <v>95</v>
      </c>
      <c r="D51" s="236"/>
      <c r="E51" s="236"/>
      <c r="F51" s="236"/>
      <c r="G51" s="236"/>
      <c r="H51" s="236"/>
      <c r="I51" s="41">
        <v>6.0000000000000001E-3</v>
      </c>
      <c r="J51" s="42">
        <f>TRUNC(($J$37+$J$43)*$I$51,2)</f>
        <v>12.57</v>
      </c>
      <c r="K51" s="12"/>
      <c r="L51" s="12"/>
      <c r="M51" s="12"/>
    </row>
    <row r="52" spans="2:13">
      <c r="B52" s="28" t="s">
        <v>96</v>
      </c>
      <c r="C52" s="236" t="s">
        <v>97</v>
      </c>
      <c r="D52" s="236"/>
      <c r="E52" s="236"/>
      <c r="F52" s="236"/>
      <c r="G52" s="236"/>
      <c r="H52" s="236"/>
      <c r="I52" s="41">
        <v>2E-3</v>
      </c>
      <c r="J52" s="42">
        <f>TRUNC(($J$37+$J$43)*$I$52,2)</f>
        <v>4.1900000000000004</v>
      </c>
      <c r="K52" s="12"/>
      <c r="L52" s="12"/>
      <c r="M52" s="12"/>
    </row>
    <row r="53" spans="2:13">
      <c r="B53" s="28" t="s">
        <v>98</v>
      </c>
      <c r="C53" s="236" t="s">
        <v>99</v>
      </c>
      <c r="D53" s="236"/>
      <c r="E53" s="236"/>
      <c r="F53" s="236"/>
      <c r="G53" s="236"/>
      <c r="H53" s="236"/>
      <c r="I53" s="41">
        <v>0.08</v>
      </c>
      <c r="J53" s="42">
        <f>TRUNC(($J$37+$J$43)*$I$53,2)</f>
        <v>167.64</v>
      </c>
      <c r="K53" s="12"/>
      <c r="L53" s="12"/>
      <c r="M53" s="12"/>
    </row>
    <row r="54" spans="2:13">
      <c r="B54" s="244" t="s">
        <v>100</v>
      </c>
      <c r="C54" s="244"/>
      <c r="D54" s="244"/>
      <c r="E54" s="244"/>
      <c r="F54" s="244"/>
      <c r="G54" s="244"/>
      <c r="H54" s="244"/>
      <c r="I54" s="45">
        <f>SUM(I46:I53)</f>
        <v>0.33800000000000002</v>
      </c>
      <c r="J54" s="46">
        <f>SUM(J46:J53)</f>
        <v>708.2600000000001</v>
      </c>
      <c r="K54" s="12"/>
      <c r="L54" s="12"/>
      <c r="M54" s="12"/>
    </row>
    <row r="55" spans="2:13">
      <c r="B55" s="261"/>
      <c r="C55" s="261"/>
      <c r="D55" s="261"/>
      <c r="E55" s="261"/>
      <c r="F55" s="261"/>
      <c r="G55" s="261"/>
      <c r="H55" s="261"/>
      <c r="I55" s="261"/>
      <c r="J55" s="262"/>
      <c r="K55" s="12"/>
      <c r="L55" s="12"/>
      <c r="M55" s="12"/>
    </row>
    <row r="56" spans="2:13">
      <c r="B56" s="258" t="s">
        <v>101</v>
      </c>
      <c r="C56" s="258"/>
      <c r="D56" s="258"/>
      <c r="E56" s="258"/>
      <c r="F56" s="258"/>
      <c r="G56" s="258"/>
      <c r="H56" s="258"/>
      <c r="I56" s="106"/>
      <c r="J56" s="40" t="s">
        <v>76</v>
      </c>
      <c r="K56" s="12"/>
      <c r="L56" s="12"/>
      <c r="M56" s="12"/>
    </row>
    <row r="57" spans="2:13">
      <c r="B57" s="28" t="s">
        <v>44</v>
      </c>
      <c r="C57" s="264" t="s">
        <v>102</v>
      </c>
      <c r="D57" s="264"/>
      <c r="E57" s="264"/>
      <c r="F57" s="264"/>
      <c r="G57" s="264"/>
      <c r="H57" s="264"/>
      <c r="I57" s="97" t="s">
        <v>22</v>
      </c>
      <c r="J57" s="49">
        <v>0</v>
      </c>
      <c r="K57" s="12"/>
      <c r="L57" s="12"/>
      <c r="M57" s="12"/>
    </row>
    <row r="58" spans="2:13">
      <c r="B58" s="172" t="s">
        <v>46</v>
      </c>
      <c r="C58" s="265" t="s">
        <v>103</v>
      </c>
      <c r="D58" s="265"/>
      <c r="E58" s="265"/>
      <c r="F58" s="265"/>
      <c r="G58" s="265"/>
      <c r="H58" s="265"/>
      <c r="I58" s="173">
        <v>0</v>
      </c>
      <c r="J58" s="169">
        <f>TRUNC((22*I58)*80%)</f>
        <v>0</v>
      </c>
      <c r="K58" s="174"/>
      <c r="L58" s="174"/>
      <c r="M58" s="174"/>
    </row>
    <row r="59" spans="2:13">
      <c r="B59" s="172" t="s">
        <v>49</v>
      </c>
      <c r="C59" s="266" t="s">
        <v>189</v>
      </c>
      <c r="D59" s="267"/>
      <c r="E59" s="267"/>
      <c r="F59" s="267"/>
      <c r="G59" s="267"/>
      <c r="H59" s="268"/>
      <c r="I59" s="186" t="s">
        <v>22</v>
      </c>
      <c r="J59" s="169">
        <v>0</v>
      </c>
      <c r="K59" s="174"/>
      <c r="L59" s="174"/>
      <c r="M59" s="174"/>
    </row>
    <row r="60" spans="2:13">
      <c r="B60" s="172" t="s">
        <v>52</v>
      </c>
      <c r="C60" s="265" t="s">
        <v>105</v>
      </c>
      <c r="D60" s="265"/>
      <c r="E60" s="265"/>
      <c r="F60" s="265"/>
      <c r="G60" s="265"/>
      <c r="H60" s="265"/>
      <c r="I60" s="186" t="s">
        <v>22</v>
      </c>
      <c r="J60" s="169">
        <v>0</v>
      </c>
      <c r="K60" s="174"/>
      <c r="L60" s="174"/>
      <c r="M60" s="174"/>
    </row>
    <row r="61" spans="2:13">
      <c r="B61" s="172" t="s">
        <v>55</v>
      </c>
      <c r="C61" s="269" t="s">
        <v>106</v>
      </c>
      <c r="D61" s="270"/>
      <c r="E61" s="270"/>
      <c r="F61" s="270"/>
      <c r="G61" s="270"/>
      <c r="H61" s="271"/>
      <c r="I61" s="186" t="s">
        <v>22</v>
      </c>
      <c r="J61" s="169">
        <v>0</v>
      </c>
      <c r="K61" s="174"/>
      <c r="L61" s="174"/>
      <c r="M61" s="174"/>
    </row>
    <row r="62" spans="2:13">
      <c r="B62" s="172" t="s">
        <v>57</v>
      </c>
      <c r="C62" s="265" t="s">
        <v>107</v>
      </c>
      <c r="D62" s="265"/>
      <c r="E62" s="265"/>
      <c r="F62" s="265"/>
      <c r="G62" s="265"/>
      <c r="H62" s="265"/>
      <c r="I62" s="186" t="s">
        <v>22</v>
      </c>
      <c r="J62" s="169">
        <v>0</v>
      </c>
      <c r="K62" s="174"/>
      <c r="L62" s="174"/>
      <c r="M62" s="174"/>
    </row>
    <row r="63" spans="2:13">
      <c r="B63" s="263" t="s">
        <v>108</v>
      </c>
      <c r="C63" s="263"/>
      <c r="D63" s="263"/>
      <c r="E63" s="263"/>
      <c r="F63" s="263"/>
      <c r="G63" s="263"/>
      <c r="H63" s="263"/>
      <c r="I63" s="263"/>
      <c r="J63" s="177">
        <f>SUM(J57:J62)</f>
        <v>0</v>
      </c>
      <c r="K63" s="174"/>
      <c r="L63" s="174"/>
      <c r="M63" s="174"/>
    </row>
    <row r="64" spans="2:13">
      <c r="B64" s="261"/>
      <c r="C64" s="261"/>
      <c r="D64" s="261"/>
      <c r="E64" s="261"/>
      <c r="F64" s="261"/>
      <c r="G64" s="261"/>
      <c r="H64" s="261"/>
      <c r="I64" s="261"/>
      <c r="J64" s="262"/>
      <c r="K64" s="12"/>
      <c r="L64" s="26"/>
      <c r="M64" s="26"/>
    </row>
    <row r="65" spans="2:13">
      <c r="B65" s="246" t="s">
        <v>109</v>
      </c>
      <c r="C65" s="246"/>
      <c r="D65" s="246"/>
      <c r="E65" s="246"/>
      <c r="F65" s="246"/>
      <c r="G65" s="246"/>
      <c r="H65" s="246"/>
      <c r="I65" s="246"/>
      <c r="J65" s="246"/>
      <c r="K65" s="12"/>
      <c r="L65" s="26"/>
      <c r="M65" s="26"/>
    </row>
    <row r="66" spans="2:13">
      <c r="B66" s="244" t="s">
        <v>110</v>
      </c>
      <c r="C66" s="244"/>
      <c r="D66" s="244"/>
      <c r="E66" s="244"/>
      <c r="F66" s="244"/>
      <c r="G66" s="244"/>
      <c r="H66" s="244"/>
      <c r="I66" s="244"/>
      <c r="J66" s="28" t="s">
        <v>76</v>
      </c>
      <c r="K66" s="12"/>
      <c r="L66" s="12"/>
      <c r="M66" s="12"/>
    </row>
    <row r="67" spans="2:13">
      <c r="B67" s="28" t="s">
        <v>111</v>
      </c>
      <c r="C67" s="236" t="s">
        <v>112</v>
      </c>
      <c r="D67" s="236"/>
      <c r="E67" s="236"/>
      <c r="F67" s="236"/>
      <c r="G67" s="236"/>
      <c r="H67" s="236"/>
      <c r="I67" s="236"/>
      <c r="J67" s="42">
        <f>J43</f>
        <v>355.53999999999996</v>
      </c>
      <c r="K67" s="12"/>
      <c r="L67" s="12"/>
      <c r="M67" s="12"/>
    </row>
    <row r="68" spans="2:13">
      <c r="B68" s="28" t="s">
        <v>113</v>
      </c>
      <c r="C68" s="236" t="s">
        <v>114</v>
      </c>
      <c r="D68" s="236"/>
      <c r="E68" s="236"/>
      <c r="F68" s="236"/>
      <c r="G68" s="236"/>
      <c r="H68" s="236"/>
      <c r="I68" s="236"/>
      <c r="J68" s="42">
        <f>J54</f>
        <v>708.2600000000001</v>
      </c>
      <c r="K68" s="12"/>
      <c r="L68" s="12"/>
      <c r="M68" s="12"/>
    </row>
    <row r="69" spans="2:13">
      <c r="B69" s="28" t="s">
        <v>115</v>
      </c>
      <c r="C69" s="236" t="s">
        <v>116</v>
      </c>
      <c r="D69" s="236"/>
      <c r="E69" s="236"/>
      <c r="F69" s="236"/>
      <c r="G69" s="236"/>
      <c r="H69" s="236"/>
      <c r="I69" s="236"/>
      <c r="J69" s="42">
        <f>J63</f>
        <v>0</v>
      </c>
      <c r="K69" s="12"/>
      <c r="L69" s="12"/>
      <c r="M69" s="12"/>
    </row>
    <row r="70" spans="2:13">
      <c r="B70" s="244" t="s">
        <v>117</v>
      </c>
      <c r="C70" s="244"/>
      <c r="D70" s="244"/>
      <c r="E70" s="244"/>
      <c r="F70" s="244"/>
      <c r="G70" s="244"/>
      <c r="H70" s="244"/>
      <c r="I70" s="244"/>
      <c r="J70" s="46">
        <f>SUM(J67:J69)</f>
        <v>1063.8000000000002</v>
      </c>
      <c r="K70" s="12"/>
      <c r="L70" s="12"/>
      <c r="M70" s="12"/>
    </row>
    <row r="71" spans="2:13">
      <c r="B71" s="275"/>
      <c r="C71" s="276"/>
      <c r="D71" s="276"/>
      <c r="E71" s="276"/>
      <c r="F71" s="276"/>
      <c r="G71" s="276"/>
      <c r="H71" s="276"/>
      <c r="I71" s="276"/>
      <c r="J71" s="276"/>
      <c r="K71" s="12"/>
      <c r="L71" s="12"/>
      <c r="M71" s="12"/>
    </row>
    <row r="72" spans="2:13">
      <c r="B72" s="247" t="s">
        <v>118</v>
      </c>
      <c r="C72" s="247"/>
      <c r="D72" s="247"/>
      <c r="E72" s="247"/>
      <c r="F72" s="247"/>
      <c r="G72" s="247"/>
      <c r="H72" s="247"/>
      <c r="I72" s="247"/>
      <c r="J72" s="247"/>
      <c r="K72" s="12"/>
      <c r="L72" s="26"/>
      <c r="M72" s="26"/>
    </row>
    <row r="73" spans="2:13">
      <c r="B73" s="28">
        <v>3</v>
      </c>
      <c r="C73" s="244" t="s">
        <v>119</v>
      </c>
      <c r="D73" s="244"/>
      <c r="E73" s="244"/>
      <c r="F73" s="244"/>
      <c r="G73" s="244"/>
      <c r="H73" s="244"/>
      <c r="I73" s="28" t="s">
        <v>75</v>
      </c>
      <c r="J73" s="28" t="s">
        <v>76</v>
      </c>
      <c r="K73" s="12"/>
      <c r="L73" s="12"/>
      <c r="M73" s="12"/>
    </row>
    <row r="74" spans="2:13">
      <c r="B74" s="28" t="s">
        <v>44</v>
      </c>
      <c r="C74" s="236" t="s">
        <v>120</v>
      </c>
      <c r="D74" s="236"/>
      <c r="E74" s="236"/>
      <c r="F74" s="236"/>
      <c r="G74" s="236"/>
      <c r="H74" s="236"/>
      <c r="I74" s="41">
        <f>(1/12)*0.05</f>
        <v>4.1666666666666666E-3</v>
      </c>
      <c r="J74" s="42">
        <f>TRUNC(I74*$J$37,2)</f>
        <v>7.25</v>
      </c>
      <c r="K74" s="12"/>
      <c r="L74" s="12"/>
      <c r="M74" s="12"/>
    </row>
    <row r="75" spans="2:13">
      <c r="B75" s="28" t="s">
        <v>46</v>
      </c>
      <c r="C75" s="236" t="s">
        <v>121</v>
      </c>
      <c r="D75" s="236"/>
      <c r="E75" s="236"/>
      <c r="F75" s="236"/>
      <c r="G75" s="236"/>
      <c r="H75" s="236"/>
      <c r="I75" s="41">
        <f>I53*I74</f>
        <v>3.3333333333333332E-4</v>
      </c>
      <c r="J75" s="42">
        <f>TRUNC(I75*$J$37,2)</f>
        <v>0.57999999999999996</v>
      </c>
      <c r="K75" s="12"/>
      <c r="L75" s="12"/>
      <c r="M75" s="12"/>
    </row>
    <row r="76" spans="2:13">
      <c r="B76" s="28" t="s">
        <v>49</v>
      </c>
      <c r="C76" s="272" t="s">
        <v>122</v>
      </c>
      <c r="D76" s="272"/>
      <c r="E76" s="272"/>
      <c r="F76" s="272"/>
      <c r="G76" s="272"/>
      <c r="H76" s="272"/>
      <c r="I76" s="41">
        <f>((1+(2/12)+(1/3*1/12))*0.08*0.4*0.9)</f>
        <v>3.4400000000000007E-2</v>
      </c>
      <c r="J76" s="42">
        <f>TRUNC(I76*$J$37,2)</f>
        <v>59.85</v>
      </c>
      <c r="K76" s="12"/>
      <c r="L76" s="12"/>
      <c r="M76" s="12"/>
    </row>
    <row r="77" spans="2:13">
      <c r="B77" s="28" t="s">
        <v>52</v>
      </c>
      <c r="C77" s="236" t="s">
        <v>123</v>
      </c>
      <c r="D77" s="236"/>
      <c r="E77" s="236"/>
      <c r="F77" s="236"/>
      <c r="G77" s="236"/>
      <c r="H77" s="236"/>
      <c r="I77" s="41">
        <f>((7/30)/12)</f>
        <v>1.9444444444444445E-2</v>
      </c>
      <c r="J77" s="42">
        <f t="shared" ref="J77:J78" si="0">TRUNC(I77*$J$37,2)</f>
        <v>33.83</v>
      </c>
      <c r="K77" s="12"/>
      <c r="L77" s="12"/>
      <c r="M77" s="12"/>
    </row>
    <row r="78" spans="2:13">
      <c r="B78" s="28" t="s">
        <v>55</v>
      </c>
      <c r="C78" s="236" t="s">
        <v>124</v>
      </c>
      <c r="D78" s="236"/>
      <c r="E78" s="236"/>
      <c r="F78" s="236"/>
      <c r="G78" s="236"/>
      <c r="H78" s="236"/>
      <c r="I78" s="44">
        <f>I54*I77</f>
        <v>6.5722222222222224E-3</v>
      </c>
      <c r="J78" s="42">
        <f t="shared" si="0"/>
        <v>11.43</v>
      </c>
      <c r="K78" s="12"/>
      <c r="L78" s="12"/>
      <c r="M78" s="12"/>
    </row>
    <row r="79" spans="2:13">
      <c r="B79" s="28" t="s">
        <v>57</v>
      </c>
      <c r="C79" s="272" t="s">
        <v>125</v>
      </c>
      <c r="D79" s="272"/>
      <c r="E79" s="272"/>
      <c r="F79" s="272"/>
      <c r="G79" s="272"/>
      <c r="H79" s="272"/>
      <c r="I79" s="214">
        <f>I77*0.08*0.4</f>
        <v>6.2222222222222236E-4</v>
      </c>
      <c r="J79" s="42">
        <f>TRUNC(I79*$J$37,2)</f>
        <v>1.08</v>
      </c>
      <c r="K79" s="12"/>
      <c r="L79" s="12"/>
      <c r="M79" s="12"/>
    </row>
    <row r="80" spans="2:13">
      <c r="B80" s="244" t="s">
        <v>126</v>
      </c>
      <c r="C80" s="244"/>
      <c r="D80" s="244"/>
      <c r="E80" s="244"/>
      <c r="F80" s="244"/>
      <c r="G80" s="244"/>
      <c r="H80" s="244"/>
      <c r="I80" s="45">
        <f>SUM(I74:I79)</f>
        <v>6.5538888888888897E-2</v>
      </c>
      <c r="J80" s="46">
        <f>SUM(J74:J79)</f>
        <v>114.02</v>
      </c>
      <c r="K80" s="12"/>
      <c r="L80" s="12"/>
      <c r="M80" s="12"/>
    </row>
    <row r="81" spans="2:13">
      <c r="B81" s="273"/>
      <c r="C81" s="274"/>
      <c r="D81" s="274"/>
      <c r="E81" s="274"/>
      <c r="F81" s="274"/>
      <c r="G81" s="274"/>
      <c r="H81" s="274"/>
      <c r="I81" s="274"/>
      <c r="J81" s="274"/>
      <c r="K81" s="12"/>
      <c r="L81" s="12"/>
      <c r="M81" s="12"/>
    </row>
    <row r="82" spans="2:13">
      <c r="B82" s="247" t="s">
        <v>127</v>
      </c>
      <c r="C82" s="247"/>
      <c r="D82" s="247"/>
      <c r="E82" s="247"/>
      <c r="F82" s="247"/>
      <c r="G82" s="247"/>
      <c r="H82" s="247"/>
      <c r="I82" s="247"/>
      <c r="J82" s="247"/>
      <c r="K82" s="12"/>
      <c r="L82" s="26"/>
      <c r="M82" s="26"/>
    </row>
    <row r="83" spans="2:13">
      <c r="B83" s="244" t="s">
        <v>128</v>
      </c>
      <c r="C83" s="244"/>
      <c r="D83" s="244"/>
      <c r="E83" s="244"/>
      <c r="F83" s="244"/>
      <c r="G83" s="244"/>
      <c r="H83" s="244"/>
      <c r="I83" s="28" t="s">
        <v>75</v>
      </c>
      <c r="J83" s="28" t="s">
        <v>76</v>
      </c>
      <c r="K83" s="52"/>
      <c r="L83" s="12"/>
      <c r="M83" s="12"/>
    </row>
    <row r="84" spans="2:13">
      <c r="B84" s="28" t="s">
        <v>44</v>
      </c>
      <c r="C84" s="236" t="s">
        <v>129</v>
      </c>
      <c r="D84" s="236"/>
      <c r="E84" s="236"/>
      <c r="F84" s="236"/>
      <c r="G84" s="236"/>
      <c r="H84" s="236"/>
      <c r="I84" s="119">
        <f>1/12</f>
        <v>8.3333333333333329E-2</v>
      </c>
      <c r="J84" s="42">
        <f>TRUNC(($J$37)*I84,2)</f>
        <v>145</v>
      </c>
      <c r="K84" s="90"/>
      <c r="L84" s="12"/>
      <c r="M84" s="12"/>
    </row>
    <row r="85" spans="2:13">
      <c r="B85" s="28" t="s">
        <v>46</v>
      </c>
      <c r="C85" s="236" t="s">
        <v>130</v>
      </c>
      <c r="D85" s="236"/>
      <c r="E85" s="236"/>
      <c r="F85" s="236"/>
      <c r="G85" s="236"/>
      <c r="H85" s="236"/>
      <c r="I85" s="41">
        <f>(5/30/12)</f>
        <v>1.3888888888888888E-2</v>
      </c>
      <c r="J85" s="42">
        <f t="shared" ref="J85:J90" si="1">TRUNC(($J$37)*I85,2)</f>
        <v>24.16</v>
      </c>
      <c r="K85" s="91"/>
      <c r="L85" s="12"/>
      <c r="M85" s="12"/>
    </row>
    <row r="86" spans="2:13">
      <c r="B86" s="28" t="s">
        <v>49</v>
      </c>
      <c r="C86" s="236" t="s">
        <v>131</v>
      </c>
      <c r="D86" s="236"/>
      <c r="E86" s="236"/>
      <c r="F86" s="236"/>
      <c r="G86" s="236"/>
      <c r="H86" s="236"/>
      <c r="I86" s="41">
        <f>(1/30/12)</f>
        <v>2.7777777777777779E-3</v>
      </c>
      <c r="J86" s="42">
        <f t="shared" si="1"/>
        <v>4.83</v>
      </c>
      <c r="K86" s="91"/>
      <c r="L86" s="12"/>
      <c r="M86" s="12"/>
    </row>
    <row r="87" spans="2:13">
      <c r="B87" s="28" t="s">
        <v>52</v>
      </c>
      <c r="C87" s="236" t="s">
        <v>132</v>
      </c>
      <c r="D87" s="236"/>
      <c r="E87" s="236"/>
      <c r="F87" s="236"/>
      <c r="G87" s="236"/>
      <c r="H87" s="236"/>
      <c r="I87" s="119">
        <f>((5/30)/12)*0.015</f>
        <v>2.0833333333333332E-4</v>
      </c>
      <c r="J87" s="42">
        <f t="shared" si="1"/>
        <v>0.36</v>
      </c>
      <c r="K87" s="90"/>
      <c r="L87" s="12"/>
      <c r="M87" s="12"/>
    </row>
    <row r="88" spans="2:13">
      <c r="B88" s="28" t="s">
        <v>55</v>
      </c>
      <c r="C88" s="236" t="s">
        <v>133</v>
      </c>
      <c r="D88" s="236"/>
      <c r="E88" s="236"/>
      <c r="F88" s="236"/>
      <c r="G88" s="236"/>
      <c r="H88" s="236"/>
      <c r="I88" s="119">
        <f>(1/12)/2*0.0178</f>
        <v>7.4166666666666662E-4</v>
      </c>
      <c r="J88" s="42">
        <f t="shared" si="1"/>
        <v>1.29</v>
      </c>
      <c r="K88" s="90"/>
      <c r="L88" s="12"/>
      <c r="M88" s="12"/>
    </row>
    <row r="89" spans="2:13">
      <c r="B89" s="28" t="s">
        <v>57</v>
      </c>
      <c r="C89" s="236" t="s">
        <v>134</v>
      </c>
      <c r="D89" s="236"/>
      <c r="E89" s="236"/>
      <c r="F89" s="236"/>
      <c r="G89" s="236"/>
      <c r="H89" s="236"/>
      <c r="I89" s="119">
        <f>(((1/12)+(1/3*1/12))*(0.24*0.22)*((6/12)))</f>
        <v>2.9333333333333334E-3</v>
      </c>
      <c r="J89" s="42">
        <f t="shared" si="1"/>
        <v>5.0999999999999996</v>
      </c>
      <c r="K89" s="90"/>
      <c r="L89" s="12"/>
      <c r="M89" s="12"/>
    </row>
    <row r="90" spans="2:13">
      <c r="B90" s="28" t="s">
        <v>96</v>
      </c>
      <c r="C90" s="236" t="s">
        <v>135</v>
      </c>
      <c r="D90" s="236"/>
      <c r="E90" s="236"/>
      <c r="F90" s="236"/>
      <c r="G90" s="236"/>
      <c r="H90" s="236"/>
      <c r="I90" s="41">
        <v>0</v>
      </c>
      <c r="J90" s="42">
        <f t="shared" si="1"/>
        <v>0</v>
      </c>
      <c r="K90" s="12"/>
      <c r="L90" s="12"/>
      <c r="M90" s="12"/>
    </row>
    <row r="91" spans="2:13">
      <c r="B91" s="277" t="s">
        <v>136</v>
      </c>
      <c r="C91" s="277"/>
      <c r="D91" s="277"/>
      <c r="E91" s="277"/>
      <c r="F91" s="277"/>
      <c r="G91" s="277"/>
      <c r="H91" s="277"/>
      <c r="I91" s="45">
        <f>SUM(I84:I90)</f>
        <v>0.10388333333333333</v>
      </c>
      <c r="J91" s="46">
        <f>SUM(J84:J90)</f>
        <v>180.74</v>
      </c>
      <c r="K91" s="12"/>
      <c r="L91" s="12"/>
      <c r="M91" s="12"/>
    </row>
    <row r="92" spans="2:13">
      <c r="B92" s="28" t="s">
        <v>98</v>
      </c>
      <c r="C92" s="236" t="s">
        <v>137</v>
      </c>
      <c r="D92" s="236"/>
      <c r="E92" s="236"/>
      <c r="F92" s="236"/>
      <c r="G92" s="236"/>
      <c r="H92" s="236"/>
      <c r="I92" s="41">
        <f>(I91-I89)*I43</f>
        <v>2.0627449999999999E-2</v>
      </c>
      <c r="J92" s="42">
        <f t="shared" ref="J92" si="2">TRUNC(($J$37)*I92,2)</f>
        <v>35.89</v>
      </c>
      <c r="K92" s="12"/>
      <c r="L92" s="12"/>
      <c r="M92" s="12"/>
    </row>
    <row r="93" spans="2:13">
      <c r="B93" s="277" t="s">
        <v>138</v>
      </c>
      <c r="C93" s="277"/>
      <c r="D93" s="277"/>
      <c r="E93" s="277"/>
      <c r="F93" s="277"/>
      <c r="G93" s="277"/>
      <c r="H93" s="277"/>
      <c r="I93" s="45">
        <f>SUM(I91:I92)</f>
        <v>0.12451078333333332</v>
      </c>
      <c r="J93" s="46">
        <f>SUM(J91:J92)</f>
        <v>216.63</v>
      </c>
      <c r="K93" s="12"/>
      <c r="L93" s="12"/>
      <c r="M93" s="12"/>
    </row>
    <row r="94" spans="2:13">
      <c r="B94" s="28" t="s">
        <v>139</v>
      </c>
      <c r="C94" s="236" t="s">
        <v>140</v>
      </c>
      <c r="D94" s="236"/>
      <c r="E94" s="236"/>
      <c r="F94" s="236"/>
      <c r="G94" s="236"/>
      <c r="H94" s="236"/>
      <c r="I94" s="41">
        <f>I91*I54</f>
        <v>3.5112566666666664E-2</v>
      </c>
      <c r="J94" s="42">
        <f t="shared" ref="J94" si="3">TRUNC(($J$37)*I94,2)</f>
        <v>61.09</v>
      </c>
      <c r="K94" s="12"/>
      <c r="L94" s="12"/>
      <c r="M94" s="12"/>
    </row>
    <row r="95" spans="2:13">
      <c r="B95" s="244" t="s">
        <v>141</v>
      </c>
      <c r="C95" s="244"/>
      <c r="D95" s="244"/>
      <c r="E95" s="244"/>
      <c r="F95" s="244"/>
      <c r="G95" s="244"/>
      <c r="H95" s="244"/>
      <c r="I95" s="45">
        <f>SUM(I93:I94)</f>
        <v>0.15962335</v>
      </c>
      <c r="J95" s="46">
        <f>SUM(J93:J94)</f>
        <v>277.72000000000003</v>
      </c>
      <c r="K95" s="12"/>
      <c r="L95" s="12"/>
      <c r="M95" s="12"/>
    </row>
    <row r="96" spans="2:13">
      <c r="B96" s="278"/>
      <c r="C96" s="279"/>
      <c r="D96" s="279"/>
      <c r="E96" s="279"/>
      <c r="F96" s="279"/>
      <c r="G96" s="279"/>
      <c r="H96" s="279"/>
      <c r="I96" s="279"/>
      <c r="J96" s="279"/>
      <c r="K96" s="12"/>
      <c r="L96" s="12"/>
      <c r="M96" s="12"/>
    </row>
    <row r="97" spans="2:13">
      <c r="B97" s="244" t="s">
        <v>142</v>
      </c>
      <c r="C97" s="244"/>
      <c r="D97" s="244"/>
      <c r="E97" s="244"/>
      <c r="F97" s="244"/>
      <c r="G97" s="244"/>
      <c r="H97" s="244"/>
      <c r="I97" s="28" t="s">
        <v>75</v>
      </c>
      <c r="J97" s="28" t="s">
        <v>76</v>
      </c>
      <c r="K97" s="12"/>
      <c r="L97" s="12"/>
      <c r="M97" s="12"/>
    </row>
    <row r="98" spans="2:13">
      <c r="B98" s="28" t="s">
        <v>44</v>
      </c>
      <c r="C98" s="272" t="s">
        <v>143</v>
      </c>
      <c r="D98" s="236"/>
      <c r="E98" s="236"/>
      <c r="F98" s="236"/>
      <c r="G98" s="236"/>
      <c r="H98" s="236"/>
      <c r="I98" s="41">
        <v>0</v>
      </c>
      <c r="J98" s="42">
        <v>0</v>
      </c>
      <c r="K98" s="12"/>
      <c r="L98" s="12"/>
      <c r="M98" s="12"/>
    </row>
    <row r="99" spans="2:13">
      <c r="B99" s="244" t="s">
        <v>144</v>
      </c>
      <c r="C99" s="244"/>
      <c r="D99" s="244"/>
      <c r="E99" s="244"/>
      <c r="F99" s="244"/>
      <c r="G99" s="244"/>
      <c r="H99" s="244"/>
      <c r="I99" s="45">
        <v>0</v>
      </c>
      <c r="J99" s="46">
        <v>0</v>
      </c>
      <c r="K99" s="12"/>
      <c r="L99" s="12"/>
      <c r="M99" s="12"/>
    </row>
    <row r="100" spans="2:13">
      <c r="B100" s="280"/>
      <c r="C100" s="281"/>
      <c r="D100" s="281"/>
      <c r="E100" s="281"/>
      <c r="F100" s="281"/>
      <c r="G100" s="281"/>
      <c r="H100" s="281"/>
      <c r="I100" s="281"/>
      <c r="J100" s="281"/>
      <c r="K100" s="12"/>
      <c r="L100" s="12"/>
      <c r="M100" s="12"/>
    </row>
    <row r="101" spans="2:13">
      <c r="B101" s="246" t="s">
        <v>145</v>
      </c>
      <c r="C101" s="246"/>
      <c r="D101" s="246"/>
      <c r="E101" s="246"/>
      <c r="F101" s="246"/>
      <c r="G101" s="246"/>
      <c r="H101" s="246"/>
      <c r="I101" s="246"/>
      <c r="J101" s="246"/>
      <c r="K101" s="12"/>
      <c r="L101" s="26"/>
      <c r="M101" s="26"/>
    </row>
    <row r="102" spans="2:13">
      <c r="B102" s="244" t="s">
        <v>146</v>
      </c>
      <c r="C102" s="244"/>
      <c r="D102" s="244"/>
      <c r="E102" s="244"/>
      <c r="F102" s="244"/>
      <c r="G102" s="244"/>
      <c r="H102" s="244"/>
      <c r="I102" s="244"/>
      <c r="J102" s="28" t="s">
        <v>76</v>
      </c>
      <c r="K102" s="12"/>
      <c r="L102" s="12"/>
      <c r="M102" s="12"/>
    </row>
    <row r="103" spans="2:13">
      <c r="B103" s="28" t="s">
        <v>147</v>
      </c>
      <c r="C103" s="236" t="s">
        <v>148</v>
      </c>
      <c r="D103" s="236"/>
      <c r="E103" s="236"/>
      <c r="F103" s="236"/>
      <c r="G103" s="236"/>
      <c r="H103" s="236"/>
      <c r="I103" s="236"/>
      <c r="J103" s="42">
        <f>J95</f>
        <v>277.72000000000003</v>
      </c>
      <c r="K103" s="12"/>
      <c r="L103" s="12"/>
      <c r="M103" s="12"/>
    </row>
    <row r="104" spans="2:13">
      <c r="B104" s="28" t="s">
        <v>149</v>
      </c>
      <c r="C104" s="236" t="s">
        <v>150</v>
      </c>
      <c r="D104" s="236"/>
      <c r="E104" s="236"/>
      <c r="F104" s="236"/>
      <c r="G104" s="236"/>
      <c r="H104" s="236"/>
      <c r="I104" s="236"/>
      <c r="J104" s="42">
        <f>J99</f>
        <v>0</v>
      </c>
      <c r="K104" s="12"/>
      <c r="L104" s="12"/>
      <c r="M104" s="12"/>
    </row>
    <row r="105" spans="2:13">
      <c r="B105" s="244" t="s">
        <v>151</v>
      </c>
      <c r="C105" s="244"/>
      <c r="D105" s="244"/>
      <c r="E105" s="244"/>
      <c r="F105" s="244"/>
      <c r="G105" s="244"/>
      <c r="H105" s="244"/>
      <c r="I105" s="244"/>
      <c r="J105" s="46">
        <f>SUM(J103:J104)</f>
        <v>277.72000000000003</v>
      </c>
      <c r="K105" s="12"/>
      <c r="L105" s="12"/>
      <c r="M105" s="12"/>
    </row>
    <row r="106" spans="2:13">
      <c r="B106" s="275"/>
      <c r="C106" s="276"/>
      <c r="D106" s="276"/>
      <c r="E106" s="276"/>
      <c r="F106" s="276"/>
      <c r="G106" s="276"/>
      <c r="H106" s="276"/>
      <c r="I106" s="276"/>
      <c r="J106" s="276"/>
      <c r="K106" s="12"/>
      <c r="L106" s="12"/>
      <c r="M106" s="12"/>
    </row>
    <row r="107" spans="2:13">
      <c r="B107" s="247" t="s">
        <v>152</v>
      </c>
      <c r="C107" s="247"/>
      <c r="D107" s="247"/>
      <c r="E107" s="247"/>
      <c r="F107" s="247"/>
      <c r="G107" s="247"/>
      <c r="H107" s="247"/>
      <c r="I107" s="247"/>
      <c r="J107" s="247"/>
      <c r="K107" s="12"/>
      <c r="L107" s="26"/>
      <c r="M107" s="26"/>
    </row>
    <row r="108" spans="2:13">
      <c r="B108" s="28">
        <v>5</v>
      </c>
      <c r="C108" s="244" t="s">
        <v>153</v>
      </c>
      <c r="D108" s="244"/>
      <c r="E108" s="244"/>
      <c r="F108" s="244"/>
      <c r="G108" s="244"/>
      <c r="H108" s="244"/>
      <c r="I108" s="101"/>
      <c r="J108" s="28" t="s">
        <v>76</v>
      </c>
      <c r="K108" s="12"/>
      <c r="L108" s="12"/>
      <c r="M108" s="12"/>
    </row>
    <row r="109" spans="2:13">
      <c r="B109" s="28" t="s">
        <v>44</v>
      </c>
      <c r="C109" s="265" t="s">
        <v>154</v>
      </c>
      <c r="D109" s="265"/>
      <c r="E109" s="265"/>
      <c r="F109" s="265"/>
      <c r="G109" s="265"/>
      <c r="H109" s="265"/>
      <c r="I109" s="105"/>
      <c r="J109" s="42">
        <f>($J$37+$J$70+$J$80+$J$105)*I109</f>
        <v>0</v>
      </c>
      <c r="K109" s="12"/>
      <c r="L109" s="12"/>
      <c r="M109" s="12"/>
    </row>
    <row r="110" spans="2:13">
      <c r="B110" s="28" t="s">
        <v>46</v>
      </c>
      <c r="C110" s="264" t="s">
        <v>155</v>
      </c>
      <c r="D110" s="264"/>
      <c r="E110" s="264"/>
      <c r="F110" s="264"/>
      <c r="G110" s="264"/>
      <c r="H110" s="264"/>
      <c r="I110" s="105"/>
      <c r="J110" s="42">
        <f>(($J$37+$J$70+$J$80+$J$105+J109)*I110)*(1-9.25%)</f>
        <v>0</v>
      </c>
      <c r="K110" s="12"/>
      <c r="L110" s="12"/>
      <c r="M110" s="12"/>
    </row>
    <row r="111" spans="2:13">
      <c r="B111" s="47" t="s">
        <v>49</v>
      </c>
      <c r="C111" s="264" t="s">
        <v>156</v>
      </c>
      <c r="D111" s="264"/>
      <c r="E111" s="264"/>
      <c r="F111" s="264"/>
      <c r="G111" s="264"/>
      <c r="H111" s="264"/>
      <c r="I111" s="97" t="s">
        <v>22</v>
      </c>
      <c r="J111" s="42">
        <v>0</v>
      </c>
      <c r="K111" s="12"/>
      <c r="L111" s="12"/>
      <c r="M111" s="12"/>
    </row>
    <row r="112" spans="2:13">
      <c r="B112" s="47" t="s">
        <v>52</v>
      </c>
      <c r="C112" s="264" t="s">
        <v>82</v>
      </c>
      <c r="D112" s="264"/>
      <c r="E112" s="264"/>
      <c r="F112" s="264"/>
      <c r="G112" s="264"/>
      <c r="H112" s="264"/>
      <c r="I112" s="97" t="s">
        <v>22</v>
      </c>
      <c r="J112" s="42">
        <v>0</v>
      </c>
      <c r="K112" s="12"/>
      <c r="L112" s="12"/>
      <c r="M112" s="12"/>
    </row>
    <row r="113" spans="2:13">
      <c r="B113" s="244" t="s">
        <v>157</v>
      </c>
      <c r="C113" s="244"/>
      <c r="D113" s="244"/>
      <c r="E113" s="244"/>
      <c r="F113" s="244"/>
      <c r="G113" s="244"/>
      <c r="H113" s="244"/>
      <c r="I113" s="104" t="s">
        <v>22</v>
      </c>
      <c r="J113" s="46">
        <f>SUM(J109:J112)</f>
        <v>0</v>
      </c>
      <c r="K113" s="12"/>
      <c r="L113" s="12"/>
      <c r="M113" s="12"/>
    </row>
    <row r="114" spans="2:13">
      <c r="B114" s="275"/>
      <c r="C114" s="276"/>
      <c r="D114" s="276"/>
      <c r="E114" s="276"/>
      <c r="F114" s="276"/>
      <c r="G114" s="276"/>
      <c r="H114" s="276"/>
      <c r="I114" s="276"/>
      <c r="J114" s="276"/>
      <c r="K114" s="12"/>
      <c r="L114" s="12"/>
      <c r="M114" s="12"/>
    </row>
    <row r="115" spans="2:13">
      <c r="B115" s="247" t="s">
        <v>158</v>
      </c>
      <c r="C115" s="247"/>
      <c r="D115" s="247"/>
      <c r="E115" s="247"/>
      <c r="F115" s="247"/>
      <c r="G115" s="247"/>
      <c r="H115" s="247"/>
      <c r="I115" s="247"/>
      <c r="J115" s="247"/>
      <c r="K115" s="12"/>
      <c r="L115" s="26"/>
      <c r="M115" s="26"/>
    </row>
    <row r="116" spans="2:13">
      <c r="B116" s="28">
        <v>6</v>
      </c>
      <c r="C116" s="244" t="s">
        <v>159</v>
      </c>
      <c r="D116" s="244"/>
      <c r="E116" s="244"/>
      <c r="F116" s="244"/>
      <c r="G116" s="244"/>
      <c r="H116" s="244"/>
      <c r="I116" s="101" t="s">
        <v>75</v>
      </c>
      <c r="J116" s="101" t="s">
        <v>76</v>
      </c>
      <c r="K116" s="12"/>
      <c r="L116" s="12"/>
      <c r="M116" s="12"/>
    </row>
    <row r="117" spans="2:13">
      <c r="B117" s="28" t="s">
        <v>44</v>
      </c>
      <c r="C117" s="236" t="s">
        <v>160</v>
      </c>
      <c r="D117" s="236"/>
      <c r="E117" s="236"/>
      <c r="F117" s="236"/>
      <c r="G117" s="236"/>
      <c r="H117" s="236"/>
      <c r="I117" s="121">
        <v>0</v>
      </c>
      <c r="J117" s="42">
        <f>TRUNC(((J141)*I117),2)</f>
        <v>0</v>
      </c>
      <c r="K117" s="90"/>
      <c r="L117" s="12"/>
      <c r="M117" s="12"/>
    </row>
    <row r="118" spans="2:13">
      <c r="B118" s="28" t="s">
        <v>46</v>
      </c>
      <c r="C118" s="236" t="s">
        <v>161</v>
      </c>
      <c r="D118" s="236"/>
      <c r="E118" s="236"/>
      <c r="F118" s="236"/>
      <c r="G118" s="236"/>
      <c r="H118" s="236"/>
      <c r="I118" s="122">
        <v>0</v>
      </c>
      <c r="J118" s="42">
        <f>TRUNC(((J141+J117)*I118),2)</f>
        <v>0</v>
      </c>
      <c r="K118" s="90"/>
      <c r="L118" s="12"/>
      <c r="M118" s="12"/>
    </row>
    <row r="119" spans="2:13">
      <c r="B119" s="28" t="s">
        <v>49</v>
      </c>
      <c r="C119" s="287" t="s">
        <v>162</v>
      </c>
      <c r="D119" s="287"/>
      <c r="E119" s="287"/>
      <c r="F119" s="287"/>
      <c r="G119" s="287"/>
      <c r="H119" s="287"/>
      <c r="I119" s="99"/>
      <c r="J119" s="54"/>
      <c r="K119" s="12"/>
      <c r="L119" s="12"/>
      <c r="M119" s="12"/>
    </row>
    <row r="120" spans="2:13">
      <c r="B120" s="28" t="s">
        <v>163</v>
      </c>
      <c r="C120" s="236" t="s">
        <v>164</v>
      </c>
      <c r="D120" s="236"/>
      <c r="E120" s="236"/>
      <c r="F120" s="236"/>
      <c r="G120" s="236"/>
      <c r="H120" s="236"/>
      <c r="I120" s="56">
        <v>1.6500000000000001E-2</v>
      </c>
      <c r="J120" s="42">
        <f>TRUNC(I120*((J141+J117+J118)/(1-I125)),2)</f>
        <v>60.08</v>
      </c>
      <c r="K120" s="12"/>
      <c r="L120" s="12"/>
      <c r="M120" s="12"/>
    </row>
    <row r="121" spans="2:13">
      <c r="B121" s="28" t="s">
        <v>165</v>
      </c>
      <c r="C121" s="236" t="s">
        <v>166</v>
      </c>
      <c r="D121" s="236"/>
      <c r="E121" s="236"/>
      <c r="F121" s="236"/>
      <c r="G121" s="236"/>
      <c r="H121" s="236"/>
      <c r="I121" s="56">
        <v>7.5999999999999998E-2</v>
      </c>
      <c r="J121" s="42">
        <f>TRUNC(I121*(J141+J117+J118)/(1-I125),2)</f>
        <v>276.76</v>
      </c>
      <c r="K121" s="12"/>
      <c r="L121" s="12"/>
      <c r="M121" s="12"/>
    </row>
    <row r="122" spans="2:13">
      <c r="B122" s="28" t="s">
        <v>167</v>
      </c>
      <c r="C122" s="236" t="s">
        <v>168</v>
      </c>
      <c r="D122" s="236"/>
      <c r="E122" s="236"/>
      <c r="F122" s="236"/>
      <c r="G122" s="236"/>
      <c r="H122" s="236"/>
      <c r="I122" s="205">
        <v>0.03</v>
      </c>
      <c r="J122" s="42">
        <f>TRUNC(I122*(J141+J117+J118)/(1-I125),2)</f>
        <v>109.24</v>
      </c>
      <c r="K122" s="12"/>
      <c r="L122" s="12"/>
      <c r="M122" s="12"/>
    </row>
    <row r="123" spans="2:13">
      <c r="B123" s="244" t="s">
        <v>169</v>
      </c>
      <c r="C123" s="244"/>
      <c r="D123" s="244"/>
      <c r="E123" s="244"/>
      <c r="F123" s="244"/>
      <c r="G123" s="244"/>
      <c r="H123" s="244"/>
      <c r="I123" s="56">
        <f>SUM(I117:I122)</f>
        <v>0.1225</v>
      </c>
      <c r="J123" s="46">
        <f>SUM(J117:J122)</f>
        <v>446.08</v>
      </c>
      <c r="K123" s="12"/>
      <c r="L123" s="12"/>
      <c r="M123" s="12"/>
    </row>
    <row r="124" spans="2:13">
      <c r="B124" s="18"/>
      <c r="C124" s="284"/>
      <c r="D124" s="284"/>
      <c r="E124" s="284"/>
      <c r="F124" s="284"/>
      <c r="G124" s="284"/>
      <c r="H124" s="284"/>
      <c r="I124" s="284"/>
      <c r="J124" s="284"/>
      <c r="K124" s="12"/>
      <c r="L124" s="12"/>
      <c r="M124" s="12"/>
    </row>
    <row r="125" spans="2:13">
      <c r="B125" s="59" t="s">
        <v>170</v>
      </c>
      <c r="C125" s="285" t="s">
        <v>171</v>
      </c>
      <c r="D125" s="285"/>
      <c r="E125" s="285"/>
      <c r="F125" s="285"/>
      <c r="G125" s="285"/>
      <c r="H125" s="285"/>
      <c r="I125" s="60">
        <f>I120+I121+I122</f>
        <v>0.1225</v>
      </c>
      <c r="J125" s="61"/>
      <c r="K125" s="12"/>
      <c r="L125" s="12"/>
      <c r="M125" s="12"/>
    </row>
    <row r="126" spans="2:13">
      <c r="B126" s="63"/>
      <c r="C126" s="286">
        <v>100</v>
      </c>
      <c r="D126" s="286"/>
      <c r="E126" s="286"/>
      <c r="F126" s="286"/>
      <c r="G126" s="286"/>
      <c r="H126" s="286"/>
      <c r="I126" s="65"/>
      <c r="J126" s="66"/>
      <c r="K126" s="12"/>
      <c r="L126" s="12"/>
      <c r="M126" s="12"/>
    </row>
    <row r="127" spans="2:13">
      <c r="B127" s="67"/>
      <c r="C127" s="64"/>
      <c r="D127" s="64"/>
      <c r="E127" s="64"/>
      <c r="F127" s="64"/>
      <c r="G127" s="64"/>
      <c r="H127" s="64"/>
      <c r="I127" s="65"/>
      <c r="J127" s="66"/>
      <c r="K127" s="12"/>
      <c r="L127" s="12"/>
      <c r="M127" s="12"/>
    </row>
    <row r="128" spans="2:13">
      <c r="B128" s="63" t="s">
        <v>172</v>
      </c>
      <c r="C128" s="286" t="s">
        <v>173</v>
      </c>
      <c r="D128" s="286"/>
      <c r="E128" s="286"/>
      <c r="F128" s="286"/>
      <c r="G128" s="286"/>
      <c r="H128" s="286"/>
      <c r="I128" s="65"/>
      <c r="J128" s="66">
        <f>J37+J70+J80+J105+J113+J117+J118</f>
        <v>3195.54</v>
      </c>
      <c r="K128" s="12"/>
      <c r="L128" s="12"/>
      <c r="M128" s="12"/>
    </row>
    <row r="129" spans="2:13">
      <c r="B129" s="63"/>
      <c r="C129" s="64"/>
      <c r="D129" s="64"/>
      <c r="E129" s="64"/>
      <c r="F129" s="64"/>
      <c r="G129" s="64"/>
      <c r="H129" s="64"/>
      <c r="I129" s="65"/>
      <c r="J129" s="66"/>
      <c r="K129" s="12"/>
      <c r="L129" s="12"/>
      <c r="M129" s="12"/>
    </row>
    <row r="130" spans="2:13">
      <c r="B130" s="63" t="s">
        <v>174</v>
      </c>
      <c r="C130" s="286" t="s">
        <v>175</v>
      </c>
      <c r="D130" s="286"/>
      <c r="E130" s="286"/>
      <c r="F130" s="286"/>
      <c r="G130" s="286"/>
      <c r="H130" s="286"/>
      <c r="I130" s="65"/>
      <c r="J130" s="66">
        <f>TRUNC(J128/(1-I125),2)</f>
        <v>3641.64</v>
      </c>
      <c r="K130" s="12"/>
      <c r="L130" s="12"/>
      <c r="M130" s="12"/>
    </row>
    <row r="131" spans="2:13">
      <c r="B131" s="63"/>
      <c r="C131" s="64"/>
      <c r="D131" s="64"/>
      <c r="E131" s="64"/>
      <c r="F131" s="64"/>
      <c r="G131" s="64"/>
      <c r="H131" s="64"/>
      <c r="I131" s="65"/>
      <c r="J131" s="66"/>
      <c r="K131" s="12"/>
      <c r="L131" s="12"/>
      <c r="M131" s="12"/>
    </row>
    <row r="132" spans="2:13">
      <c r="B132" s="68"/>
      <c r="C132" s="283" t="s">
        <v>176</v>
      </c>
      <c r="D132" s="283"/>
      <c r="E132" s="283"/>
      <c r="F132" s="283"/>
      <c r="G132" s="283"/>
      <c r="H132" s="283"/>
      <c r="I132" s="69"/>
      <c r="J132" s="70">
        <f>J130-J128</f>
        <v>446.09999999999991</v>
      </c>
      <c r="K132" s="12"/>
      <c r="L132" s="12"/>
      <c r="M132" s="12"/>
    </row>
    <row r="133" spans="2:13">
      <c r="B133" s="18"/>
      <c r="C133" s="18"/>
      <c r="D133" s="18"/>
      <c r="E133" s="18"/>
      <c r="F133" s="18"/>
      <c r="G133" s="18"/>
      <c r="H133" s="18"/>
      <c r="I133" s="98"/>
      <c r="J133" s="103"/>
      <c r="K133" s="12"/>
      <c r="L133" s="12"/>
      <c r="M133" s="12"/>
    </row>
    <row r="134" spans="2:13">
      <c r="B134" s="246" t="s">
        <v>177</v>
      </c>
      <c r="C134" s="246"/>
      <c r="D134" s="246"/>
      <c r="E134" s="246"/>
      <c r="F134" s="246"/>
      <c r="G134" s="246"/>
      <c r="H134" s="246"/>
      <c r="I134" s="246"/>
      <c r="J134" s="246"/>
      <c r="K134" s="12"/>
      <c r="L134" s="26"/>
      <c r="M134" s="26"/>
    </row>
    <row r="135" spans="2:13">
      <c r="B135" s="244" t="s">
        <v>178</v>
      </c>
      <c r="C135" s="244"/>
      <c r="D135" s="244"/>
      <c r="E135" s="244"/>
      <c r="F135" s="244"/>
      <c r="G135" s="244"/>
      <c r="H135" s="244"/>
      <c r="I135" s="244"/>
      <c r="J135" s="28" t="s">
        <v>76</v>
      </c>
      <c r="K135" s="12"/>
      <c r="L135" s="12"/>
      <c r="M135" s="12"/>
    </row>
    <row r="136" spans="2:13">
      <c r="B136" s="23" t="s">
        <v>44</v>
      </c>
      <c r="C136" s="236" t="s">
        <v>73</v>
      </c>
      <c r="D136" s="236"/>
      <c r="E136" s="236"/>
      <c r="F136" s="236"/>
      <c r="G136" s="236"/>
      <c r="H136" s="236"/>
      <c r="I136" s="236"/>
      <c r="J136" s="42">
        <f>J37</f>
        <v>1739.9999999999998</v>
      </c>
      <c r="K136" s="12"/>
      <c r="L136" s="12"/>
      <c r="M136" s="12"/>
    </row>
    <row r="137" spans="2:13">
      <c r="B137" s="23" t="s">
        <v>46</v>
      </c>
      <c r="C137" s="236" t="s">
        <v>84</v>
      </c>
      <c r="D137" s="236"/>
      <c r="E137" s="236"/>
      <c r="F137" s="236"/>
      <c r="G137" s="236"/>
      <c r="H137" s="236"/>
      <c r="I137" s="236"/>
      <c r="J137" s="42">
        <f>J70</f>
        <v>1063.8000000000002</v>
      </c>
      <c r="K137" s="12"/>
      <c r="L137" s="12"/>
      <c r="M137" s="12"/>
    </row>
    <row r="138" spans="2:13">
      <c r="B138" s="23" t="s">
        <v>49</v>
      </c>
      <c r="C138" s="236" t="s">
        <v>118</v>
      </c>
      <c r="D138" s="236"/>
      <c r="E138" s="236"/>
      <c r="F138" s="236"/>
      <c r="G138" s="236"/>
      <c r="H138" s="236"/>
      <c r="I138" s="236"/>
      <c r="J138" s="42">
        <f>J80</f>
        <v>114.02</v>
      </c>
      <c r="K138" s="12"/>
      <c r="L138" s="12"/>
      <c r="M138" s="12"/>
    </row>
    <row r="139" spans="2:13">
      <c r="B139" s="23" t="s">
        <v>52</v>
      </c>
      <c r="C139" s="236" t="s">
        <v>127</v>
      </c>
      <c r="D139" s="236"/>
      <c r="E139" s="236"/>
      <c r="F139" s="236"/>
      <c r="G139" s="236"/>
      <c r="H139" s="236"/>
      <c r="I139" s="236"/>
      <c r="J139" s="42">
        <f>J105</f>
        <v>277.72000000000003</v>
      </c>
      <c r="K139" s="12"/>
      <c r="L139" s="12"/>
      <c r="M139" s="12"/>
    </row>
    <row r="140" spans="2:13">
      <c r="B140" s="23" t="s">
        <v>55</v>
      </c>
      <c r="C140" s="236" t="s">
        <v>152</v>
      </c>
      <c r="D140" s="236"/>
      <c r="E140" s="236"/>
      <c r="F140" s="236"/>
      <c r="G140" s="236"/>
      <c r="H140" s="236"/>
      <c r="I140" s="236"/>
      <c r="J140" s="42">
        <f>J113</f>
        <v>0</v>
      </c>
      <c r="K140" s="12"/>
      <c r="L140" s="12"/>
      <c r="M140" s="12"/>
    </row>
    <row r="141" spans="2:13">
      <c r="B141" s="28"/>
      <c r="C141" s="244" t="s">
        <v>179</v>
      </c>
      <c r="D141" s="244"/>
      <c r="E141" s="244"/>
      <c r="F141" s="244"/>
      <c r="G141" s="244"/>
      <c r="H141" s="244"/>
      <c r="I141" s="244"/>
      <c r="J141" s="46">
        <f>SUM(J136:J140)</f>
        <v>3195.54</v>
      </c>
      <c r="K141" s="12"/>
      <c r="L141" s="12"/>
      <c r="M141" s="12"/>
    </row>
    <row r="142" spans="2:13">
      <c r="B142" s="23" t="s">
        <v>57</v>
      </c>
      <c r="C142" s="236" t="s">
        <v>158</v>
      </c>
      <c r="D142" s="236"/>
      <c r="E142" s="236"/>
      <c r="F142" s="236"/>
      <c r="G142" s="236"/>
      <c r="H142" s="236"/>
      <c r="I142" s="236"/>
      <c r="J142" s="42">
        <f>J123</f>
        <v>446.08</v>
      </c>
      <c r="K142" s="12"/>
      <c r="L142" s="12"/>
      <c r="M142" s="12"/>
    </row>
    <row r="143" spans="2:13" ht="18">
      <c r="B143" s="282" t="s">
        <v>180</v>
      </c>
      <c r="C143" s="282"/>
      <c r="D143" s="282"/>
      <c r="E143" s="282"/>
      <c r="F143" s="282"/>
      <c r="G143" s="282"/>
      <c r="H143" s="282"/>
      <c r="I143" s="282"/>
      <c r="J143" s="71">
        <f>TRUNC(J141+J142,2)</f>
        <v>3641.62</v>
      </c>
      <c r="K143" s="12"/>
      <c r="L143" s="12"/>
      <c r="M143" s="12"/>
    </row>
    <row r="144" spans="2:13">
      <c r="B144" s="1"/>
      <c r="C144" s="1"/>
      <c r="D144" s="1"/>
      <c r="E144" s="1"/>
      <c r="F144" s="1"/>
      <c r="G144" s="1"/>
      <c r="H144" s="1"/>
      <c r="I144" s="111"/>
      <c r="J144" s="112"/>
    </row>
    <row r="145" spans="2:12">
      <c r="B145" s="1"/>
      <c r="C145" s="1"/>
      <c r="D145" s="1"/>
      <c r="E145" s="1"/>
      <c r="F145" s="1"/>
      <c r="G145" s="1"/>
      <c r="H145" s="1"/>
      <c r="I145" s="111"/>
      <c r="J145" s="111"/>
    </row>
    <row r="146" spans="2:12">
      <c r="B146" s="4"/>
      <c r="C146" s="5"/>
      <c r="D146" s="1"/>
      <c r="E146" s="1"/>
      <c r="F146" s="1"/>
      <c r="G146" s="1"/>
      <c r="H146" s="1"/>
      <c r="I146" s="111"/>
      <c r="J146" s="111"/>
    </row>
    <row r="147" spans="2:12">
      <c r="B147" s="3"/>
      <c r="C147" s="74"/>
      <c r="D147" s="75" t="s">
        <v>168</v>
      </c>
      <c r="E147" s="75" t="s">
        <v>181</v>
      </c>
      <c r="F147" s="74"/>
    </row>
    <row r="148" spans="2:12">
      <c r="C148" s="76" t="s">
        <v>182</v>
      </c>
      <c r="D148" s="77">
        <v>0.03</v>
      </c>
      <c r="E148" s="78">
        <v>0</v>
      </c>
      <c r="F148" s="74" t="s">
        <v>183</v>
      </c>
      <c r="J148" s="107"/>
    </row>
    <row r="149" spans="2:12"/>
    <row r="152" spans="2:12" ht="15" customHeight="1">
      <c r="B152" s="226" t="s">
        <v>184</v>
      </c>
      <c r="C152" s="227"/>
      <c r="D152" s="227"/>
      <c r="E152" s="227"/>
      <c r="F152" s="227"/>
      <c r="G152" s="227"/>
      <c r="H152" s="227"/>
      <c r="I152" s="227"/>
      <c r="J152" s="227"/>
      <c r="K152" s="227"/>
      <c r="L152" s="228"/>
    </row>
    <row r="153" spans="2:12" ht="15" customHeight="1">
      <c r="B153" s="229"/>
      <c r="C153" s="230"/>
      <c r="D153" s="230"/>
      <c r="E153" s="230"/>
      <c r="F153" s="230"/>
      <c r="G153" s="230"/>
      <c r="H153" s="230"/>
      <c r="I153" s="230"/>
      <c r="J153" s="230"/>
      <c r="K153" s="230"/>
      <c r="L153" s="231"/>
    </row>
    <row r="154" spans="2:12" ht="15" customHeight="1">
      <c r="B154" s="229"/>
      <c r="C154" s="230"/>
      <c r="D154" s="230"/>
      <c r="E154" s="230"/>
      <c r="F154" s="230"/>
      <c r="G154" s="230"/>
      <c r="H154" s="230"/>
      <c r="I154" s="230"/>
      <c r="J154" s="230"/>
      <c r="K154" s="230"/>
      <c r="L154" s="231"/>
    </row>
    <row r="155" spans="2:12" ht="15" customHeight="1">
      <c r="B155" s="229"/>
      <c r="C155" s="230"/>
      <c r="D155" s="230"/>
      <c r="E155" s="230"/>
      <c r="F155" s="230"/>
      <c r="G155" s="230"/>
      <c r="H155" s="230"/>
      <c r="I155" s="230"/>
      <c r="J155" s="230"/>
      <c r="K155" s="230"/>
      <c r="L155" s="231"/>
    </row>
    <row r="156" spans="2:12" ht="15" customHeight="1">
      <c r="B156" s="229"/>
      <c r="C156" s="230"/>
      <c r="D156" s="230"/>
      <c r="E156" s="230"/>
      <c r="F156" s="230"/>
      <c r="G156" s="230"/>
      <c r="H156" s="230"/>
      <c r="I156" s="230"/>
      <c r="J156" s="230"/>
      <c r="K156" s="230"/>
      <c r="L156" s="231"/>
    </row>
    <row r="157" spans="2:12" ht="15" customHeight="1">
      <c r="B157" s="232"/>
      <c r="C157" s="233"/>
      <c r="D157" s="233"/>
      <c r="E157" s="233"/>
      <c r="F157" s="233"/>
      <c r="G157" s="233"/>
      <c r="H157" s="233"/>
      <c r="I157" s="233"/>
      <c r="J157" s="233"/>
      <c r="K157" s="233"/>
      <c r="L157" s="234"/>
    </row>
  </sheetData>
  <mergeCells count="155">
    <mergeCell ref="B7:J7"/>
    <mergeCell ref="B8:G8"/>
    <mergeCell ref="I8:J8"/>
    <mergeCell ref="B1:J1"/>
    <mergeCell ref="B2:J2"/>
    <mergeCell ref="B3:J3"/>
    <mergeCell ref="B4:J4"/>
    <mergeCell ref="B5:J5"/>
    <mergeCell ref="B6:J6"/>
    <mergeCell ref="C9:H9"/>
    <mergeCell ref="I9:J9"/>
    <mergeCell ref="C11:H11"/>
    <mergeCell ref="I11:J11"/>
    <mergeCell ref="C10:H10"/>
    <mergeCell ref="I10:J10"/>
    <mergeCell ref="C13:H13"/>
    <mergeCell ref="I13:J13"/>
    <mergeCell ref="C12:H12"/>
    <mergeCell ref="I12:J12"/>
    <mergeCell ref="B17:J17"/>
    <mergeCell ref="B18:C18"/>
    <mergeCell ref="D18:E18"/>
    <mergeCell ref="F18:J18"/>
    <mergeCell ref="C15:H15"/>
    <mergeCell ref="I15:J15"/>
    <mergeCell ref="C14:H14"/>
    <mergeCell ref="I14:J14"/>
    <mergeCell ref="B19:C19"/>
    <mergeCell ref="D19:E19"/>
    <mergeCell ref="F19:J19"/>
    <mergeCell ref="B21:J21"/>
    <mergeCell ref="C22:H22"/>
    <mergeCell ref="I22:J22"/>
    <mergeCell ref="C24:H24"/>
    <mergeCell ref="I24:J24"/>
    <mergeCell ref="C23:H23"/>
    <mergeCell ref="I23:J23"/>
    <mergeCell ref="C26:H26"/>
    <mergeCell ref="I26:J26"/>
    <mergeCell ref="C25:H25"/>
    <mergeCell ref="I25:J25"/>
    <mergeCell ref="B28:J28"/>
    <mergeCell ref="B29:J29"/>
    <mergeCell ref="C30:H30"/>
    <mergeCell ref="C31:H31"/>
    <mergeCell ref="C32:H32"/>
    <mergeCell ref="C27:H27"/>
    <mergeCell ref="I27:J27"/>
    <mergeCell ref="B40:H40"/>
    <mergeCell ref="C41:H41"/>
    <mergeCell ref="C42:H42"/>
    <mergeCell ref="B43:H43"/>
    <mergeCell ref="B44:J44"/>
    <mergeCell ref="B45:H45"/>
    <mergeCell ref="C33:H33"/>
    <mergeCell ref="C34:H34"/>
    <mergeCell ref="C35:H35"/>
    <mergeCell ref="C36:H36"/>
    <mergeCell ref="B37:I37"/>
    <mergeCell ref="B39:J39"/>
    <mergeCell ref="C52:H52"/>
    <mergeCell ref="C53:H53"/>
    <mergeCell ref="B54:H54"/>
    <mergeCell ref="B55:J55"/>
    <mergeCell ref="B56:H56"/>
    <mergeCell ref="C57:H57"/>
    <mergeCell ref="C46:H46"/>
    <mergeCell ref="C47:H47"/>
    <mergeCell ref="C48:H48"/>
    <mergeCell ref="C49:H49"/>
    <mergeCell ref="C50:H50"/>
    <mergeCell ref="C51:H51"/>
    <mergeCell ref="B64:J64"/>
    <mergeCell ref="B65:J65"/>
    <mergeCell ref="B66:I66"/>
    <mergeCell ref="C67:I67"/>
    <mergeCell ref="C68:I68"/>
    <mergeCell ref="C69:I69"/>
    <mergeCell ref="C58:H58"/>
    <mergeCell ref="C59:H59"/>
    <mergeCell ref="C60:H60"/>
    <mergeCell ref="C61:H61"/>
    <mergeCell ref="C62:H62"/>
    <mergeCell ref="B63:I63"/>
    <mergeCell ref="C76:H76"/>
    <mergeCell ref="C77:H77"/>
    <mergeCell ref="C78:H78"/>
    <mergeCell ref="C79:H79"/>
    <mergeCell ref="B80:H80"/>
    <mergeCell ref="B81:J81"/>
    <mergeCell ref="B70:I70"/>
    <mergeCell ref="B71:J71"/>
    <mergeCell ref="B72:J72"/>
    <mergeCell ref="C73:H73"/>
    <mergeCell ref="C74:H74"/>
    <mergeCell ref="C75:H75"/>
    <mergeCell ref="C88:H88"/>
    <mergeCell ref="C89:H89"/>
    <mergeCell ref="C90:H90"/>
    <mergeCell ref="B91:H91"/>
    <mergeCell ref="C92:H92"/>
    <mergeCell ref="B93:H93"/>
    <mergeCell ref="B82:J82"/>
    <mergeCell ref="B83:H83"/>
    <mergeCell ref="C84:H84"/>
    <mergeCell ref="C85:H85"/>
    <mergeCell ref="C86:H86"/>
    <mergeCell ref="C87:H87"/>
    <mergeCell ref="B100:J100"/>
    <mergeCell ref="B101:J101"/>
    <mergeCell ref="B102:I102"/>
    <mergeCell ref="C103:I103"/>
    <mergeCell ref="C104:I104"/>
    <mergeCell ref="B105:I105"/>
    <mergeCell ref="C94:H94"/>
    <mergeCell ref="B95:H95"/>
    <mergeCell ref="B96:J96"/>
    <mergeCell ref="B97:H97"/>
    <mergeCell ref="C98:H98"/>
    <mergeCell ref="B99:H99"/>
    <mergeCell ref="C112:H112"/>
    <mergeCell ref="B113:H113"/>
    <mergeCell ref="B114:J114"/>
    <mergeCell ref="B115:J115"/>
    <mergeCell ref="C116:H116"/>
    <mergeCell ref="C117:H117"/>
    <mergeCell ref="B106:J106"/>
    <mergeCell ref="B107:J107"/>
    <mergeCell ref="C108:H108"/>
    <mergeCell ref="C109:H109"/>
    <mergeCell ref="C110:H110"/>
    <mergeCell ref="C111:H111"/>
    <mergeCell ref="C124:J124"/>
    <mergeCell ref="C125:H125"/>
    <mergeCell ref="C126:H126"/>
    <mergeCell ref="C128:H128"/>
    <mergeCell ref="C130:H130"/>
    <mergeCell ref="C132:H132"/>
    <mergeCell ref="C118:H118"/>
    <mergeCell ref="C119:H119"/>
    <mergeCell ref="C120:H120"/>
    <mergeCell ref="C121:H121"/>
    <mergeCell ref="C122:H122"/>
    <mergeCell ref="B123:H123"/>
    <mergeCell ref="B152:L157"/>
    <mergeCell ref="C140:I140"/>
    <mergeCell ref="C141:I141"/>
    <mergeCell ref="C142:I142"/>
    <mergeCell ref="B143:I143"/>
    <mergeCell ref="B134:J134"/>
    <mergeCell ref="B135:I135"/>
    <mergeCell ref="C136:I136"/>
    <mergeCell ref="C137:I137"/>
    <mergeCell ref="C138:I138"/>
    <mergeCell ref="C139:I139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F36F3-1C68-4AD2-BD17-A33768033E44}">
  <dimension ref="B1:V161"/>
  <sheetViews>
    <sheetView showGridLines="0" topLeftCell="A23" zoomScale="80" zoomScaleNormal="80" workbookViewId="0">
      <selection activeCell="I24" sqref="I24:J24"/>
    </sheetView>
  </sheetViews>
  <sheetFormatPr defaultRowHeight="15" customHeight="1"/>
  <cols>
    <col min="1" max="1" width="2.85546875" customWidth="1"/>
    <col min="2" max="2" width="10.42578125" customWidth="1"/>
    <col min="3" max="3" width="49.5703125" bestFit="1" customWidth="1"/>
    <col min="7" max="7" width="3.5703125" customWidth="1"/>
    <col min="8" max="8" width="4.140625" hidden="1" customWidth="1"/>
    <col min="9" max="9" width="8.42578125" customWidth="1"/>
    <col min="10" max="10" width="14" customWidth="1"/>
    <col min="11" max="11" width="5.140625" customWidth="1"/>
    <col min="13" max="13" width="13.28515625" customWidth="1"/>
    <col min="14" max="14" width="3.42578125" style="10" customWidth="1"/>
    <col min="15" max="15" width="2.85546875" customWidth="1"/>
    <col min="16" max="16" width="2.7109375" customWidth="1"/>
    <col min="17" max="17" width="12" customWidth="1"/>
    <col min="18" max="18" width="9.7109375" customWidth="1"/>
    <col min="19" max="19" width="15" customWidth="1"/>
  </cols>
  <sheetData>
    <row r="1" spans="2:19">
      <c r="B1" s="250" t="s">
        <v>37</v>
      </c>
      <c r="C1" s="250"/>
      <c r="D1" s="250"/>
      <c r="E1" s="250"/>
      <c r="F1" s="250"/>
      <c r="G1" s="250"/>
      <c r="H1" s="250"/>
      <c r="I1" s="250"/>
      <c r="J1" s="250"/>
      <c r="K1" s="12"/>
      <c r="L1" s="11"/>
      <c r="M1" s="11"/>
      <c r="N1" s="13"/>
      <c r="O1" s="12"/>
      <c r="P1" s="12"/>
    </row>
    <row r="2" spans="2:19">
      <c r="B2" s="251" t="s">
        <v>38</v>
      </c>
      <c r="C2" s="251"/>
      <c r="D2" s="251"/>
      <c r="E2" s="251"/>
      <c r="F2" s="251"/>
      <c r="G2" s="251"/>
      <c r="H2" s="251"/>
      <c r="I2" s="251"/>
      <c r="J2" s="251"/>
      <c r="K2" s="12"/>
      <c r="L2" s="14"/>
      <c r="M2" s="14"/>
      <c r="N2" s="15"/>
      <c r="O2" s="12"/>
      <c r="P2" s="12"/>
    </row>
    <row r="3" spans="2:19">
      <c r="B3" s="251" t="s">
        <v>39</v>
      </c>
      <c r="C3" s="251"/>
      <c r="D3" s="251"/>
      <c r="E3" s="251"/>
      <c r="F3" s="251"/>
      <c r="G3" s="251"/>
      <c r="H3" s="251"/>
      <c r="I3" s="251"/>
      <c r="J3" s="251"/>
      <c r="K3" s="12"/>
      <c r="L3" s="14"/>
      <c r="M3" s="14"/>
      <c r="N3" s="15"/>
      <c r="O3" s="12"/>
      <c r="P3" s="12"/>
    </row>
    <row r="4" spans="2:19">
      <c r="B4" s="252" t="s">
        <v>40</v>
      </c>
      <c r="C4" s="252"/>
      <c r="D4" s="252"/>
      <c r="E4" s="252"/>
      <c r="F4" s="252"/>
      <c r="G4" s="252"/>
      <c r="H4" s="252"/>
      <c r="I4" s="252"/>
      <c r="J4" s="252"/>
      <c r="K4" s="12"/>
      <c r="L4" s="16"/>
      <c r="M4" s="16"/>
      <c r="N4" s="17"/>
      <c r="O4" s="12"/>
      <c r="P4" s="12"/>
    </row>
    <row r="5" spans="2:19">
      <c r="B5" s="253"/>
      <c r="C5" s="253"/>
      <c r="D5" s="253"/>
      <c r="E5" s="253"/>
      <c r="F5" s="253"/>
      <c r="G5" s="253"/>
      <c r="H5" s="253"/>
      <c r="I5" s="253"/>
      <c r="J5" s="253"/>
      <c r="K5" s="12"/>
      <c r="L5" s="18"/>
      <c r="M5" s="18"/>
      <c r="N5" s="19"/>
      <c r="O5" s="12"/>
      <c r="P5" s="12"/>
    </row>
    <row r="6" spans="2:19">
      <c r="B6" s="254" t="s">
        <v>190</v>
      </c>
      <c r="C6" s="254"/>
      <c r="D6" s="254"/>
      <c r="E6" s="254"/>
      <c r="F6" s="254"/>
      <c r="G6" s="254"/>
      <c r="H6" s="254"/>
      <c r="I6" s="254"/>
      <c r="J6" s="254"/>
      <c r="K6" s="12"/>
      <c r="L6" s="20"/>
      <c r="M6" s="20"/>
      <c r="N6" s="21"/>
      <c r="O6" s="12"/>
      <c r="P6" s="12"/>
    </row>
    <row r="7" spans="2:19">
      <c r="B7" s="235"/>
      <c r="C7" s="235"/>
      <c r="D7" s="235"/>
      <c r="E7" s="235"/>
      <c r="F7" s="235"/>
      <c r="G7" s="235"/>
      <c r="H7" s="235"/>
      <c r="I7" s="235"/>
      <c r="J7" s="235"/>
      <c r="K7" s="12"/>
      <c r="L7" s="18"/>
      <c r="M7" s="18"/>
      <c r="N7" s="19"/>
      <c r="O7" s="12"/>
      <c r="P7" s="12"/>
    </row>
    <row r="8" spans="2:19">
      <c r="B8" s="241" t="s">
        <v>42</v>
      </c>
      <c r="C8" s="242"/>
      <c r="D8" s="242"/>
      <c r="E8" s="242"/>
      <c r="F8" s="242"/>
      <c r="G8" s="243"/>
      <c r="H8" s="22"/>
      <c r="I8" s="241" t="s">
        <v>43</v>
      </c>
      <c r="J8" s="243"/>
      <c r="K8" s="12"/>
      <c r="L8" s="312"/>
      <c r="M8" s="312"/>
      <c r="N8" s="13"/>
      <c r="O8" s="12"/>
      <c r="P8" s="12"/>
      <c r="R8" s="312"/>
      <c r="S8" s="312"/>
    </row>
    <row r="9" spans="2:19">
      <c r="B9" s="23" t="s">
        <v>44</v>
      </c>
      <c r="C9" s="236" t="s">
        <v>45</v>
      </c>
      <c r="D9" s="236"/>
      <c r="E9" s="236"/>
      <c r="F9" s="236"/>
      <c r="G9" s="236"/>
      <c r="H9" s="236"/>
      <c r="I9" s="237"/>
      <c r="J9" s="238"/>
      <c r="K9" s="12"/>
      <c r="L9" s="315"/>
      <c r="M9" s="311"/>
      <c r="N9" s="19"/>
      <c r="O9" s="12"/>
      <c r="P9" s="12"/>
      <c r="R9" s="315"/>
      <c r="S9" s="311"/>
    </row>
    <row r="10" spans="2:19">
      <c r="B10" s="23" t="s">
        <v>46</v>
      </c>
      <c r="C10" s="236" t="s">
        <v>47</v>
      </c>
      <c r="D10" s="236"/>
      <c r="E10" s="236"/>
      <c r="F10" s="236"/>
      <c r="G10" s="236"/>
      <c r="H10" s="236"/>
      <c r="I10" s="238" t="s">
        <v>48</v>
      </c>
      <c r="J10" s="238"/>
      <c r="K10" s="12"/>
      <c r="L10" s="311"/>
      <c r="M10" s="311"/>
      <c r="N10" s="19"/>
      <c r="O10" s="12"/>
      <c r="P10" s="12"/>
      <c r="R10" s="311"/>
      <c r="S10" s="311"/>
    </row>
    <row r="11" spans="2:19">
      <c r="B11" s="23" t="s">
        <v>49</v>
      </c>
      <c r="C11" s="236" t="s">
        <v>50</v>
      </c>
      <c r="D11" s="236"/>
      <c r="E11" s="236"/>
      <c r="F11" s="236"/>
      <c r="G11" s="236"/>
      <c r="H11" s="236"/>
      <c r="I11" s="244">
        <v>3</v>
      </c>
      <c r="J11" s="244"/>
      <c r="K11" s="89"/>
      <c r="L11" s="312"/>
      <c r="M11" s="312"/>
      <c r="N11" s="13"/>
      <c r="O11" s="89"/>
      <c r="P11" s="89"/>
      <c r="R11" s="311"/>
      <c r="S11" s="311"/>
    </row>
    <row r="12" spans="2:19">
      <c r="B12" s="23" t="s">
        <v>46</v>
      </c>
      <c r="C12" s="236" t="s">
        <v>51</v>
      </c>
      <c r="D12" s="236"/>
      <c r="E12" s="236"/>
      <c r="F12" s="236"/>
      <c r="G12" s="236"/>
      <c r="H12" s="236"/>
      <c r="I12" s="238">
        <v>12</v>
      </c>
      <c r="J12" s="238"/>
      <c r="K12" s="12"/>
      <c r="L12" s="311"/>
      <c r="M12" s="311"/>
      <c r="N12" s="19"/>
      <c r="O12" s="12"/>
      <c r="P12" s="12"/>
      <c r="R12" s="311"/>
      <c r="S12" s="311"/>
    </row>
    <row r="13" spans="2:19">
      <c r="B13" s="23" t="s">
        <v>52</v>
      </c>
      <c r="C13" s="236" t="s">
        <v>53</v>
      </c>
      <c r="D13" s="236"/>
      <c r="E13" s="236"/>
      <c r="F13" s="236"/>
      <c r="G13" s="236"/>
      <c r="H13" s="236"/>
      <c r="I13" s="309" t="s">
        <v>54</v>
      </c>
      <c r="J13" s="310"/>
      <c r="K13" s="12"/>
      <c r="L13" s="311"/>
      <c r="M13" s="311"/>
      <c r="N13" s="19"/>
      <c r="O13" s="12"/>
      <c r="P13" s="12"/>
      <c r="R13" s="311"/>
      <c r="S13" s="311"/>
    </row>
    <row r="14" spans="2:19" ht="15" customHeight="1">
      <c r="B14" s="23" t="s">
        <v>55</v>
      </c>
      <c r="C14" s="221" t="s">
        <v>56</v>
      </c>
      <c r="D14" s="222"/>
      <c r="E14" s="222"/>
      <c r="F14" s="222"/>
      <c r="G14" s="222"/>
      <c r="H14" s="223"/>
      <c r="I14" s="296"/>
      <c r="J14" s="297"/>
      <c r="K14" s="88"/>
      <c r="L14" s="314"/>
      <c r="M14" s="314"/>
      <c r="N14" s="87"/>
      <c r="O14" s="86"/>
      <c r="P14" s="12"/>
      <c r="R14" s="316"/>
      <c r="S14" s="316"/>
    </row>
    <row r="15" spans="2:19" ht="19.5" customHeight="1">
      <c r="B15" s="23" t="s">
        <v>57</v>
      </c>
      <c r="C15" s="221" t="s">
        <v>58</v>
      </c>
      <c r="D15" s="222"/>
      <c r="E15" s="222"/>
      <c r="F15" s="222"/>
      <c r="G15" s="222"/>
      <c r="H15" s="223"/>
      <c r="I15" s="224"/>
      <c r="J15" s="225"/>
      <c r="K15" s="12"/>
      <c r="L15" s="313"/>
      <c r="M15" s="313"/>
      <c r="N15" s="24"/>
      <c r="O15" s="12"/>
      <c r="P15" s="12"/>
      <c r="R15" s="313"/>
      <c r="S15" s="313"/>
    </row>
    <row r="16" spans="2:19">
      <c r="B16" s="18"/>
      <c r="C16" s="25"/>
      <c r="D16" s="25"/>
      <c r="E16" s="25"/>
      <c r="F16" s="25"/>
      <c r="G16" s="25"/>
      <c r="H16" s="25"/>
      <c r="I16" s="18"/>
      <c r="J16" s="18"/>
      <c r="K16" s="12"/>
      <c r="L16" s="19"/>
      <c r="M16" s="19"/>
      <c r="N16" s="19"/>
      <c r="O16" s="12"/>
      <c r="P16" s="12"/>
      <c r="R16" s="19"/>
      <c r="S16" s="19"/>
    </row>
    <row r="17" spans="2:22">
      <c r="B17" s="246" t="s">
        <v>59</v>
      </c>
      <c r="C17" s="246"/>
      <c r="D17" s="246"/>
      <c r="E17" s="246"/>
      <c r="F17" s="246"/>
      <c r="G17" s="246"/>
      <c r="H17" s="246"/>
      <c r="I17" s="246"/>
      <c r="J17" s="246"/>
      <c r="K17" s="12"/>
      <c r="L17" s="312"/>
      <c r="M17" s="312"/>
      <c r="N17" s="13"/>
      <c r="O17" s="26"/>
      <c r="P17" s="26"/>
      <c r="R17" s="13"/>
      <c r="S17" s="13"/>
    </row>
    <row r="18" spans="2:22">
      <c r="B18" s="238" t="s">
        <v>60</v>
      </c>
      <c r="C18" s="238"/>
      <c r="D18" s="238" t="s">
        <v>47</v>
      </c>
      <c r="E18" s="238"/>
      <c r="F18" s="238" t="s">
        <v>61</v>
      </c>
      <c r="G18" s="238"/>
      <c r="H18" s="238"/>
      <c r="I18" s="238"/>
      <c r="J18" s="238"/>
      <c r="K18" s="12"/>
      <c r="L18" s="311"/>
      <c r="M18" s="311"/>
      <c r="N18" s="19"/>
      <c r="O18" s="12"/>
      <c r="P18" s="12"/>
      <c r="R18" s="311"/>
      <c r="S18" s="311"/>
    </row>
    <row r="19" spans="2:22">
      <c r="B19" s="238" t="s">
        <v>62</v>
      </c>
      <c r="C19" s="238"/>
      <c r="D19" s="238" t="s">
        <v>48</v>
      </c>
      <c r="E19" s="238"/>
      <c r="F19" s="244">
        <v>3</v>
      </c>
      <c r="G19" s="244"/>
      <c r="H19" s="244"/>
      <c r="I19" s="244"/>
      <c r="J19" s="244"/>
      <c r="K19" s="89"/>
      <c r="L19" s="312"/>
      <c r="M19" s="312"/>
      <c r="N19" s="13"/>
      <c r="O19" s="89"/>
      <c r="P19" s="95"/>
      <c r="R19" s="317"/>
      <c r="S19" s="317"/>
    </row>
    <row r="20" spans="2:22">
      <c r="B20" s="18"/>
      <c r="C20" s="25"/>
      <c r="D20" s="25"/>
      <c r="E20" s="25"/>
      <c r="F20" s="25"/>
      <c r="G20" s="25"/>
      <c r="H20" s="25"/>
      <c r="I20" s="18"/>
      <c r="J20" s="18"/>
      <c r="K20" s="12"/>
      <c r="L20" s="19"/>
      <c r="M20" s="19"/>
      <c r="N20" s="19"/>
      <c r="O20" s="12"/>
      <c r="P20" s="12"/>
      <c r="R20" s="19"/>
      <c r="S20" s="19"/>
    </row>
    <row r="21" spans="2:22">
      <c r="B21" s="246" t="s">
        <v>63</v>
      </c>
      <c r="C21" s="246"/>
      <c r="D21" s="246"/>
      <c r="E21" s="246"/>
      <c r="F21" s="246"/>
      <c r="G21" s="246"/>
      <c r="H21" s="246"/>
      <c r="I21" s="246"/>
      <c r="J21" s="246"/>
      <c r="K21" s="12"/>
      <c r="L21" s="13"/>
      <c r="M21" s="13"/>
      <c r="N21" s="13"/>
      <c r="O21" s="26"/>
      <c r="P21" s="26"/>
      <c r="R21" s="13"/>
      <c r="S21" s="13"/>
    </row>
    <row r="22" spans="2:22">
      <c r="B22" s="23">
        <v>1</v>
      </c>
      <c r="C22" s="236" t="s">
        <v>64</v>
      </c>
      <c r="D22" s="236"/>
      <c r="E22" s="236"/>
      <c r="F22" s="236"/>
      <c r="G22" s="236"/>
      <c r="H22" s="236"/>
      <c r="I22" s="238" t="s">
        <v>62</v>
      </c>
      <c r="J22" s="238"/>
      <c r="K22" s="12"/>
      <c r="L22" s="311"/>
      <c r="M22" s="311"/>
      <c r="N22" s="19"/>
      <c r="O22" s="12"/>
      <c r="P22" s="107"/>
      <c r="R22" s="311"/>
      <c r="S22" s="311"/>
    </row>
    <row r="23" spans="2:22">
      <c r="B23" s="23">
        <v>2</v>
      </c>
      <c r="C23" s="236" t="s">
        <v>65</v>
      </c>
      <c r="D23" s="236"/>
      <c r="E23" s="236"/>
      <c r="F23" s="236"/>
      <c r="G23" s="236"/>
      <c r="H23" s="236"/>
      <c r="I23" s="238" t="s">
        <v>191</v>
      </c>
      <c r="J23" s="238"/>
      <c r="K23" s="12"/>
      <c r="L23" s="311"/>
      <c r="M23" s="311"/>
      <c r="N23" s="19"/>
      <c r="O23" s="12"/>
      <c r="P23" s="107"/>
      <c r="R23" s="311"/>
      <c r="S23" s="311"/>
    </row>
    <row r="24" spans="2:22">
      <c r="B24" s="23">
        <v>3</v>
      </c>
      <c r="C24" s="236" t="s">
        <v>67</v>
      </c>
      <c r="D24" s="236"/>
      <c r="E24" s="236"/>
      <c r="F24" s="236"/>
      <c r="G24" s="236"/>
      <c r="H24" s="236"/>
      <c r="I24" s="319">
        <f>(2792.59*6.5%)+2792.59</f>
        <v>2974.10835</v>
      </c>
      <c r="J24" s="238"/>
      <c r="K24" s="12"/>
      <c r="L24" s="318"/>
      <c r="M24" s="311"/>
      <c r="N24" s="19"/>
      <c r="O24" s="12"/>
      <c r="P24" s="107"/>
      <c r="Q24" s="10"/>
      <c r="R24" s="318"/>
      <c r="S24" s="311"/>
    </row>
    <row r="25" spans="2:22" ht="29.25" customHeight="1">
      <c r="B25" s="23">
        <v>4</v>
      </c>
      <c r="C25" s="236" t="s">
        <v>68</v>
      </c>
      <c r="D25" s="236"/>
      <c r="E25" s="236"/>
      <c r="F25" s="236"/>
      <c r="G25" s="236"/>
      <c r="H25" s="236"/>
      <c r="I25" s="257" t="s">
        <v>192</v>
      </c>
      <c r="J25" s="257"/>
      <c r="K25" s="12"/>
      <c r="L25" s="306"/>
      <c r="M25" s="306"/>
      <c r="N25" s="27"/>
      <c r="O25" s="12"/>
      <c r="P25" s="107"/>
      <c r="R25" s="306"/>
      <c r="S25" s="306"/>
    </row>
    <row r="26" spans="2:22">
      <c r="B26" s="23">
        <v>5</v>
      </c>
      <c r="C26" s="221" t="s">
        <v>70</v>
      </c>
      <c r="D26" s="222"/>
      <c r="E26" s="222"/>
      <c r="F26" s="222"/>
      <c r="G26" s="222"/>
      <c r="H26" s="223"/>
      <c r="I26" s="248" t="s">
        <v>71</v>
      </c>
      <c r="J26" s="249"/>
      <c r="K26" s="12"/>
      <c r="L26" s="306"/>
      <c r="M26" s="306"/>
      <c r="N26" s="27"/>
      <c r="O26" s="12"/>
      <c r="P26" s="107"/>
      <c r="R26" s="306"/>
      <c r="S26" s="306"/>
    </row>
    <row r="27" spans="2:22">
      <c r="B27" s="23">
        <v>6</v>
      </c>
      <c r="C27" s="236" t="s">
        <v>72</v>
      </c>
      <c r="D27" s="236"/>
      <c r="E27" s="236"/>
      <c r="F27" s="236"/>
      <c r="G27" s="236"/>
      <c r="H27" s="236"/>
      <c r="I27" s="255"/>
      <c r="J27" s="256"/>
      <c r="K27" s="12"/>
      <c r="L27" s="307"/>
      <c r="M27" s="308"/>
      <c r="N27" s="19"/>
      <c r="O27" s="12"/>
      <c r="P27" s="107"/>
      <c r="R27" s="307"/>
      <c r="S27" s="308"/>
    </row>
    <row r="28" spans="2:22">
      <c r="B28" s="253"/>
      <c r="C28" s="253"/>
      <c r="D28" s="253"/>
      <c r="E28" s="253"/>
      <c r="F28" s="253"/>
      <c r="G28" s="253"/>
      <c r="H28" s="253"/>
      <c r="I28" s="253"/>
      <c r="J28" s="253"/>
      <c r="K28" s="12"/>
      <c r="L28" s="19"/>
      <c r="M28" s="19"/>
      <c r="N28" s="19"/>
      <c r="O28" s="12"/>
      <c r="P28" s="107"/>
      <c r="R28" s="19"/>
      <c r="S28" s="19"/>
    </row>
    <row r="29" spans="2:22">
      <c r="B29" s="247" t="s">
        <v>73</v>
      </c>
      <c r="C29" s="247"/>
      <c r="D29" s="247"/>
      <c r="E29" s="247"/>
      <c r="F29" s="247"/>
      <c r="G29" s="247"/>
      <c r="H29" s="247"/>
      <c r="I29" s="247"/>
      <c r="J29" s="247"/>
      <c r="K29" s="12"/>
      <c r="L29" s="13"/>
      <c r="M29" s="13"/>
      <c r="N29" s="13"/>
      <c r="O29" s="26"/>
      <c r="P29" s="108"/>
      <c r="R29" s="13"/>
      <c r="S29" s="13"/>
    </row>
    <row r="30" spans="2:22">
      <c r="B30" s="28">
        <v>1</v>
      </c>
      <c r="C30" s="244" t="s">
        <v>74</v>
      </c>
      <c r="D30" s="244"/>
      <c r="E30" s="244"/>
      <c r="F30" s="244"/>
      <c r="G30" s="244"/>
      <c r="H30" s="244"/>
      <c r="I30" s="28" t="s">
        <v>75</v>
      </c>
      <c r="J30" s="28" t="s">
        <v>76</v>
      </c>
      <c r="K30" s="12"/>
      <c r="L30" s="13"/>
      <c r="M30" s="13"/>
      <c r="N30" s="13"/>
      <c r="O30" s="12"/>
      <c r="P30" s="107"/>
      <c r="R30" s="13"/>
      <c r="S30" s="13"/>
    </row>
    <row r="31" spans="2:22">
      <c r="B31" s="28" t="s">
        <v>44</v>
      </c>
      <c r="C31" s="236" t="s">
        <v>77</v>
      </c>
      <c r="D31" s="236"/>
      <c r="E31" s="236"/>
      <c r="F31" s="236"/>
      <c r="G31" s="236"/>
      <c r="H31" s="236"/>
      <c r="I31" s="29"/>
      <c r="J31" s="30">
        <f>I24</f>
        <v>2974.10835</v>
      </c>
      <c r="K31" s="12"/>
      <c r="L31" s="143"/>
      <c r="M31" s="31"/>
      <c r="N31" s="31"/>
      <c r="O31" s="12"/>
      <c r="P31" s="107"/>
      <c r="R31" s="143"/>
      <c r="S31" s="31"/>
      <c r="U31">
        <f>R31*6%</f>
        <v>0</v>
      </c>
      <c r="V31">
        <f>R31+U31</f>
        <v>0</v>
      </c>
    </row>
    <row r="32" spans="2:22">
      <c r="B32" s="28" t="s">
        <v>46</v>
      </c>
      <c r="C32" s="236" t="s">
        <v>78</v>
      </c>
      <c r="D32" s="236"/>
      <c r="E32" s="236"/>
      <c r="F32" s="236"/>
      <c r="G32" s="236"/>
      <c r="H32" s="236"/>
      <c r="I32" s="32"/>
      <c r="J32" s="33">
        <v>0</v>
      </c>
      <c r="K32" s="12"/>
      <c r="L32" s="144"/>
      <c r="M32" s="34"/>
      <c r="N32" s="34"/>
      <c r="O32" s="12"/>
      <c r="P32" s="107"/>
      <c r="R32" s="144"/>
      <c r="S32" s="34"/>
    </row>
    <row r="33" spans="2:19">
      <c r="B33" s="136" t="s">
        <v>49</v>
      </c>
      <c r="C33" s="302" t="s">
        <v>79</v>
      </c>
      <c r="D33" s="302"/>
      <c r="E33" s="302"/>
      <c r="F33" s="302"/>
      <c r="G33" s="302"/>
      <c r="H33" s="302"/>
      <c r="I33" s="137"/>
      <c r="J33" s="138">
        <v>0</v>
      </c>
      <c r="K33" s="12"/>
      <c r="L33" s="144"/>
      <c r="M33" s="34"/>
      <c r="N33" s="34"/>
      <c r="O33" s="12"/>
      <c r="P33" s="107"/>
      <c r="R33" s="144"/>
      <c r="S33" s="34"/>
    </row>
    <row r="34" spans="2:19">
      <c r="B34" s="51" t="s">
        <v>52</v>
      </c>
      <c r="C34" s="303" t="s">
        <v>80</v>
      </c>
      <c r="D34" s="303"/>
      <c r="E34" s="303"/>
      <c r="F34" s="303"/>
      <c r="G34" s="303"/>
      <c r="H34" s="303"/>
      <c r="I34" s="132"/>
      <c r="J34" s="133">
        <v>0</v>
      </c>
      <c r="K34" s="12"/>
      <c r="L34" s="144"/>
      <c r="M34" s="34"/>
      <c r="N34" s="34"/>
      <c r="O34" s="12"/>
      <c r="P34" s="107"/>
      <c r="R34" s="144"/>
      <c r="S34" s="34"/>
    </row>
    <row r="35" spans="2:19">
      <c r="B35" s="51" t="s">
        <v>55</v>
      </c>
      <c r="C35" s="304" t="s">
        <v>193</v>
      </c>
      <c r="D35" s="303"/>
      <c r="E35" s="303"/>
      <c r="F35" s="303"/>
      <c r="G35" s="303"/>
      <c r="H35" s="303"/>
      <c r="I35" s="134"/>
      <c r="J35" s="135">
        <f>M152</f>
        <v>79.309556000000001</v>
      </c>
      <c r="K35" s="12"/>
      <c r="L35" s="144"/>
      <c r="M35" s="145"/>
      <c r="N35" s="34"/>
      <c r="O35" s="12"/>
      <c r="P35" s="107"/>
      <c r="R35" s="144"/>
      <c r="S35" s="145"/>
    </row>
    <row r="36" spans="2:19">
      <c r="B36" s="51" t="s">
        <v>57</v>
      </c>
      <c r="C36" s="303" t="s">
        <v>82</v>
      </c>
      <c r="D36" s="303"/>
      <c r="E36" s="303"/>
      <c r="F36" s="303"/>
      <c r="G36" s="303"/>
      <c r="H36" s="303"/>
      <c r="I36" s="132"/>
      <c r="J36" s="133">
        <v>0</v>
      </c>
      <c r="K36" s="12"/>
      <c r="L36" s="144"/>
      <c r="M36" s="34"/>
      <c r="N36" s="34"/>
      <c r="O36" s="12"/>
      <c r="P36" s="107"/>
      <c r="R36" s="144"/>
      <c r="S36" s="34"/>
    </row>
    <row r="37" spans="2:19">
      <c r="B37" s="305" t="s">
        <v>83</v>
      </c>
      <c r="C37" s="305"/>
      <c r="D37" s="305"/>
      <c r="E37" s="305"/>
      <c r="F37" s="305"/>
      <c r="G37" s="305"/>
      <c r="H37" s="305"/>
      <c r="I37" s="305"/>
      <c r="J37" s="139">
        <f>SUM(J31:J36)</f>
        <v>3053.4179060000001</v>
      </c>
      <c r="K37" s="12"/>
      <c r="L37" s="13"/>
      <c r="M37" s="37"/>
      <c r="N37" s="37"/>
      <c r="O37" s="12"/>
      <c r="P37" s="107"/>
      <c r="R37" s="13"/>
      <c r="S37" s="37"/>
    </row>
    <row r="38" spans="2:19">
      <c r="B38" s="11"/>
      <c r="C38" s="11"/>
      <c r="D38" s="11"/>
      <c r="E38" s="11"/>
      <c r="F38" s="11"/>
      <c r="G38" s="11"/>
      <c r="H38" s="11"/>
      <c r="I38" s="11"/>
      <c r="J38" s="38"/>
      <c r="K38" s="12"/>
      <c r="L38" s="13"/>
      <c r="M38" s="39"/>
      <c r="N38" s="39"/>
      <c r="O38" s="12"/>
      <c r="P38" s="107"/>
      <c r="R38" s="13"/>
      <c r="S38" s="39"/>
    </row>
    <row r="39" spans="2:19">
      <c r="B39" s="247" t="s">
        <v>84</v>
      </c>
      <c r="C39" s="247"/>
      <c r="D39" s="247"/>
      <c r="E39" s="247"/>
      <c r="F39" s="247"/>
      <c r="G39" s="247"/>
      <c r="H39" s="247"/>
      <c r="I39" s="247"/>
      <c r="J39" s="247"/>
      <c r="K39" s="12"/>
      <c r="L39" s="13"/>
      <c r="M39" s="13"/>
      <c r="N39" s="13"/>
      <c r="O39" s="26"/>
      <c r="P39" s="108"/>
      <c r="R39" s="13"/>
      <c r="S39" s="13"/>
    </row>
    <row r="40" spans="2:19">
      <c r="B40" s="258" t="s">
        <v>85</v>
      </c>
      <c r="C40" s="258"/>
      <c r="D40" s="258"/>
      <c r="E40" s="258"/>
      <c r="F40" s="258"/>
      <c r="G40" s="258"/>
      <c r="H40" s="258"/>
      <c r="I40" s="40" t="s">
        <v>75</v>
      </c>
      <c r="J40" s="40" t="s">
        <v>76</v>
      </c>
      <c r="K40" s="12"/>
      <c r="L40" s="13"/>
      <c r="M40" s="13"/>
      <c r="N40" s="13"/>
      <c r="O40" s="12"/>
      <c r="P40" s="107"/>
      <c r="R40" s="13"/>
      <c r="S40" s="13"/>
    </row>
    <row r="41" spans="2:19">
      <c r="B41" s="28" t="s">
        <v>44</v>
      </c>
      <c r="C41" s="236" t="s">
        <v>86</v>
      </c>
      <c r="D41" s="236"/>
      <c r="E41" s="236"/>
      <c r="F41" s="236"/>
      <c r="G41" s="236"/>
      <c r="H41" s="236"/>
      <c r="I41" s="41">
        <v>8.3333000000000004E-2</v>
      </c>
      <c r="J41" s="42">
        <f>TRUNC($J$37*I41,2)</f>
        <v>254.45</v>
      </c>
      <c r="K41" s="12"/>
      <c r="L41" s="146"/>
      <c r="M41" s="43"/>
      <c r="N41" s="43"/>
      <c r="O41" s="12"/>
      <c r="P41" s="107"/>
      <c r="R41" s="146"/>
      <c r="S41" s="43"/>
    </row>
    <row r="42" spans="2:19">
      <c r="B42" s="28" t="s">
        <v>46</v>
      </c>
      <c r="C42" s="236" t="s">
        <v>87</v>
      </c>
      <c r="D42" s="236"/>
      <c r="E42" s="236"/>
      <c r="F42" s="236"/>
      <c r="G42" s="236"/>
      <c r="H42" s="236"/>
      <c r="I42" s="44">
        <v>0.121</v>
      </c>
      <c r="J42" s="42">
        <f>TRUNC($J$37*I42,2)</f>
        <v>369.46</v>
      </c>
      <c r="K42" s="12"/>
      <c r="L42" s="146"/>
      <c r="M42" s="43"/>
      <c r="N42" s="43"/>
      <c r="O42" s="12"/>
      <c r="P42" s="107"/>
      <c r="R42" s="146"/>
      <c r="S42" s="43"/>
    </row>
    <row r="43" spans="2:19">
      <c r="B43" s="244" t="s">
        <v>88</v>
      </c>
      <c r="C43" s="244"/>
      <c r="D43" s="244"/>
      <c r="E43" s="244"/>
      <c r="F43" s="244"/>
      <c r="G43" s="244"/>
      <c r="H43" s="244"/>
      <c r="I43" s="45">
        <f>SUM(I41:I42)</f>
        <v>0.20433299999999999</v>
      </c>
      <c r="J43" s="46">
        <f>SUM(J41:J42)</f>
        <v>623.91</v>
      </c>
      <c r="K43" s="12"/>
      <c r="L43" s="147"/>
      <c r="M43" s="39"/>
      <c r="N43" s="39"/>
      <c r="O43" s="12"/>
      <c r="P43" s="107"/>
      <c r="R43" s="147"/>
      <c r="S43" s="39"/>
    </row>
    <row r="44" spans="2:19">
      <c r="B44" s="259"/>
      <c r="C44" s="260"/>
      <c r="D44" s="260"/>
      <c r="E44" s="260"/>
      <c r="F44" s="260"/>
      <c r="G44" s="260"/>
      <c r="H44" s="260"/>
      <c r="I44" s="260"/>
      <c r="J44" s="260"/>
      <c r="K44" s="12"/>
      <c r="L44" s="13"/>
      <c r="M44" s="13"/>
      <c r="N44" s="13"/>
      <c r="O44" s="12"/>
      <c r="P44" s="107"/>
      <c r="R44" s="13"/>
      <c r="S44" s="13"/>
    </row>
    <row r="45" spans="2:19">
      <c r="B45" s="258" t="s">
        <v>89</v>
      </c>
      <c r="C45" s="258"/>
      <c r="D45" s="258"/>
      <c r="E45" s="258"/>
      <c r="F45" s="258"/>
      <c r="G45" s="258"/>
      <c r="H45" s="258"/>
      <c r="I45" s="40" t="s">
        <v>75</v>
      </c>
      <c r="J45" s="40" t="s">
        <v>76</v>
      </c>
      <c r="K45" s="12"/>
      <c r="L45" s="13"/>
      <c r="M45" s="13"/>
      <c r="N45" s="13"/>
      <c r="O45" s="12"/>
      <c r="P45" s="107"/>
      <c r="R45" s="13"/>
      <c r="S45" s="13"/>
    </row>
    <row r="46" spans="2:19">
      <c r="B46" s="28" t="s">
        <v>44</v>
      </c>
      <c r="C46" s="236" t="s">
        <v>90</v>
      </c>
      <c r="D46" s="236"/>
      <c r="E46" s="236"/>
      <c r="F46" s="236"/>
      <c r="G46" s="236"/>
      <c r="H46" s="236"/>
      <c r="I46" s="41">
        <v>0.2</v>
      </c>
      <c r="J46" s="42">
        <f>TRUNC(($J$37+$J$43)*$I$46,2)</f>
        <v>735.46</v>
      </c>
      <c r="K46" s="12"/>
      <c r="L46" s="146"/>
      <c r="M46" s="43"/>
      <c r="N46" s="43"/>
      <c r="O46" s="12"/>
      <c r="P46" s="107"/>
      <c r="R46" s="146"/>
      <c r="S46" s="43"/>
    </row>
    <row r="47" spans="2:19">
      <c r="B47" s="28" t="s">
        <v>46</v>
      </c>
      <c r="C47" s="236" t="s">
        <v>91</v>
      </c>
      <c r="D47" s="236"/>
      <c r="E47" s="236"/>
      <c r="F47" s="236"/>
      <c r="G47" s="236"/>
      <c r="H47" s="236"/>
      <c r="I47" s="41">
        <v>2.5000000000000001E-2</v>
      </c>
      <c r="J47" s="42">
        <f>TRUNC(($J$37+$J$43)*$I$47,2)</f>
        <v>91.93</v>
      </c>
      <c r="K47" s="12"/>
      <c r="L47" s="146"/>
      <c r="M47" s="43"/>
      <c r="N47" s="43"/>
      <c r="O47" s="12"/>
      <c r="P47" s="107"/>
      <c r="R47" s="146"/>
      <c r="S47" s="43"/>
    </row>
    <row r="48" spans="2:19">
      <c r="B48" s="28" t="s">
        <v>49</v>
      </c>
      <c r="C48" s="236" t="s">
        <v>92</v>
      </c>
      <c r="D48" s="236"/>
      <c r="E48" s="236"/>
      <c r="F48" s="236"/>
      <c r="G48" s="236"/>
      <c r="H48" s="236"/>
      <c r="I48" s="41">
        <v>0.03</v>
      </c>
      <c r="J48" s="42">
        <f>TRUNC(($J$37+$J$43)*$I$48,2)</f>
        <v>110.31</v>
      </c>
      <c r="K48" s="12"/>
      <c r="L48" s="146"/>
      <c r="M48" s="43"/>
      <c r="N48" s="43"/>
      <c r="O48" s="12"/>
      <c r="P48" s="107"/>
      <c r="R48" s="146"/>
      <c r="S48" s="43"/>
    </row>
    <row r="49" spans="2:19">
      <c r="B49" s="28" t="s">
        <v>52</v>
      </c>
      <c r="C49" s="236" t="s">
        <v>93</v>
      </c>
      <c r="D49" s="236"/>
      <c r="E49" s="236"/>
      <c r="F49" s="236"/>
      <c r="G49" s="236"/>
      <c r="H49" s="236"/>
      <c r="I49" s="41">
        <v>1.4999999999999999E-2</v>
      </c>
      <c r="J49" s="42">
        <f>TRUNC(($J$37+$J$43)*$I$49,2)</f>
        <v>55.15</v>
      </c>
      <c r="K49" s="12"/>
      <c r="L49" s="146"/>
      <c r="M49" s="43"/>
      <c r="N49" s="43"/>
      <c r="O49" s="12"/>
      <c r="P49" s="107"/>
      <c r="R49" s="146"/>
      <c r="S49" s="43"/>
    </row>
    <row r="50" spans="2:19">
      <c r="B50" s="28" t="s">
        <v>55</v>
      </c>
      <c r="C50" s="236" t="s">
        <v>94</v>
      </c>
      <c r="D50" s="236"/>
      <c r="E50" s="236"/>
      <c r="F50" s="236"/>
      <c r="G50" s="236"/>
      <c r="H50" s="236"/>
      <c r="I50" s="41">
        <v>0.01</v>
      </c>
      <c r="J50" s="42">
        <f>TRUNC(($J$37+$J$43)*$I$50,2)</f>
        <v>36.770000000000003</v>
      </c>
      <c r="K50" s="12"/>
      <c r="L50" s="146"/>
      <c r="M50" s="43"/>
      <c r="N50" s="43"/>
      <c r="O50" s="12"/>
      <c r="P50" s="107"/>
      <c r="R50" s="146"/>
      <c r="S50" s="43"/>
    </row>
    <row r="51" spans="2:19">
      <c r="B51" s="28" t="s">
        <v>57</v>
      </c>
      <c r="C51" s="236" t="s">
        <v>95</v>
      </c>
      <c r="D51" s="236"/>
      <c r="E51" s="236"/>
      <c r="F51" s="236"/>
      <c r="G51" s="236"/>
      <c r="H51" s="236"/>
      <c r="I51" s="41">
        <v>6.0000000000000001E-3</v>
      </c>
      <c r="J51" s="42">
        <f>TRUNC(($J$37+$J$43)*$I$51,2)</f>
        <v>22.06</v>
      </c>
      <c r="K51" s="12"/>
      <c r="L51" s="146"/>
      <c r="M51" s="43"/>
      <c r="N51" s="43"/>
      <c r="O51" s="12"/>
      <c r="P51" s="107"/>
      <c r="R51" s="146"/>
      <c r="S51" s="43"/>
    </row>
    <row r="52" spans="2:19">
      <c r="B52" s="28" t="s">
        <v>96</v>
      </c>
      <c r="C52" s="236" t="s">
        <v>97</v>
      </c>
      <c r="D52" s="236"/>
      <c r="E52" s="236"/>
      <c r="F52" s="236"/>
      <c r="G52" s="236"/>
      <c r="H52" s="236"/>
      <c r="I52" s="41">
        <v>2E-3</v>
      </c>
      <c r="J52" s="42">
        <f>TRUNC(($J$37+$J$43)*$I$52,2)</f>
        <v>7.35</v>
      </c>
      <c r="K52" s="12"/>
      <c r="L52" s="146"/>
      <c r="M52" s="43"/>
      <c r="N52" s="43"/>
      <c r="O52" s="12"/>
      <c r="P52" s="107"/>
      <c r="R52" s="146"/>
      <c r="S52" s="43"/>
    </row>
    <row r="53" spans="2:19">
      <c r="B53" s="28" t="s">
        <v>98</v>
      </c>
      <c r="C53" s="236" t="s">
        <v>99</v>
      </c>
      <c r="D53" s="236"/>
      <c r="E53" s="236"/>
      <c r="F53" s="236"/>
      <c r="G53" s="236"/>
      <c r="H53" s="236"/>
      <c r="I53" s="41">
        <v>0.08</v>
      </c>
      <c r="J53" s="42">
        <f>TRUNC(($J$37+$J$43)*$I$53,2)</f>
        <v>294.18</v>
      </c>
      <c r="K53" s="12"/>
      <c r="L53" s="146"/>
      <c r="M53" s="43"/>
      <c r="N53" s="43"/>
      <c r="O53" s="12"/>
      <c r="P53" s="107"/>
      <c r="R53" s="146"/>
      <c r="S53" s="43"/>
    </row>
    <row r="54" spans="2:19">
      <c r="B54" s="244" t="s">
        <v>100</v>
      </c>
      <c r="C54" s="244"/>
      <c r="D54" s="244"/>
      <c r="E54" s="244"/>
      <c r="F54" s="244"/>
      <c r="G54" s="244"/>
      <c r="H54" s="244"/>
      <c r="I54" s="45">
        <f>SUM(I46:I53)</f>
        <v>0.36800000000000005</v>
      </c>
      <c r="J54" s="46">
        <f>SUM(J46:J53)</f>
        <v>1353.21</v>
      </c>
      <c r="K54" s="12"/>
      <c r="L54" s="147"/>
      <c r="M54" s="39"/>
      <c r="N54" s="39"/>
      <c r="O54" s="12"/>
      <c r="P54" s="107"/>
      <c r="R54" s="147"/>
      <c r="S54" s="39"/>
    </row>
    <row r="55" spans="2:19">
      <c r="B55" s="261"/>
      <c r="C55" s="261"/>
      <c r="D55" s="261"/>
      <c r="E55" s="261"/>
      <c r="F55" s="261"/>
      <c r="G55" s="261"/>
      <c r="H55" s="261"/>
      <c r="I55" s="261"/>
      <c r="J55" s="262"/>
      <c r="K55" s="12"/>
      <c r="L55" s="13"/>
      <c r="M55" s="13"/>
      <c r="N55" s="13"/>
      <c r="O55" s="12"/>
      <c r="P55" s="107"/>
      <c r="R55" s="13"/>
      <c r="S55" s="13"/>
    </row>
    <row r="56" spans="2:19">
      <c r="B56" s="258" t="s">
        <v>101</v>
      </c>
      <c r="C56" s="258"/>
      <c r="D56" s="258"/>
      <c r="E56" s="258"/>
      <c r="F56" s="258"/>
      <c r="G56" s="258"/>
      <c r="H56" s="258"/>
      <c r="I56" s="48"/>
      <c r="J56" s="40" t="s">
        <v>76</v>
      </c>
      <c r="K56" s="12"/>
      <c r="L56" s="147"/>
      <c r="M56" s="13"/>
      <c r="N56" s="13"/>
      <c r="O56" s="12"/>
      <c r="P56" s="107"/>
      <c r="R56" s="147"/>
      <c r="S56" s="13"/>
    </row>
    <row r="57" spans="2:19">
      <c r="B57" s="172" t="s">
        <v>44</v>
      </c>
      <c r="C57" s="265" t="s">
        <v>102</v>
      </c>
      <c r="D57" s="265"/>
      <c r="E57" s="265"/>
      <c r="F57" s="265"/>
      <c r="G57" s="265"/>
      <c r="H57" s="265"/>
      <c r="I57" s="170" t="s">
        <v>22</v>
      </c>
      <c r="J57" s="169">
        <v>0</v>
      </c>
      <c r="K57" s="174"/>
      <c r="L57" s="201"/>
      <c r="M57" s="175"/>
      <c r="N57" s="175"/>
      <c r="O57" s="174"/>
      <c r="P57" s="183"/>
      <c r="R57" s="19"/>
      <c r="S57" s="50"/>
    </row>
    <row r="58" spans="2:19">
      <c r="B58" s="172" t="s">
        <v>46</v>
      </c>
      <c r="C58" s="265" t="s">
        <v>103</v>
      </c>
      <c r="D58" s="265"/>
      <c r="E58" s="265"/>
      <c r="F58" s="265"/>
      <c r="G58" s="265"/>
      <c r="H58" s="265"/>
      <c r="I58" s="173">
        <v>0</v>
      </c>
      <c r="J58" s="169">
        <f>TRUNC(('Dias trabalhados'!E16*I58)*80%)</f>
        <v>0</v>
      </c>
      <c r="K58" s="174"/>
      <c r="L58" s="207"/>
      <c r="M58" s="175"/>
      <c r="N58" s="175"/>
      <c r="O58" s="174"/>
      <c r="P58" s="183"/>
      <c r="R58" s="148"/>
      <c r="S58" s="50"/>
    </row>
    <row r="59" spans="2:19">
      <c r="B59" s="172" t="s">
        <v>49</v>
      </c>
      <c r="C59" s="266" t="s">
        <v>189</v>
      </c>
      <c r="D59" s="267"/>
      <c r="E59" s="267"/>
      <c r="F59" s="267"/>
      <c r="G59" s="267"/>
      <c r="H59" s="268"/>
      <c r="I59" s="170" t="s">
        <v>22</v>
      </c>
      <c r="J59" s="169">
        <v>0</v>
      </c>
      <c r="K59" s="174"/>
      <c r="L59" s="201"/>
      <c r="M59" s="175"/>
      <c r="N59" s="175"/>
      <c r="O59" s="174"/>
      <c r="P59" s="183"/>
      <c r="Q59" s="94"/>
      <c r="R59" s="19"/>
      <c r="S59" s="50"/>
    </row>
    <row r="60" spans="2:19">
      <c r="B60" s="172" t="s">
        <v>52</v>
      </c>
      <c r="C60" s="265" t="s">
        <v>105</v>
      </c>
      <c r="D60" s="265"/>
      <c r="E60" s="265"/>
      <c r="F60" s="265"/>
      <c r="G60" s="265"/>
      <c r="H60" s="265"/>
      <c r="I60" s="170" t="s">
        <v>22</v>
      </c>
      <c r="J60" s="169">
        <v>0</v>
      </c>
      <c r="K60" s="174"/>
      <c r="L60" s="201"/>
      <c r="M60" s="175"/>
      <c r="N60" s="175"/>
      <c r="O60" s="174"/>
      <c r="P60" s="183"/>
      <c r="Q60" s="94"/>
      <c r="R60" s="19"/>
      <c r="S60" s="50"/>
    </row>
    <row r="61" spans="2:19">
      <c r="B61" s="172" t="s">
        <v>55</v>
      </c>
      <c r="C61" s="269" t="s">
        <v>106</v>
      </c>
      <c r="D61" s="270"/>
      <c r="E61" s="270"/>
      <c r="F61" s="270"/>
      <c r="G61" s="270"/>
      <c r="H61" s="271"/>
      <c r="I61" s="170" t="s">
        <v>22</v>
      </c>
      <c r="J61" s="169">
        <v>0</v>
      </c>
      <c r="K61" s="174"/>
      <c r="L61" s="201"/>
      <c r="M61" s="175"/>
      <c r="N61" s="175"/>
      <c r="O61" s="174"/>
      <c r="P61" s="183"/>
      <c r="R61" s="19"/>
      <c r="S61" s="50"/>
    </row>
    <row r="62" spans="2:19">
      <c r="B62" s="172" t="s">
        <v>57</v>
      </c>
      <c r="C62" s="265" t="s">
        <v>194</v>
      </c>
      <c r="D62" s="265"/>
      <c r="E62" s="265"/>
      <c r="F62" s="265"/>
      <c r="G62" s="265"/>
      <c r="H62" s="265"/>
      <c r="I62" s="170" t="s">
        <v>22</v>
      </c>
      <c r="J62" s="169">
        <v>0</v>
      </c>
      <c r="K62" s="174"/>
      <c r="L62" s="201"/>
      <c r="M62" s="175"/>
      <c r="N62" s="175"/>
      <c r="O62" s="174"/>
      <c r="P62" s="176"/>
      <c r="R62" s="149"/>
      <c r="S62" s="50"/>
    </row>
    <row r="63" spans="2:19">
      <c r="B63" s="263" t="s">
        <v>108</v>
      </c>
      <c r="C63" s="263"/>
      <c r="D63" s="263"/>
      <c r="E63" s="263"/>
      <c r="F63" s="263"/>
      <c r="G63" s="263"/>
      <c r="H63" s="263"/>
      <c r="I63" s="263"/>
      <c r="J63" s="177">
        <f>SUM(J57:J62)</f>
        <v>0</v>
      </c>
      <c r="K63" s="174"/>
      <c r="L63" s="171"/>
      <c r="M63" s="178"/>
      <c r="N63" s="178"/>
      <c r="O63" s="174"/>
      <c r="P63" s="183"/>
      <c r="R63" s="13"/>
      <c r="S63" s="39"/>
    </row>
    <row r="64" spans="2:19">
      <c r="B64" s="300"/>
      <c r="C64" s="300"/>
      <c r="D64" s="300"/>
      <c r="E64" s="300"/>
      <c r="F64" s="300"/>
      <c r="G64" s="300"/>
      <c r="H64" s="300"/>
      <c r="I64" s="300"/>
      <c r="J64" s="301"/>
      <c r="K64" s="174"/>
      <c r="L64" s="171"/>
      <c r="M64" s="171"/>
      <c r="N64" s="171"/>
      <c r="O64" s="184"/>
      <c r="P64" s="185"/>
      <c r="R64" s="13"/>
      <c r="S64" s="13"/>
    </row>
    <row r="65" spans="2:19">
      <c r="B65" s="246" t="s">
        <v>109</v>
      </c>
      <c r="C65" s="246"/>
      <c r="D65" s="246"/>
      <c r="E65" s="246"/>
      <c r="F65" s="246"/>
      <c r="G65" s="246"/>
      <c r="H65" s="246"/>
      <c r="I65" s="246"/>
      <c r="J65" s="246"/>
      <c r="K65" s="12"/>
      <c r="L65" s="13"/>
      <c r="M65" s="13"/>
      <c r="N65" s="13"/>
      <c r="O65" s="26"/>
      <c r="P65" s="108"/>
      <c r="R65" s="13"/>
      <c r="S65" s="13"/>
    </row>
    <row r="66" spans="2:19">
      <c r="B66" s="244" t="s">
        <v>110</v>
      </c>
      <c r="C66" s="244"/>
      <c r="D66" s="244"/>
      <c r="E66" s="244"/>
      <c r="F66" s="244"/>
      <c r="G66" s="244"/>
      <c r="H66" s="244"/>
      <c r="I66" s="244"/>
      <c r="J66" s="28" t="s">
        <v>76</v>
      </c>
      <c r="K66" s="12"/>
      <c r="L66" s="13"/>
      <c r="M66" s="13"/>
      <c r="N66" s="13"/>
      <c r="O66" s="12"/>
      <c r="P66" s="107"/>
      <c r="R66" s="13"/>
      <c r="S66" s="13"/>
    </row>
    <row r="67" spans="2:19">
      <c r="B67" s="28" t="s">
        <v>111</v>
      </c>
      <c r="C67" s="236" t="s">
        <v>112</v>
      </c>
      <c r="D67" s="236"/>
      <c r="E67" s="236"/>
      <c r="F67" s="236"/>
      <c r="G67" s="236"/>
      <c r="H67" s="236"/>
      <c r="I67" s="236"/>
      <c r="J67" s="42">
        <f>J43</f>
        <v>623.91</v>
      </c>
      <c r="K67" s="12"/>
      <c r="L67" s="58"/>
      <c r="M67" s="43"/>
      <c r="N67" s="43"/>
      <c r="O67" s="12"/>
      <c r="P67" s="107"/>
      <c r="R67" s="58"/>
      <c r="S67" s="43"/>
    </row>
    <row r="68" spans="2:19">
      <c r="B68" s="28" t="s">
        <v>113</v>
      </c>
      <c r="C68" s="236" t="s">
        <v>114</v>
      </c>
      <c r="D68" s="236"/>
      <c r="E68" s="236"/>
      <c r="F68" s="236"/>
      <c r="G68" s="236"/>
      <c r="H68" s="236"/>
      <c r="I68" s="236"/>
      <c r="J68" s="42">
        <f>J54</f>
        <v>1353.21</v>
      </c>
      <c r="K68" s="12"/>
      <c r="L68" s="58"/>
      <c r="M68" s="43"/>
      <c r="N68" s="43"/>
      <c r="O68" s="12"/>
      <c r="P68" s="107"/>
      <c r="R68" s="58"/>
      <c r="S68" s="43"/>
    </row>
    <row r="69" spans="2:19">
      <c r="B69" s="28" t="s">
        <v>115</v>
      </c>
      <c r="C69" s="236" t="s">
        <v>116</v>
      </c>
      <c r="D69" s="236"/>
      <c r="E69" s="236"/>
      <c r="F69" s="236"/>
      <c r="G69" s="236"/>
      <c r="H69" s="236"/>
      <c r="I69" s="236"/>
      <c r="J69" s="42">
        <f>J63</f>
        <v>0</v>
      </c>
      <c r="K69" s="12"/>
      <c r="L69" s="58"/>
      <c r="M69" s="43"/>
      <c r="N69" s="43"/>
      <c r="O69" s="12"/>
      <c r="P69" s="107"/>
      <c r="R69" s="58"/>
      <c r="S69" s="43"/>
    </row>
    <row r="70" spans="2:19">
      <c r="B70" s="244" t="s">
        <v>117</v>
      </c>
      <c r="C70" s="244"/>
      <c r="D70" s="244"/>
      <c r="E70" s="244"/>
      <c r="F70" s="244"/>
      <c r="G70" s="244"/>
      <c r="H70" s="244"/>
      <c r="I70" s="244"/>
      <c r="J70" s="46">
        <f>SUM(J67:J69)</f>
        <v>1977.12</v>
      </c>
      <c r="K70" s="12"/>
      <c r="L70" s="13"/>
      <c r="M70" s="39"/>
      <c r="N70" s="39"/>
      <c r="O70" s="12"/>
      <c r="P70" s="107"/>
      <c r="R70" s="13"/>
      <c r="S70" s="39"/>
    </row>
    <row r="71" spans="2:19">
      <c r="B71" s="275"/>
      <c r="C71" s="276"/>
      <c r="D71" s="276"/>
      <c r="E71" s="276"/>
      <c r="F71" s="276"/>
      <c r="G71" s="276"/>
      <c r="H71" s="276"/>
      <c r="I71" s="276"/>
      <c r="J71" s="276"/>
      <c r="K71" s="12"/>
      <c r="L71" s="13"/>
      <c r="M71" s="13"/>
      <c r="N71" s="13"/>
      <c r="O71" s="12"/>
      <c r="P71" s="107"/>
      <c r="R71" s="13"/>
      <c r="S71" s="13"/>
    </row>
    <row r="72" spans="2:19">
      <c r="B72" s="247" t="s">
        <v>118</v>
      </c>
      <c r="C72" s="247"/>
      <c r="D72" s="247"/>
      <c r="E72" s="247"/>
      <c r="F72" s="247"/>
      <c r="G72" s="247"/>
      <c r="H72" s="247"/>
      <c r="I72" s="247"/>
      <c r="J72" s="247"/>
      <c r="K72" s="12"/>
      <c r="L72" s="13"/>
      <c r="M72" s="13"/>
      <c r="N72" s="13"/>
      <c r="O72" s="26"/>
      <c r="P72" s="108"/>
      <c r="R72" s="13"/>
      <c r="S72" s="13"/>
    </row>
    <row r="73" spans="2:19">
      <c r="B73" s="28">
        <v>3</v>
      </c>
      <c r="C73" s="244" t="s">
        <v>119</v>
      </c>
      <c r="D73" s="244"/>
      <c r="E73" s="244"/>
      <c r="F73" s="244"/>
      <c r="G73" s="244"/>
      <c r="H73" s="244"/>
      <c r="I73" s="28" t="s">
        <v>75</v>
      </c>
      <c r="J73" s="28" t="s">
        <v>76</v>
      </c>
      <c r="K73" s="12"/>
      <c r="L73" s="13"/>
      <c r="M73" s="13"/>
      <c r="N73" s="13"/>
      <c r="O73" s="12"/>
      <c r="P73" s="107"/>
      <c r="R73" s="13"/>
      <c r="S73" s="13"/>
    </row>
    <row r="74" spans="2:19">
      <c r="B74" s="28" t="s">
        <v>44</v>
      </c>
      <c r="C74" s="236" t="s">
        <v>120</v>
      </c>
      <c r="D74" s="236"/>
      <c r="E74" s="236"/>
      <c r="F74" s="236"/>
      <c r="G74" s="236"/>
      <c r="H74" s="236"/>
      <c r="I74" s="41">
        <f>(1/12)*0.05</f>
        <v>4.1666666666666666E-3</v>
      </c>
      <c r="J74" s="42">
        <f>TRUNC(I74*$J$37,2)</f>
        <v>12.72</v>
      </c>
      <c r="K74" s="12"/>
      <c r="L74" s="146"/>
      <c r="M74" s="43"/>
      <c r="N74" s="43"/>
      <c r="O74" s="12"/>
      <c r="P74" s="107"/>
      <c r="R74" s="146"/>
      <c r="S74" s="43"/>
    </row>
    <row r="75" spans="2:19">
      <c r="B75" s="28" t="s">
        <v>46</v>
      </c>
      <c r="C75" s="236" t="s">
        <v>121</v>
      </c>
      <c r="D75" s="236"/>
      <c r="E75" s="236"/>
      <c r="F75" s="236"/>
      <c r="G75" s="236"/>
      <c r="H75" s="236"/>
      <c r="I75" s="41">
        <f>I53*I74</f>
        <v>3.3333333333333332E-4</v>
      </c>
      <c r="J75" s="42">
        <f>TRUNC(I75*$J$37,2)</f>
        <v>1.01</v>
      </c>
      <c r="K75" s="12"/>
      <c r="L75" s="146"/>
      <c r="M75" s="43"/>
      <c r="N75" s="43"/>
      <c r="O75" s="12"/>
      <c r="P75" s="107"/>
      <c r="R75" s="146"/>
      <c r="S75" s="43"/>
    </row>
    <row r="76" spans="2:19">
      <c r="B76" s="28" t="s">
        <v>49</v>
      </c>
      <c r="C76" s="272" t="s">
        <v>122</v>
      </c>
      <c r="D76" s="272"/>
      <c r="E76" s="272"/>
      <c r="F76" s="272"/>
      <c r="G76" s="272"/>
      <c r="H76" s="272"/>
      <c r="I76" s="41">
        <f>((1+(2/12)+(1/3*1/12))*0.08*0.4*0.9)</f>
        <v>3.4400000000000007E-2</v>
      </c>
      <c r="J76" s="42">
        <f>TRUNC(I76*$J$37,2)</f>
        <v>105.03</v>
      </c>
      <c r="K76" s="12"/>
      <c r="L76" s="146"/>
      <c r="M76" s="43"/>
      <c r="N76" s="43"/>
      <c r="O76" s="12"/>
      <c r="P76" s="107"/>
      <c r="R76" s="146"/>
      <c r="S76" s="43"/>
    </row>
    <row r="77" spans="2:19">
      <c r="B77" s="28" t="s">
        <v>52</v>
      </c>
      <c r="C77" s="236" t="s">
        <v>123</v>
      </c>
      <c r="D77" s="236"/>
      <c r="E77" s="236"/>
      <c r="F77" s="236"/>
      <c r="G77" s="236"/>
      <c r="H77" s="236"/>
      <c r="I77" s="41">
        <f>((7/30)/12)</f>
        <v>1.9444444444444445E-2</v>
      </c>
      <c r="J77" s="42">
        <f t="shared" ref="J77:J78" si="0">TRUNC(I77*$J$37,2)</f>
        <v>59.37</v>
      </c>
      <c r="K77" s="12"/>
      <c r="L77" s="146"/>
      <c r="M77" s="43"/>
      <c r="N77" s="43"/>
      <c r="O77" s="12"/>
      <c r="P77" s="107"/>
      <c r="R77" s="146"/>
      <c r="S77" s="43"/>
    </row>
    <row r="78" spans="2:19">
      <c r="B78" s="28" t="s">
        <v>55</v>
      </c>
      <c r="C78" s="236" t="s">
        <v>124</v>
      </c>
      <c r="D78" s="236"/>
      <c r="E78" s="236"/>
      <c r="F78" s="236"/>
      <c r="G78" s="236"/>
      <c r="H78" s="236"/>
      <c r="I78" s="44">
        <f>I54*I77</f>
        <v>7.1555555555555565E-3</v>
      </c>
      <c r="J78" s="42">
        <f t="shared" si="0"/>
        <v>21.84</v>
      </c>
      <c r="K78" s="12"/>
      <c r="L78" s="146"/>
      <c r="M78" s="43"/>
      <c r="N78" s="43"/>
      <c r="O78" s="12"/>
      <c r="P78" s="107"/>
      <c r="R78" s="146"/>
      <c r="S78" s="43"/>
    </row>
    <row r="79" spans="2:19">
      <c r="B79" s="28" t="s">
        <v>57</v>
      </c>
      <c r="C79" s="272" t="s">
        <v>125</v>
      </c>
      <c r="D79" s="272"/>
      <c r="E79" s="272"/>
      <c r="F79" s="272"/>
      <c r="G79" s="272"/>
      <c r="H79" s="272"/>
      <c r="I79" s="41">
        <f>I77*0.08*0.4</f>
        <v>6.2222222222222236E-4</v>
      </c>
      <c r="J79" s="42">
        <f>TRUNC(I79*$J$37,2)</f>
        <v>1.89</v>
      </c>
      <c r="K79" s="12"/>
      <c r="L79" s="150"/>
      <c r="M79" s="43"/>
      <c r="N79" s="43"/>
      <c r="O79" s="12"/>
      <c r="P79" s="107"/>
      <c r="R79" s="150"/>
      <c r="S79" s="43"/>
    </row>
    <row r="80" spans="2:19">
      <c r="B80" s="244" t="s">
        <v>126</v>
      </c>
      <c r="C80" s="244"/>
      <c r="D80" s="244"/>
      <c r="E80" s="244"/>
      <c r="F80" s="244"/>
      <c r="G80" s="244"/>
      <c r="H80" s="244"/>
      <c r="I80" s="45">
        <f>SUM(I74:I79)</f>
        <v>6.6122222222222221E-2</v>
      </c>
      <c r="J80" s="46">
        <f>SUM(J74:J79)</f>
        <v>201.85999999999999</v>
      </c>
      <c r="K80" s="12"/>
      <c r="L80" s="147"/>
      <c r="M80" s="39"/>
      <c r="N80" s="39"/>
      <c r="O80" s="12"/>
      <c r="P80" s="107"/>
      <c r="R80" s="147"/>
      <c r="S80" s="39"/>
    </row>
    <row r="81" spans="2:19">
      <c r="B81" s="273"/>
      <c r="C81" s="274"/>
      <c r="D81" s="274"/>
      <c r="E81" s="274"/>
      <c r="F81" s="274"/>
      <c r="G81" s="274"/>
      <c r="H81" s="274"/>
      <c r="I81" s="274"/>
      <c r="J81" s="274"/>
      <c r="K81" s="12"/>
      <c r="L81" s="13"/>
      <c r="M81" s="13"/>
      <c r="N81" s="13"/>
      <c r="O81" s="12"/>
      <c r="P81" s="107"/>
      <c r="R81" s="13"/>
      <c r="S81" s="13"/>
    </row>
    <row r="82" spans="2:19">
      <c r="B82" s="247" t="s">
        <v>127</v>
      </c>
      <c r="C82" s="247"/>
      <c r="D82" s="247"/>
      <c r="E82" s="247"/>
      <c r="F82" s="247"/>
      <c r="G82" s="247"/>
      <c r="H82" s="247"/>
      <c r="I82" s="247"/>
      <c r="J82" s="247"/>
      <c r="K82" s="12"/>
      <c r="L82" s="13"/>
      <c r="M82" s="13"/>
      <c r="N82" s="13"/>
      <c r="O82" s="26"/>
      <c r="P82" s="108"/>
      <c r="R82" s="13"/>
      <c r="S82" s="13"/>
    </row>
    <row r="83" spans="2:19">
      <c r="B83" s="244" t="s">
        <v>128</v>
      </c>
      <c r="C83" s="244"/>
      <c r="D83" s="244"/>
      <c r="E83" s="244"/>
      <c r="F83" s="244"/>
      <c r="G83" s="244"/>
      <c r="H83" s="244"/>
      <c r="I83" s="28" t="s">
        <v>75</v>
      </c>
      <c r="J83" s="28" t="s">
        <v>76</v>
      </c>
      <c r="K83" s="52"/>
      <c r="L83" s="13"/>
      <c r="M83" s="13"/>
      <c r="N83" s="13"/>
      <c r="O83" s="12"/>
      <c r="P83" s="107"/>
      <c r="R83" s="13"/>
      <c r="S83" s="13"/>
    </row>
    <row r="84" spans="2:19">
      <c r="B84" s="28" t="s">
        <v>44</v>
      </c>
      <c r="C84" s="236" t="s">
        <v>129</v>
      </c>
      <c r="D84" s="236"/>
      <c r="E84" s="236"/>
      <c r="F84" s="236"/>
      <c r="G84" s="236"/>
      <c r="H84" s="236"/>
      <c r="I84" s="119">
        <f>1/12</f>
        <v>8.3333333333333329E-2</v>
      </c>
      <c r="J84" s="42">
        <f>TRUNC(($J$37)*I84,2)</f>
        <v>254.45</v>
      </c>
      <c r="K84" s="90"/>
      <c r="L84" s="151"/>
      <c r="M84" s="43"/>
      <c r="N84" s="43"/>
      <c r="O84" s="12"/>
      <c r="P84" s="107"/>
      <c r="R84" s="151"/>
      <c r="S84" s="43"/>
    </row>
    <row r="85" spans="2:19">
      <c r="B85" s="28" t="s">
        <v>46</v>
      </c>
      <c r="C85" s="236" t="s">
        <v>130</v>
      </c>
      <c r="D85" s="236"/>
      <c r="E85" s="236"/>
      <c r="F85" s="236"/>
      <c r="G85" s="236"/>
      <c r="H85" s="236"/>
      <c r="I85" s="41">
        <f>(5/30/12)</f>
        <v>1.3888888888888888E-2</v>
      </c>
      <c r="J85" s="42">
        <f t="shared" ref="J85:J90" si="1">TRUNC(($J$37)*I85,2)</f>
        <v>42.4</v>
      </c>
      <c r="K85" s="91"/>
      <c r="L85" s="146"/>
      <c r="M85" s="43"/>
      <c r="N85" s="43"/>
      <c r="O85" s="12"/>
      <c r="P85" s="107"/>
      <c r="R85" s="146"/>
      <c r="S85" s="43"/>
    </row>
    <row r="86" spans="2:19">
      <c r="B86" s="28" t="s">
        <v>49</v>
      </c>
      <c r="C86" s="236" t="s">
        <v>131</v>
      </c>
      <c r="D86" s="236"/>
      <c r="E86" s="236"/>
      <c r="F86" s="236"/>
      <c r="G86" s="236"/>
      <c r="H86" s="236"/>
      <c r="I86" s="41">
        <f>(1/30/12)</f>
        <v>2.7777777777777779E-3</v>
      </c>
      <c r="J86" s="42">
        <f t="shared" si="1"/>
        <v>8.48</v>
      </c>
      <c r="K86" s="91"/>
      <c r="L86" s="146"/>
      <c r="M86" s="43"/>
      <c r="N86" s="43"/>
      <c r="O86" s="12"/>
      <c r="P86" s="107"/>
      <c r="R86" s="146"/>
      <c r="S86" s="43"/>
    </row>
    <row r="87" spans="2:19">
      <c r="B87" s="28" t="s">
        <v>52</v>
      </c>
      <c r="C87" s="236" t="s">
        <v>132</v>
      </c>
      <c r="D87" s="236"/>
      <c r="E87" s="236"/>
      <c r="F87" s="236"/>
      <c r="G87" s="236"/>
      <c r="H87" s="236"/>
      <c r="I87" s="119">
        <f>((5/30)/12)*0.015</f>
        <v>2.0833333333333332E-4</v>
      </c>
      <c r="J87" s="42">
        <f t="shared" si="1"/>
        <v>0.63</v>
      </c>
      <c r="K87" s="90"/>
      <c r="L87" s="151"/>
      <c r="M87" s="43"/>
      <c r="N87" s="43"/>
      <c r="O87" s="12"/>
      <c r="P87" s="107"/>
      <c r="R87" s="151"/>
      <c r="S87" s="43"/>
    </row>
    <row r="88" spans="2:19">
      <c r="B88" s="28" t="s">
        <v>55</v>
      </c>
      <c r="C88" s="236" t="s">
        <v>133</v>
      </c>
      <c r="D88" s="236"/>
      <c r="E88" s="236"/>
      <c r="F88" s="236"/>
      <c r="G88" s="236"/>
      <c r="H88" s="236"/>
      <c r="I88" s="119">
        <f>(1/12)/2*0.0178</f>
        <v>7.4166666666666662E-4</v>
      </c>
      <c r="J88" s="42">
        <f t="shared" si="1"/>
        <v>2.2599999999999998</v>
      </c>
      <c r="K88" s="90"/>
      <c r="L88" s="151"/>
      <c r="M88" s="43"/>
      <c r="N88" s="43"/>
      <c r="O88" s="12"/>
      <c r="P88" s="107"/>
      <c r="R88" s="151"/>
      <c r="S88" s="43"/>
    </row>
    <row r="89" spans="2:19">
      <c r="B89" s="28" t="s">
        <v>57</v>
      </c>
      <c r="C89" s="236" t="s">
        <v>134</v>
      </c>
      <c r="D89" s="236"/>
      <c r="E89" s="236"/>
      <c r="F89" s="236"/>
      <c r="G89" s="236"/>
      <c r="H89" s="236"/>
      <c r="I89" s="119">
        <f>(((1/12)+(1/3*1/12))*(0.24*0.22)*((6/12)))</f>
        <v>2.9333333333333334E-3</v>
      </c>
      <c r="J89" s="42">
        <f t="shared" si="1"/>
        <v>8.9499999999999993</v>
      </c>
      <c r="K89" s="90"/>
      <c r="L89" s="151"/>
      <c r="M89" s="43"/>
      <c r="N89" s="43"/>
      <c r="O89" s="12"/>
      <c r="P89" s="107"/>
      <c r="R89" s="151"/>
      <c r="S89" s="43"/>
    </row>
    <row r="90" spans="2:19">
      <c r="B90" s="28" t="s">
        <v>96</v>
      </c>
      <c r="C90" s="236" t="s">
        <v>135</v>
      </c>
      <c r="D90" s="236"/>
      <c r="E90" s="236"/>
      <c r="F90" s="236"/>
      <c r="G90" s="236"/>
      <c r="H90" s="236"/>
      <c r="I90" s="41">
        <v>0</v>
      </c>
      <c r="J90" s="42">
        <f t="shared" si="1"/>
        <v>0</v>
      </c>
      <c r="K90" s="12"/>
      <c r="L90" s="146"/>
      <c r="M90" s="43"/>
      <c r="N90" s="43"/>
      <c r="O90" s="12"/>
      <c r="P90" s="107"/>
      <c r="R90" s="146"/>
      <c r="S90" s="43"/>
    </row>
    <row r="91" spans="2:19">
      <c r="B91" s="277" t="s">
        <v>136</v>
      </c>
      <c r="C91" s="277"/>
      <c r="D91" s="277"/>
      <c r="E91" s="277"/>
      <c r="F91" s="277"/>
      <c r="G91" s="277"/>
      <c r="H91" s="277"/>
      <c r="I91" s="45">
        <f>SUM(I84:I90)</f>
        <v>0.10388333333333333</v>
      </c>
      <c r="J91" s="46">
        <f>SUM(J84:J90)</f>
        <v>317.16999999999996</v>
      </c>
      <c r="K91" s="12"/>
      <c r="L91" s="147"/>
      <c r="M91" s="39"/>
      <c r="N91" s="39"/>
      <c r="O91" s="12"/>
      <c r="P91" s="107"/>
      <c r="R91" s="147"/>
      <c r="S91" s="39"/>
    </row>
    <row r="92" spans="2:19">
      <c r="B92" s="28" t="s">
        <v>98</v>
      </c>
      <c r="C92" s="236" t="s">
        <v>137</v>
      </c>
      <c r="D92" s="236"/>
      <c r="E92" s="236"/>
      <c r="F92" s="236"/>
      <c r="G92" s="236"/>
      <c r="H92" s="236"/>
      <c r="I92" s="41">
        <f>(I91-I89)*I43</f>
        <v>2.0627416349999997E-2</v>
      </c>
      <c r="J92" s="42">
        <f>TRUNC(($J$37)*I92,2)</f>
        <v>62.98</v>
      </c>
      <c r="K92" s="12"/>
      <c r="L92" s="146"/>
      <c r="M92" s="43"/>
      <c r="N92" s="43"/>
      <c r="O92" s="12"/>
      <c r="P92" s="107"/>
      <c r="R92" s="146"/>
      <c r="S92" s="43"/>
    </row>
    <row r="93" spans="2:19">
      <c r="B93" s="277" t="s">
        <v>138</v>
      </c>
      <c r="C93" s="277"/>
      <c r="D93" s="277"/>
      <c r="E93" s="277"/>
      <c r="F93" s="277"/>
      <c r="G93" s="277"/>
      <c r="H93" s="277"/>
      <c r="I93" s="45">
        <f>SUM(I91:I92)</f>
        <v>0.12451074968333332</v>
      </c>
      <c r="J93" s="141">
        <f>SUM(J91:J92)</f>
        <v>380.15</v>
      </c>
      <c r="K93" s="26"/>
      <c r="L93" s="147"/>
      <c r="M93" s="39"/>
      <c r="N93" s="39"/>
      <c r="O93" s="26"/>
      <c r="P93" s="108"/>
      <c r="R93" s="147"/>
      <c r="S93" s="39"/>
    </row>
    <row r="94" spans="2:19">
      <c r="B94" s="28" t="s">
        <v>139</v>
      </c>
      <c r="C94" s="236" t="s">
        <v>140</v>
      </c>
      <c r="D94" s="236"/>
      <c r="E94" s="236"/>
      <c r="F94" s="236"/>
      <c r="G94" s="236"/>
      <c r="H94" s="236"/>
      <c r="I94" s="41">
        <f>I91*I54</f>
        <v>3.8229066666666672E-2</v>
      </c>
      <c r="J94" s="42">
        <f t="shared" ref="J94" si="2">TRUNC(($J$37)*I94,2)</f>
        <v>116.72</v>
      </c>
      <c r="K94" s="12"/>
      <c r="L94" s="146"/>
      <c r="M94" s="43"/>
      <c r="N94" s="43"/>
      <c r="O94" s="12"/>
      <c r="P94" s="107"/>
      <c r="R94" s="146"/>
      <c r="S94" s="43"/>
    </row>
    <row r="95" spans="2:19">
      <c r="B95" s="244" t="s">
        <v>141</v>
      </c>
      <c r="C95" s="244"/>
      <c r="D95" s="244"/>
      <c r="E95" s="244"/>
      <c r="F95" s="244"/>
      <c r="G95" s="244"/>
      <c r="H95" s="244"/>
      <c r="I95" s="45">
        <f>SUM(I93:I94)</f>
        <v>0.16273981635000001</v>
      </c>
      <c r="J95" s="46">
        <f>J93+J94</f>
        <v>496.87</v>
      </c>
      <c r="K95" s="12"/>
      <c r="L95" s="147"/>
      <c r="M95" s="39"/>
      <c r="N95" s="39"/>
      <c r="O95" s="12"/>
      <c r="P95" s="107"/>
      <c r="R95" s="147"/>
      <c r="S95" s="39"/>
    </row>
    <row r="96" spans="2:19">
      <c r="B96" s="278"/>
      <c r="C96" s="279"/>
      <c r="D96" s="279"/>
      <c r="E96" s="279"/>
      <c r="F96" s="279"/>
      <c r="G96" s="279"/>
      <c r="H96" s="279"/>
      <c r="I96" s="279"/>
      <c r="J96" s="279"/>
      <c r="K96" s="12"/>
      <c r="L96" s="53"/>
      <c r="M96" s="53"/>
      <c r="N96" s="53"/>
      <c r="O96" s="12"/>
      <c r="P96" s="107"/>
      <c r="R96" s="53"/>
      <c r="S96" s="53"/>
    </row>
    <row r="97" spans="2:19">
      <c r="B97" s="244" t="s">
        <v>142</v>
      </c>
      <c r="C97" s="244"/>
      <c r="D97" s="244"/>
      <c r="E97" s="244"/>
      <c r="F97" s="244"/>
      <c r="G97" s="244"/>
      <c r="H97" s="244"/>
      <c r="I97" s="28" t="s">
        <v>75</v>
      </c>
      <c r="J97" s="28" t="s">
        <v>76</v>
      </c>
      <c r="K97" s="12"/>
      <c r="L97" s="13"/>
      <c r="M97" s="13"/>
      <c r="N97" s="13"/>
      <c r="O97" s="12"/>
      <c r="P97" s="107"/>
      <c r="R97" s="13"/>
      <c r="S97" s="13"/>
    </row>
    <row r="98" spans="2:19">
      <c r="B98" s="28" t="s">
        <v>44</v>
      </c>
      <c r="C98" s="272" t="s">
        <v>143</v>
      </c>
      <c r="D98" s="236"/>
      <c r="E98" s="236"/>
      <c r="F98" s="236"/>
      <c r="G98" s="236"/>
      <c r="H98" s="236"/>
      <c r="I98" s="41">
        <v>0</v>
      </c>
      <c r="J98" s="42">
        <v>0</v>
      </c>
      <c r="K98" s="12"/>
      <c r="L98" s="146"/>
      <c r="M98" s="43"/>
      <c r="N98" s="43"/>
      <c r="O98" s="12"/>
      <c r="P98" s="107"/>
      <c r="R98" s="146"/>
      <c r="S98" s="43"/>
    </row>
    <row r="99" spans="2:19">
      <c r="B99" s="244" t="s">
        <v>144</v>
      </c>
      <c r="C99" s="244"/>
      <c r="D99" s="244"/>
      <c r="E99" s="244"/>
      <c r="F99" s="244"/>
      <c r="G99" s="244"/>
      <c r="H99" s="244"/>
      <c r="I99" s="45">
        <v>0</v>
      </c>
      <c r="J99" s="46">
        <v>0</v>
      </c>
      <c r="K99" s="12"/>
      <c r="L99" s="147"/>
      <c r="M99" s="39"/>
      <c r="N99" s="39"/>
      <c r="O99" s="12"/>
      <c r="P99" s="107"/>
      <c r="R99" s="147"/>
      <c r="S99" s="39"/>
    </row>
    <row r="100" spans="2:19">
      <c r="B100" s="280"/>
      <c r="C100" s="281"/>
      <c r="D100" s="281"/>
      <c r="E100" s="281"/>
      <c r="F100" s="281"/>
      <c r="G100" s="281"/>
      <c r="H100" s="281"/>
      <c r="I100" s="281"/>
      <c r="J100" s="281"/>
      <c r="K100" s="12"/>
      <c r="L100" s="13"/>
      <c r="M100" s="13"/>
      <c r="N100" s="13"/>
      <c r="O100" s="12"/>
      <c r="P100" s="107"/>
      <c r="R100" s="13"/>
      <c r="S100" s="13"/>
    </row>
    <row r="101" spans="2:19">
      <c r="B101" s="246" t="s">
        <v>145</v>
      </c>
      <c r="C101" s="246"/>
      <c r="D101" s="246"/>
      <c r="E101" s="246"/>
      <c r="F101" s="246"/>
      <c r="G101" s="246"/>
      <c r="H101" s="246"/>
      <c r="I101" s="246"/>
      <c r="J101" s="246"/>
      <c r="K101" s="12"/>
      <c r="L101" s="13"/>
      <c r="M101" s="13"/>
      <c r="N101" s="13"/>
      <c r="O101" s="26"/>
      <c r="P101" s="108"/>
      <c r="R101" s="13"/>
      <c r="S101" s="13"/>
    </row>
    <row r="102" spans="2:19">
      <c r="B102" s="244" t="s">
        <v>146</v>
      </c>
      <c r="C102" s="244"/>
      <c r="D102" s="244"/>
      <c r="E102" s="244"/>
      <c r="F102" s="244"/>
      <c r="G102" s="244"/>
      <c r="H102" s="244"/>
      <c r="I102" s="244"/>
      <c r="J102" s="28" t="s">
        <v>76</v>
      </c>
      <c r="K102" s="12"/>
      <c r="L102" s="13"/>
      <c r="M102" s="13"/>
      <c r="N102" s="13"/>
      <c r="O102" s="12"/>
      <c r="P102" s="107"/>
      <c r="R102" s="13"/>
      <c r="S102" s="13"/>
    </row>
    <row r="103" spans="2:19">
      <c r="B103" s="28" t="s">
        <v>147</v>
      </c>
      <c r="C103" s="236" t="s">
        <v>148</v>
      </c>
      <c r="D103" s="236"/>
      <c r="E103" s="236"/>
      <c r="F103" s="236"/>
      <c r="G103" s="236"/>
      <c r="H103" s="236"/>
      <c r="I103" s="236"/>
      <c r="J103" s="42">
        <f>J95</f>
        <v>496.87</v>
      </c>
      <c r="K103" s="12"/>
      <c r="L103" s="58"/>
      <c r="M103" s="43"/>
      <c r="N103" s="43"/>
      <c r="O103" s="12"/>
      <c r="P103" s="107"/>
      <c r="R103" s="58"/>
      <c r="S103" s="43"/>
    </row>
    <row r="104" spans="2:19">
      <c r="B104" s="28" t="s">
        <v>149</v>
      </c>
      <c r="C104" s="236" t="s">
        <v>150</v>
      </c>
      <c r="D104" s="236"/>
      <c r="E104" s="236"/>
      <c r="F104" s="236"/>
      <c r="G104" s="236"/>
      <c r="H104" s="236"/>
      <c r="I104" s="236"/>
      <c r="J104" s="42">
        <f>J99</f>
        <v>0</v>
      </c>
      <c r="K104" s="12"/>
      <c r="L104" s="58"/>
      <c r="M104" s="43"/>
      <c r="N104" s="43"/>
      <c r="O104" s="12"/>
      <c r="P104" s="107"/>
      <c r="R104" s="58"/>
      <c r="S104" s="43"/>
    </row>
    <row r="105" spans="2:19">
      <c r="B105" s="244" t="s">
        <v>151</v>
      </c>
      <c r="C105" s="244"/>
      <c r="D105" s="244"/>
      <c r="E105" s="244"/>
      <c r="F105" s="244"/>
      <c r="G105" s="244"/>
      <c r="H105" s="244"/>
      <c r="I105" s="244"/>
      <c r="J105" s="46">
        <f>SUM(J103:J104)</f>
        <v>496.87</v>
      </c>
      <c r="K105" s="12"/>
      <c r="L105" s="13"/>
      <c r="M105" s="39"/>
      <c r="N105" s="39"/>
      <c r="O105" s="12"/>
      <c r="P105" s="107"/>
      <c r="R105" s="13"/>
      <c r="S105" s="39"/>
    </row>
    <row r="106" spans="2:19">
      <c r="B106" s="275"/>
      <c r="C106" s="276"/>
      <c r="D106" s="276"/>
      <c r="E106" s="276"/>
      <c r="F106" s="276"/>
      <c r="G106" s="276"/>
      <c r="H106" s="276"/>
      <c r="I106" s="276"/>
      <c r="J106" s="276"/>
      <c r="K106" s="12"/>
      <c r="L106" s="13"/>
      <c r="M106" s="13"/>
      <c r="N106" s="13"/>
      <c r="O106" s="12"/>
      <c r="P106" s="107"/>
      <c r="R106" s="13"/>
      <c r="S106" s="13"/>
    </row>
    <row r="107" spans="2:19">
      <c r="B107" s="247" t="s">
        <v>152</v>
      </c>
      <c r="C107" s="247"/>
      <c r="D107" s="247"/>
      <c r="E107" s="247"/>
      <c r="F107" s="247"/>
      <c r="G107" s="247"/>
      <c r="H107" s="247"/>
      <c r="I107" s="247"/>
      <c r="J107" s="247"/>
      <c r="K107" s="12"/>
      <c r="L107" s="13"/>
      <c r="M107" s="13"/>
      <c r="N107" s="13"/>
      <c r="O107" s="26"/>
      <c r="P107" s="108"/>
      <c r="R107" s="13"/>
      <c r="S107" s="13"/>
    </row>
    <row r="108" spans="2:19">
      <c r="B108" s="28">
        <v>5</v>
      </c>
      <c r="C108" s="244" t="s">
        <v>153</v>
      </c>
      <c r="D108" s="244"/>
      <c r="E108" s="244"/>
      <c r="F108" s="244"/>
      <c r="G108" s="244"/>
      <c r="H108" s="244"/>
      <c r="I108" s="28"/>
      <c r="J108" s="28" t="s">
        <v>76</v>
      </c>
      <c r="K108" s="12"/>
      <c r="L108" s="13"/>
      <c r="M108" s="13"/>
      <c r="N108" s="13"/>
      <c r="O108" s="12"/>
      <c r="P108" s="107"/>
      <c r="R108" s="13"/>
      <c r="S108" s="13"/>
    </row>
    <row r="109" spans="2:19">
      <c r="B109" s="28" t="s">
        <v>44</v>
      </c>
      <c r="C109" s="265" t="s">
        <v>154</v>
      </c>
      <c r="D109" s="265"/>
      <c r="E109" s="265"/>
      <c r="F109" s="265"/>
      <c r="G109" s="265"/>
      <c r="H109" s="265"/>
      <c r="I109" s="41"/>
      <c r="J109" s="42">
        <f>($J$37+$J$70+$J$80+$J$105)*I109</f>
        <v>0</v>
      </c>
      <c r="K109" s="12"/>
      <c r="L109" s="146"/>
      <c r="M109" s="43"/>
      <c r="N109" s="43"/>
      <c r="O109" s="12"/>
      <c r="P109" s="107"/>
      <c r="R109" s="146"/>
      <c r="S109" s="43"/>
    </row>
    <row r="110" spans="2:19">
      <c r="B110" s="28" t="s">
        <v>46</v>
      </c>
      <c r="C110" s="264" t="s">
        <v>155</v>
      </c>
      <c r="D110" s="264"/>
      <c r="E110" s="264"/>
      <c r="F110" s="264"/>
      <c r="G110" s="264"/>
      <c r="H110" s="264"/>
      <c r="I110" s="41"/>
      <c r="J110" s="42">
        <f>(($J$37+$J$70+$J$80+$J$105+J109)*I110)*(1-9.25%)</f>
        <v>0</v>
      </c>
      <c r="K110" s="12"/>
      <c r="L110" s="146"/>
      <c r="M110" s="43"/>
      <c r="N110" s="43"/>
      <c r="O110" s="12"/>
      <c r="P110" s="107"/>
      <c r="R110" s="146"/>
      <c r="S110" s="43"/>
    </row>
    <row r="111" spans="2:19">
      <c r="B111" s="47" t="s">
        <v>49</v>
      </c>
      <c r="C111" s="264" t="s">
        <v>156</v>
      </c>
      <c r="D111" s="264"/>
      <c r="E111" s="264"/>
      <c r="F111" s="264"/>
      <c r="G111" s="264"/>
      <c r="H111" s="264"/>
      <c r="I111" s="23" t="s">
        <v>22</v>
      </c>
      <c r="J111" s="42">
        <v>0</v>
      </c>
      <c r="K111" s="12"/>
      <c r="L111" s="19"/>
      <c r="M111" s="43"/>
      <c r="N111" s="43"/>
      <c r="O111" s="12"/>
      <c r="P111" s="107"/>
      <c r="R111" s="19"/>
      <c r="S111" s="43"/>
    </row>
    <row r="112" spans="2:19">
      <c r="B112" s="47" t="s">
        <v>52</v>
      </c>
      <c r="C112" s="264" t="s">
        <v>82</v>
      </c>
      <c r="D112" s="264"/>
      <c r="E112" s="264"/>
      <c r="F112" s="264"/>
      <c r="G112" s="264"/>
      <c r="H112" s="264"/>
      <c r="I112" s="23" t="s">
        <v>22</v>
      </c>
      <c r="J112" s="42">
        <v>0</v>
      </c>
      <c r="K112" s="12"/>
      <c r="L112" s="19"/>
      <c r="M112" s="43"/>
      <c r="N112" s="43"/>
      <c r="O112" s="12"/>
      <c r="P112" s="107"/>
      <c r="R112" s="19"/>
      <c r="S112" s="43"/>
    </row>
    <row r="113" spans="2:19">
      <c r="B113" s="244" t="s">
        <v>157</v>
      </c>
      <c r="C113" s="244"/>
      <c r="D113" s="244"/>
      <c r="E113" s="244"/>
      <c r="F113" s="244"/>
      <c r="G113" s="244"/>
      <c r="H113" s="244"/>
      <c r="I113" s="45" t="s">
        <v>22</v>
      </c>
      <c r="J113" s="46">
        <f>SUM(J109:J112)</f>
        <v>0</v>
      </c>
      <c r="K113" s="12"/>
      <c r="L113" s="147"/>
      <c r="M113" s="39"/>
      <c r="N113" s="39"/>
      <c r="O113" s="12"/>
      <c r="P113" s="107"/>
      <c r="R113" s="147"/>
      <c r="S113" s="39"/>
    </row>
    <row r="114" spans="2:19">
      <c r="B114" s="275"/>
      <c r="C114" s="276"/>
      <c r="D114" s="276"/>
      <c r="E114" s="276"/>
      <c r="F114" s="276"/>
      <c r="G114" s="276"/>
      <c r="H114" s="276"/>
      <c r="I114" s="276"/>
      <c r="J114" s="276"/>
      <c r="K114" s="12"/>
      <c r="L114" s="13"/>
      <c r="M114" s="13"/>
      <c r="N114" s="13"/>
      <c r="O114" s="12"/>
      <c r="P114" s="107"/>
      <c r="R114" s="13"/>
      <c r="S114" s="13"/>
    </row>
    <row r="115" spans="2:19">
      <c r="B115" s="247" t="s">
        <v>158</v>
      </c>
      <c r="C115" s="247"/>
      <c r="D115" s="247"/>
      <c r="E115" s="247"/>
      <c r="F115" s="247"/>
      <c r="G115" s="247"/>
      <c r="H115" s="247"/>
      <c r="I115" s="247"/>
      <c r="J115" s="247"/>
      <c r="K115" s="12"/>
      <c r="L115" s="13"/>
      <c r="M115" s="13"/>
      <c r="N115" s="13"/>
      <c r="O115" s="26"/>
      <c r="P115" s="108"/>
      <c r="R115" s="13"/>
      <c r="S115" s="13"/>
    </row>
    <row r="116" spans="2:19">
      <c r="B116" s="28">
        <v>6</v>
      </c>
      <c r="C116" s="244" t="s">
        <v>159</v>
      </c>
      <c r="D116" s="244"/>
      <c r="E116" s="244"/>
      <c r="F116" s="244"/>
      <c r="G116" s="244"/>
      <c r="H116" s="244"/>
      <c r="I116" s="28" t="s">
        <v>75</v>
      </c>
      <c r="J116" s="28" t="s">
        <v>76</v>
      </c>
      <c r="K116" s="12"/>
      <c r="L116" s="13"/>
      <c r="M116" s="13"/>
      <c r="N116" s="13"/>
      <c r="O116" s="12"/>
      <c r="P116" s="107"/>
      <c r="R116" s="13"/>
      <c r="S116" s="13"/>
    </row>
    <row r="117" spans="2:19">
      <c r="B117" s="28" t="s">
        <v>44</v>
      </c>
      <c r="C117" s="236" t="s">
        <v>160</v>
      </c>
      <c r="D117" s="236"/>
      <c r="E117" s="236"/>
      <c r="F117" s="236"/>
      <c r="G117" s="236"/>
      <c r="H117" s="236"/>
      <c r="I117" s="122">
        <v>0</v>
      </c>
      <c r="J117" s="42">
        <f>TRUNC(((J141)*I117),2)</f>
        <v>0</v>
      </c>
      <c r="K117" s="90"/>
      <c r="L117" s="152"/>
      <c r="M117" s="43"/>
      <c r="N117" s="43"/>
      <c r="O117" s="12"/>
      <c r="P117" s="107"/>
      <c r="R117" s="152"/>
      <c r="S117" s="43"/>
    </row>
    <row r="118" spans="2:19">
      <c r="B118" s="28" t="s">
        <v>46</v>
      </c>
      <c r="C118" s="236" t="s">
        <v>161</v>
      </c>
      <c r="D118" s="236"/>
      <c r="E118" s="236"/>
      <c r="F118" s="236"/>
      <c r="G118" s="236"/>
      <c r="H118" s="236"/>
      <c r="I118" s="122">
        <v>0</v>
      </c>
      <c r="J118" s="42">
        <f>TRUNC(((J141+J117)*I118),2)</f>
        <v>0</v>
      </c>
      <c r="K118" s="90"/>
      <c r="L118" s="152"/>
      <c r="M118" s="43"/>
      <c r="N118" s="43"/>
      <c r="O118" s="12"/>
      <c r="P118" s="107"/>
      <c r="R118" s="152"/>
      <c r="S118" s="43"/>
    </row>
    <row r="119" spans="2:19">
      <c r="B119" s="28" t="s">
        <v>49</v>
      </c>
      <c r="C119" s="287" t="s">
        <v>162</v>
      </c>
      <c r="D119" s="287"/>
      <c r="E119" s="287"/>
      <c r="F119" s="287"/>
      <c r="G119" s="287"/>
      <c r="H119" s="287"/>
      <c r="I119" s="32"/>
      <c r="J119" s="54"/>
      <c r="K119" s="12"/>
      <c r="L119" s="144"/>
      <c r="M119" s="55"/>
      <c r="N119" s="55"/>
      <c r="O119" s="12"/>
      <c r="P119" s="107"/>
      <c r="R119" s="144"/>
      <c r="S119" s="55"/>
    </row>
    <row r="120" spans="2:19">
      <c r="B120" s="28" t="s">
        <v>163</v>
      </c>
      <c r="C120" s="236" t="s">
        <v>164</v>
      </c>
      <c r="D120" s="236"/>
      <c r="E120" s="236"/>
      <c r="F120" s="236"/>
      <c r="G120" s="236"/>
      <c r="H120" s="236"/>
      <c r="I120" s="56">
        <v>1.6500000000000001E-2</v>
      </c>
      <c r="J120" s="42">
        <f>TRUNC(I120*((J141+J117+J118)/(1-I125)),2)</f>
        <v>107.72</v>
      </c>
      <c r="K120" s="12"/>
      <c r="L120" s="153"/>
      <c r="M120" s="43"/>
      <c r="N120" s="43"/>
      <c r="O120" s="12"/>
      <c r="P120" s="107"/>
      <c r="R120" s="153"/>
      <c r="S120" s="43"/>
    </row>
    <row r="121" spans="2:19">
      <c r="B121" s="28" t="s">
        <v>165</v>
      </c>
      <c r="C121" s="236" t="s">
        <v>166</v>
      </c>
      <c r="D121" s="236"/>
      <c r="E121" s="236"/>
      <c r="F121" s="236"/>
      <c r="G121" s="236"/>
      <c r="H121" s="236"/>
      <c r="I121" s="56">
        <v>7.5999999999999998E-2</v>
      </c>
      <c r="J121" s="42">
        <f>TRUNC(I121*(J141+J117+J118)/(1-I125),2)</f>
        <v>496.21</v>
      </c>
      <c r="K121" s="12"/>
      <c r="L121" s="153"/>
      <c r="M121" s="43"/>
      <c r="N121" s="43"/>
      <c r="O121" s="12"/>
      <c r="P121" s="107"/>
      <c r="R121" s="153"/>
      <c r="S121" s="43"/>
    </row>
    <row r="122" spans="2:19">
      <c r="B122" s="28" t="s">
        <v>167</v>
      </c>
      <c r="C122" s="236" t="s">
        <v>168</v>
      </c>
      <c r="D122" s="236"/>
      <c r="E122" s="236"/>
      <c r="F122" s="236"/>
      <c r="G122" s="236"/>
      <c r="H122" s="236"/>
      <c r="I122" s="57">
        <v>0.03</v>
      </c>
      <c r="J122" s="42">
        <f>TRUNC(I122*(J141+J117+J118)/(1-I125),2)</f>
        <v>195.87</v>
      </c>
      <c r="K122" s="12"/>
      <c r="L122" s="154"/>
      <c r="M122" s="43"/>
      <c r="N122" s="43"/>
      <c r="O122" s="12"/>
      <c r="P122" s="107"/>
      <c r="R122" s="154"/>
      <c r="S122" s="43"/>
    </row>
    <row r="123" spans="2:19">
      <c r="B123" s="244" t="s">
        <v>169</v>
      </c>
      <c r="C123" s="244"/>
      <c r="D123" s="244"/>
      <c r="E123" s="244"/>
      <c r="F123" s="244"/>
      <c r="G123" s="244"/>
      <c r="H123" s="244"/>
      <c r="I123" s="56">
        <f>SUM(I117:I122)</f>
        <v>0.1225</v>
      </c>
      <c r="J123" s="46">
        <f>SUM(J117:J122)</f>
        <v>799.8</v>
      </c>
      <c r="K123" s="12"/>
      <c r="L123" s="153"/>
      <c r="M123" s="39"/>
      <c r="N123" s="39"/>
      <c r="O123" s="12"/>
      <c r="P123" s="107"/>
      <c r="R123" s="153"/>
      <c r="S123" s="39"/>
    </row>
    <row r="124" spans="2:19">
      <c r="B124" s="18"/>
      <c r="C124" s="284"/>
      <c r="D124" s="284"/>
      <c r="E124" s="284"/>
      <c r="F124" s="284"/>
      <c r="G124" s="284"/>
      <c r="H124" s="284"/>
      <c r="I124" s="284"/>
      <c r="J124" s="284"/>
      <c r="K124" s="12"/>
      <c r="L124" s="58"/>
      <c r="M124" s="58"/>
      <c r="N124" s="58"/>
      <c r="O124" s="12"/>
      <c r="P124" s="107"/>
      <c r="R124" s="58"/>
      <c r="S124" s="58"/>
    </row>
    <row r="125" spans="2:19">
      <c r="B125" s="59" t="s">
        <v>170</v>
      </c>
      <c r="C125" s="285" t="s">
        <v>171</v>
      </c>
      <c r="D125" s="285"/>
      <c r="E125" s="285"/>
      <c r="F125" s="285"/>
      <c r="G125" s="285"/>
      <c r="H125" s="285"/>
      <c r="I125" s="60">
        <f>I120+I121+I122</f>
        <v>0.1225</v>
      </c>
      <c r="J125" s="61"/>
      <c r="K125" s="12"/>
      <c r="L125" s="142"/>
      <c r="M125" s="62"/>
      <c r="N125" s="62"/>
      <c r="O125" s="12"/>
      <c r="P125" s="107"/>
      <c r="R125" s="142"/>
      <c r="S125" s="62"/>
    </row>
    <row r="126" spans="2:19">
      <c r="B126" s="63"/>
      <c r="C126" s="286">
        <v>100</v>
      </c>
      <c r="D126" s="286"/>
      <c r="E126" s="286"/>
      <c r="F126" s="286"/>
      <c r="G126" s="286"/>
      <c r="H126" s="286"/>
      <c r="I126" s="65"/>
      <c r="J126" s="66"/>
      <c r="K126" s="12"/>
      <c r="L126" s="142"/>
      <c r="M126" s="62"/>
      <c r="N126" s="62"/>
      <c r="O126" s="12"/>
      <c r="P126" s="107"/>
      <c r="R126" s="142"/>
      <c r="S126" s="62"/>
    </row>
    <row r="127" spans="2:19">
      <c r="B127" s="67"/>
      <c r="C127" s="64"/>
      <c r="D127" s="64"/>
      <c r="E127" s="64"/>
      <c r="F127" s="64"/>
      <c r="G127" s="64"/>
      <c r="H127" s="64"/>
      <c r="I127" s="65"/>
      <c r="J127" s="66"/>
      <c r="K127" s="12"/>
      <c r="L127" s="142"/>
      <c r="M127" s="62"/>
      <c r="N127" s="62"/>
      <c r="O127" s="12"/>
      <c r="P127" s="107"/>
      <c r="R127" s="142"/>
      <c r="S127" s="62"/>
    </row>
    <row r="128" spans="2:19">
      <c r="B128" s="63" t="s">
        <v>172</v>
      </c>
      <c r="C128" s="286" t="s">
        <v>173</v>
      </c>
      <c r="D128" s="286"/>
      <c r="E128" s="286"/>
      <c r="F128" s="286"/>
      <c r="G128" s="286"/>
      <c r="H128" s="286"/>
      <c r="I128" s="65"/>
      <c r="J128" s="66">
        <f>J37+J70+J80+J105+J113+J117+J118</f>
        <v>5729.2679059999991</v>
      </c>
      <c r="K128" s="12"/>
      <c r="L128" s="142"/>
      <c r="M128" s="62"/>
      <c r="N128" s="62"/>
      <c r="O128" s="12"/>
      <c r="P128" s="107"/>
      <c r="R128" s="142"/>
      <c r="S128" s="62"/>
    </row>
    <row r="129" spans="2:19">
      <c r="B129" s="63"/>
      <c r="C129" s="64"/>
      <c r="D129" s="64"/>
      <c r="E129" s="64"/>
      <c r="F129" s="64"/>
      <c r="G129" s="64"/>
      <c r="H129" s="64"/>
      <c r="I129" s="65"/>
      <c r="J129" s="66"/>
      <c r="K129" s="12"/>
      <c r="L129" s="142"/>
      <c r="M129" s="62"/>
      <c r="N129" s="62"/>
      <c r="O129" s="12"/>
      <c r="P129" s="107"/>
      <c r="R129" s="142"/>
      <c r="S129" s="62"/>
    </row>
    <row r="130" spans="2:19">
      <c r="B130" s="63" t="s">
        <v>174</v>
      </c>
      <c r="C130" s="286" t="s">
        <v>175</v>
      </c>
      <c r="D130" s="286"/>
      <c r="E130" s="286"/>
      <c r="F130" s="286"/>
      <c r="G130" s="286"/>
      <c r="H130" s="286"/>
      <c r="I130" s="65"/>
      <c r="J130" s="66">
        <f>TRUNC(J128/(1-I125),2)</f>
        <v>6529.08</v>
      </c>
      <c r="K130" s="12"/>
      <c r="L130" s="142"/>
      <c r="M130" s="62"/>
      <c r="N130" s="62"/>
      <c r="O130" s="12"/>
      <c r="P130" s="107"/>
      <c r="R130" s="142"/>
      <c r="S130" s="62"/>
    </row>
    <row r="131" spans="2:19">
      <c r="B131" s="63"/>
      <c r="C131" s="64"/>
      <c r="D131" s="64"/>
      <c r="E131" s="64"/>
      <c r="F131" s="64"/>
      <c r="G131" s="64"/>
      <c r="H131" s="64"/>
      <c r="I131" s="65"/>
      <c r="J131" s="66"/>
      <c r="K131" s="12"/>
      <c r="L131" s="142"/>
      <c r="M131" s="62"/>
      <c r="N131" s="62"/>
      <c r="O131" s="12"/>
      <c r="P131" s="107"/>
      <c r="R131" s="142"/>
      <c r="S131" s="62"/>
    </row>
    <row r="132" spans="2:19">
      <c r="B132" s="68"/>
      <c r="C132" s="283" t="s">
        <v>176</v>
      </c>
      <c r="D132" s="283"/>
      <c r="E132" s="283"/>
      <c r="F132" s="283"/>
      <c r="G132" s="283"/>
      <c r="H132" s="283"/>
      <c r="I132" s="69"/>
      <c r="J132" s="70">
        <f>J130-J128</f>
        <v>799.8120940000008</v>
      </c>
      <c r="K132" s="12"/>
      <c r="L132" s="142"/>
      <c r="M132" s="62"/>
      <c r="N132" s="62"/>
      <c r="O132" s="12"/>
      <c r="P132" s="107"/>
      <c r="R132" s="142"/>
      <c r="S132" s="62"/>
    </row>
    <row r="133" spans="2:19">
      <c r="B133" s="18"/>
      <c r="C133" s="18"/>
      <c r="D133" s="18"/>
      <c r="E133" s="18"/>
      <c r="F133" s="18"/>
      <c r="G133" s="18"/>
      <c r="H133" s="18"/>
      <c r="I133" s="18"/>
      <c r="J133" s="38"/>
      <c r="K133" s="12"/>
      <c r="L133" s="19"/>
      <c r="M133" s="39"/>
      <c r="N133" s="39"/>
      <c r="O133" s="12"/>
      <c r="P133" s="107"/>
      <c r="R133" s="19"/>
      <c r="S133" s="39"/>
    </row>
    <row r="134" spans="2:19">
      <c r="B134" s="246" t="s">
        <v>177</v>
      </c>
      <c r="C134" s="246"/>
      <c r="D134" s="246"/>
      <c r="E134" s="246"/>
      <c r="F134" s="246"/>
      <c r="G134" s="246"/>
      <c r="H134" s="246"/>
      <c r="I134" s="246"/>
      <c r="J134" s="246"/>
      <c r="K134" s="12"/>
      <c r="L134" s="13"/>
      <c r="M134" s="13"/>
      <c r="N134" s="13"/>
      <c r="O134" s="26"/>
      <c r="P134" s="108"/>
      <c r="R134" s="13"/>
      <c r="S134" s="13"/>
    </row>
    <row r="135" spans="2:19">
      <c r="B135" s="244" t="s">
        <v>178</v>
      </c>
      <c r="C135" s="244"/>
      <c r="D135" s="244"/>
      <c r="E135" s="244"/>
      <c r="F135" s="244"/>
      <c r="G135" s="244"/>
      <c r="H135" s="244"/>
      <c r="I135" s="244"/>
      <c r="J135" s="28" t="s">
        <v>76</v>
      </c>
      <c r="K135" s="12"/>
      <c r="L135" s="13"/>
      <c r="M135" s="13"/>
      <c r="N135" s="13"/>
      <c r="O135" s="12"/>
      <c r="P135" s="107"/>
      <c r="R135" s="13"/>
      <c r="S135" s="13"/>
    </row>
    <row r="136" spans="2:19">
      <c r="B136" s="23" t="s">
        <v>44</v>
      </c>
      <c r="C136" s="236" t="s">
        <v>73</v>
      </c>
      <c r="D136" s="236"/>
      <c r="E136" s="236"/>
      <c r="F136" s="236"/>
      <c r="G136" s="236"/>
      <c r="H136" s="236"/>
      <c r="I136" s="236"/>
      <c r="J136" s="42">
        <f>J37</f>
        <v>3053.4179060000001</v>
      </c>
      <c r="K136" s="12"/>
      <c r="L136" s="58"/>
      <c r="M136" s="43"/>
      <c r="N136" s="43"/>
      <c r="O136" s="12"/>
      <c r="P136" s="107"/>
      <c r="R136" s="58"/>
      <c r="S136" s="43"/>
    </row>
    <row r="137" spans="2:19">
      <c r="B137" s="23" t="s">
        <v>46</v>
      </c>
      <c r="C137" s="236" t="s">
        <v>84</v>
      </c>
      <c r="D137" s="236"/>
      <c r="E137" s="236"/>
      <c r="F137" s="236"/>
      <c r="G137" s="236"/>
      <c r="H137" s="236"/>
      <c r="I137" s="236"/>
      <c r="J137" s="42">
        <f>J70</f>
        <v>1977.12</v>
      </c>
      <c r="K137" s="12"/>
      <c r="L137" s="58"/>
      <c r="M137" s="43"/>
      <c r="N137" s="43"/>
      <c r="O137" s="12"/>
      <c r="P137" s="107"/>
      <c r="R137" s="58"/>
      <c r="S137" s="43"/>
    </row>
    <row r="138" spans="2:19">
      <c r="B138" s="23" t="s">
        <v>49</v>
      </c>
      <c r="C138" s="236" t="s">
        <v>118</v>
      </c>
      <c r="D138" s="236"/>
      <c r="E138" s="236"/>
      <c r="F138" s="236"/>
      <c r="G138" s="236"/>
      <c r="H138" s="236"/>
      <c r="I138" s="236"/>
      <c r="J138" s="42">
        <f>J80</f>
        <v>201.85999999999999</v>
      </c>
      <c r="K138" s="12"/>
      <c r="L138" s="58"/>
      <c r="M138" s="43"/>
      <c r="N138" s="43"/>
      <c r="O138" s="12"/>
      <c r="P138" s="107"/>
      <c r="R138" s="58"/>
      <c r="S138" s="43"/>
    </row>
    <row r="139" spans="2:19">
      <c r="B139" s="23" t="s">
        <v>52</v>
      </c>
      <c r="C139" s="236" t="s">
        <v>127</v>
      </c>
      <c r="D139" s="236"/>
      <c r="E139" s="236"/>
      <c r="F139" s="236"/>
      <c r="G139" s="236"/>
      <c r="H139" s="236"/>
      <c r="I139" s="236"/>
      <c r="J139" s="42">
        <f>J105</f>
        <v>496.87</v>
      </c>
      <c r="K139" s="12"/>
      <c r="L139" s="58"/>
      <c r="M139" s="43"/>
      <c r="N139" s="43"/>
      <c r="O139" s="12"/>
      <c r="P139" s="107"/>
      <c r="R139" s="58"/>
      <c r="S139" s="43"/>
    </row>
    <row r="140" spans="2:19">
      <c r="B140" s="23" t="s">
        <v>55</v>
      </c>
      <c r="C140" s="236" t="s">
        <v>152</v>
      </c>
      <c r="D140" s="236"/>
      <c r="E140" s="236"/>
      <c r="F140" s="236"/>
      <c r="G140" s="236"/>
      <c r="H140" s="236"/>
      <c r="I140" s="236"/>
      <c r="J140" s="42">
        <f>J113</f>
        <v>0</v>
      </c>
      <c r="K140" s="12"/>
      <c r="L140" s="58"/>
      <c r="M140" s="43"/>
      <c r="N140" s="43"/>
      <c r="O140" s="12"/>
      <c r="P140" s="107"/>
      <c r="R140" s="58"/>
      <c r="S140" s="43"/>
    </row>
    <row r="141" spans="2:19">
      <c r="B141" s="28"/>
      <c r="C141" s="244" t="s">
        <v>179</v>
      </c>
      <c r="D141" s="244"/>
      <c r="E141" s="244"/>
      <c r="F141" s="244"/>
      <c r="G141" s="244"/>
      <c r="H141" s="244"/>
      <c r="I141" s="244"/>
      <c r="J141" s="46">
        <f>SUM(J136:J140)</f>
        <v>5729.2679059999991</v>
      </c>
      <c r="K141" s="12"/>
      <c r="L141" s="13"/>
      <c r="M141" s="39"/>
      <c r="N141" s="39"/>
      <c r="O141" s="12"/>
      <c r="P141" s="107"/>
      <c r="R141" s="13"/>
      <c r="S141" s="39"/>
    </row>
    <row r="142" spans="2:19">
      <c r="B142" s="23" t="s">
        <v>57</v>
      </c>
      <c r="C142" s="236" t="s">
        <v>158</v>
      </c>
      <c r="D142" s="236"/>
      <c r="E142" s="236"/>
      <c r="F142" s="236"/>
      <c r="G142" s="236"/>
      <c r="H142" s="236"/>
      <c r="I142" s="236"/>
      <c r="J142" s="42">
        <f>J123</f>
        <v>799.8</v>
      </c>
      <c r="K142" s="12"/>
      <c r="L142" s="58"/>
      <c r="M142" s="43"/>
      <c r="N142" s="43"/>
      <c r="O142" s="12"/>
      <c r="P142" s="107"/>
      <c r="R142" s="58"/>
      <c r="S142" s="43"/>
    </row>
    <row r="143" spans="2:19" ht="18">
      <c r="B143" s="282" t="s">
        <v>180</v>
      </c>
      <c r="C143" s="282"/>
      <c r="D143" s="282"/>
      <c r="E143" s="282"/>
      <c r="F143" s="282"/>
      <c r="G143" s="282"/>
      <c r="H143" s="282"/>
      <c r="I143" s="282"/>
      <c r="J143" s="71">
        <f>TRUNC(J141+J142,2)</f>
        <v>6529.06</v>
      </c>
      <c r="K143" s="12"/>
      <c r="L143" s="155"/>
      <c r="M143" s="72"/>
      <c r="N143" s="72"/>
      <c r="O143" s="12"/>
      <c r="P143" s="107"/>
      <c r="R143" s="155"/>
      <c r="S143" s="156"/>
    </row>
    <row r="144" spans="2:19">
      <c r="B144" s="1"/>
      <c r="C144" s="1"/>
      <c r="D144" s="1"/>
      <c r="E144" s="1"/>
      <c r="F144" s="1"/>
      <c r="G144" s="1"/>
      <c r="H144" s="1"/>
      <c r="I144" s="1"/>
      <c r="J144" s="2"/>
      <c r="L144" s="1"/>
      <c r="M144" s="2"/>
      <c r="N144" s="8"/>
      <c r="R144" s="10"/>
      <c r="S144" s="10"/>
    </row>
    <row r="145" spans="2:14">
      <c r="B145" s="1"/>
      <c r="C145" s="1"/>
      <c r="D145" s="1"/>
      <c r="E145" s="1"/>
      <c r="F145" s="1"/>
      <c r="G145" s="1"/>
      <c r="H145" s="1"/>
      <c r="I145" s="1"/>
      <c r="J145" s="1"/>
      <c r="L145" s="1"/>
      <c r="M145" s="1"/>
      <c r="N145" s="9"/>
    </row>
    <row r="146" spans="2:14">
      <c r="B146" s="4"/>
      <c r="C146" s="5"/>
      <c r="D146" s="1"/>
      <c r="E146" s="1"/>
      <c r="F146" s="1"/>
      <c r="G146" s="1"/>
      <c r="H146" s="1"/>
      <c r="I146" s="1"/>
      <c r="J146" s="1"/>
      <c r="L146" s="1"/>
      <c r="M146" s="1"/>
      <c r="N146" s="9"/>
    </row>
    <row r="147" spans="2:14">
      <c r="B147" s="3"/>
      <c r="C147" s="74"/>
      <c r="D147" s="75" t="s">
        <v>168</v>
      </c>
      <c r="E147" s="75" t="s">
        <v>181</v>
      </c>
      <c r="F147" s="74"/>
    </row>
    <row r="148" spans="2:14">
      <c r="C148" s="76" t="s">
        <v>182</v>
      </c>
      <c r="D148" s="157">
        <v>0.03</v>
      </c>
      <c r="E148" s="158">
        <v>0</v>
      </c>
      <c r="F148" s="74" t="s">
        <v>183</v>
      </c>
      <c r="J148" s="12"/>
    </row>
    <row r="149" spans="2:14">
      <c r="F149" s="74"/>
    </row>
    <row r="150" spans="2:14" ht="15" customHeight="1">
      <c r="I150" s="298" t="s">
        <v>195</v>
      </c>
      <c r="J150" s="299"/>
      <c r="K150" s="299"/>
      <c r="L150" s="299"/>
      <c r="M150" s="114">
        <f>J31/200</f>
        <v>14.870541749999999</v>
      </c>
    </row>
    <row r="151" spans="2:14" ht="15" customHeight="1">
      <c r="I151" s="200"/>
      <c r="J151" s="204"/>
      <c r="K151" s="204"/>
      <c r="L151" s="204"/>
      <c r="M151" s="118">
        <f>M150*8*8*100%</f>
        <v>951.71467199999995</v>
      </c>
    </row>
    <row r="152" spans="2:14" ht="15" customHeight="1">
      <c r="I152" s="115"/>
      <c r="J152" s="116"/>
      <c r="K152" s="116"/>
      <c r="L152" s="116"/>
      <c r="M152" s="117">
        <f>M151/12</f>
        <v>79.309556000000001</v>
      </c>
    </row>
    <row r="156" spans="2:14" ht="15" customHeight="1">
      <c r="B156" s="226" t="s">
        <v>184</v>
      </c>
      <c r="C156" s="227"/>
      <c r="D156" s="227"/>
      <c r="E156" s="227"/>
      <c r="F156" s="227"/>
      <c r="G156" s="227"/>
      <c r="H156" s="227"/>
      <c r="I156" s="227"/>
      <c r="J156" s="227"/>
      <c r="K156" s="227"/>
      <c r="L156" s="228"/>
    </row>
    <row r="157" spans="2:14" ht="15" customHeight="1">
      <c r="B157" s="229"/>
      <c r="C157" s="230"/>
      <c r="D157" s="230"/>
      <c r="E157" s="230"/>
      <c r="F157" s="230"/>
      <c r="G157" s="230"/>
      <c r="H157" s="230"/>
      <c r="I157" s="230"/>
      <c r="J157" s="230"/>
      <c r="K157" s="230"/>
      <c r="L157" s="231"/>
    </row>
    <row r="158" spans="2:14" ht="15" customHeight="1">
      <c r="B158" s="229"/>
      <c r="C158" s="230"/>
      <c r="D158" s="230"/>
      <c r="E158" s="230"/>
      <c r="F158" s="230"/>
      <c r="G158" s="230"/>
      <c r="H158" s="230"/>
      <c r="I158" s="230"/>
      <c r="J158" s="230"/>
      <c r="K158" s="230"/>
      <c r="L158" s="231"/>
    </row>
    <row r="159" spans="2:14" ht="15" customHeight="1">
      <c r="B159" s="229"/>
      <c r="C159" s="230"/>
      <c r="D159" s="230"/>
      <c r="E159" s="230"/>
      <c r="F159" s="230"/>
      <c r="G159" s="230"/>
      <c r="H159" s="230"/>
      <c r="I159" s="230"/>
      <c r="J159" s="230"/>
      <c r="K159" s="230"/>
      <c r="L159" s="231"/>
    </row>
    <row r="160" spans="2:14" ht="15" customHeight="1">
      <c r="B160" s="229"/>
      <c r="C160" s="230"/>
      <c r="D160" s="230"/>
      <c r="E160" s="230"/>
      <c r="F160" s="230"/>
      <c r="G160" s="230"/>
      <c r="H160" s="230"/>
      <c r="I160" s="230"/>
      <c r="J160" s="230"/>
      <c r="K160" s="230"/>
      <c r="L160" s="231"/>
    </row>
    <row r="161" spans="2:12" ht="15" customHeight="1">
      <c r="B161" s="232"/>
      <c r="C161" s="233"/>
      <c r="D161" s="233"/>
      <c r="E161" s="233"/>
      <c r="F161" s="233"/>
      <c r="G161" s="233"/>
      <c r="H161" s="233"/>
      <c r="I161" s="233"/>
      <c r="J161" s="233"/>
      <c r="K161" s="233"/>
      <c r="L161" s="234"/>
    </row>
  </sheetData>
  <mergeCells count="189">
    <mergeCell ref="R19:S19"/>
    <mergeCell ref="R22:S22"/>
    <mergeCell ref="R23:S23"/>
    <mergeCell ref="R24:S24"/>
    <mergeCell ref="R25:S25"/>
    <mergeCell ref="R26:S26"/>
    <mergeCell ref="R27:S27"/>
    <mergeCell ref="B21:J21"/>
    <mergeCell ref="C22:H22"/>
    <mergeCell ref="I22:J22"/>
    <mergeCell ref="L22:M22"/>
    <mergeCell ref="C24:H24"/>
    <mergeCell ref="I24:J24"/>
    <mergeCell ref="L24:M24"/>
    <mergeCell ref="B19:C19"/>
    <mergeCell ref="D19:E19"/>
    <mergeCell ref="F19:J19"/>
    <mergeCell ref="L19:M19"/>
    <mergeCell ref="C23:H23"/>
    <mergeCell ref="I23:J23"/>
    <mergeCell ref="L23:M23"/>
    <mergeCell ref="C26:H26"/>
    <mergeCell ref="I26:J26"/>
    <mergeCell ref="L26:M26"/>
    <mergeCell ref="R8:S8"/>
    <mergeCell ref="R9:S9"/>
    <mergeCell ref="R10:S10"/>
    <mergeCell ref="R11:S11"/>
    <mergeCell ref="R12:S12"/>
    <mergeCell ref="R13:S13"/>
    <mergeCell ref="R14:S14"/>
    <mergeCell ref="R15:S15"/>
    <mergeCell ref="R18:S18"/>
    <mergeCell ref="B7:J7"/>
    <mergeCell ref="B8:G8"/>
    <mergeCell ref="I8:J8"/>
    <mergeCell ref="L8:M8"/>
    <mergeCell ref="B1:J1"/>
    <mergeCell ref="B2:J2"/>
    <mergeCell ref="B3:J3"/>
    <mergeCell ref="B4:J4"/>
    <mergeCell ref="B5:J5"/>
    <mergeCell ref="B6:J6"/>
    <mergeCell ref="C9:H9"/>
    <mergeCell ref="I9:J9"/>
    <mergeCell ref="L9:M9"/>
    <mergeCell ref="C11:H11"/>
    <mergeCell ref="I11:J11"/>
    <mergeCell ref="L11:M11"/>
    <mergeCell ref="C10:H10"/>
    <mergeCell ref="I10:J10"/>
    <mergeCell ref="L10:M10"/>
    <mergeCell ref="C13:H13"/>
    <mergeCell ref="I13:J13"/>
    <mergeCell ref="L13:M13"/>
    <mergeCell ref="C12:H12"/>
    <mergeCell ref="I12:J12"/>
    <mergeCell ref="L12:M12"/>
    <mergeCell ref="B17:J17"/>
    <mergeCell ref="L17:M17"/>
    <mergeCell ref="B18:C18"/>
    <mergeCell ref="D18:E18"/>
    <mergeCell ref="F18:J18"/>
    <mergeCell ref="L18:M18"/>
    <mergeCell ref="C15:H15"/>
    <mergeCell ref="I15:J15"/>
    <mergeCell ref="L15:M15"/>
    <mergeCell ref="C14:H14"/>
    <mergeCell ref="I14:J14"/>
    <mergeCell ref="L14:M14"/>
    <mergeCell ref="C25:H25"/>
    <mergeCell ref="I25:J25"/>
    <mergeCell ref="L25:M25"/>
    <mergeCell ref="B28:J28"/>
    <mergeCell ref="B29:J29"/>
    <mergeCell ref="C30:H30"/>
    <mergeCell ref="C31:H31"/>
    <mergeCell ref="C32:H32"/>
    <mergeCell ref="C27:H27"/>
    <mergeCell ref="I27:J27"/>
    <mergeCell ref="L27:M27"/>
    <mergeCell ref="B40:H40"/>
    <mergeCell ref="C41:H41"/>
    <mergeCell ref="C42:H42"/>
    <mergeCell ref="B43:H43"/>
    <mergeCell ref="B44:J44"/>
    <mergeCell ref="B45:H45"/>
    <mergeCell ref="C33:H33"/>
    <mergeCell ref="C34:H34"/>
    <mergeCell ref="C35:H35"/>
    <mergeCell ref="C36:H36"/>
    <mergeCell ref="B37:I37"/>
    <mergeCell ref="B39:J39"/>
    <mergeCell ref="C52:H52"/>
    <mergeCell ref="C53:H53"/>
    <mergeCell ref="B54:H54"/>
    <mergeCell ref="B55:J55"/>
    <mergeCell ref="B56:H56"/>
    <mergeCell ref="C57:H57"/>
    <mergeCell ref="C46:H46"/>
    <mergeCell ref="C47:H47"/>
    <mergeCell ref="C48:H48"/>
    <mergeCell ref="C49:H49"/>
    <mergeCell ref="C50:H50"/>
    <mergeCell ref="C51:H51"/>
    <mergeCell ref="B64:J64"/>
    <mergeCell ref="B65:J65"/>
    <mergeCell ref="B66:I66"/>
    <mergeCell ref="C67:I67"/>
    <mergeCell ref="C68:I68"/>
    <mergeCell ref="C69:I69"/>
    <mergeCell ref="C58:H58"/>
    <mergeCell ref="C59:H59"/>
    <mergeCell ref="C60:H60"/>
    <mergeCell ref="C61:H61"/>
    <mergeCell ref="C62:H62"/>
    <mergeCell ref="B63:I63"/>
    <mergeCell ref="C76:H76"/>
    <mergeCell ref="C77:H77"/>
    <mergeCell ref="C78:H78"/>
    <mergeCell ref="C79:H79"/>
    <mergeCell ref="B80:H80"/>
    <mergeCell ref="B81:J81"/>
    <mergeCell ref="B70:I70"/>
    <mergeCell ref="B71:J71"/>
    <mergeCell ref="B72:J72"/>
    <mergeCell ref="C73:H73"/>
    <mergeCell ref="C74:H74"/>
    <mergeCell ref="C75:H75"/>
    <mergeCell ref="C88:H88"/>
    <mergeCell ref="C89:H89"/>
    <mergeCell ref="C90:H90"/>
    <mergeCell ref="B91:H91"/>
    <mergeCell ref="C92:H92"/>
    <mergeCell ref="B93:H93"/>
    <mergeCell ref="B82:J82"/>
    <mergeCell ref="B83:H83"/>
    <mergeCell ref="C84:H84"/>
    <mergeCell ref="C85:H85"/>
    <mergeCell ref="C86:H86"/>
    <mergeCell ref="C87:H87"/>
    <mergeCell ref="B100:J100"/>
    <mergeCell ref="B101:J101"/>
    <mergeCell ref="B102:I102"/>
    <mergeCell ref="C103:I103"/>
    <mergeCell ref="C104:I104"/>
    <mergeCell ref="B105:I105"/>
    <mergeCell ref="C94:H94"/>
    <mergeCell ref="B95:H95"/>
    <mergeCell ref="B96:J96"/>
    <mergeCell ref="B97:H97"/>
    <mergeCell ref="C98:H98"/>
    <mergeCell ref="B99:H99"/>
    <mergeCell ref="C112:H112"/>
    <mergeCell ref="B113:H113"/>
    <mergeCell ref="B114:J114"/>
    <mergeCell ref="B115:J115"/>
    <mergeCell ref="C116:H116"/>
    <mergeCell ref="C117:H117"/>
    <mergeCell ref="B106:J106"/>
    <mergeCell ref="B107:J107"/>
    <mergeCell ref="C108:H108"/>
    <mergeCell ref="C109:H109"/>
    <mergeCell ref="C110:H110"/>
    <mergeCell ref="C111:H111"/>
    <mergeCell ref="C124:J124"/>
    <mergeCell ref="C125:H125"/>
    <mergeCell ref="C126:H126"/>
    <mergeCell ref="C128:H128"/>
    <mergeCell ref="C130:H130"/>
    <mergeCell ref="C132:H132"/>
    <mergeCell ref="C118:H118"/>
    <mergeCell ref="C119:H119"/>
    <mergeCell ref="C120:H120"/>
    <mergeCell ref="C121:H121"/>
    <mergeCell ref="C122:H122"/>
    <mergeCell ref="B123:H123"/>
    <mergeCell ref="B156:L161"/>
    <mergeCell ref="C140:I140"/>
    <mergeCell ref="C141:I141"/>
    <mergeCell ref="C142:I142"/>
    <mergeCell ref="B143:I143"/>
    <mergeCell ref="B134:J134"/>
    <mergeCell ref="B135:I135"/>
    <mergeCell ref="C136:I136"/>
    <mergeCell ref="C137:I137"/>
    <mergeCell ref="C138:I138"/>
    <mergeCell ref="C139:I139"/>
    <mergeCell ref="I150:L150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21666-19B6-491C-8794-56AF94DCD932}">
  <dimension ref="B1:L157"/>
  <sheetViews>
    <sheetView showGridLines="0" topLeftCell="A23" zoomScale="80" zoomScaleNormal="80" workbookViewId="0">
      <selection activeCell="I24" sqref="I24:J24"/>
    </sheetView>
  </sheetViews>
  <sheetFormatPr defaultRowHeight="15" customHeight="1"/>
  <cols>
    <col min="1" max="1" width="2.85546875" customWidth="1"/>
    <col min="2" max="2" width="10.42578125" customWidth="1"/>
    <col min="3" max="3" width="49.5703125" bestFit="1" customWidth="1"/>
    <col min="7" max="7" width="3.5703125" customWidth="1"/>
    <col min="8" max="8" width="4.140625" hidden="1" customWidth="1"/>
    <col min="9" max="9" width="9.85546875" customWidth="1"/>
    <col min="10" max="10" width="14" customWidth="1"/>
    <col min="11" max="11" width="5.140625" customWidth="1"/>
  </cols>
  <sheetData>
    <row r="1" spans="2:11">
      <c r="B1" s="250" t="s">
        <v>37</v>
      </c>
      <c r="C1" s="250"/>
      <c r="D1" s="250"/>
      <c r="E1" s="250"/>
      <c r="F1" s="250"/>
      <c r="G1" s="250"/>
      <c r="H1" s="250"/>
      <c r="I1" s="250"/>
      <c r="J1" s="250"/>
      <c r="K1" s="12"/>
    </row>
    <row r="2" spans="2:11">
      <c r="B2" s="251" t="s">
        <v>38</v>
      </c>
      <c r="C2" s="251"/>
      <c r="D2" s="251"/>
      <c r="E2" s="251"/>
      <c r="F2" s="251"/>
      <c r="G2" s="251"/>
      <c r="H2" s="251"/>
      <c r="I2" s="251"/>
      <c r="J2" s="251"/>
      <c r="K2" s="12"/>
    </row>
    <row r="3" spans="2:11">
      <c r="B3" s="251" t="s">
        <v>39</v>
      </c>
      <c r="C3" s="251"/>
      <c r="D3" s="251"/>
      <c r="E3" s="251"/>
      <c r="F3" s="251"/>
      <c r="G3" s="251"/>
      <c r="H3" s="251"/>
      <c r="I3" s="251"/>
      <c r="J3" s="251"/>
      <c r="K3" s="12"/>
    </row>
    <row r="4" spans="2:11">
      <c r="B4" s="252" t="s">
        <v>40</v>
      </c>
      <c r="C4" s="252"/>
      <c r="D4" s="252"/>
      <c r="E4" s="252"/>
      <c r="F4" s="252"/>
      <c r="G4" s="252"/>
      <c r="H4" s="252"/>
      <c r="I4" s="252"/>
      <c r="J4" s="252"/>
      <c r="K4" s="12"/>
    </row>
    <row r="5" spans="2:11">
      <c r="B5" s="253"/>
      <c r="C5" s="253"/>
      <c r="D5" s="253"/>
      <c r="E5" s="253"/>
      <c r="F5" s="253"/>
      <c r="G5" s="253"/>
      <c r="H5" s="253"/>
      <c r="I5" s="253"/>
      <c r="J5" s="253"/>
      <c r="K5" s="12"/>
    </row>
    <row r="6" spans="2:11">
      <c r="B6" s="254" t="s">
        <v>196</v>
      </c>
      <c r="C6" s="254"/>
      <c r="D6" s="254"/>
      <c r="E6" s="254"/>
      <c r="F6" s="254"/>
      <c r="G6" s="254"/>
      <c r="H6" s="254"/>
      <c r="I6" s="254"/>
      <c r="J6" s="254"/>
      <c r="K6" s="12"/>
    </row>
    <row r="7" spans="2:11">
      <c r="B7" s="235"/>
      <c r="C7" s="235"/>
      <c r="D7" s="235"/>
      <c r="E7" s="235"/>
      <c r="F7" s="235"/>
      <c r="G7" s="235"/>
      <c r="H7" s="235"/>
      <c r="I7" s="235"/>
      <c r="J7" s="235"/>
      <c r="K7" s="12"/>
    </row>
    <row r="8" spans="2:11">
      <c r="B8" s="241" t="s">
        <v>42</v>
      </c>
      <c r="C8" s="242"/>
      <c r="D8" s="242"/>
      <c r="E8" s="242"/>
      <c r="F8" s="242"/>
      <c r="G8" s="243"/>
      <c r="H8" s="22"/>
      <c r="I8" s="241" t="s">
        <v>197</v>
      </c>
      <c r="J8" s="243"/>
      <c r="K8" s="12"/>
    </row>
    <row r="9" spans="2:11">
      <c r="B9" s="23" t="s">
        <v>44</v>
      </c>
      <c r="C9" s="236" t="s">
        <v>45</v>
      </c>
      <c r="D9" s="236"/>
      <c r="E9" s="236"/>
      <c r="F9" s="236"/>
      <c r="G9" s="236"/>
      <c r="H9" s="236"/>
      <c r="I9" s="237"/>
      <c r="J9" s="238"/>
      <c r="K9" s="12"/>
    </row>
    <row r="10" spans="2:11">
      <c r="B10" s="23" t="s">
        <v>46</v>
      </c>
      <c r="C10" s="236" t="s">
        <v>47</v>
      </c>
      <c r="D10" s="236"/>
      <c r="E10" s="236"/>
      <c r="F10" s="236"/>
      <c r="G10" s="236"/>
      <c r="H10" s="236"/>
      <c r="I10" s="238" t="s">
        <v>48</v>
      </c>
      <c r="J10" s="238"/>
      <c r="K10" s="12"/>
    </row>
    <row r="11" spans="2:11">
      <c r="B11" s="23" t="s">
        <v>49</v>
      </c>
      <c r="C11" s="236" t="s">
        <v>50</v>
      </c>
      <c r="D11" s="236"/>
      <c r="E11" s="236"/>
      <c r="F11" s="236"/>
      <c r="G11" s="236"/>
      <c r="H11" s="236"/>
      <c r="I11" s="238">
        <v>1</v>
      </c>
      <c r="J11" s="238"/>
      <c r="K11" s="12"/>
    </row>
    <row r="12" spans="2:11">
      <c r="B12" s="23" t="s">
        <v>46</v>
      </c>
      <c r="C12" s="236" t="s">
        <v>51</v>
      </c>
      <c r="D12" s="236"/>
      <c r="E12" s="236"/>
      <c r="F12" s="236"/>
      <c r="G12" s="236"/>
      <c r="H12" s="236"/>
      <c r="I12" s="238">
        <v>12</v>
      </c>
      <c r="J12" s="238"/>
      <c r="K12" s="12"/>
    </row>
    <row r="13" spans="2:11">
      <c r="B13" s="23" t="s">
        <v>52</v>
      </c>
      <c r="C13" s="236" t="s">
        <v>53</v>
      </c>
      <c r="D13" s="236"/>
      <c r="E13" s="236"/>
      <c r="F13" s="236"/>
      <c r="G13" s="236"/>
      <c r="H13" s="236"/>
      <c r="I13" s="238" t="s">
        <v>54</v>
      </c>
      <c r="J13" s="238"/>
      <c r="K13" s="12"/>
    </row>
    <row r="14" spans="2:11" ht="15" customHeight="1">
      <c r="B14" s="23" t="s">
        <v>55</v>
      </c>
      <c r="C14" s="221" t="s">
        <v>56</v>
      </c>
      <c r="D14" s="222"/>
      <c r="E14" s="222"/>
      <c r="F14" s="222"/>
      <c r="G14" s="222"/>
      <c r="H14" s="223"/>
      <c r="I14" s="239"/>
      <c r="J14" s="240"/>
      <c r="K14" s="88"/>
    </row>
    <row r="15" spans="2:11" ht="19.5" customHeight="1">
      <c r="B15" s="23" t="s">
        <v>57</v>
      </c>
      <c r="C15" s="221" t="s">
        <v>58</v>
      </c>
      <c r="D15" s="222"/>
      <c r="E15" s="222"/>
      <c r="F15" s="222"/>
      <c r="G15" s="222"/>
      <c r="H15" s="223"/>
      <c r="I15" s="224"/>
      <c r="J15" s="225"/>
      <c r="K15" s="12"/>
    </row>
    <row r="16" spans="2:11">
      <c r="B16" s="18"/>
      <c r="C16" s="25"/>
      <c r="D16" s="25"/>
      <c r="E16" s="25"/>
      <c r="F16" s="25"/>
      <c r="G16" s="25"/>
      <c r="H16" s="25"/>
      <c r="I16" s="18"/>
      <c r="J16" s="18"/>
      <c r="K16" s="12"/>
    </row>
    <row r="17" spans="2:11">
      <c r="B17" s="246" t="s">
        <v>59</v>
      </c>
      <c r="C17" s="246"/>
      <c r="D17" s="246"/>
      <c r="E17" s="246"/>
      <c r="F17" s="246"/>
      <c r="G17" s="246"/>
      <c r="H17" s="246"/>
      <c r="I17" s="246"/>
      <c r="J17" s="246"/>
      <c r="K17" s="12"/>
    </row>
    <row r="18" spans="2:11">
      <c r="B18" s="238" t="s">
        <v>60</v>
      </c>
      <c r="C18" s="238"/>
      <c r="D18" s="238" t="s">
        <v>47</v>
      </c>
      <c r="E18" s="238"/>
      <c r="F18" s="238" t="s">
        <v>61</v>
      </c>
      <c r="G18" s="238"/>
      <c r="H18" s="238"/>
      <c r="I18" s="238"/>
      <c r="J18" s="238"/>
      <c r="K18" s="12"/>
    </row>
    <row r="19" spans="2:11">
      <c r="B19" s="238" t="s">
        <v>62</v>
      </c>
      <c r="C19" s="238"/>
      <c r="D19" s="238" t="s">
        <v>48</v>
      </c>
      <c r="E19" s="238"/>
      <c r="F19" s="263">
        <v>1</v>
      </c>
      <c r="G19" s="263"/>
      <c r="H19" s="263"/>
      <c r="I19" s="263"/>
      <c r="J19" s="263"/>
      <c r="K19" s="89"/>
    </row>
    <row r="20" spans="2:11">
      <c r="B20" s="18"/>
      <c r="C20" s="25"/>
      <c r="D20" s="25"/>
      <c r="E20" s="25"/>
      <c r="F20" s="25"/>
      <c r="G20" s="25"/>
      <c r="H20" s="25"/>
      <c r="I20" s="18"/>
      <c r="J20" s="18"/>
      <c r="K20" s="12"/>
    </row>
    <row r="21" spans="2:11">
      <c r="B21" s="246" t="s">
        <v>63</v>
      </c>
      <c r="C21" s="246"/>
      <c r="D21" s="246"/>
      <c r="E21" s="246"/>
      <c r="F21" s="246"/>
      <c r="G21" s="246"/>
      <c r="H21" s="246"/>
      <c r="I21" s="246"/>
      <c r="J21" s="246"/>
      <c r="K21" s="12"/>
    </row>
    <row r="22" spans="2:11">
      <c r="B22" s="23">
        <v>1</v>
      </c>
      <c r="C22" s="236" t="s">
        <v>64</v>
      </c>
      <c r="D22" s="236"/>
      <c r="E22" s="236"/>
      <c r="F22" s="236"/>
      <c r="G22" s="236"/>
      <c r="H22" s="236"/>
      <c r="I22" s="238" t="s">
        <v>62</v>
      </c>
      <c r="J22" s="238"/>
      <c r="K22" s="12"/>
    </row>
    <row r="23" spans="2:11">
      <c r="B23" s="23">
        <v>2</v>
      </c>
      <c r="C23" s="236" t="s">
        <v>65</v>
      </c>
      <c r="D23" s="236"/>
      <c r="E23" s="236"/>
      <c r="F23" s="236"/>
      <c r="G23" s="236"/>
      <c r="H23" s="236"/>
      <c r="I23" s="238" t="s">
        <v>198</v>
      </c>
      <c r="J23" s="238"/>
      <c r="K23" s="12"/>
    </row>
    <row r="24" spans="2:11">
      <c r="B24" s="23">
        <v>3</v>
      </c>
      <c r="C24" s="236" t="s">
        <v>67</v>
      </c>
      <c r="D24" s="236"/>
      <c r="E24" s="236"/>
      <c r="F24" s="236"/>
      <c r="G24" s="236"/>
      <c r="H24" s="236"/>
      <c r="I24" s="319">
        <f>(1975.6/220)*200</f>
        <v>1796</v>
      </c>
      <c r="J24" s="238"/>
      <c r="K24" s="12"/>
    </row>
    <row r="25" spans="2:11" ht="29.25" customHeight="1">
      <c r="B25" s="23">
        <v>4</v>
      </c>
      <c r="C25" s="236" t="s">
        <v>68</v>
      </c>
      <c r="D25" s="236"/>
      <c r="E25" s="236"/>
      <c r="F25" s="236"/>
      <c r="G25" s="236"/>
      <c r="H25" s="236"/>
      <c r="I25" s="257" t="s">
        <v>199</v>
      </c>
      <c r="J25" s="257"/>
      <c r="K25" s="12"/>
    </row>
    <row r="26" spans="2:11">
      <c r="B26" s="23">
        <v>5</v>
      </c>
      <c r="C26" s="221" t="s">
        <v>70</v>
      </c>
      <c r="D26" s="222"/>
      <c r="E26" s="222"/>
      <c r="F26" s="222"/>
      <c r="G26" s="222"/>
      <c r="H26" s="223"/>
      <c r="I26" s="248" t="s">
        <v>71</v>
      </c>
      <c r="J26" s="249"/>
      <c r="K26" s="12"/>
    </row>
    <row r="27" spans="2:11">
      <c r="B27" s="23">
        <v>6</v>
      </c>
      <c r="C27" s="236" t="s">
        <v>72</v>
      </c>
      <c r="D27" s="236"/>
      <c r="E27" s="236"/>
      <c r="F27" s="236"/>
      <c r="G27" s="236"/>
      <c r="H27" s="236"/>
      <c r="I27" s="255"/>
      <c r="J27" s="256"/>
      <c r="K27" s="12"/>
    </row>
    <row r="28" spans="2:11">
      <c r="B28" s="253"/>
      <c r="C28" s="253"/>
      <c r="D28" s="253"/>
      <c r="E28" s="253"/>
      <c r="F28" s="253"/>
      <c r="G28" s="253"/>
      <c r="H28" s="253"/>
      <c r="I28" s="253"/>
      <c r="J28" s="253"/>
      <c r="K28" s="12"/>
    </row>
    <row r="29" spans="2:11">
      <c r="B29" s="247" t="s">
        <v>73</v>
      </c>
      <c r="C29" s="247"/>
      <c r="D29" s="247"/>
      <c r="E29" s="247"/>
      <c r="F29" s="247"/>
      <c r="G29" s="247"/>
      <c r="H29" s="247"/>
      <c r="I29" s="247"/>
      <c r="J29" s="247"/>
      <c r="K29" s="12"/>
    </row>
    <row r="30" spans="2:11">
      <c r="B30" s="28">
        <v>1</v>
      </c>
      <c r="C30" s="244" t="s">
        <v>74</v>
      </c>
      <c r="D30" s="244"/>
      <c r="E30" s="244"/>
      <c r="F30" s="244"/>
      <c r="G30" s="244"/>
      <c r="H30" s="244"/>
      <c r="I30" s="28" t="s">
        <v>75</v>
      </c>
      <c r="J30" s="28" t="s">
        <v>76</v>
      </c>
      <c r="K30" s="12"/>
    </row>
    <row r="31" spans="2:11">
      <c r="B31" s="28" t="s">
        <v>44</v>
      </c>
      <c r="C31" s="236" t="s">
        <v>77</v>
      </c>
      <c r="D31" s="236"/>
      <c r="E31" s="236"/>
      <c r="F31" s="236"/>
      <c r="G31" s="236"/>
      <c r="H31" s="236"/>
      <c r="I31" s="29"/>
      <c r="J31" s="30">
        <f>I24</f>
        <v>1796</v>
      </c>
      <c r="K31" s="12"/>
    </row>
    <row r="32" spans="2:11" ht="15" customHeight="1">
      <c r="B32" s="28" t="s">
        <v>46</v>
      </c>
      <c r="C32" s="236" t="s">
        <v>78</v>
      </c>
      <c r="D32" s="236"/>
      <c r="E32" s="236"/>
      <c r="F32" s="236"/>
      <c r="G32" s="236"/>
      <c r="H32" s="236"/>
      <c r="I32" s="32"/>
      <c r="J32" s="33">
        <v>0</v>
      </c>
      <c r="K32" s="12"/>
    </row>
    <row r="33" spans="2:11">
      <c r="B33" s="28" t="s">
        <v>49</v>
      </c>
      <c r="C33" s="236" t="s">
        <v>79</v>
      </c>
      <c r="D33" s="236"/>
      <c r="E33" s="236"/>
      <c r="F33" s="236"/>
      <c r="G33" s="236"/>
      <c r="H33" s="236"/>
      <c r="I33" s="32"/>
      <c r="J33" s="33">
        <v>0</v>
      </c>
      <c r="K33" s="12"/>
    </row>
    <row r="34" spans="2:11">
      <c r="B34" s="28" t="s">
        <v>52</v>
      </c>
      <c r="C34" s="236" t="s">
        <v>80</v>
      </c>
      <c r="D34" s="236"/>
      <c r="E34" s="236"/>
      <c r="F34" s="236"/>
      <c r="G34" s="236"/>
      <c r="H34" s="236"/>
      <c r="I34" s="32"/>
      <c r="J34" s="33">
        <v>0</v>
      </c>
      <c r="K34" s="12"/>
    </row>
    <row r="35" spans="2:11">
      <c r="B35" s="28" t="s">
        <v>55</v>
      </c>
      <c r="C35" s="245" t="s">
        <v>81</v>
      </c>
      <c r="D35" s="245"/>
      <c r="E35" s="245"/>
      <c r="F35" s="245"/>
      <c r="G35" s="245"/>
      <c r="H35" s="245"/>
      <c r="I35" s="35"/>
      <c r="J35" s="33">
        <v>0</v>
      </c>
      <c r="K35" s="168" t="s">
        <v>200</v>
      </c>
    </row>
    <row r="36" spans="2:11">
      <c r="B36" s="28" t="s">
        <v>57</v>
      </c>
      <c r="C36" s="236" t="s">
        <v>82</v>
      </c>
      <c r="D36" s="236"/>
      <c r="E36" s="236"/>
      <c r="F36" s="236"/>
      <c r="G36" s="236"/>
      <c r="H36" s="236"/>
      <c r="I36" s="32"/>
      <c r="J36" s="33">
        <v>0</v>
      </c>
      <c r="K36" s="12"/>
    </row>
    <row r="37" spans="2:11">
      <c r="B37" s="244" t="s">
        <v>83</v>
      </c>
      <c r="C37" s="244"/>
      <c r="D37" s="244"/>
      <c r="E37" s="244"/>
      <c r="F37" s="244"/>
      <c r="G37" s="244"/>
      <c r="H37" s="244"/>
      <c r="I37" s="244"/>
      <c r="J37" s="36">
        <f>SUM(J31:J36)</f>
        <v>1796</v>
      </c>
      <c r="K37" s="12"/>
    </row>
    <row r="38" spans="2:11">
      <c r="B38" s="11"/>
      <c r="C38" s="11"/>
      <c r="D38" s="11"/>
      <c r="E38" s="11"/>
      <c r="F38" s="11"/>
      <c r="G38" s="11"/>
      <c r="H38" s="11"/>
      <c r="I38" s="11"/>
      <c r="J38" s="38"/>
      <c r="K38" s="12"/>
    </row>
    <row r="39" spans="2:11">
      <c r="B39" s="247" t="s">
        <v>84</v>
      </c>
      <c r="C39" s="247"/>
      <c r="D39" s="247"/>
      <c r="E39" s="247"/>
      <c r="F39" s="247"/>
      <c r="G39" s="247"/>
      <c r="H39" s="247"/>
      <c r="I39" s="247"/>
      <c r="J39" s="247"/>
      <c r="K39" s="12"/>
    </row>
    <row r="40" spans="2:11">
      <c r="B40" s="258" t="s">
        <v>85</v>
      </c>
      <c r="C40" s="258"/>
      <c r="D40" s="258"/>
      <c r="E40" s="258"/>
      <c r="F40" s="258"/>
      <c r="G40" s="258"/>
      <c r="H40" s="258"/>
      <c r="I40" s="40" t="s">
        <v>75</v>
      </c>
      <c r="J40" s="40" t="s">
        <v>76</v>
      </c>
      <c r="K40" s="12"/>
    </row>
    <row r="41" spans="2:11">
      <c r="B41" s="28" t="s">
        <v>44</v>
      </c>
      <c r="C41" s="236" t="s">
        <v>86</v>
      </c>
      <c r="D41" s="236"/>
      <c r="E41" s="236"/>
      <c r="F41" s="236"/>
      <c r="G41" s="236"/>
      <c r="H41" s="236"/>
      <c r="I41" s="41">
        <f>1/12</f>
        <v>8.3333333333333329E-2</v>
      </c>
      <c r="J41" s="42">
        <f>TRUNC($J$37*I41,2)</f>
        <v>149.66</v>
      </c>
      <c r="K41" s="12"/>
    </row>
    <row r="42" spans="2:11">
      <c r="B42" s="28" t="s">
        <v>46</v>
      </c>
      <c r="C42" s="236" t="s">
        <v>87</v>
      </c>
      <c r="D42" s="236"/>
      <c r="E42" s="236"/>
      <c r="F42" s="236"/>
      <c r="G42" s="236"/>
      <c r="H42" s="236"/>
      <c r="I42" s="44">
        <v>0.121</v>
      </c>
      <c r="J42" s="42">
        <f>TRUNC($J$37*I42,2)</f>
        <v>217.31</v>
      </c>
      <c r="K42" s="12"/>
    </row>
    <row r="43" spans="2:11">
      <c r="B43" s="244" t="s">
        <v>88</v>
      </c>
      <c r="C43" s="244"/>
      <c r="D43" s="244"/>
      <c r="E43" s="244"/>
      <c r="F43" s="244"/>
      <c r="G43" s="244"/>
      <c r="H43" s="244"/>
      <c r="I43" s="45">
        <f>SUM(I41:I42)</f>
        <v>0.20433333333333331</v>
      </c>
      <c r="J43" s="46">
        <f>SUM(J41:J42)</f>
        <v>366.97</v>
      </c>
      <c r="K43" s="12"/>
    </row>
    <row r="44" spans="2:11">
      <c r="B44" s="259"/>
      <c r="C44" s="260"/>
      <c r="D44" s="260"/>
      <c r="E44" s="260"/>
      <c r="F44" s="260"/>
      <c r="G44" s="260"/>
      <c r="H44" s="260"/>
      <c r="I44" s="260"/>
      <c r="J44" s="260"/>
      <c r="K44" s="12"/>
    </row>
    <row r="45" spans="2:11">
      <c r="B45" s="258" t="s">
        <v>89</v>
      </c>
      <c r="C45" s="258"/>
      <c r="D45" s="258"/>
      <c r="E45" s="258"/>
      <c r="F45" s="258"/>
      <c r="G45" s="258"/>
      <c r="H45" s="258"/>
      <c r="I45" s="40" t="s">
        <v>75</v>
      </c>
      <c r="J45" s="40" t="s">
        <v>76</v>
      </c>
      <c r="K45" s="12"/>
    </row>
    <row r="46" spans="2:11">
      <c r="B46" s="28" t="s">
        <v>44</v>
      </c>
      <c r="C46" s="236" t="s">
        <v>90</v>
      </c>
      <c r="D46" s="236"/>
      <c r="E46" s="236"/>
      <c r="F46" s="236"/>
      <c r="G46" s="236"/>
      <c r="H46" s="236"/>
      <c r="I46" s="41">
        <v>0.2</v>
      </c>
      <c r="J46" s="42">
        <f>TRUNC(($J$37+$J$43)*$I$46,2)</f>
        <v>432.59</v>
      </c>
      <c r="K46" s="12"/>
    </row>
    <row r="47" spans="2:11">
      <c r="B47" s="28" t="s">
        <v>46</v>
      </c>
      <c r="C47" s="236" t="s">
        <v>91</v>
      </c>
      <c r="D47" s="236"/>
      <c r="E47" s="236"/>
      <c r="F47" s="236"/>
      <c r="G47" s="236"/>
      <c r="H47" s="236"/>
      <c r="I47" s="41">
        <v>2.5000000000000001E-2</v>
      </c>
      <c r="J47" s="42">
        <f>TRUNC(($J$37+$J$43)*$I$47,2)</f>
        <v>54.07</v>
      </c>
      <c r="K47" s="12"/>
    </row>
    <row r="48" spans="2:11">
      <c r="B48" s="28" t="s">
        <v>49</v>
      </c>
      <c r="C48" s="236" t="s">
        <v>92</v>
      </c>
      <c r="D48" s="236"/>
      <c r="E48" s="236"/>
      <c r="F48" s="236"/>
      <c r="G48" s="236"/>
      <c r="H48" s="236"/>
      <c r="I48" s="213"/>
      <c r="J48" s="42">
        <f>TRUNC(($J$37+$J$43)*$I$48,2)</f>
        <v>0</v>
      </c>
      <c r="K48" s="12"/>
    </row>
    <row r="49" spans="2:11">
      <c r="B49" s="28" t="s">
        <v>52</v>
      </c>
      <c r="C49" s="236" t="s">
        <v>93</v>
      </c>
      <c r="D49" s="236"/>
      <c r="E49" s="236"/>
      <c r="F49" s="236"/>
      <c r="G49" s="236"/>
      <c r="H49" s="236"/>
      <c r="I49" s="41">
        <v>1.4999999999999999E-2</v>
      </c>
      <c r="J49" s="42">
        <f>TRUNC(($J$37+$J$43)*$I$49,2)</f>
        <v>32.44</v>
      </c>
      <c r="K49" s="12"/>
    </row>
    <row r="50" spans="2:11">
      <c r="B50" s="28" t="s">
        <v>55</v>
      </c>
      <c r="C50" s="236" t="s">
        <v>94</v>
      </c>
      <c r="D50" s="236"/>
      <c r="E50" s="236"/>
      <c r="F50" s="236"/>
      <c r="G50" s="236"/>
      <c r="H50" s="236"/>
      <c r="I50" s="41">
        <v>0.01</v>
      </c>
      <c r="J50" s="42">
        <f>TRUNC(($J$37+$J$43)*$I$50,2)</f>
        <v>21.62</v>
      </c>
      <c r="K50" s="12"/>
    </row>
    <row r="51" spans="2:11">
      <c r="B51" s="28" t="s">
        <v>57</v>
      </c>
      <c r="C51" s="236" t="s">
        <v>95</v>
      </c>
      <c r="D51" s="236"/>
      <c r="E51" s="236"/>
      <c r="F51" s="236"/>
      <c r="G51" s="236"/>
      <c r="H51" s="236"/>
      <c r="I51" s="41">
        <v>6.0000000000000001E-3</v>
      </c>
      <c r="J51" s="42">
        <f>TRUNC(($J$37+$J$43)*$I$51,2)</f>
        <v>12.97</v>
      </c>
      <c r="K51" s="12"/>
    </row>
    <row r="52" spans="2:11">
      <c r="B52" s="28" t="s">
        <v>96</v>
      </c>
      <c r="C52" s="236" t="s">
        <v>97</v>
      </c>
      <c r="D52" s="236"/>
      <c r="E52" s="236"/>
      <c r="F52" s="236"/>
      <c r="G52" s="236"/>
      <c r="H52" s="236"/>
      <c r="I52" s="41">
        <v>2E-3</v>
      </c>
      <c r="J52" s="42">
        <f>TRUNC(($J$37+$J$43)*$I$52,2)</f>
        <v>4.32</v>
      </c>
      <c r="K52" s="12"/>
    </row>
    <row r="53" spans="2:11">
      <c r="B53" s="28" t="s">
        <v>98</v>
      </c>
      <c r="C53" s="236" t="s">
        <v>99</v>
      </c>
      <c r="D53" s="236"/>
      <c r="E53" s="236"/>
      <c r="F53" s="236"/>
      <c r="G53" s="236"/>
      <c r="H53" s="236"/>
      <c r="I53" s="41">
        <v>0.08</v>
      </c>
      <c r="J53" s="42">
        <f>TRUNC(($J$37+$J$43)*$I$53,2)</f>
        <v>173.03</v>
      </c>
      <c r="K53" s="12"/>
    </row>
    <row r="54" spans="2:11">
      <c r="B54" s="244" t="s">
        <v>100</v>
      </c>
      <c r="C54" s="244"/>
      <c r="D54" s="244"/>
      <c r="E54" s="244"/>
      <c r="F54" s="244"/>
      <c r="G54" s="244"/>
      <c r="H54" s="244"/>
      <c r="I54" s="45">
        <f>SUM(I46:I53)</f>
        <v>0.33800000000000002</v>
      </c>
      <c r="J54" s="46">
        <f>SUM(J46:J53)</f>
        <v>731.04</v>
      </c>
      <c r="K54" s="12"/>
    </row>
    <row r="55" spans="2:11">
      <c r="B55" s="261"/>
      <c r="C55" s="261"/>
      <c r="D55" s="261"/>
      <c r="E55" s="261"/>
      <c r="F55" s="261"/>
      <c r="G55" s="261"/>
      <c r="H55" s="261"/>
      <c r="I55" s="261"/>
      <c r="J55" s="262"/>
      <c r="K55" s="12"/>
    </row>
    <row r="56" spans="2:11">
      <c r="B56" s="258" t="s">
        <v>101</v>
      </c>
      <c r="C56" s="258"/>
      <c r="D56" s="258"/>
      <c r="E56" s="258"/>
      <c r="F56" s="258"/>
      <c r="G56" s="258"/>
      <c r="H56" s="258"/>
      <c r="I56" s="48"/>
      <c r="J56" s="40" t="s">
        <v>76</v>
      </c>
      <c r="K56" s="12"/>
    </row>
    <row r="57" spans="2:11">
      <c r="B57" s="28" t="s">
        <v>44</v>
      </c>
      <c r="C57" s="264" t="s">
        <v>102</v>
      </c>
      <c r="D57" s="264"/>
      <c r="E57" s="264"/>
      <c r="F57" s="264"/>
      <c r="G57" s="264"/>
      <c r="H57" s="264"/>
      <c r="I57" s="23" t="s">
        <v>22</v>
      </c>
      <c r="J57" s="49">
        <v>0</v>
      </c>
      <c r="K57" s="12"/>
    </row>
    <row r="58" spans="2:11">
      <c r="B58" s="28" t="s">
        <v>46</v>
      </c>
      <c r="C58" s="264" t="s">
        <v>103</v>
      </c>
      <c r="D58" s="264"/>
      <c r="E58" s="264"/>
      <c r="F58" s="264"/>
      <c r="G58" s="264"/>
      <c r="H58" s="264"/>
      <c r="I58" s="173">
        <v>0</v>
      </c>
      <c r="J58" s="49">
        <f>TRUNC(('Dias trabalhados'!E16*'Vigia 40h'!I58)*80%)</f>
        <v>0</v>
      </c>
      <c r="K58" s="12"/>
    </row>
    <row r="59" spans="2:11">
      <c r="B59" s="28" t="s">
        <v>49</v>
      </c>
      <c r="C59" s="221" t="s">
        <v>189</v>
      </c>
      <c r="D59" s="222"/>
      <c r="E59" s="222"/>
      <c r="F59" s="222"/>
      <c r="G59" s="222"/>
      <c r="H59" s="223"/>
      <c r="I59" s="92" t="s">
        <v>22</v>
      </c>
      <c r="J59" s="93">
        <v>0</v>
      </c>
      <c r="K59" s="12"/>
    </row>
    <row r="60" spans="2:11">
      <c r="B60" s="28" t="s">
        <v>52</v>
      </c>
      <c r="C60" s="265" t="s">
        <v>105</v>
      </c>
      <c r="D60" s="264"/>
      <c r="E60" s="264"/>
      <c r="F60" s="264"/>
      <c r="G60" s="264"/>
      <c r="H60" s="264"/>
      <c r="I60" s="23" t="s">
        <v>22</v>
      </c>
      <c r="J60" s="169">
        <v>0</v>
      </c>
      <c r="K60" s="12"/>
    </row>
    <row r="61" spans="2:11">
      <c r="B61" s="28" t="s">
        <v>55</v>
      </c>
      <c r="C61" s="321" t="s">
        <v>106</v>
      </c>
      <c r="D61" s="322"/>
      <c r="E61" s="322"/>
      <c r="F61" s="322"/>
      <c r="G61" s="322"/>
      <c r="H61" s="323"/>
      <c r="I61" s="23" t="s">
        <v>22</v>
      </c>
      <c r="J61" s="169">
        <v>0</v>
      </c>
      <c r="K61" s="12"/>
    </row>
    <row r="62" spans="2:11">
      <c r="B62" s="28" t="s">
        <v>57</v>
      </c>
      <c r="C62" s="264" t="s">
        <v>201</v>
      </c>
      <c r="D62" s="264"/>
      <c r="E62" s="264"/>
      <c r="F62" s="264"/>
      <c r="G62" s="264"/>
      <c r="H62" s="264"/>
      <c r="I62" s="208">
        <v>0</v>
      </c>
      <c r="J62" s="169">
        <f>(J31*I62)/12</f>
        <v>0</v>
      </c>
      <c r="K62" s="12"/>
    </row>
    <row r="63" spans="2:11">
      <c r="B63" s="244" t="s">
        <v>108</v>
      </c>
      <c r="C63" s="244"/>
      <c r="D63" s="244"/>
      <c r="E63" s="244"/>
      <c r="F63" s="244"/>
      <c r="G63" s="244"/>
      <c r="H63" s="244"/>
      <c r="I63" s="244"/>
      <c r="J63" s="46">
        <f>SUM(J57:J62)</f>
        <v>0</v>
      </c>
      <c r="K63" s="12"/>
    </row>
    <row r="64" spans="2:11">
      <c r="B64" s="261"/>
      <c r="C64" s="261"/>
      <c r="D64" s="261"/>
      <c r="E64" s="261"/>
      <c r="F64" s="261"/>
      <c r="G64" s="261"/>
      <c r="H64" s="261"/>
      <c r="I64" s="261"/>
      <c r="J64" s="262"/>
      <c r="K64" s="12"/>
    </row>
    <row r="65" spans="2:11">
      <c r="B65" s="246" t="s">
        <v>109</v>
      </c>
      <c r="C65" s="246"/>
      <c r="D65" s="246"/>
      <c r="E65" s="246"/>
      <c r="F65" s="246"/>
      <c r="G65" s="246"/>
      <c r="H65" s="246"/>
      <c r="I65" s="246"/>
      <c r="J65" s="246"/>
      <c r="K65" s="12"/>
    </row>
    <row r="66" spans="2:11">
      <c r="B66" s="244" t="s">
        <v>110</v>
      </c>
      <c r="C66" s="244"/>
      <c r="D66" s="244"/>
      <c r="E66" s="244"/>
      <c r="F66" s="244"/>
      <c r="G66" s="244"/>
      <c r="H66" s="244"/>
      <c r="I66" s="244"/>
      <c r="J66" s="28" t="s">
        <v>76</v>
      </c>
      <c r="K66" s="12"/>
    </row>
    <row r="67" spans="2:11">
      <c r="B67" s="28" t="s">
        <v>111</v>
      </c>
      <c r="C67" s="236" t="s">
        <v>112</v>
      </c>
      <c r="D67" s="236"/>
      <c r="E67" s="236"/>
      <c r="F67" s="236"/>
      <c r="G67" s="236"/>
      <c r="H67" s="236"/>
      <c r="I67" s="236"/>
      <c r="J67" s="42">
        <f>J43</f>
        <v>366.97</v>
      </c>
      <c r="K67" s="12"/>
    </row>
    <row r="68" spans="2:11">
      <c r="B68" s="28" t="s">
        <v>113</v>
      </c>
      <c r="C68" s="236" t="s">
        <v>114</v>
      </c>
      <c r="D68" s="236"/>
      <c r="E68" s="236"/>
      <c r="F68" s="236"/>
      <c r="G68" s="236"/>
      <c r="H68" s="236"/>
      <c r="I68" s="236"/>
      <c r="J68" s="42">
        <f>J54</f>
        <v>731.04</v>
      </c>
      <c r="K68" s="12"/>
    </row>
    <row r="69" spans="2:11">
      <c r="B69" s="28" t="s">
        <v>115</v>
      </c>
      <c r="C69" s="236" t="s">
        <v>116</v>
      </c>
      <c r="D69" s="236"/>
      <c r="E69" s="236"/>
      <c r="F69" s="236"/>
      <c r="G69" s="236"/>
      <c r="H69" s="236"/>
      <c r="I69" s="236"/>
      <c r="J69" s="42">
        <f>J63</f>
        <v>0</v>
      </c>
      <c r="K69" s="12"/>
    </row>
    <row r="70" spans="2:11">
      <c r="B70" s="244" t="s">
        <v>117</v>
      </c>
      <c r="C70" s="244"/>
      <c r="D70" s="244"/>
      <c r="E70" s="244"/>
      <c r="F70" s="244"/>
      <c r="G70" s="244"/>
      <c r="H70" s="244"/>
      <c r="I70" s="244"/>
      <c r="J70" s="46">
        <f>SUM(J67:J69)</f>
        <v>1098.01</v>
      </c>
      <c r="K70" s="12"/>
    </row>
    <row r="71" spans="2:11">
      <c r="B71" s="275"/>
      <c r="C71" s="276"/>
      <c r="D71" s="276"/>
      <c r="E71" s="276"/>
      <c r="F71" s="276"/>
      <c r="G71" s="276"/>
      <c r="H71" s="276"/>
      <c r="I71" s="276"/>
      <c r="J71" s="276"/>
      <c r="K71" s="12"/>
    </row>
    <row r="72" spans="2:11">
      <c r="B72" s="247" t="s">
        <v>118</v>
      </c>
      <c r="C72" s="247"/>
      <c r="D72" s="247"/>
      <c r="E72" s="247"/>
      <c r="F72" s="247"/>
      <c r="G72" s="247"/>
      <c r="H72" s="247"/>
      <c r="I72" s="247"/>
      <c r="J72" s="247"/>
      <c r="K72" s="12"/>
    </row>
    <row r="73" spans="2:11">
      <c r="B73" s="28">
        <v>3</v>
      </c>
      <c r="C73" s="244" t="s">
        <v>119</v>
      </c>
      <c r="D73" s="244"/>
      <c r="E73" s="244"/>
      <c r="F73" s="244"/>
      <c r="G73" s="244"/>
      <c r="H73" s="244"/>
      <c r="I73" s="28" t="s">
        <v>75</v>
      </c>
      <c r="J73" s="28" t="s">
        <v>76</v>
      </c>
      <c r="K73" s="12"/>
    </row>
    <row r="74" spans="2:11">
      <c r="B74" s="28" t="s">
        <v>44</v>
      </c>
      <c r="C74" s="236" t="s">
        <v>120</v>
      </c>
      <c r="D74" s="236"/>
      <c r="E74" s="236"/>
      <c r="F74" s="236"/>
      <c r="G74" s="236"/>
      <c r="H74" s="236"/>
      <c r="I74" s="41">
        <f>(1/12)*0.05</f>
        <v>4.1666666666666666E-3</v>
      </c>
      <c r="J74" s="42">
        <f>TRUNC(I74*$J$37,2)</f>
        <v>7.48</v>
      </c>
      <c r="K74" s="12"/>
    </row>
    <row r="75" spans="2:11">
      <c r="B75" s="28" t="s">
        <v>46</v>
      </c>
      <c r="C75" s="236" t="s">
        <v>121</v>
      </c>
      <c r="D75" s="236"/>
      <c r="E75" s="236"/>
      <c r="F75" s="236"/>
      <c r="G75" s="236"/>
      <c r="H75" s="236"/>
      <c r="I75" s="41">
        <f>I53*I74</f>
        <v>3.3333333333333332E-4</v>
      </c>
      <c r="J75" s="42">
        <f>TRUNC(I75*$J$37,2)</f>
        <v>0.59</v>
      </c>
      <c r="K75" s="12"/>
    </row>
    <row r="76" spans="2:11">
      <c r="B76" s="28" t="s">
        <v>49</v>
      </c>
      <c r="C76" s="272" t="s">
        <v>122</v>
      </c>
      <c r="D76" s="272"/>
      <c r="E76" s="272"/>
      <c r="F76" s="272"/>
      <c r="G76" s="272"/>
      <c r="H76" s="272"/>
      <c r="I76" s="41">
        <f>((1+(2/12)+(1/3*1/12))*0.08*0.4*0.9)</f>
        <v>3.4400000000000007E-2</v>
      </c>
      <c r="J76" s="42">
        <f>TRUNC(I76*$J$37,2)</f>
        <v>61.78</v>
      </c>
      <c r="K76" s="12"/>
    </row>
    <row r="77" spans="2:11">
      <c r="B77" s="28" t="s">
        <v>52</v>
      </c>
      <c r="C77" s="236" t="s">
        <v>123</v>
      </c>
      <c r="D77" s="236"/>
      <c r="E77" s="236"/>
      <c r="F77" s="236"/>
      <c r="G77" s="236"/>
      <c r="H77" s="236"/>
      <c r="I77" s="41">
        <f>((7/30)/12)</f>
        <v>1.9444444444444445E-2</v>
      </c>
      <c r="J77" s="42">
        <f t="shared" ref="J77:J78" si="0">TRUNC(I77*$J$37,2)</f>
        <v>34.92</v>
      </c>
      <c r="K77" s="12"/>
    </row>
    <row r="78" spans="2:11">
      <c r="B78" s="28" t="s">
        <v>55</v>
      </c>
      <c r="C78" s="236" t="s">
        <v>124</v>
      </c>
      <c r="D78" s="236"/>
      <c r="E78" s="236"/>
      <c r="F78" s="236"/>
      <c r="G78" s="236"/>
      <c r="H78" s="236"/>
      <c r="I78" s="44">
        <f>I54*I77</f>
        <v>6.5722222222222224E-3</v>
      </c>
      <c r="J78" s="42">
        <f t="shared" si="0"/>
        <v>11.8</v>
      </c>
      <c r="K78" s="12"/>
    </row>
    <row r="79" spans="2:11">
      <c r="B79" s="28" t="s">
        <v>57</v>
      </c>
      <c r="C79" s="272" t="s">
        <v>125</v>
      </c>
      <c r="D79" s="272"/>
      <c r="E79" s="272"/>
      <c r="F79" s="272"/>
      <c r="G79" s="272"/>
      <c r="H79" s="272"/>
      <c r="I79" s="214">
        <f>I77*0.08*0.4</f>
        <v>6.2222222222222236E-4</v>
      </c>
      <c r="J79" s="42">
        <f>TRUNC(I79*$J$37,2)</f>
        <v>1.1100000000000001</v>
      </c>
      <c r="K79" s="12"/>
    </row>
    <row r="80" spans="2:11">
      <c r="B80" s="244" t="s">
        <v>126</v>
      </c>
      <c r="C80" s="244"/>
      <c r="D80" s="244"/>
      <c r="E80" s="244"/>
      <c r="F80" s="244"/>
      <c r="G80" s="244"/>
      <c r="H80" s="244"/>
      <c r="I80" s="45">
        <f>SUM(I74:I79)</f>
        <v>6.5538888888888897E-2</v>
      </c>
      <c r="J80" s="46">
        <f>SUM(J74:J79)</f>
        <v>117.67999999999999</v>
      </c>
      <c r="K80" s="12"/>
    </row>
    <row r="81" spans="2:11">
      <c r="B81" s="273"/>
      <c r="C81" s="274"/>
      <c r="D81" s="274"/>
      <c r="E81" s="274"/>
      <c r="F81" s="274"/>
      <c r="G81" s="274"/>
      <c r="H81" s="274"/>
      <c r="I81" s="274"/>
      <c r="J81" s="274"/>
      <c r="K81" s="12"/>
    </row>
    <row r="82" spans="2:11">
      <c r="B82" s="247" t="s">
        <v>127</v>
      </c>
      <c r="C82" s="247"/>
      <c r="D82" s="247"/>
      <c r="E82" s="247"/>
      <c r="F82" s="247"/>
      <c r="G82" s="247"/>
      <c r="H82" s="247"/>
      <c r="I82" s="247"/>
      <c r="J82" s="247"/>
      <c r="K82" s="12"/>
    </row>
    <row r="83" spans="2:11">
      <c r="B83" s="244" t="s">
        <v>128</v>
      </c>
      <c r="C83" s="244"/>
      <c r="D83" s="244"/>
      <c r="E83" s="244"/>
      <c r="F83" s="244"/>
      <c r="G83" s="244"/>
      <c r="H83" s="244"/>
      <c r="I83" s="28" t="s">
        <v>75</v>
      </c>
      <c r="J83" s="28" t="s">
        <v>76</v>
      </c>
      <c r="K83" s="52"/>
    </row>
    <row r="84" spans="2:11">
      <c r="B84" s="28" t="s">
        <v>44</v>
      </c>
      <c r="C84" s="236" t="s">
        <v>129</v>
      </c>
      <c r="D84" s="236"/>
      <c r="E84" s="236"/>
      <c r="F84" s="236"/>
      <c r="G84" s="236"/>
      <c r="H84" s="236"/>
      <c r="I84" s="119">
        <f>1/12</f>
        <v>8.3333333333333329E-2</v>
      </c>
      <c r="J84" s="42">
        <f>TRUNC(($J$37)*I84,2)</f>
        <v>149.66</v>
      </c>
      <c r="K84" s="90"/>
    </row>
    <row r="85" spans="2:11">
      <c r="B85" s="28" t="s">
        <v>46</v>
      </c>
      <c r="C85" s="236" t="s">
        <v>130</v>
      </c>
      <c r="D85" s="236"/>
      <c r="E85" s="236"/>
      <c r="F85" s="236"/>
      <c r="G85" s="236"/>
      <c r="H85" s="236"/>
      <c r="I85" s="41">
        <f>(5/30/12)</f>
        <v>1.3888888888888888E-2</v>
      </c>
      <c r="J85" s="42">
        <f t="shared" ref="J85:J90" si="1">TRUNC(($J$37)*I85,2)</f>
        <v>24.94</v>
      </c>
      <c r="K85" s="91"/>
    </row>
    <row r="86" spans="2:11">
      <c r="B86" s="28" t="s">
        <v>49</v>
      </c>
      <c r="C86" s="236" t="s">
        <v>131</v>
      </c>
      <c r="D86" s="236"/>
      <c r="E86" s="236"/>
      <c r="F86" s="236"/>
      <c r="G86" s="236"/>
      <c r="H86" s="236"/>
      <c r="I86" s="41">
        <f>(1/30/12)</f>
        <v>2.7777777777777779E-3</v>
      </c>
      <c r="J86" s="42">
        <f t="shared" si="1"/>
        <v>4.9800000000000004</v>
      </c>
      <c r="K86" s="91"/>
    </row>
    <row r="87" spans="2:11">
      <c r="B87" s="28" t="s">
        <v>52</v>
      </c>
      <c r="C87" s="236" t="s">
        <v>132</v>
      </c>
      <c r="D87" s="236"/>
      <c r="E87" s="236"/>
      <c r="F87" s="236"/>
      <c r="G87" s="236"/>
      <c r="H87" s="236"/>
      <c r="I87" s="119">
        <f>((5/30)/12)*0.015</f>
        <v>2.0833333333333332E-4</v>
      </c>
      <c r="J87" s="42">
        <f t="shared" si="1"/>
        <v>0.37</v>
      </c>
      <c r="K87" s="90"/>
    </row>
    <row r="88" spans="2:11">
      <c r="B88" s="28" t="s">
        <v>55</v>
      </c>
      <c r="C88" s="236" t="s">
        <v>133</v>
      </c>
      <c r="D88" s="236"/>
      <c r="E88" s="236"/>
      <c r="F88" s="236"/>
      <c r="G88" s="236"/>
      <c r="H88" s="236"/>
      <c r="I88" s="119">
        <f>(1/12)/2*0.0178</f>
        <v>7.4166666666666662E-4</v>
      </c>
      <c r="J88" s="42">
        <f t="shared" si="1"/>
        <v>1.33</v>
      </c>
      <c r="K88" s="90"/>
    </row>
    <row r="89" spans="2:11">
      <c r="B89" s="28" t="s">
        <v>57</v>
      </c>
      <c r="C89" s="236" t="s">
        <v>134</v>
      </c>
      <c r="D89" s="236"/>
      <c r="E89" s="236"/>
      <c r="F89" s="236"/>
      <c r="G89" s="236"/>
      <c r="H89" s="236"/>
      <c r="I89" s="119">
        <f>(((1/12)+(1/3*1/12))*(0.24*0.22)*((6/12)))</f>
        <v>2.9333333333333334E-3</v>
      </c>
      <c r="J89" s="42">
        <f t="shared" si="1"/>
        <v>5.26</v>
      </c>
      <c r="K89" s="90"/>
    </row>
    <row r="90" spans="2:11">
      <c r="B90" s="28" t="s">
        <v>96</v>
      </c>
      <c r="C90" s="236" t="s">
        <v>135</v>
      </c>
      <c r="D90" s="236"/>
      <c r="E90" s="236"/>
      <c r="F90" s="236"/>
      <c r="G90" s="236"/>
      <c r="H90" s="236"/>
      <c r="I90" s="41">
        <v>0</v>
      </c>
      <c r="J90" s="42">
        <f t="shared" si="1"/>
        <v>0</v>
      </c>
      <c r="K90" s="12"/>
    </row>
    <row r="91" spans="2:11">
      <c r="B91" s="277" t="s">
        <v>136</v>
      </c>
      <c r="C91" s="277"/>
      <c r="D91" s="277"/>
      <c r="E91" s="277"/>
      <c r="F91" s="277"/>
      <c r="G91" s="277"/>
      <c r="H91" s="277"/>
      <c r="I91" s="45">
        <f>SUM(I84:I90)</f>
        <v>0.10388333333333333</v>
      </c>
      <c r="J91" s="46">
        <f>SUM(J84:J90)</f>
        <v>186.54</v>
      </c>
      <c r="K91" s="12"/>
    </row>
    <row r="92" spans="2:11">
      <c r="B92" s="28" t="s">
        <v>98</v>
      </c>
      <c r="C92" s="236" t="s">
        <v>137</v>
      </c>
      <c r="D92" s="236"/>
      <c r="E92" s="236"/>
      <c r="F92" s="236"/>
      <c r="G92" s="236"/>
      <c r="H92" s="236"/>
      <c r="I92" s="41">
        <f>(I91-I89)*I43</f>
        <v>2.0627449999999999E-2</v>
      </c>
      <c r="J92" s="42">
        <f t="shared" ref="J92" si="2">TRUNC(($J$37)*I92,2)</f>
        <v>37.04</v>
      </c>
      <c r="K92" s="12"/>
    </row>
    <row r="93" spans="2:11">
      <c r="B93" s="277" t="s">
        <v>138</v>
      </c>
      <c r="C93" s="277"/>
      <c r="D93" s="277"/>
      <c r="E93" s="277"/>
      <c r="F93" s="277"/>
      <c r="G93" s="277"/>
      <c r="H93" s="277"/>
      <c r="I93" s="45">
        <f>SUM(I91:I92)</f>
        <v>0.12451078333333332</v>
      </c>
      <c r="J93" s="46">
        <f>SUM(J91:J92)</f>
        <v>223.57999999999998</v>
      </c>
      <c r="K93" s="12"/>
    </row>
    <row r="94" spans="2:11">
      <c r="B94" s="28" t="s">
        <v>139</v>
      </c>
      <c r="C94" s="236" t="s">
        <v>140</v>
      </c>
      <c r="D94" s="236"/>
      <c r="E94" s="236"/>
      <c r="F94" s="236"/>
      <c r="G94" s="236"/>
      <c r="H94" s="236"/>
      <c r="I94" s="41">
        <f>I91*I54</f>
        <v>3.5112566666666664E-2</v>
      </c>
      <c r="J94" s="42">
        <f t="shared" ref="J94" si="3">TRUNC(($J$37)*I94,2)</f>
        <v>63.06</v>
      </c>
      <c r="K94" s="12"/>
    </row>
    <row r="95" spans="2:11">
      <c r="B95" s="244" t="s">
        <v>141</v>
      </c>
      <c r="C95" s="244"/>
      <c r="D95" s="244"/>
      <c r="E95" s="244"/>
      <c r="F95" s="244"/>
      <c r="G95" s="244"/>
      <c r="H95" s="244"/>
      <c r="I95" s="45">
        <f>SUM(I93:I94)</f>
        <v>0.15962335</v>
      </c>
      <c r="J95" s="46">
        <f>J93+J94</f>
        <v>286.64</v>
      </c>
      <c r="K95" s="12"/>
    </row>
    <row r="96" spans="2:11">
      <c r="B96" s="278"/>
      <c r="C96" s="279"/>
      <c r="D96" s="279"/>
      <c r="E96" s="279"/>
      <c r="F96" s="279"/>
      <c r="G96" s="279"/>
      <c r="H96" s="279"/>
      <c r="I96" s="279"/>
      <c r="J96" s="279"/>
      <c r="K96" s="12"/>
    </row>
    <row r="97" spans="2:11">
      <c r="B97" s="244" t="s">
        <v>142</v>
      </c>
      <c r="C97" s="244"/>
      <c r="D97" s="244"/>
      <c r="E97" s="244"/>
      <c r="F97" s="244"/>
      <c r="G97" s="244"/>
      <c r="H97" s="244"/>
      <c r="I97" s="28" t="s">
        <v>75</v>
      </c>
      <c r="J97" s="28" t="s">
        <v>76</v>
      </c>
      <c r="K97" s="12"/>
    </row>
    <row r="98" spans="2:11">
      <c r="B98" s="28" t="s">
        <v>44</v>
      </c>
      <c r="C98" s="272" t="s">
        <v>143</v>
      </c>
      <c r="D98" s="236"/>
      <c r="E98" s="236"/>
      <c r="F98" s="236"/>
      <c r="G98" s="236"/>
      <c r="H98" s="236"/>
      <c r="I98" s="41">
        <v>0</v>
      </c>
      <c r="J98" s="42">
        <v>0</v>
      </c>
      <c r="K98" s="12"/>
    </row>
    <row r="99" spans="2:11">
      <c r="B99" s="244" t="s">
        <v>144</v>
      </c>
      <c r="C99" s="244"/>
      <c r="D99" s="244"/>
      <c r="E99" s="244"/>
      <c r="F99" s="244"/>
      <c r="G99" s="244"/>
      <c r="H99" s="244"/>
      <c r="I99" s="45">
        <v>0</v>
      </c>
      <c r="J99" s="46">
        <v>0</v>
      </c>
      <c r="K99" s="12"/>
    </row>
    <row r="100" spans="2:11">
      <c r="B100" s="280"/>
      <c r="C100" s="281"/>
      <c r="D100" s="281"/>
      <c r="E100" s="281"/>
      <c r="F100" s="281"/>
      <c r="G100" s="281"/>
      <c r="H100" s="281"/>
      <c r="I100" s="281"/>
      <c r="J100" s="281"/>
      <c r="K100" s="12"/>
    </row>
    <row r="101" spans="2:11">
      <c r="B101" s="246" t="s">
        <v>145</v>
      </c>
      <c r="C101" s="246"/>
      <c r="D101" s="246"/>
      <c r="E101" s="246"/>
      <c r="F101" s="246"/>
      <c r="G101" s="246"/>
      <c r="H101" s="246"/>
      <c r="I101" s="246"/>
      <c r="J101" s="246"/>
      <c r="K101" s="12"/>
    </row>
    <row r="102" spans="2:11">
      <c r="B102" s="244" t="s">
        <v>146</v>
      </c>
      <c r="C102" s="244"/>
      <c r="D102" s="244"/>
      <c r="E102" s="244"/>
      <c r="F102" s="244"/>
      <c r="G102" s="244"/>
      <c r="H102" s="244"/>
      <c r="I102" s="244"/>
      <c r="J102" s="28" t="s">
        <v>76</v>
      </c>
      <c r="K102" s="12"/>
    </row>
    <row r="103" spans="2:11">
      <c r="B103" s="28" t="s">
        <v>147</v>
      </c>
      <c r="C103" s="236" t="s">
        <v>148</v>
      </c>
      <c r="D103" s="236"/>
      <c r="E103" s="236"/>
      <c r="F103" s="236"/>
      <c r="G103" s="236"/>
      <c r="H103" s="236"/>
      <c r="I103" s="236"/>
      <c r="J103" s="42">
        <f>J95</f>
        <v>286.64</v>
      </c>
      <c r="K103" s="12"/>
    </row>
    <row r="104" spans="2:11">
      <c r="B104" s="28" t="s">
        <v>149</v>
      </c>
      <c r="C104" s="236" t="s">
        <v>150</v>
      </c>
      <c r="D104" s="236"/>
      <c r="E104" s="236"/>
      <c r="F104" s="236"/>
      <c r="G104" s="236"/>
      <c r="H104" s="236"/>
      <c r="I104" s="236"/>
      <c r="J104" s="42">
        <f>J99</f>
        <v>0</v>
      </c>
      <c r="K104" s="12"/>
    </row>
    <row r="105" spans="2:11">
      <c r="B105" s="244" t="s">
        <v>151</v>
      </c>
      <c r="C105" s="244"/>
      <c r="D105" s="244"/>
      <c r="E105" s="244"/>
      <c r="F105" s="244"/>
      <c r="G105" s="244"/>
      <c r="H105" s="244"/>
      <c r="I105" s="244"/>
      <c r="J105" s="46">
        <f>SUM(J103:J104)</f>
        <v>286.64</v>
      </c>
      <c r="K105" s="12"/>
    </row>
    <row r="106" spans="2:11">
      <c r="B106" s="275"/>
      <c r="C106" s="276"/>
      <c r="D106" s="276"/>
      <c r="E106" s="276"/>
      <c r="F106" s="276"/>
      <c r="G106" s="276"/>
      <c r="H106" s="276"/>
      <c r="I106" s="276"/>
      <c r="J106" s="276"/>
      <c r="K106" s="12"/>
    </row>
    <row r="107" spans="2:11">
      <c r="B107" s="247" t="s">
        <v>152</v>
      </c>
      <c r="C107" s="247"/>
      <c r="D107" s="247"/>
      <c r="E107" s="247"/>
      <c r="F107" s="247"/>
      <c r="G107" s="247"/>
      <c r="H107" s="247"/>
      <c r="I107" s="247"/>
      <c r="J107" s="247"/>
      <c r="K107" s="12"/>
    </row>
    <row r="108" spans="2:11">
      <c r="B108" s="28">
        <v>5</v>
      </c>
      <c r="C108" s="244" t="s">
        <v>153</v>
      </c>
      <c r="D108" s="244"/>
      <c r="E108" s="244"/>
      <c r="F108" s="244"/>
      <c r="G108" s="244"/>
      <c r="H108" s="244"/>
      <c r="I108" s="28"/>
      <c r="J108" s="28" t="s">
        <v>76</v>
      </c>
      <c r="K108" s="12"/>
    </row>
    <row r="109" spans="2:11">
      <c r="B109" s="28" t="s">
        <v>44</v>
      </c>
      <c r="C109" s="265" t="s">
        <v>154</v>
      </c>
      <c r="D109" s="265"/>
      <c r="E109" s="265"/>
      <c r="F109" s="265"/>
      <c r="G109" s="265"/>
      <c r="H109" s="265"/>
      <c r="I109" s="41"/>
      <c r="J109" s="42">
        <f>($J$37+$J$70+$J$80+$J$105)*I109</f>
        <v>0</v>
      </c>
      <c r="K109" s="12"/>
    </row>
    <row r="110" spans="2:11">
      <c r="B110" s="28" t="s">
        <v>46</v>
      </c>
      <c r="C110" s="264" t="s">
        <v>155</v>
      </c>
      <c r="D110" s="264"/>
      <c r="E110" s="264"/>
      <c r="F110" s="264"/>
      <c r="G110" s="264"/>
      <c r="H110" s="264"/>
      <c r="I110" s="41"/>
      <c r="J110" s="42">
        <f>(($J$37+$J$70+$J$80+$J$105+J109)*I110)*(1-9.25%)</f>
        <v>0</v>
      </c>
      <c r="K110" s="12"/>
    </row>
    <row r="111" spans="2:11">
      <c r="B111" s="47" t="s">
        <v>49</v>
      </c>
      <c r="C111" s="264" t="s">
        <v>156</v>
      </c>
      <c r="D111" s="264"/>
      <c r="E111" s="264"/>
      <c r="F111" s="264"/>
      <c r="G111" s="264"/>
      <c r="H111" s="264"/>
      <c r="I111" s="23" t="s">
        <v>22</v>
      </c>
      <c r="J111" s="42">
        <v>0</v>
      </c>
      <c r="K111" s="12"/>
    </row>
    <row r="112" spans="2:11">
      <c r="B112" s="47" t="s">
        <v>52</v>
      </c>
      <c r="C112" s="264" t="s">
        <v>82</v>
      </c>
      <c r="D112" s="264"/>
      <c r="E112" s="264"/>
      <c r="F112" s="264"/>
      <c r="G112" s="264"/>
      <c r="H112" s="264"/>
      <c r="I112" s="23" t="s">
        <v>22</v>
      </c>
      <c r="J112" s="42">
        <v>0</v>
      </c>
      <c r="K112" s="12"/>
    </row>
    <row r="113" spans="2:11">
      <c r="B113" s="244" t="s">
        <v>157</v>
      </c>
      <c r="C113" s="244"/>
      <c r="D113" s="244"/>
      <c r="E113" s="244"/>
      <c r="F113" s="244"/>
      <c r="G113" s="244"/>
      <c r="H113" s="244"/>
      <c r="I113" s="45" t="s">
        <v>22</v>
      </c>
      <c r="J113" s="46">
        <f>SUM(J109:J112)</f>
        <v>0</v>
      </c>
      <c r="K113" s="12"/>
    </row>
    <row r="114" spans="2:11">
      <c r="B114" s="275"/>
      <c r="C114" s="276"/>
      <c r="D114" s="276"/>
      <c r="E114" s="276"/>
      <c r="F114" s="276"/>
      <c r="G114" s="276"/>
      <c r="H114" s="276"/>
      <c r="I114" s="276"/>
      <c r="J114" s="276"/>
      <c r="K114" s="12"/>
    </row>
    <row r="115" spans="2:11">
      <c r="B115" s="247" t="s">
        <v>158</v>
      </c>
      <c r="C115" s="247"/>
      <c r="D115" s="247"/>
      <c r="E115" s="247"/>
      <c r="F115" s="247"/>
      <c r="G115" s="247"/>
      <c r="H115" s="247"/>
      <c r="I115" s="247"/>
      <c r="J115" s="247"/>
      <c r="K115" s="12"/>
    </row>
    <row r="116" spans="2:11">
      <c r="B116" s="28">
        <v>6</v>
      </c>
      <c r="C116" s="244" t="s">
        <v>159</v>
      </c>
      <c r="D116" s="244"/>
      <c r="E116" s="244"/>
      <c r="F116" s="244"/>
      <c r="G116" s="244"/>
      <c r="H116" s="244"/>
      <c r="I116" s="28" t="s">
        <v>75</v>
      </c>
      <c r="J116" s="28" t="s">
        <v>76</v>
      </c>
      <c r="K116" s="12"/>
    </row>
    <row r="117" spans="2:11">
      <c r="B117" s="28" t="s">
        <v>44</v>
      </c>
      <c r="C117" s="236" t="s">
        <v>160</v>
      </c>
      <c r="D117" s="236"/>
      <c r="E117" s="236"/>
      <c r="F117" s="236"/>
      <c r="G117" s="236"/>
      <c r="H117" s="236"/>
      <c r="I117" s="122">
        <v>0</v>
      </c>
      <c r="J117" s="42">
        <f>TRUNC(((J141)*I117),2)</f>
        <v>0</v>
      </c>
      <c r="K117" s="90"/>
    </row>
    <row r="118" spans="2:11">
      <c r="B118" s="28" t="s">
        <v>46</v>
      </c>
      <c r="C118" s="236" t="s">
        <v>161</v>
      </c>
      <c r="D118" s="236"/>
      <c r="E118" s="236"/>
      <c r="F118" s="236"/>
      <c r="G118" s="236"/>
      <c r="H118" s="236"/>
      <c r="I118" s="122">
        <v>0</v>
      </c>
      <c r="J118" s="42">
        <f>TRUNC(((J141+J117)*I118),2)</f>
        <v>0</v>
      </c>
      <c r="K118" s="90"/>
    </row>
    <row r="119" spans="2:11">
      <c r="B119" s="28" t="s">
        <v>49</v>
      </c>
      <c r="C119" s="287" t="s">
        <v>162</v>
      </c>
      <c r="D119" s="287"/>
      <c r="E119" s="287"/>
      <c r="F119" s="287"/>
      <c r="G119" s="287"/>
      <c r="H119" s="287"/>
      <c r="I119" s="32"/>
      <c r="J119" s="54"/>
      <c r="K119" s="12"/>
    </row>
    <row r="120" spans="2:11">
      <c r="B120" s="28" t="s">
        <v>163</v>
      </c>
      <c r="C120" s="236" t="s">
        <v>164</v>
      </c>
      <c r="D120" s="236"/>
      <c r="E120" s="236"/>
      <c r="F120" s="236"/>
      <c r="G120" s="236"/>
      <c r="H120" s="236"/>
      <c r="I120" s="56">
        <v>1.6500000000000001E-2</v>
      </c>
      <c r="J120" s="42">
        <f>TRUNC(I120*((J141+J117+J118)/(1-I125)),2)</f>
        <v>62.01</v>
      </c>
      <c r="K120" s="12"/>
    </row>
    <row r="121" spans="2:11">
      <c r="B121" s="28" t="s">
        <v>165</v>
      </c>
      <c r="C121" s="236" t="s">
        <v>166</v>
      </c>
      <c r="D121" s="236"/>
      <c r="E121" s="236"/>
      <c r="F121" s="236"/>
      <c r="G121" s="236"/>
      <c r="H121" s="236"/>
      <c r="I121" s="56">
        <v>7.5999999999999998E-2</v>
      </c>
      <c r="J121" s="42">
        <f>TRUNC(I121*(J141+J117+J118)/(1-I125),2)</f>
        <v>285.66000000000003</v>
      </c>
      <c r="K121" s="12"/>
    </row>
    <row r="122" spans="2:11">
      <c r="B122" s="28" t="s">
        <v>167</v>
      </c>
      <c r="C122" s="236" t="s">
        <v>168</v>
      </c>
      <c r="D122" s="236"/>
      <c r="E122" s="236"/>
      <c r="F122" s="236"/>
      <c r="G122" s="236"/>
      <c r="H122" s="236"/>
      <c r="I122" s="57">
        <f>D148</f>
        <v>0.03</v>
      </c>
      <c r="J122" s="42">
        <f>TRUNC(I122*(J141+J117+J118)/(1-I125),2)</f>
        <v>112.76</v>
      </c>
      <c r="K122" s="12"/>
    </row>
    <row r="123" spans="2:11">
      <c r="B123" s="244" t="s">
        <v>169</v>
      </c>
      <c r="C123" s="244"/>
      <c r="D123" s="244"/>
      <c r="E123" s="244"/>
      <c r="F123" s="244"/>
      <c r="G123" s="244"/>
      <c r="H123" s="244"/>
      <c r="I123" s="56">
        <f>SUM(I117:I122)</f>
        <v>0.1225</v>
      </c>
      <c r="J123" s="46">
        <f>SUM(J117:J122)</f>
        <v>460.43</v>
      </c>
      <c r="K123" s="12"/>
    </row>
    <row r="124" spans="2:11">
      <c r="B124" s="18"/>
      <c r="C124" s="284"/>
      <c r="D124" s="284"/>
      <c r="E124" s="284"/>
      <c r="F124" s="284"/>
      <c r="G124" s="284"/>
      <c r="H124" s="284"/>
      <c r="I124" s="284"/>
      <c r="J124" s="284"/>
      <c r="K124" s="12"/>
    </row>
    <row r="125" spans="2:11">
      <c r="B125" s="59" t="s">
        <v>170</v>
      </c>
      <c r="C125" s="285" t="s">
        <v>171</v>
      </c>
      <c r="D125" s="285"/>
      <c r="E125" s="285"/>
      <c r="F125" s="285"/>
      <c r="G125" s="285"/>
      <c r="H125" s="285"/>
      <c r="I125" s="60">
        <f>I120+I121+I122</f>
        <v>0.1225</v>
      </c>
      <c r="J125" s="61"/>
      <c r="K125" s="12"/>
    </row>
    <row r="126" spans="2:11">
      <c r="B126" s="63"/>
      <c r="C126" s="286">
        <v>100</v>
      </c>
      <c r="D126" s="286"/>
      <c r="E126" s="286"/>
      <c r="F126" s="286"/>
      <c r="G126" s="286"/>
      <c r="H126" s="286"/>
      <c r="I126" s="65"/>
      <c r="J126" s="66"/>
      <c r="K126" s="12"/>
    </row>
    <row r="127" spans="2:11">
      <c r="B127" s="67"/>
      <c r="C127" s="64"/>
      <c r="D127" s="64"/>
      <c r="E127" s="64"/>
      <c r="F127" s="64"/>
      <c r="G127" s="64"/>
      <c r="H127" s="64"/>
      <c r="I127" s="65"/>
      <c r="J127" s="66"/>
      <c r="K127" s="12"/>
    </row>
    <row r="128" spans="2:11">
      <c r="B128" s="63" t="s">
        <v>172</v>
      </c>
      <c r="C128" s="286" t="s">
        <v>173</v>
      </c>
      <c r="D128" s="286"/>
      <c r="E128" s="286"/>
      <c r="F128" s="286"/>
      <c r="G128" s="286"/>
      <c r="H128" s="286"/>
      <c r="I128" s="65"/>
      <c r="J128" s="66">
        <f>J37+J70+J80+J105+J113+J117+J118</f>
        <v>3298.33</v>
      </c>
      <c r="K128" s="12"/>
    </row>
    <row r="129" spans="2:11">
      <c r="B129" s="63"/>
      <c r="C129" s="64"/>
      <c r="D129" s="64"/>
      <c r="E129" s="64"/>
      <c r="F129" s="64"/>
      <c r="G129" s="64"/>
      <c r="H129" s="64"/>
      <c r="I129" s="65"/>
      <c r="J129" s="66"/>
      <c r="K129" s="12"/>
    </row>
    <row r="130" spans="2:11">
      <c r="B130" s="63" t="s">
        <v>174</v>
      </c>
      <c r="C130" s="286" t="s">
        <v>175</v>
      </c>
      <c r="D130" s="286"/>
      <c r="E130" s="286"/>
      <c r="F130" s="286"/>
      <c r="G130" s="286"/>
      <c r="H130" s="286"/>
      <c r="I130" s="65"/>
      <c r="J130" s="66">
        <f>TRUNC(J128/(1-I125),2)</f>
        <v>3758.78</v>
      </c>
      <c r="K130" s="12"/>
    </row>
    <row r="131" spans="2:11">
      <c r="B131" s="63"/>
      <c r="C131" s="64"/>
      <c r="D131" s="64"/>
      <c r="E131" s="64"/>
      <c r="F131" s="64"/>
      <c r="G131" s="64"/>
      <c r="H131" s="64"/>
      <c r="I131" s="65"/>
      <c r="J131" s="66"/>
      <c r="K131" s="12"/>
    </row>
    <row r="132" spans="2:11">
      <c r="B132" s="68"/>
      <c r="C132" s="283" t="s">
        <v>176</v>
      </c>
      <c r="D132" s="283"/>
      <c r="E132" s="283"/>
      <c r="F132" s="283"/>
      <c r="G132" s="283"/>
      <c r="H132" s="283"/>
      <c r="I132" s="69"/>
      <c r="J132" s="70">
        <f>J130-J128</f>
        <v>460.45000000000027</v>
      </c>
      <c r="K132" s="12"/>
    </row>
    <row r="133" spans="2:11">
      <c r="B133" s="18"/>
      <c r="C133" s="18"/>
      <c r="D133" s="18"/>
      <c r="E133" s="18"/>
      <c r="F133" s="18"/>
      <c r="G133" s="18"/>
      <c r="H133" s="18"/>
      <c r="I133" s="18"/>
      <c r="J133" s="38"/>
      <c r="K133" s="12"/>
    </row>
    <row r="134" spans="2:11">
      <c r="B134" s="246" t="s">
        <v>177</v>
      </c>
      <c r="C134" s="246"/>
      <c r="D134" s="246"/>
      <c r="E134" s="246"/>
      <c r="F134" s="246"/>
      <c r="G134" s="246"/>
      <c r="H134" s="246"/>
      <c r="I134" s="246"/>
      <c r="J134" s="246"/>
      <c r="K134" s="12"/>
    </row>
    <row r="135" spans="2:11">
      <c r="B135" s="244" t="s">
        <v>178</v>
      </c>
      <c r="C135" s="244"/>
      <c r="D135" s="244"/>
      <c r="E135" s="244"/>
      <c r="F135" s="244"/>
      <c r="G135" s="244"/>
      <c r="H135" s="244"/>
      <c r="I135" s="244"/>
      <c r="J135" s="28" t="s">
        <v>76</v>
      </c>
      <c r="K135" s="12"/>
    </row>
    <row r="136" spans="2:11">
      <c r="B136" s="23" t="s">
        <v>44</v>
      </c>
      <c r="C136" s="236" t="s">
        <v>73</v>
      </c>
      <c r="D136" s="236"/>
      <c r="E136" s="236"/>
      <c r="F136" s="236"/>
      <c r="G136" s="236"/>
      <c r="H136" s="236"/>
      <c r="I136" s="236"/>
      <c r="J136" s="42">
        <f>J37</f>
        <v>1796</v>
      </c>
      <c r="K136" s="12"/>
    </row>
    <row r="137" spans="2:11">
      <c r="B137" s="23" t="s">
        <v>46</v>
      </c>
      <c r="C137" s="236" t="s">
        <v>84</v>
      </c>
      <c r="D137" s="236"/>
      <c r="E137" s="236"/>
      <c r="F137" s="236"/>
      <c r="G137" s="236"/>
      <c r="H137" s="236"/>
      <c r="I137" s="236"/>
      <c r="J137" s="42">
        <f>J70</f>
        <v>1098.01</v>
      </c>
      <c r="K137" s="12"/>
    </row>
    <row r="138" spans="2:11">
      <c r="B138" s="23" t="s">
        <v>49</v>
      </c>
      <c r="C138" s="236" t="s">
        <v>118</v>
      </c>
      <c r="D138" s="236"/>
      <c r="E138" s="236"/>
      <c r="F138" s="236"/>
      <c r="G138" s="236"/>
      <c r="H138" s="236"/>
      <c r="I138" s="236"/>
      <c r="J138" s="42">
        <f>J80</f>
        <v>117.67999999999999</v>
      </c>
      <c r="K138" s="12"/>
    </row>
    <row r="139" spans="2:11">
      <c r="B139" s="23" t="s">
        <v>52</v>
      </c>
      <c r="C139" s="236" t="s">
        <v>127</v>
      </c>
      <c r="D139" s="236"/>
      <c r="E139" s="236"/>
      <c r="F139" s="236"/>
      <c r="G139" s="236"/>
      <c r="H139" s="236"/>
      <c r="I139" s="236"/>
      <c r="J139" s="42">
        <f>J105</f>
        <v>286.64</v>
      </c>
      <c r="K139" s="12"/>
    </row>
    <row r="140" spans="2:11">
      <c r="B140" s="23" t="s">
        <v>55</v>
      </c>
      <c r="C140" s="236" t="s">
        <v>152</v>
      </c>
      <c r="D140" s="236"/>
      <c r="E140" s="236"/>
      <c r="F140" s="236"/>
      <c r="G140" s="236"/>
      <c r="H140" s="236"/>
      <c r="I140" s="236"/>
      <c r="J140" s="42">
        <f>J113</f>
        <v>0</v>
      </c>
      <c r="K140" s="12"/>
    </row>
    <row r="141" spans="2:11">
      <c r="B141" s="28"/>
      <c r="C141" s="244" t="s">
        <v>179</v>
      </c>
      <c r="D141" s="244"/>
      <c r="E141" s="244"/>
      <c r="F141" s="244"/>
      <c r="G141" s="244"/>
      <c r="H141" s="244"/>
      <c r="I141" s="244"/>
      <c r="J141" s="46">
        <f>SUM(J136:J140)</f>
        <v>3298.33</v>
      </c>
      <c r="K141" s="12"/>
    </row>
    <row r="142" spans="2:11">
      <c r="B142" s="23" t="s">
        <v>57</v>
      </c>
      <c r="C142" s="236" t="s">
        <v>158</v>
      </c>
      <c r="D142" s="236"/>
      <c r="E142" s="236"/>
      <c r="F142" s="236"/>
      <c r="G142" s="236"/>
      <c r="H142" s="236"/>
      <c r="I142" s="236"/>
      <c r="J142" s="42">
        <f>J123</f>
        <v>460.43</v>
      </c>
      <c r="K142" s="12"/>
    </row>
    <row r="143" spans="2:11" ht="18">
      <c r="B143" s="282" t="s">
        <v>180</v>
      </c>
      <c r="C143" s="282"/>
      <c r="D143" s="282"/>
      <c r="E143" s="282"/>
      <c r="F143" s="282"/>
      <c r="G143" s="282"/>
      <c r="H143" s="282"/>
      <c r="I143" s="282"/>
      <c r="J143" s="71">
        <f>TRUNC(J141+J142,2)</f>
        <v>3758.76</v>
      </c>
      <c r="K143" s="12"/>
    </row>
    <row r="144" spans="2:11">
      <c r="B144" s="1"/>
      <c r="C144" s="1"/>
      <c r="D144" s="1"/>
      <c r="E144" s="1"/>
      <c r="F144" s="1"/>
      <c r="G144" s="1"/>
      <c r="H144" s="1"/>
      <c r="I144" s="1"/>
      <c r="J144" s="2"/>
    </row>
    <row r="145" spans="2:12">
      <c r="B145" s="1"/>
      <c r="C145" s="1"/>
      <c r="D145" s="1"/>
      <c r="E145" s="1"/>
      <c r="F145" s="1"/>
      <c r="G145" s="1"/>
      <c r="H145" s="1"/>
      <c r="I145" s="1"/>
      <c r="J145" s="1"/>
    </row>
    <row r="146" spans="2:12">
      <c r="B146" s="4"/>
      <c r="C146" s="5"/>
      <c r="D146" s="1"/>
      <c r="E146" s="1"/>
      <c r="F146" s="1"/>
      <c r="G146" s="1"/>
      <c r="H146" s="1"/>
      <c r="I146" s="1"/>
      <c r="J146" s="1"/>
    </row>
    <row r="147" spans="2:12">
      <c r="B147" s="3"/>
      <c r="C147" s="74"/>
      <c r="D147" s="75" t="s">
        <v>168</v>
      </c>
      <c r="E147" s="75" t="s">
        <v>181</v>
      </c>
      <c r="F147" s="74"/>
    </row>
    <row r="148" spans="2:12">
      <c r="C148" s="76" t="s">
        <v>182</v>
      </c>
      <c r="D148" s="77">
        <v>0.03</v>
      </c>
      <c r="E148" s="78">
        <v>0</v>
      </c>
      <c r="F148" s="74" t="s">
        <v>183</v>
      </c>
      <c r="J148" s="12"/>
    </row>
    <row r="149" spans="2:12">
      <c r="C149" s="12"/>
      <c r="D149" s="12"/>
      <c r="E149" s="12"/>
      <c r="F149" s="12"/>
    </row>
    <row r="150" spans="2:12" ht="28.5" customHeight="1">
      <c r="E150" s="320"/>
      <c r="F150" s="320"/>
      <c r="G150" s="320"/>
      <c r="H150" s="320"/>
      <c r="I150" s="320"/>
      <c r="J150" s="140"/>
    </row>
    <row r="151" spans="2:12" ht="15" customHeight="1">
      <c r="J151" s="94"/>
    </row>
    <row r="152" spans="2:12" ht="15" customHeight="1">
      <c r="B152" s="226" t="s">
        <v>184</v>
      </c>
      <c r="C152" s="227"/>
      <c r="D152" s="227"/>
      <c r="E152" s="227"/>
      <c r="F152" s="227"/>
      <c r="G152" s="227"/>
      <c r="H152" s="227"/>
      <c r="I152" s="227"/>
      <c r="J152" s="227"/>
      <c r="K152" s="227"/>
      <c r="L152" s="228"/>
    </row>
    <row r="153" spans="2:12" ht="15" customHeight="1">
      <c r="B153" s="229"/>
      <c r="C153" s="230"/>
      <c r="D153" s="230"/>
      <c r="E153" s="230"/>
      <c r="F153" s="230"/>
      <c r="G153" s="230"/>
      <c r="H153" s="230"/>
      <c r="I153" s="230"/>
      <c r="J153" s="230"/>
      <c r="K153" s="230"/>
      <c r="L153" s="231"/>
    </row>
    <row r="154" spans="2:12" ht="15" customHeight="1">
      <c r="B154" s="229"/>
      <c r="C154" s="230"/>
      <c r="D154" s="230"/>
      <c r="E154" s="230"/>
      <c r="F154" s="230"/>
      <c r="G154" s="230"/>
      <c r="H154" s="230"/>
      <c r="I154" s="230"/>
      <c r="J154" s="230"/>
      <c r="K154" s="230"/>
      <c r="L154" s="231"/>
    </row>
    <row r="155" spans="2:12" ht="15" customHeight="1">
      <c r="B155" s="229"/>
      <c r="C155" s="230"/>
      <c r="D155" s="230"/>
      <c r="E155" s="230"/>
      <c r="F155" s="230"/>
      <c r="G155" s="230"/>
      <c r="H155" s="230"/>
      <c r="I155" s="230"/>
      <c r="J155" s="230"/>
      <c r="K155" s="230"/>
      <c r="L155" s="231"/>
    </row>
    <row r="156" spans="2:12" ht="15" customHeight="1">
      <c r="B156" s="229"/>
      <c r="C156" s="230"/>
      <c r="D156" s="230"/>
      <c r="E156" s="230"/>
      <c r="F156" s="230"/>
      <c r="G156" s="230"/>
      <c r="H156" s="230"/>
      <c r="I156" s="230"/>
      <c r="J156" s="230"/>
      <c r="K156" s="230"/>
      <c r="L156" s="231"/>
    </row>
    <row r="157" spans="2:12" ht="15" customHeight="1">
      <c r="B157" s="232"/>
      <c r="C157" s="233"/>
      <c r="D157" s="233"/>
      <c r="E157" s="233"/>
      <c r="F157" s="233"/>
      <c r="G157" s="233"/>
      <c r="H157" s="233"/>
      <c r="I157" s="233"/>
      <c r="J157" s="233"/>
      <c r="K157" s="233"/>
      <c r="L157" s="234"/>
    </row>
  </sheetData>
  <mergeCells count="156">
    <mergeCell ref="C9:H9"/>
    <mergeCell ref="I9:J9"/>
    <mergeCell ref="B7:J7"/>
    <mergeCell ref="B8:G8"/>
    <mergeCell ref="I8:J8"/>
    <mergeCell ref="B1:J1"/>
    <mergeCell ref="B2:J2"/>
    <mergeCell ref="B3:J3"/>
    <mergeCell ref="B4:J4"/>
    <mergeCell ref="B5:J5"/>
    <mergeCell ref="B6:J6"/>
    <mergeCell ref="C14:H14"/>
    <mergeCell ref="I14:J14"/>
    <mergeCell ref="C13:H13"/>
    <mergeCell ref="I13:J13"/>
    <mergeCell ref="C12:H12"/>
    <mergeCell ref="I12:J12"/>
    <mergeCell ref="C11:H11"/>
    <mergeCell ref="I11:J11"/>
    <mergeCell ref="C10:H10"/>
    <mergeCell ref="I10:J10"/>
    <mergeCell ref="B19:C19"/>
    <mergeCell ref="D19:E19"/>
    <mergeCell ref="F19:J19"/>
    <mergeCell ref="B17:J17"/>
    <mergeCell ref="B18:C18"/>
    <mergeCell ref="D18:E18"/>
    <mergeCell ref="F18:J18"/>
    <mergeCell ref="C15:H15"/>
    <mergeCell ref="I15:J15"/>
    <mergeCell ref="C25:H25"/>
    <mergeCell ref="I25:J25"/>
    <mergeCell ref="C24:H24"/>
    <mergeCell ref="I24:J24"/>
    <mergeCell ref="C23:H23"/>
    <mergeCell ref="I23:J23"/>
    <mergeCell ref="B21:J21"/>
    <mergeCell ref="C22:H22"/>
    <mergeCell ref="I22:J22"/>
    <mergeCell ref="B28:J28"/>
    <mergeCell ref="B29:J29"/>
    <mergeCell ref="C30:H30"/>
    <mergeCell ref="C31:H31"/>
    <mergeCell ref="C32:H32"/>
    <mergeCell ref="C27:H27"/>
    <mergeCell ref="I27:J27"/>
    <mergeCell ref="C26:H26"/>
    <mergeCell ref="I26:J26"/>
    <mergeCell ref="B40:H40"/>
    <mergeCell ref="C41:H41"/>
    <mergeCell ref="C42:H42"/>
    <mergeCell ref="B43:H43"/>
    <mergeCell ref="B44:J44"/>
    <mergeCell ref="B45:H45"/>
    <mergeCell ref="C33:H33"/>
    <mergeCell ref="C34:H34"/>
    <mergeCell ref="C35:H35"/>
    <mergeCell ref="C36:H36"/>
    <mergeCell ref="B37:I37"/>
    <mergeCell ref="B39:J39"/>
    <mergeCell ref="C52:H52"/>
    <mergeCell ref="C53:H53"/>
    <mergeCell ref="B54:H54"/>
    <mergeCell ref="B55:J55"/>
    <mergeCell ref="B56:H56"/>
    <mergeCell ref="C57:H57"/>
    <mergeCell ref="C46:H46"/>
    <mergeCell ref="C47:H47"/>
    <mergeCell ref="C48:H48"/>
    <mergeCell ref="C49:H49"/>
    <mergeCell ref="C50:H50"/>
    <mergeCell ref="C51:H51"/>
    <mergeCell ref="B64:J64"/>
    <mergeCell ref="B65:J65"/>
    <mergeCell ref="B66:I66"/>
    <mergeCell ref="C67:I67"/>
    <mergeCell ref="C68:I68"/>
    <mergeCell ref="C69:I69"/>
    <mergeCell ref="C58:H58"/>
    <mergeCell ref="C59:H59"/>
    <mergeCell ref="C60:H60"/>
    <mergeCell ref="C61:H61"/>
    <mergeCell ref="C62:H62"/>
    <mergeCell ref="B63:I63"/>
    <mergeCell ref="C76:H76"/>
    <mergeCell ref="C77:H77"/>
    <mergeCell ref="C78:H78"/>
    <mergeCell ref="C79:H79"/>
    <mergeCell ref="B80:H80"/>
    <mergeCell ref="B81:J81"/>
    <mergeCell ref="B70:I70"/>
    <mergeCell ref="B71:J71"/>
    <mergeCell ref="B72:J72"/>
    <mergeCell ref="C73:H73"/>
    <mergeCell ref="C74:H74"/>
    <mergeCell ref="C75:H75"/>
    <mergeCell ref="C88:H88"/>
    <mergeCell ref="C89:H89"/>
    <mergeCell ref="C90:H90"/>
    <mergeCell ref="B91:H91"/>
    <mergeCell ref="C92:H92"/>
    <mergeCell ref="B93:H93"/>
    <mergeCell ref="B82:J82"/>
    <mergeCell ref="B83:H83"/>
    <mergeCell ref="C84:H84"/>
    <mergeCell ref="C85:H85"/>
    <mergeCell ref="C86:H86"/>
    <mergeCell ref="C87:H87"/>
    <mergeCell ref="B100:J100"/>
    <mergeCell ref="B101:J101"/>
    <mergeCell ref="B102:I102"/>
    <mergeCell ref="C103:I103"/>
    <mergeCell ref="C104:I104"/>
    <mergeCell ref="B105:I105"/>
    <mergeCell ref="C94:H94"/>
    <mergeCell ref="B95:H95"/>
    <mergeCell ref="B96:J96"/>
    <mergeCell ref="B97:H97"/>
    <mergeCell ref="C98:H98"/>
    <mergeCell ref="B99:H99"/>
    <mergeCell ref="C112:H112"/>
    <mergeCell ref="B113:H113"/>
    <mergeCell ref="B114:J114"/>
    <mergeCell ref="B115:J115"/>
    <mergeCell ref="C116:H116"/>
    <mergeCell ref="C117:H117"/>
    <mergeCell ref="B106:J106"/>
    <mergeCell ref="B107:J107"/>
    <mergeCell ref="C108:H108"/>
    <mergeCell ref="C109:H109"/>
    <mergeCell ref="C110:H110"/>
    <mergeCell ref="C111:H111"/>
    <mergeCell ref="C124:J124"/>
    <mergeCell ref="C125:H125"/>
    <mergeCell ref="C126:H126"/>
    <mergeCell ref="C128:H128"/>
    <mergeCell ref="C130:H130"/>
    <mergeCell ref="C132:H132"/>
    <mergeCell ref="C118:H118"/>
    <mergeCell ref="C119:H119"/>
    <mergeCell ref="C120:H120"/>
    <mergeCell ref="C121:H121"/>
    <mergeCell ref="C122:H122"/>
    <mergeCell ref="B123:H123"/>
    <mergeCell ref="B152:L157"/>
    <mergeCell ref="E150:I150"/>
    <mergeCell ref="C140:I140"/>
    <mergeCell ref="C141:I141"/>
    <mergeCell ref="C142:I142"/>
    <mergeCell ref="B143:I143"/>
    <mergeCell ref="B134:J134"/>
    <mergeCell ref="B135:I135"/>
    <mergeCell ref="C136:I136"/>
    <mergeCell ref="C137:I137"/>
    <mergeCell ref="C138:I138"/>
    <mergeCell ref="C139:I139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7C654-CFD3-43A4-93FD-7B31A6716C23}">
  <dimension ref="B1:K11"/>
  <sheetViews>
    <sheetView tabSelected="1" workbookViewId="0">
      <selection activeCell="B3" sqref="B3:K3"/>
    </sheetView>
  </sheetViews>
  <sheetFormatPr defaultRowHeight="15"/>
  <cols>
    <col min="1" max="1" width="2.7109375" customWidth="1"/>
    <col min="3" max="3" width="34.140625" customWidth="1"/>
    <col min="4" max="4" width="31.5703125" style="6" customWidth="1"/>
    <col min="5" max="5" width="14.85546875" customWidth="1"/>
    <col min="6" max="6" width="15.28515625" customWidth="1"/>
    <col min="7" max="7" width="16.140625" customWidth="1"/>
    <col min="8" max="8" width="13.85546875" customWidth="1"/>
    <col min="9" max="10" width="13.5703125" customWidth="1"/>
    <col min="11" max="11" width="15.140625" customWidth="1"/>
  </cols>
  <sheetData>
    <row r="1" spans="2:11" ht="10.5" customHeight="1"/>
    <row r="2" spans="2:11">
      <c r="B2" s="324" t="s">
        <v>202</v>
      </c>
      <c r="C2" s="325"/>
      <c r="D2" s="325"/>
      <c r="E2" s="325"/>
      <c r="F2" s="325"/>
      <c r="G2" s="325"/>
      <c r="H2" s="325"/>
      <c r="I2" s="325"/>
      <c r="J2" s="325"/>
      <c r="K2" s="325"/>
    </row>
    <row r="3" spans="2:11">
      <c r="B3" s="324" t="s">
        <v>203</v>
      </c>
      <c r="C3" s="325"/>
      <c r="D3" s="325"/>
      <c r="E3" s="325"/>
      <c r="F3" s="325"/>
      <c r="G3" s="325"/>
      <c r="H3" s="325"/>
      <c r="I3" s="325"/>
      <c r="J3" s="325"/>
      <c r="K3" s="325"/>
    </row>
    <row r="4" spans="2:11" ht="25.5">
      <c r="B4" s="79" t="s">
        <v>204</v>
      </c>
      <c r="C4" s="80" t="s">
        <v>205</v>
      </c>
      <c r="D4" s="81" t="s">
        <v>206</v>
      </c>
      <c r="E4" s="82" t="s">
        <v>207</v>
      </c>
      <c r="F4" s="82" t="s">
        <v>208</v>
      </c>
      <c r="G4" s="82" t="s">
        <v>209</v>
      </c>
      <c r="H4" s="83" t="s">
        <v>210</v>
      </c>
      <c r="I4" s="84" t="s">
        <v>211</v>
      </c>
      <c r="J4" s="84" t="s">
        <v>212</v>
      </c>
      <c r="K4" s="84" t="s">
        <v>213</v>
      </c>
    </row>
    <row r="5" spans="2:11" ht="25.5">
      <c r="B5" s="329">
        <v>5</v>
      </c>
      <c r="C5" s="326" t="s">
        <v>214</v>
      </c>
      <c r="D5" s="202" t="s">
        <v>69</v>
      </c>
      <c r="E5" s="203">
        <f>'Analista 40h'!F19</f>
        <v>1</v>
      </c>
      <c r="F5" s="209">
        <f>'Analista 40h'!J143</f>
        <v>6224.49</v>
      </c>
      <c r="G5" s="209">
        <f>F5*E5</f>
        <v>6224.49</v>
      </c>
      <c r="H5" s="209">
        <f t="shared" ref="H5" si="0">G5*12</f>
        <v>74693.88</v>
      </c>
      <c r="I5" s="332">
        <f>SUM(G5:G8)</f>
        <v>33212.050000000003</v>
      </c>
      <c r="J5" s="335">
        <f>SUM(H5:H8)</f>
        <v>398544.6</v>
      </c>
      <c r="K5" s="335">
        <f>J5*5</f>
        <v>1992723</v>
      </c>
    </row>
    <row r="6" spans="2:11" ht="14.25">
      <c r="B6" s="330"/>
      <c r="C6" s="327"/>
      <c r="D6" s="202" t="s">
        <v>215</v>
      </c>
      <c r="E6" s="203">
        <f>'Aux. Escrit. 40h'!F19</f>
        <v>1</v>
      </c>
      <c r="F6" s="209">
        <f>'Aux. Escrit. 40h'!J143</f>
        <v>3641.62</v>
      </c>
      <c r="G6" s="209">
        <f>F6*E6</f>
        <v>3641.62</v>
      </c>
      <c r="H6" s="209">
        <f>G6*12</f>
        <v>43699.44</v>
      </c>
      <c r="I6" s="333"/>
      <c r="J6" s="336"/>
      <c r="K6" s="336"/>
    </row>
    <row r="7" spans="2:11" ht="25.5">
      <c r="B7" s="330"/>
      <c r="C7" s="327"/>
      <c r="D7" s="202" t="s">
        <v>216</v>
      </c>
      <c r="E7" s="203">
        <f>'Monitor 40h'!F19</f>
        <v>3</v>
      </c>
      <c r="F7" s="209">
        <f>'Monitor 40h'!J143</f>
        <v>6529.06</v>
      </c>
      <c r="G7" s="209">
        <f>F7*E7</f>
        <v>19587.18</v>
      </c>
      <c r="H7" s="209">
        <f t="shared" ref="H7:H8" si="1">G7*12</f>
        <v>235046.16</v>
      </c>
      <c r="I7" s="333"/>
      <c r="J7" s="336"/>
      <c r="K7" s="336"/>
    </row>
    <row r="8" spans="2:11" ht="14.25">
      <c r="B8" s="331"/>
      <c r="C8" s="328"/>
      <c r="D8" s="202" t="s">
        <v>199</v>
      </c>
      <c r="E8" s="203">
        <f>'Vigia 40h'!F19</f>
        <v>1</v>
      </c>
      <c r="F8" s="209">
        <f>'Vigia 40h'!J143</f>
        <v>3758.76</v>
      </c>
      <c r="G8" s="209">
        <f>F8*E8</f>
        <v>3758.76</v>
      </c>
      <c r="H8" s="209">
        <f t="shared" si="1"/>
        <v>45105.120000000003</v>
      </c>
      <c r="I8" s="334"/>
      <c r="J8" s="337"/>
      <c r="K8" s="337"/>
    </row>
    <row r="9" spans="2:11">
      <c r="B9" s="210"/>
      <c r="C9" s="210"/>
      <c r="D9" s="210"/>
      <c r="E9" s="96">
        <f>SUM(E5:E8)</f>
        <v>6</v>
      </c>
      <c r="F9" s="210"/>
      <c r="G9" s="210"/>
      <c r="H9" s="85" t="s">
        <v>217</v>
      </c>
      <c r="I9" s="159">
        <f>SUM(I5:I8)</f>
        <v>33212.050000000003</v>
      </c>
      <c r="J9" s="160">
        <f>SUM(J5:J8)</f>
        <v>398544.6</v>
      </c>
      <c r="K9" s="160">
        <f>K5</f>
        <v>1992723</v>
      </c>
    </row>
    <row r="10" spans="2:11" ht="15.75">
      <c r="B10" s="6"/>
      <c r="C10" s="6"/>
      <c r="E10" s="161"/>
      <c r="F10" s="6"/>
      <c r="G10" s="6"/>
      <c r="H10" s="211"/>
      <c r="I10" s="212"/>
      <c r="J10" s="212"/>
      <c r="K10" s="212"/>
    </row>
    <row r="11" spans="2:11" ht="15.75">
      <c r="B11" s="6"/>
      <c r="C11" s="6"/>
      <c r="E11" s="161"/>
      <c r="F11" s="6"/>
      <c r="G11" s="6"/>
      <c r="H11" s="211"/>
      <c r="I11" s="212"/>
      <c r="J11" s="212"/>
      <c r="K11" s="212"/>
    </row>
  </sheetData>
  <mergeCells count="7">
    <mergeCell ref="B2:K2"/>
    <mergeCell ref="B3:K3"/>
    <mergeCell ref="C5:C8"/>
    <mergeCell ref="B5:B8"/>
    <mergeCell ref="I5:I8"/>
    <mergeCell ref="J5:J8"/>
    <mergeCell ref="K5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gisele.oliveira</dc:creator>
  <cp:keywords/>
  <dc:description/>
  <cp:lastModifiedBy>Emmanuelle Salli Alves da Veiga</cp:lastModifiedBy>
  <cp:revision/>
  <dcterms:created xsi:type="dcterms:W3CDTF">2011-07-13T17:15:58Z</dcterms:created>
  <dcterms:modified xsi:type="dcterms:W3CDTF">2024-11-12T19:28:06Z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d1718231-e157-4ccc-b6cf-0c2338374c07</vt:lpwstr>
  </property>
</Properties>
</file>