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VENDA" sheetId="1" r:id="rId1"/>
    <sheet name="Cálculo de BDI" sheetId="19" r:id="rId2"/>
    <sheet name="CRONOGRAMA (12 meses)" sheetId="15" r:id="rId3"/>
    <sheet name="Composição de custos" sheetId="16" state="hidden" r:id="rId4"/>
    <sheet name="Cálculo de fator percentual" sheetId="17" state="hidden" r:id="rId5"/>
    <sheet name="Cálculo de Redutor" sheetId="18" state="hidden" r:id="rId6"/>
  </sheets>
  <definedNames>
    <definedName name="_BDI1" localSheetId="1">#REF!</definedName>
    <definedName name="_BDI1" localSheetId="2">#REF!</definedName>
    <definedName name="_BDI1">#REF!</definedName>
    <definedName name="_BDI2" localSheetId="2">#REF!</definedName>
    <definedName name="_BDI2">#REF!</definedName>
    <definedName name="AA" localSheetId="1">#REF!</definedName>
    <definedName name="AA" localSheetId="2">#REF!</definedName>
    <definedName name="AA">#REF!</definedName>
    <definedName name="acabamento">#REF!</definedName>
    <definedName name="_xlnm.Print_Area" localSheetId="1">'Cálculo de BDI'!$A$1:$C$24</definedName>
    <definedName name="_xlnm.Print_Area" localSheetId="2">'CRONOGRAMA (12 meses)'!$A$1:$H$45</definedName>
    <definedName name="_xlnm.Print_Area" localSheetId="0">VENDA!$A$1:$G$54</definedName>
    <definedName name="aterro">#REF!</definedName>
    <definedName name="_xlnm.Database">#REF!</definedName>
    <definedName name="BDI" localSheetId="1">#REF!</definedName>
    <definedName name="BDI" localSheetId="2">#REF!</definedName>
    <definedName name="BDI">#REF!</definedName>
    <definedName name="Cadista_SABESP" localSheetId="1">#REF!</definedName>
    <definedName name="Cadista_SABESP" localSheetId="2">#REF!</definedName>
    <definedName name="Cadista_SABESP">#REF!</definedName>
    <definedName name="capina">#REF!</definedName>
    <definedName name="corte">#REF!</definedName>
    <definedName name="desmat">#REF!</definedName>
    <definedName name="Excel_BuiltIn__FilterDatabase_1" localSheetId="1">#REF!</definedName>
    <definedName name="Excel_BuiltIn__FilterDatabase_1" localSheetId="2">#REF!</definedName>
    <definedName name="Excel_BuiltIn__FilterDatabase_1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Print_Area_1_1" localSheetId="1">#REF!</definedName>
    <definedName name="Excel_BuiltIn_Print_Area_1_1">#REF!</definedName>
    <definedName name="Excel_BuiltIn_Print_Titles_1" localSheetId="1">#REF!</definedName>
    <definedName name="Excel_BuiltIn_Print_Titles_1" localSheetId="2">#REF!</definedName>
    <definedName name="Excel_BuiltIn_Print_Titles_1">#REF!</definedName>
    <definedName name="função">#REF!</definedName>
    <definedName name="inic_aterro">#REF!</definedName>
    <definedName name="inic_capina">#REF!</definedName>
    <definedName name="inic_corte">#REF!</definedName>
    <definedName name="inic_desmat">#REF!</definedName>
    <definedName name="inic_reaterro">#REF!</definedName>
    <definedName name="inic_reg_placa">#REF!</definedName>
    <definedName name="inic_reg_rolo">#REF!</definedName>
    <definedName name="ir_032305">#REF!</definedName>
    <definedName name="IR_ABCE" localSheetId="1">#REF!</definedName>
    <definedName name="IR_ABCE" localSheetId="2">#REF!</definedName>
    <definedName name="IR_ABCE">#REF!</definedName>
    <definedName name="IR_DER_SSO" localSheetId="1">#REF!</definedName>
    <definedName name="IR_DER_SSO" localSheetId="2">#REF!</definedName>
    <definedName name="IR_DER_SSO">#REF!</definedName>
    <definedName name="IR_RD" localSheetId="1">#REF!</definedName>
    <definedName name="IR_RD" localSheetId="2">#REF!</definedName>
    <definedName name="IR_RD">#REF!</definedName>
    <definedName name="IR_SB" localSheetId="1">#REF!</definedName>
    <definedName name="IR_SB" localSheetId="2">#REF!</definedName>
    <definedName name="IR_SB">#REF!</definedName>
    <definedName name="IR_SIURB" localSheetId="1">#REF!</definedName>
    <definedName name="IR_SIURB" localSheetId="2">#REF!</definedName>
    <definedName name="IR_SIURB">#REF!</definedName>
    <definedName name="lista_corteaterro">#REF!</definedName>
    <definedName name="Mult" localSheetId="1">#REF!</definedName>
    <definedName name="Mult" localSheetId="2">#REF!</definedName>
    <definedName name="Mult">#REF!</definedName>
    <definedName name="Payment_Needed">"Pagamento necessário"</definedName>
    <definedName name="planilha_01">#REF!</definedName>
    <definedName name="Print_Area_MI">#REF!</definedName>
    <definedName name="ramp">#REF!</definedName>
    <definedName name="reaterro">#REF!</definedName>
    <definedName name="reg_placa">#REF!</definedName>
    <definedName name="reg_rolo">#REF!</definedName>
    <definedName name="Reimbursement">"Reembolso"</definedName>
    <definedName name="setop.12" localSheetId="1">#REF!</definedName>
    <definedName name="setop.12" localSheetId="2">#REF!</definedName>
    <definedName name="setop.12">#REF!</definedName>
    <definedName name="tbalvenaria">#REF!</definedName>
    <definedName name="tbalvenaria2">#REF!</definedName>
    <definedName name="tbalvenaria3">#REF!</definedName>
    <definedName name="tela_032303">#REF!</definedName>
    <definedName name="teste">#REF!</definedName>
    <definedName name="teste_planilha">#REF!</definedName>
    <definedName name="tipoTijolo">#REF!</definedName>
    <definedName name="_xlnm.Print_Titles" localSheetId="0">VENDA!$5:$6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5" l="1"/>
  <c r="B39" i="15"/>
  <c r="B38" i="15"/>
  <c r="B37" i="15"/>
  <c r="E43" i="1"/>
  <c r="F43" i="1" s="1"/>
  <c r="C39" i="15" s="1"/>
  <c r="E42" i="1"/>
  <c r="F42" i="1" s="1"/>
  <c r="C38" i="15" s="1"/>
  <c r="F44" i="1"/>
  <c r="C40" i="15" s="1"/>
  <c r="E35" i="1"/>
  <c r="E26" i="1" l="1"/>
  <c r="E25" i="1"/>
  <c r="E11" i="1"/>
  <c r="B20" i="18" l="1"/>
  <c r="B19" i="18"/>
  <c r="H10" i="17" l="1"/>
  <c r="B10" i="17"/>
  <c r="B37" i="16" l="1"/>
  <c r="B36" i="16"/>
  <c r="B35" i="16"/>
  <c r="C19" i="16" l="1"/>
  <c r="C17" i="16"/>
  <c r="B17" i="16" l="1"/>
  <c r="C13" i="16"/>
  <c r="C37" i="16" l="1"/>
  <c r="C36" i="16"/>
  <c r="C35" i="16"/>
  <c r="B13" i="16"/>
  <c r="B36" i="15" l="1"/>
  <c r="B35" i="15"/>
  <c r="B34" i="15"/>
  <c r="B33" i="15"/>
  <c r="B32" i="15"/>
  <c r="B31" i="15"/>
  <c r="B30" i="15"/>
  <c r="B29" i="15"/>
  <c r="B26" i="15" l="1"/>
  <c r="A26" i="15"/>
  <c r="B25" i="15"/>
  <c r="A25" i="15"/>
  <c r="B24" i="15"/>
  <c r="A24" i="15"/>
  <c r="B23" i="15" l="1"/>
  <c r="A23" i="15"/>
  <c r="B22" i="15"/>
  <c r="A22" i="15"/>
  <c r="B21" i="15"/>
  <c r="A21" i="15"/>
  <c r="B20" i="15"/>
  <c r="A20" i="15"/>
  <c r="B19" i="15"/>
  <c r="A19" i="15"/>
  <c r="B18" i="15"/>
  <c r="A18" i="15"/>
  <c r="B17" i="15"/>
  <c r="A17" i="15"/>
  <c r="B16" i="15"/>
  <c r="A16" i="15"/>
  <c r="B15" i="15"/>
  <c r="A15" i="15"/>
  <c r="B14" i="15"/>
  <c r="A14" i="15"/>
  <c r="B13" i="15"/>
  <c r="A13" i="15"/>
  <c r="A12" i="15"/>
  <c r="B11" i="15"/>
  <c r="A11" i="15"/>
  <c r="B10" i="15"/>
  <c r="A10" i="15"/>
  <c r="B9" i="15"/>
  <c r="A9" i="15"/>
  <c r="B8" i="15"/>
  <c r="A8" i="15"/>
  <c r="A6" i="15"/>
  <c r="C21" i="19"/>
  <c r="C13" i="19"/>
  <c r="C10" i="19"/>
  <c r="C23" i="19" l="1"/>
  <c r="C41" i="15"/>
  <c r="C27" i="15"/>
  <c r="E46" i="1"/>
  <c r="E29" i="1"/>
  <c r="F39" i="1"/>
  <c r="C35" i="15" s="1"/>
  <c r="F38" i="1"/>
  <c r="C34" i="15" s="1"/>
  <c r="F37" i="1"/>
  <c r="C33" i="15" s="1"/>
  <c r="F36" i="1"/>
  <c r="C32" i="15" s="1"/>
  <c r="F35" i="1"/>
  <c r="C31" i="15" s="1"/>
  <c r="F34" i="1"/>
  <c r="F33" i="1" l="1"/>
  <c r="C30" i="15"/>
  <c r="F40" i="1"/>
  <c r="C36" i="15" s="1"/>
  <c r="F41" i="1"/>
  <c r="C37" i="15" s="1"/>
  <c r="C29" i="15"/>
  <c r="F27" i="1"/>
  <c r="C26" i="15" s="1"/>
  <c r="F24" i="1"/>
  <c r="C23" i="15" s="1"/>
  <c r="F45" i="1" l="1"/>
  <c r="F47" i="1"/>
  <c r="F22" i="1"/>
  <c r="C21" i="15" s="1"/>
  <c r="F21" i="1"/>
  <c r="C20" i="15" s="1"/>
  <c r="F19" i="1"/>
  <c r="C18" i="15" s="1"/>
  <c r="F18" i="1"/>
  <c r="C17" i="15" s="1"/>
  <c r="F17" i="1" l="1"/>
  <c r="C16" i="15" s="1"/>
  <c r="F16" i="1"/>
  <c r="C15" i="15" s="1"/>
  <c r="F13" i="1"/>
  <c r="C12" i="15" s="1"/>
  <c r="F12" i="1"/>
  <c r="C11" i="15" s="1"/>
  <c r="F11" i="1"/>
  <c r="C10" i="15" s="1"/>
  <c r="F10" i="1"/>
  <c r="C9" i="15" s="1"/>
  <c r="F9" i="1" l="1"/>
  <c r="F8" i="1"/>
  <c r="C7" i="15" s="1"/>
  <c r="F15" i="1"/>
  <c r="C14" i="15" s="1"/>
  <c r="F14" i="1"/>
  <c r="C13" i="15" s="1"/>
  <c r="F23" i="1"/>
  <c r="C22" i="15" s="1"/>
  <c r="F20" i="1"/>
  <c r="C19" i="15" s="1"/>
  <c r="F26" i="1"/>
  <c r="C25" i="15" s="1"/>
  <c r="F25" i="1"/>
  <c r="C24" i="15" s="1"/>
  <c r="C8" i="15"/>
  <c r="C20" i="16"/>
  <c r="C21" i="16"/>
  <c r="C22" i="16"/>
  <c r="H42" i="15" l="1"/>
  <c r="F42" i="15"/>
  <c r="G42" i="15"/>
  <c r="E42" i="15"/>
  <c r="D42" i="15"/>
  <c r="D44" i="15" s="1"/>
  <c r="F28" i="1"/>
  <c r="F30" i="1"/>
  <c r="F49" i="1" s="1"/>
  <c r="E44" i="15" l="1"/>
  <c r="F44" i="15" s="1"/>
  <c r="G44" i="15" s="1"/>
  <c r="H44" i="15" s="1"/>
  <c r="B22" i="18"/>
  <c r="B21" i="18"/>
  <c r="C4" i="18" s="1"/>
  <c r="B19" i="16" s="1"/>
  <c r="B20" i="16" s="1"/>
  <c r="B21" i="16" s="1"/>
  <c r="B19" i="19"/>
  <c r="C19" i="19"/>
  <c r="B18" i="19"/>
  <c r="C18" i="19"/>
  <c r="B11" i="17"/>
  <c r="B12" i="17"/>
  <c r="B13" i="17"/>
  <c r="B14" i="17"/>
  <c r="B15" i="17"/>
  <c r="B16" i="17"/>
  <c r="B17" i="17"/>
  <c r="B18" i="17"/>
  <c r="B19" i="17"/>
  <c r="B23" i="17"/>
  <c r="B25" i="17"/>
  <c r="B24" i="17"/>
  <c r="B26" i="17"/>
  <c r="C4" i="17"/>
  <c r="B14" i="16"/>
  <c r="B28" i="16"/>
  <c r="C28" i="16"/>
  <c r="B30" i="16"/>
  <c r="C30" i="16"/>
  <c r="B29" i="16"/>
  <c r="C29" i="16"/>
  <c r="B32" i="16"/>
  <c r="C32" i="16"/>
  <c r="B31" i="16"/>
  <c r="C31" i="16"/>
  <c r="B27" i="16"/>
  <c r="C27" i="16"/>
  <c r="B26" i="16"/>
  <c r="C26" i="16"/>
  <c r="B25" i="16"/>
  <c r="C25" i="16"/>
  <c r="B22" i="16"/>
  <c r="D4" i="17"/>
  <c r="B28" i="17"/>
  <c r="B29" i="17"/>
</calcChain>
</file>

<file path=xl/sharedStrings.xml><?xml version="1.0" encoding="utf-8"?>
<sst xmlns="http://schemas.openxmlformats.org/spreadsheetml/2006/main" count="324" uniqueCount="220">
  <si>
    <t>ORÇAMENTO DE REFERÊNCIA</t>
  </si>
  <si>
    <t>IBRAM/Secult/MTUR</t>
  </si>
  <si>
    <t>Museu:</t>
  </si>
  <si>
    <t>MUSEU DO DIAMANTE</t>
  </si>
  <si>
    <t xml:space="preserve">Endereço: </t>
  </si>
  <si>
    <t>Rua Direita, 14 – Centro – Diamantina – MG</t>
  </si>
  <si>
    <t>Serviço:</t>
  </si>
  <si>
    <t>CONTRATAÇÃO DE EMPRESA ESPECIALIZADA PARA A PRESTAÇÃO DE SERVIÇOS TÉCNICOS RELATIVOS À ELABORAÇÃO DE PROJETOS DO MUSEU DO DIAMANTE</t>
  </si>
  <si>
    <t>ITEM</t>
  </si>
  <si>
    <t>SERVIÇO</t>
  </si>
  <si>
    <t>UNID.</t>
  </si>
  <si>
    <t>ÁREA DE PROJETO</t>
  </si>
  <si>
    <t>CUSTO UNITÁRIO</t>
  </si>
  <si>
    <t>SUBTOTAL</t>
  </si>
  <si>
    <t>REFERÊNCIA PREÇO</t>
  </si>
  <si>
    <t>1.</t>
  </si>
  <si>
    <t>PROJETOS CASARÃO</t>
  </si>
  <si>
    <t>1.1</t>
  </si>
  <si>
    <t>Levantamento Arquitetônico e Diagnóstico</t>
  </si>
  <si>
    <t>m²</t>
  </si>
  <si>
    <t>CAU BR Módulo II Tabela I item 1.1.1</t>
  </si>
  <si>
    <t>1.2</t>
  </si>
  <si>
    <t>Projeto de Arquitetura</t>
  </si>
  <si>
    <t>CAU BR Módulo II Tabela I item 1.1.2</t>
  </si>
  <si>
    <t>1.3</t>
  </si>
  <si>
    <t>Projeto Estrutural</t>
  </si>
  <si>
    <t>CAU BR Módulo II Tabela I item 1.2.5</t>
  </si>
  <si>
    <t>1.4</t>
  </si>
  <si>
    <t>Projeto Hidrossanitário</t>
  </si>
  <si>
    <t>CAU BR Módulo II Tabela I item 1.5.1 e 1.5.2</t>
  </si>
  <si>
    <t>1.5</t>
  </si>
  <si>
    <t>Projeto de Águas Pluviais</t>
  </si>
  <si>
    <t>CAU BR Módulo II Tabela I item 1.5.3</t>
  </si>
  <si>
    <t>1.6</t>
  </si>
  <si>
    <t>Projeto de Elétrica e Rede de Energia</t>
  </si>
  <si>
    <t>CAU BR Módulo II Tabela I item 1.5.8</t>
  </si>
  <si>
    <t>1.7</t>
  </si>
  <si>
    <t>Projeto de Instalações de Rede de Segurança Eletrônica</t>
  </si>
  <si>
    <t>CAU BR Módulo II Tabela I item 1.5.15</t>
  </si>
  <si>
    <t>1.8</t>
  </si>
  <si>
    <t>Projeto de Luminotécnica</t>
  </si>
  <si>
    <t>CAU BR Módulo II Tabela I item 1.3.2</t>
  </si>
  <si>
    <t>1.9</t>
  </si>
  <si>
    <t>Projeto de Telefonia e Rede Estruturada de Dados e Voz</t>
  </si>
  <si>
    <t>CAU BR Módulo II Tabela I item 1.5.12</t>
  </si>
  <si>
    <t>1.10</t>
  </si>
  <si>
    <t>Compatibilização do projeto de prevenção e combate à incêndio</t>
  </si>
  <si>
    <t>CAU BR Módulo II Tabela I item 1.5.7</t>
  </si>
  <si>
    <t>1.11</t>
  </si>
  <si>
    <t>Projeto de Movimentação de Terra, Drenagem e Pavimentação</t>
  </si>
  <si>
    <t>75136 informativoSBC _set21</t>
  </si>
  <si>
    <t>1.12</t>
  </si>
  <si>
    <t>Projeto de Paisagismo</t>
  </si>
  <si>
    <t>CAU BR Módulo II Tabela I item 1.6.1</t>
  </si>
  <si>
    <t>1.13</t>
  </si>
  <si>
    <t>Projeto de Instalações Mecânicas</t>
  </si>
  <si>
    <t>CAU BR Módulo II Tabela I item 1.5.16</t>
  </si>
  <si>
    <t>1.14</t>
  </si>
  <si>
    <t>Projeto de Sonorização</t>
  </si>
  <si>
    <t>CAU BR Módulo II Tabela I item 1.3.4</t>
  </si>
  <si>
    <t>1.15</t>
  </si>
  <si>
    <t xml:space="preserve">Projeto de Acessibilidade </t>
  </si>
  <si>
    <t>CAU BR Módulo II Tabela I item 1.1.5</t>
  </si>
  <si>
    <t>1.16</t>
  </si>
  <si>
    <t>Projeto de Museografia e Expografia</t>
  </si>
  <si>
    <t>Valor médio apurado pelo MRSJDR SEI 1416074</t>
  </si>
  <si>
    <t>1.17</t>
  </si>
  <si>
    <t>Projeto de Sinalização e Comunicação Visual</t>
  </si>
  <si>
    <t>33023 informativoSBC _set21</t>
  </si>
  <si>
    <t>1.18</t>
  </si>
  <si>
    <t>Memorial Descritivo e Caderno de Especificações</t>
  </si>
  <si>
    <t>CAU BR Módulo II Tabela I item 1.7.1 e 1.7.2</t>
  </si>
  <si>
    <t>1.19</t>
  </si>
  <si>
    <t xml:space="preserve">Planilhas Orçamentárias e Cronograma </t>
  </si>
  <si>
    <t>CAU BR Módulo II Tabela I item 1.7.4 e 1.7.5</t>
  </si>
  <si>
    <t>1.20</t>
  </si>
  <si>
    <t>Assessoria para aprovação de projeto</t>
  </si>
  <si>
    <t>75146 informativoSBC _set21</t>
  </si>
  <si>
    <t>TOTAL DO ITEM 1</t>
  </si>
  <si>
    <t>BDI</t>
  </si>
  <si>
    <t>Ver Composição Anexa</t>
  </si>
  <si>
    <t>TOTAL DO ITEM 1 + B.D.I</t>
  </si>
  <si>
    <t>2.</t>
  </si>
  <si>
    <t>PROJETOS DO ANEXO</t>
  </si>
  <si>
    <t>2.1</t>
  </si>
  <si>
    <t>2.2</t>
  </si>
  <si>
    <t>2.3</t>
  </si>
  <si>
    <t>2.4</t>
  </si>
  <si>
    <t>2.5</t>
  </si>
  <si>
    <t>Projeto de Prevenção contra Incêndio e Pânico</t>
  </si>
  <si>
    <t>2.6</t>
  </si>
  <si>
    <t>2.7</t>
  </si>
  <si>
    <t>2.8</t>
  </si>
  <si>
    <t>2.9</t>
  </si>
  <si>
    <t>2.10</t>
  </si>
  <si>
    <t>2.11</t>
  </si>
  <si>
    <t>2.12</t>
  </si>
  <si>
    <t>TOTAL DO ITEM 2</t>
  </si>
  <si>
    <t>TOTAL DO ITEM 2 + B.D.I</t>
  </si>
  <si>
    <t xml:space="preserve">TOTAL    GERAL    DO     PROJETO </t>
  </si>
  <si>
    <t>1. Fontes de consulta para referência de preços de serviços TABELA HONORARIOS CAU/BR e INFORMATIVO SBC-MG</t>
  </si>
  <si>
    <t>2. Legenda: m (metro linear); m2 (metro quadrado); m3 (metro cúbico); un. (unidade); kg (kilograma); pç (peça); cj (conjunto); pto. (ponto); h (hora); oe (orçamento específico)</t>
  </si>
  <si>
    <t>ELABORAÇÃO: Dianna Izaias Amaral - Siape: 18221530 - CEMA/DPMUS/IBRAM</t>
  </si>
  <si>
    <t>COMPOSIÇÃO BDI</t>
  </si>
  <si>
    <t>Endereço:</t>
  </si>
  <si>
    <t>PLANILHA – COMPOSIÇÃO ANALÍTICA DAS TAXAS DE  BONIFICAÇÃO E DESPESA (BDI)</t>
  </si>
  <si>
    <t>DESCRIÇÃO</t>
  </si>
  <si>
    <t>SIGLA</t>
  </si>
  <si>
    <t>TAXA</t>
  </si>
  <si>
    <t>ADMINISTRAÇÃO CENTRAL</t>
  </si>
  <si>
    <t>AC</t>
  </si>
  <si>
    <t>LUCRO</t>
  </si>
  <si>
    <t>LC</t>
  </si>
  <si>
    <t>DESPESAS FINANCEIRAS</t>
  </si>
  <si>
    <t>DF</t>
  </si>
  <si>
    <t>SEGUROS, GARANTIAS E RISCO</t>
  </si>
  <si>
    <t>Seguros + Garantias</t>
  </si>
  <si>
    <t>S</t>
  </si>
  <si>
    <t>Risco(*)</t>
  </si>
  <si>
    <t>R</t>
  </si>
  <si>
    <t>TRIBUTOS</t>
  </si>
  <si>
    <t>I</t>
  </si>
  <si>
    <t xml:space="preserve">ISS </t>
  </si>
  <si>
    <t>ISS</t>
  </si>
  <si>
    <t>PIS</t>
  </si>
  <si>
    <t>COFINS</t>
  </si>
  <si>
    <r>
      <t xml:space="preserve">BDI (numerador)     </t>
    </r>
    <r>
      <rPr>
        <b/>
        <u/>
        <sz val="10"/>
        <rFont val="Calibri"/>
        <family val="2"/>
        <scheme val="minor"/>
      </rPr>
      <t>(1 + (AC + S + G + R)) x (1 + DF) x (1 + L)</t>
    </r>
  </si>
  <si>
    <t>BDI (denominador)                       (1 - (I + CPRB))</t>
  </si>
  <si>
    <t>TOTAL DE BDI</t>
  </si>
  <si>
    <t>TAXA BDI ADOTADA</t>
  </si>
  <si>
    <t>Fonte: Reproduzido de SETOP_JEQUITINHONHA_SEM_DESONERACAO, JULHO/2021</t>
  </si>
  <si>
    <t>CRONOGRAMA FÍSICO FINANCEIRO</t>
  </si>
  <si>
    <t>DESCRIÇÃO DOS SERVIÇOS</t>
  </si>
  <si>
    <t>VALOR DA ETAPA</t>
  </si>
  <si>
    <t>60 DIAS</t>
  </si>
  <si>
    <t>120 DIAS</t>
  </si>
  <si>
    <t>210 DIAS</t>
  </si>
  <si>
    <t>300 DIAS</t>
  </si>
  <si>
    <t>360 DIAS</t>
  </si>
  <si>
    <t>PROJETOS DO CASARÃO</t>
  </si>
  <si>
    <t>Entrega 01: Levantamento</t>
  </si>
  <si>
    <t>Entrega 02: Estudo Preliminar</t>
  </si>
  <si>
    <t>Entrega 03: Anteprojeto</t>
  </si>
  <si>
    <t>Entrega 04: Projeto Executivo</t>
  </si>
  <si>
    <t>Entrega 05:Entrega Final</t>
  </si>
  <si>
    <t>Levantamento Arquitetônico, Mapeamento de Danos e Diagnóstico</t>
  </si>
  <si>
    <t>Projeto Executivo de Elétrica e Rede de Energia</t>
  </si>
  <si>
    <t>02.</t>
  </si>
  <si>
    <t>PROJETOS DE ARQUITETURA E COMPLEMENTARES DO ANEXO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</si>
  <si>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</si>
  <si>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</si>
  <si>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</si>
  <si>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</si>
  <si>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</si>
  <si>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</si>
  <si>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</si>
  <si>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</si>
  <si>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</si>
  <si>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</si>
  <si>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</si>
  <si>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</si>
  <si>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DESEMBOLSO MENSAL (inclui BDI)</t>
  </si>
  <si>
    <t xml:space="preserve">TOTAL   ACUMULADO       </t>
  </si>
  <si>
    <t>COMPOSIÇÃO DE CUSTOS</t>
  </si>
  <si>
    <t>Fórmula do Preço de Venda:</t>
  </si>
  <si>
    <t>PV = Sc × BH × (fp × R)</t>
  </si>
  <si>
    <t>Produto da Área construída estimada (Sc) pela Base de Honorários (BH) e pelo Fator percentual (fp) da Razão (R) entre a Área de projeto (Sp) e a Área de construção (Sc)</t>
  </si>
  <si>
    <t>Casarão</t>
  </si>
  <si>
    <t>Anexo</t>
  </si>
  <si>
    <t>Sc: Área construída estimada (m²)</t>
  </si>
  <si>
    <t>Fórmula da Base de Honorários</t>
  </si>
  <si>
    <t>BH=CUB × fator de adequação</t>
  </si>
  <si>
    <t>Código de tipologia de Museu</t>
  </si>
  <si>
    <t>CSL-16-N</t>
  </si>
  <si>
    <t>Fator de adequação:</t>
  </si>
  <si>
    <t>CUB correspondente</t>
  </si>
  <si>
    <t>BH: Base de honorários</t>
  </si>
  <si>
    <t>fp:  Fator percentual em função da tipologia da edificação e da área construída estimada</t>
  </si>
  <si>
    <t>Fórmula para Razão entre área de projeto e área de construção – Redutor de fp</t>
  </si>
  <si>
    <t>R: Sp / Sc</t>
  </si>
  <si>
    <t>Fórmula para Área de Projeto</t>
  </si>
  <si>
    <t>Sp=Snr + (Sr × r)</t>
  </si>
  <si>
    <t>Snr: Área construída não repetida (m²)</t>
  </si>
  <si>
    <t>Sr: Área construída repetida (m²)</t>
  </si>
  <si>
    <t>r: Redutor para áreas repetidas em função da quantidade de repetições</t>
  </si>
  <si>
    <t>SP: área de projeto (m²)</t>
  </si>
  <si>
    <t>R: Razão</t>
  </si>
  <si>
    <t>PV: Preço de venda</t>
  </si>
  <si>
    <t>Projetos Casarão</t>
  </si>
  <si>
    <t>Fp projeto</t>
  </si>
  <si>
    <t>Custo unitário (BH × fp do projeto)</t>
  </si>
  <si>
    <t>Projeto Executivo de Instalações de Rede de Segurança Eletrônica</t>
  </si>
  <si>
    <t>Projetos Anexo</t>
  </si>
  <si>
    <t>Cub: Custo Unitário Básico (CUB) – é o custo direto de construção por m² de um determinado padrão de imóvel definido 
parâmetros da Lei nº 4.591/64 e da Norma NBR 12.721/93.</t>
  </si>
  <si>
    <t>Conforme Tabela 8 do Anexo I do Livro 1 do Módulo I da publicação CAU-BR Remuneração do projeto arquitetônico de edificações, museus são da categoria IV com código de CUB correspondente CSL-16-N e fator de adequação 2</t>
  </si>
  <si>
    <t>Fator de adequação: valor a ser aferido e revisto em periodicidade a ser determinada pelo CAU/BR segundo metodologia específica para acurada avaliação dos valores de Base de Honorários</t>
  </si>
  <si>
    <t>Cálculo de fator percentual</t>
  </si>
  <si>
    <t>Área construída estimada</t>
  </si>
  <si>
    <t>Fator percentual</t>
  </si>
  <si>
    <t>Tabela de correspondência</t>
  </si>
  <si>
    <t>Categoria da edificação</t>
  </si>
  <si>
    <t>Faixa</t>
  </si>
  <si>
    <t>IV</t>
  </si>
  <si>
    <t>Valores intermediários devem usar a fórmula
fp=fp1 - {[(fp1-fp2)×[(Sc-Sc1)/(Sc2-Sc1)]}</t>
  </si>
  <si>
    <t>Sc1</t>
  </si>
  <si>
    <t>equivale a área na tabela imediatamente menor ou igual à área construída estimada</t>
  </si>
  <si>
    <t>Sc2</t>
  </si>
  <si>
    <t>equivale a área na tabela imediatamente maior à área construída estimada</t>
  </si>
  <si>
    <t>fp1</t>
  </si>
  <si>
    <t>equivale ao fator percentual correspondente a Sc1</t>
  </si>
  <si>
    <t>fp2</t>
  </si>
  <si>
    <t>equivale ao fator percentual correspondente a Sc2</t>
  </si>
  <si>
    <t>Redutor (R) para repetições do mesmo projeto</t>
  </si>
  <si>
    <t>Quantidade de repetições</t>
  </si>
  <si>
    <t>Redutor</t>
  </si>
  <si>
    <t>Para valores intermediários utiliza-se a fórmula:  
r = r1 - {(r1-r2) x [(q-q1)/(q2-q1)}</t>
  </si>
  <si>
    <t>q1</t>
  </si>
  <si>
    <t>q2</t>
  </si>
  <si>
    <t>r1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</si>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</sst>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_);\(&quot;R$ &quot;#,##0\)"/>
    <numFmt numFmtId="166" formatCode="&quot;R$ &quot;#,##0_);[Red]\(&quot;R$ &quot;#,##0\)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General_)"/>
    <numFmt numFmtId="170" formatCode="_(* #,##0.00_);_(* \(#,##0.00\);_(* \-??_);_(@_)"/>
    <numFmt numFmtId="171" formatCode="0.0000"/>
    <numFmt numFmtId="172" formatCode="_(&quot;$&quot;* #,##0.00_);_(&quot;$&quot;* \(#,##0.00\);_(&quot;$&quot;* &quot;-&quot;??_);_(@_)"/>
  </numFmts>
  <fonts count="30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Myriad Pro"/>
      <family val="2"/>
    </font>
    <font>
      <sz val="11"/>
      <name val="Myriad Pro"/>
      <family val="2"/>
    </font>
    <font>
      <sz val="8"/>
      <name val="Myriad Pro"/>
      <family val="2"/>
    </font>
    <font>
      <sz val="9"/>
      <name val="Myriad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Myriad Pro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12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10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6" fillId="0" borderId="0"/>
    <xf numFmtId="0" fontId="10" fillId="0" borderId="0" applyNumberFormat="0" applyFont="0" applyFill="0" applyAlignment="0">
      <alignment horizontal="left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169" fontId="2" fillId="0" borderId="0"/>
    <xf numFmtId="0" fontId="2" fillId="0" borderId="0"/>
    <xf numFmtId="0" fontId="2" fillId="0" borderId="0"/>
    <xf numFmtId="169" fontId="2" fillId="0" borderId="0"/>
    <xf numFmtId="0" fontId="1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6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6" fillId="0" borderId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18" fillId="0" borderId="0" applyFont="0" applyFill="0" applyBorder="0" applyAlignment="0" applyProtection="0"/>
  </cellStyleXfs>
  <cellXfs count="179">
    <xf numFmtId="0" fontId="0" fillId="0" borderId="0" xfId="0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vertical="top" wrapText="1"/>
    </xf>
    <xf numFmtId="167" fontId="12" fillId="0" borderId="0" xfId="53" applyFont="1" applyFill="1"/>
    <xf numFmtId="49" fontId="12" fillId="0" borderId="0" xfId="0" applyNumberFormat="1" applyFont="1" applyAlignment="1">
      <alignment vertical="top"/>
    </xf>
    <xf numFmtId="0" fontId="12" fillId="0" borderId="0" xfId="0" applyFont="1" applyAlignment="1">
      <alignment horizontal="center"/>
    </xf>
    <xf numFmtId="0" fontId="12" fillId="0" borderId="0" xfId="49" applyFont="1"/>
    <xf numFmtId="0" fontId="12" fillId="0" borderId="0" xfId="71" applyFont="1" applyAlignment="1">
      <alignment vertical="center"/>
    </xf>
    <xf numFmtId="0" fontId="13" fillId="0" borderId="0" xfId="71" applyFont="1" applyAlignment="1">
      <alignment horizontal="center" vertical="center"/>
    </xf>
    <xf numFmtId="0" fontId="13" fillId="0" borderId="0" xfId="71" applyFont="1" applyAlignment="1">
      <alignment vertical="center"/>
    </xf>
    <xf numFmtId="0" fontId="12" fillId="0" borderId="0" xfId="7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10" fontId="0" fillId="0" borderId="0" xfId="0" applyNumberFormat="1"/>
    <xf numFmtId="10" fontId="0" fillId="0" borderId="0" xfId="109" applyNumberFormat="1" applyFont="1"/>
    <xf numFmtId="0" fontId="2" fillId="0" borderId="0" xfId="0" applyFont="1" applyAlignment="1">
      <alignment vertical="top" wrapText="1"/>
    </xf>
    <xf numFmtId="0" fontId="19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109" applyNumberFormat="1" applyFont="1"/>
    <xf numFmtId="0" fontId="20" fillId="0" borderId="0" xfId="0" applyFont="1" applyAlignment="1">
      <alignment vertical="center"/>
    </xf>
    <xf numFmtId="10" fontId="0" fillId="20" borderId="0" xfId="109" applyNumberFormat="1" applyFont="1" applyFill="1"/>
    <xf numFmtId="167" fontId="0" fillId="0" borderId="0" xfId="53" applyFont="1"/>
    <xf numFmtId="167" fontId="12" fillId="0" borderId="0" xfId="54" applyFont="1" applyFill="1" applyBorder="1"/>
    <xf numFmtId="10" fontId="12" fillId="0" borderId="0" xfId="83" applyNumberFormat="1" applyFont="1" applyFill="1" applyBorder="1"/>
    <xf numFmtId="9" fontId="12" fillId="0" borderId="0" xfId="83" applyFont="1" applyFill="1" applyBorder="1"/>
    <xf numFmtId="4" fontId="0" fillId="0" borderId="0" xfId="0" applyNumberFormat="1"/>
    <xf numFmtId="0" fontId="21" fillId="0" borderId="23" xfId="0" applyFont="1" applyBorder="1"/>
    <xf numFmtId="167" fontId="21" fillId="0" borderId="23" xfId="54" applyFont="1" applyFill="1" applyBorder="1"/>
    <xf numFmtId="17" fontId="21" fillId="0" borderId="23" xfId="0" applyNumberFormat="1" applyFont="1" applyBorder="1"/>
    <xf numFmtId="0" fontId="25" fillId="17" borderId="4" xfId="65" applyFont="1" applyFill="1" applyBorder="1" applyAlignment="1">
      <alignment horizontal="left" vertical="center"/>
    </xf>
    <xf numFmtId="0" fontId="25" fillId="17" borderId="5" xfId="65" applyFont="1" applyFill="1" applyBorder="1" applyAlignment="1">
      <alignment vertical="center"/>
    </xf>
    <xf numFmtId="0" fontId="25" fillId="17" borderId="5" xfId="65" applyFont="1" applyFill="1" applyBorder="1" applyAlignment="1">
      <alignment horizontal="left" vertical="center"/>
    </xf>
    <xf numFmtId="0" fontId="25" fillId="18" borderId="6" xfId="65" applyFont="1" applyFill="1" applyBorder="1" applyAlignment="1">
      <alignment horizontal="left" vertical="center"/>
    </xf>
    <xf numFmtId="0" fontId="26" fillId="18" borderId="7" xfId="0" applyFont="1" applyFill="1" applyBorder="1" applyAlignment="1">
      <alignment vertical="center"/>
    </xf>
    <xf numFmtId="0" fontId="25" fillId="18" borderId="7" xfId="65" applyFont="1" applyFill="1" applyBorder="1" applyAlignment="1">
      <alignment horizontal="left" vertical="center"/>
    </xf>
    <xf numFmtId="0" fontId="25" fillId="18" borderId="8" xfId="65" applyFont="1" applyFill="1" applyBorder="1" applyAlignment="1">
      <alignment horizontal="left" vertical="center"/>
    </xf>
    <xf numFmtId="0" fontId="26" fillId="18" borderId="21" xfId="0" applyFont="1" applyFill="1" applyBorder="1" applyAlignment="1">
      <alignment vertical="center"/>
    </xf>
    <xf numFmtId="0" fontId="25" fillId="18" borderId="21" xfId="65" applyFont="1" applyFill="1" applyBorder="1" applyAlignment="1">
      <alignment horizontal="left" vertical="center"/>
    </xf>
    <xf numFmtId="0" fontId="22" fillId="0" borderId="23" xfId="71" applyFont="1" applyBorder="1" applyAlignment="1">
      <alignment horizontal="center" vertical="center" wrapText="1"/>
    </xf>
    <xf numFmtId="0" fontId="22" fillId="0" borderId="23" xfId="71" applyFont="1" applyBorder="1" applyAlignment="1">
      <alignment horizontal="left" vertical="center" wrapText="1"/>
    </xf>
    <xf numFmtId="10" fontId="22" fillId="0" borderId="23" xfId="84" applyNumberFormat="1" applyFont="1" applyBorder="1" applyAlignment="1">
      <alignment horizontal="center" vertical="center" wrapText="1"/>
    </xf>
    <xf numFmtId="0" fontId="21" fillId="0" borderId="23" xfId="71" applyFont="1" applyBorder="1" applyAlignment="1">
      <alignment horizontal="left" vertical="center" wrapText="1"/>
    </xf>
    <xf numFmtId="0" fontId="21" fillId="0" borderId="23" xfId="71" applyFont="1" applyBorder="1" applyAlignment="1">
      <alignment horizontal="center" vertical="center" wrapText="1"/>
    </xf>
    <xf numFmtId="10" fontId="21" fillId="0" borderId="23" xfId="84" applyNumberFormat="1" applyFont="1" applyBorder="1" applyAlignment="1">
      <alignment horizontal="center" vertical="center" wrapText="1"/>
    </xf>
    <xf numFmtId="171" fontId="21" fillId="0" borderId="23" xfId="71" applyNumberFormat="1" applyFont="1" applyBorder="1" applyAlignment="1">
      <alignment vertical="center"/>
    </xf>
    <xf numFmtId="171" fontId="21" fillId="0" borderId="23" xfId="71" applyNumberFormat="1" applyFont="1" applyBorder="1" applyAlignment="1">
      <alignment horizontal="right" vertical="center" wrapText="1"/>
    </xf>
    <xf numFmtId="10" fontId="22" fillId="0" borderId="23" xfId="85" applyNumberFormat="1" applyFont="1" applyBorder="1" applyAlignment="1">
      <alignment horizontal="center" vertical="center" wrapText="1"/>
    </xf>
    <xf numFmtId="0" fontId="21" fillId="0" borderId="23" xfId="71" applyFont="1" applyBorder="1" applyAlignment="1">
      <alignment horizontal="center" vertical="center"/>
    </xf>
    <xf numFmtId="0" fontId="21" fillId="0" borderId="23" xfId="71" applyFont="1" applyBorder="1" applyAlignment="1">
      <alignment vertical="center"/>
    </xf>
    <xf numFmtId="10" fontId="21" fillId="0" borderId="23" xfId="71" applyNumberFormat="1" applyFont="1" applyBorder="1" applyAlignment="1">
      <alignment horizontal="center" vertical="center"/>
    </xf>
    <xf numFmtId="0" fontId="22" fillId="16" borderId="23" xfId="71" applyFont="1" applyFill="1" applyBorder="1" applyAlignment="1">
      <alignment horizontal="left" vertical="center" wrapText="1"/>
    </xf>
    <xf numFmtId="10" fontId="22" fillId="16" borderId="23" xfId="71" applyNumberFormat="1" applyFont="1" applyFill="1" applyBorder="1" applyAlignment="1">
      <alignment horizontal="center" vertical="center"/>
    </xf>
    <xf numFmtId="0" fontId="25" fillId="17" borderId="4" xfId="0" applyFont="1" applyFill="1" applyBorder="1" applyAlignment="1">
      <alignment horizontal="left" vertical="center"/>
    </xf>
    <xf numFmtId="0" fontId="25" fillId="17" borderId="5" xfId="0" applyFont="1" applyFill="1" applyBorder="1" applyAlignment="1">
      <alignment vertical="center"/>
    </xf>
    <xf numFmtId="0" fontId="25" fillId="18" borderId="6" xfId="0" applyFont="1" applyFill="1" applyBorder="1" applyAlignment="1">
      <alignment horizontal="left" vertical="center"/>
    </xf>
    <xf numFmtId="0" fontId="25" fillId="18" borderId="7" xfId="0" applyFont="1" applyFill="1" applyBorder="1" applyAlignment="1">
      <alignment vertical="center"/>
    </xf>
    <xf numFmtId="0" fontId="27" fillId="18" borderId="7" xfId="0" applyFont="1" applyFill="1" applyBorder="1" applyAlignment="1">
      <alignment vertical="center"/>
    </xf>
    <xf numFmtId="0" fontId="25" fillId="18" borderId="8" xfId="0" applyFont="1" applyFill="1" applyBorder="1" applyAlignment="1">
      <alignment horizontal="left" vertical="center"/>
    </xf>
    <xf numFmtId="0" fontId="25" fillId="18" borderId="9" xfId="0" applyFont="1" applyFill="1" applyBorder="1" applyAlignment="1">
      <alignment vertical="center"/>
    </xf>
    <xf numFmtId="0" fontId="22" fillId="0" borderId="12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2" fillId="0" borderId="0" xfId="0" applyFont="1"/>
    <xf numFmtId="0" fontId="22" fillId="0" borderId="15" xfId="0" applyFont="1" applyBorder="1" applyAlignment="1">
      <alignment wrapText="1"/>
    </xf>
    <xf numFmtId="0" fontId="21" fillId="0" borderId="17" xfId="0" applyFont="1" applyBorder="1"/>
    <xf numFmtId="0" fontId="22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26" xfId="0" applyFont="1" applyBorder="1" applyAlignment="1">
      <alignment horizontal="right" vertical="center"/>
    </xf>
    <xf numFmtId="0" fontId="21" fillId="0" borderId="26" xfId="0" applyFont="1" applyBorder="1"/>
    <xf numFmtId="167" fontId="21" fillId="0" borderId="25" xfId="53" applyFont="1" applyFill="1" applyBorder="1"/>
    <xf numFmtId="167" fontId="21" fillId="0" borderId="27" xfId="53" applyFont="1" applyFill="1" applyBorder="1"/>
    <xf numFmtId="0" fontId="22" fillId="0" borderId="16" xfId="0" applyFont="1" applyBorder="1" applyAlignment="1">
      <alignment wrapText="1"/>
    </xf>
    <xf numFmtId="167" fontId="21" fillId="0" borderId="16" xfId="53" applyFont="1" applyFill="1" applyBorder="1"/>
    <xf numFmtId="167" fontId="21" fillId="0" borderId="24" xfId="53" applyFont="1" applyFill="1" applyBorder="1"/>
    <xf numFmtId="0" fontId="21" fillId="0" borderId="18" xfId="0" applyFont="1" applyBorder="1" applyAlignment="1">
      <alignment wrapText="1"/>
    </xf>
    <xf numFmtId="10" fontId="21" fillId="0" borderId="18" xfId="0" applyNumberFormat="1" applyFont="1" applyBorder="1"/>
    <xf numFmtId="10" fontId="21" fillId="0" borderId="28" xfId="0" applyNumberFormat="1" applyFont="1" applyBorder="1"/>
    <xf numFmtId="0" fontId="22" fillId="0" borderId="19" xfId="0" applyFont="1" applyBorder="1" applyAlignment="1">
      <alignment wrapText="1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14" xfId="0" applyFont="1" applyBorder="1"/>
    <xf numFmtId="10" fontId="21" fillId="0" borderId="0" xfId="0" applyNumberFormat="1" applyFont="1"/>
    <xf numFmtId="0" fontId="21" fillId="0" borderId="16" xfId="0" applyFont="1" applyBorder="1"/>
    <xf numFmtId="0" fontId="22" fillId="0" borderId="23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10" fontId="21" fillId="0" borderId="23" xfId="0" applyNumberFormat="1" applyFont="1" applyBorder="1"/>
    <xf numFmtId="43" fontId="21" fillId="0" borderId="23" xfId="0" applyNumberFormat="1" applyFont="1" applyBorder="1" applyAlignment="1">
      <alignment wrapText="1"/>
    </xf>
    <xf numFmtId="10" fontId="21" fillId="0" borderId="23" xfId="0" applyNumberFormat="1" applyFont="1" applyBorder="1" applyAlignment="1">
      <alignment wrapText="1"/>
    </xf>
    <xf numFmtId="43" fontId="21" fillId="0" borderId="0" xfId="0" applyNumberFormat="1" applyFont="1" applyAlignment="1">
      <alignment wrapText="1"/>
    </xf>
    <xf numFmtId="0" fontId="25" fillId="17" borderId="5" xfId="0" applyFont="1" applyFill="1" applyBorder="1" applyAlignment="1">
      <alignment horizontal="left" vertical="center"/>
    </xf>
    <xf numFmtId="0" fontId="27" fillId="18" borderId="7" xfId="0" applyFont="1" applyFill="1" applyBorder="1" applyAlignment="1">
      <alignment horizontal="left" vertical="center"/>
    </xf>
    <xf numFmtId="0" fontId="25" fillId="18" borderId="7" xfId="0" applyFont="1" applyFill="1" applyBorder="1" applyAlignment="1">
      <alignment horizontal="left" vertical="center"/>
    </xf>
    <xf numFmtId="0" fontId="27" fillId="18" borderId="21" xfId="0" applyFont="1" applyFill="1" applyBorder="1" applyAlignment="1">
      <alignment horizontal="left" vertical="center"/>
    </xf>
    <xf numFmtId="0" fontId="25" fillId="18" borderId="21" xfId="0" applyFont="1" applyFill="1" applyBorder="1" applyAlignment="1">
      <alignment horizontal="left" vertical="center"/>
    </xf>
    <xf numFmtId="0" fontId="25" fillId="18" borderId="10" xfId="0" applyFont="1" applyFill="1" applyBorder="1" applyAlignment="1">
      <alignment horizontal="left" vertical="center"/>
    </xf>
    <xf numFmtId="167" fontId="21" fillId="0" borderId="0" xfId="53" applyFont="1" applyFill="1"/>
    <xf numFmtId="49" fontId="22" fillId="15" borderId="23" xfId="0" applyNumberFormat="1" applyFont="1" applyFill="1" applyBorder="1" applyAlignment="1">
      <alignment horizontal="center" vertical="center"/>
    </xf>
    <xf numFmtId="0" fontId="22" fillId="15" borderId="23" xfId="0" applyFont="1" applyFill="1" applyBorder="1" applyAlignment="1">
      <alignment horizontal="center" vertical="center"/>
    </xf>
    <xf numFmtId="0" fontId="22" fillId="15" borderId="23" xfId="0" applyFont="1" applyFill="1" applyBorder="1" applyAlignment="1">
      <alignment horizontal="center" vertical="center" wrapText="1"/>
    </xf>
    <xf numFmtId="167" fontId="22" fillId="15" borderId="23" xfId="53" applyFont="1" applyFill="1" applyBorder="1" applyAlignment="1">
      <alignment horizontal="center" vertical="center" wrapText="1"/>
    </xf>
    <xf numFmtId="167" fontId="22" fillId="15" borderId="23" xfId="53" applyFont="1" applyFill="1" applyBorder="1" applyAlignment="1">
      <alignment horizontal="center" vertical="center"/>
    </xf>
    <xf numFmtId="49" fontId="21" fillId="0" borderId="23" xfId="0" applyNumberFormat="1" applyFont="1" applyBorder="1" applyAlignment="1">
      <alignment vertical="top"/>
    </xf>
    <xf numFmtId="0" fontId="21" fillId="0" borderId="23" xfId="0" applyFont="1" applyBorder="1" applyAlignment="1">
      <alignment horizontal="left" vertical="justify"/>
    </xf>
    <xf numFmtId="0" fontId="21" fillId="0" borderId="23" xfId="0" applyFont="1" applyBorder="1" applyAlignment="1">
      <alignment horizontal="center"/>
    </xf>
    <xf numFmtId="167" fontId="21" fillId="0" borderId="23" xfId="53" applyFont="1" applyFill="1" applyBorder="1"/>
    <xf numFmtId="0" fontId="22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 wrapText="1"/>
    </xf>
    <xf numFmtId="49" fontId="21" fillId="0" borderId="23" xfId="0" applyNumberFormat="1" applyFont="1" applyBorder="1"/>
    <xf numFmtId="0" fontId="21" fillId="0" borderId="23" xfId="0" applyFont="1" applyBorder="1" applyAlignment="1">
      <alignment horizontal="justify"/>
    </xf>
    <xf numFmtId="2" fontId="21" fillId="0" borderId="23" xfId="0" applyNumberFormat="1" applyFont="1" applyBorder="1"/>
    <xf numFmtId="0" fontId="21" fillId="15" borderId="23" xfId="0" applyFont="1" applyFill="1" applyBorder="1"/>
    <xf numFmtId="0" fontId="25" fillId="18" borderId="20" xfId="0" applyFont="1" applyFill="1" applyBorder="1" applyAlignment="1">
      <alignment horizontal="left" vertical="center"/>
    </xf>
    <xf numFmtId="0" fontId="25" fillId="18" borderId="21" xfId="0" applyFont="1" applyFill="1" applyBorder="1" applyAlignment="1">
      <alignment vertical="center"/>
    </xf>
    <xf numFmtId="0" fontId="27" fillId="18" borderId="21" xfId="0" applyFont="1" applyFill="1" applyBorder="1" applyAlignment="1">
      <alignment vertical="center"/>
    </xf>
    <xf numFmtId="49" fontId="22" fillId="0" borderId="23" xfId="0" applyNumberFormat="1" applyFont="1" applyBorder="1"/>
    <xf numFmtId="0" fontId="22" fillId="0" borderId="23" xfId="0" applyFont="1" applyBorder="1" applyAlignment="1">
      <alignment horizontal="left" wrapText="1"/>
    </xf>
    <xf numFmtId="167" fontId="21" fillId="15" borderId="23" xfId="53" applyFont="1" applyFill="1" applyBorder="1" applyAlignment="1">
      <alignment horizontal="center" vertical="center"/>
    </xf>
    <xf numFmtId="10" fontId="21" fillId="15" borderId="23" xfId="109" applyNumberFormat="1" applyFont="1" applyFill="1" applyBorder="1" applyAlignment="1"/>
    <xf numFmtId="0" fontId="22" fillId="15" borderId="23" xfId="0" applyFont="1" applyFill="1" applyBorder="1"/>
    <xf numFmtId="0" fontId="22" fillId="0" borderId="23" xfId="0" applyFont="1" applyBorder="1"/>
    <xf numFmtId="167" fontId="22" fillId="15" borderId="23" xfId="53" applyFont="1" applyFill="1" applyBorder="1"/>
    <xf numFmtId="49" fontId="22" fillId="0" borderId="23" xfId="108" applyNumberFormat="1" applyFont="1" applyFill="1" applyBorder="1" applyAlignment="1" applyProtection="1">
      <alignment horizontal="left"/>
    </xf>
    <xf numFmtId="164" fontId="22" fillId="0" borderId="23" xfId="108" applyFont="1" applyFill="1" applyBorder="1" applyAlignment="1" applyProtection="1">
      <alignment horizontal="left"/>
    </xf>
    <xf numFmtId="10" fontId="22" fillId="0" borderId="23" xfId="86" applyNumberFormat="1" applyFont="1" applyBorder="1" applyAlignment="1">
      <alignment horizontal="center"/>
    </xf>
    <xf numFmtId="164" fontId="21" fillId="0" borderId="23" xfId="108" applyFont="1" applyFill="1" applyBorder="1" applyAlignment="1" applyProtection="1">
      <alignment horizontal="left"/>
    </xf>
    <xf numFmtId="164" fontId="21" fillId="0" borderId="23" xfId="108" applyFont="1" applyFill="1" applyBorder="1" applyAlignment="1" applyProtection="1">
      <alignment horizontal="left" wrapText="1"/>
    </xf>
    <xf numFmtId="10" fontId="22" fillId="19" borderId="23" xfId="86" applyNumberFormat="1" applyFont="1" applyFill="1" applyBorder="1" applyAlignment="1">
      <alignment horizontal="center"/>
    </xf>
    <xf numFmtId="10" fontId="22" fillId="21" borderId="23" xfId="86" applyNumberFormat="1" applyFont="1" applyFill="1" applyBorder="1" applyAlignment="1">
      <alignment horizontal="center"/>
    </xf>
    <xf numFmtId="10" fontId="21" fillId="0" borderId="23" xfId="109" applyNumberFormat="1" applyFont="1" applyFill="1" applyBorder="1" applyAlignment="1" applyProtection="1">
      <alignment horizontal="center" vertical="center"/>
    </xf>
    <xf numFmtId="164" fontId="22" fillId="0" borderId="23" xfId="108" applyFont="1" applyFill="1" applyBorder="1" applyAlignment="1" applyProtection="1">
      <alignment horizontal="left" wrapText="1"/>
    </xf>
    <xf numFmtId="167" fontId="22" fillId="0" borderId="23" xfId="54" applyFont="1" applyBorder="1"/>
    <xf numFmtId="0" fontId="22" fillId="0" borderId="23" xfId="49" applyFont="1" applyBorder="1" applyAlignment="1">
      <alignment horizontal="right"/>
    </xf>
    <xf numFmtId="10" fontId="22" fillId="0" borderId="23" xfId="83" applyNumberFormat="1" applyFont="1" applyBorder="1"/>
    <xf numFmtId="167" fontId="21" fillId="0" borderId="23" xfId="54" applyFont="1" applyBorder="1"/>
    <xf numFmtId="0" fontId="29" fillId="0" borderId="23" xfId="0" applyFont="1" applyBorder="1"/>
    <xf numFmtId="49" fontId="21" fillId="21" borderId="23" xfId="0" applyNumberFormat="1" applyFont="1" applyFill="1" applyBorder="1"/>
    <xf numFmtId="0" fontId="21" fillId="21" borderId="23" xfId="0" applyFont="1" applyFill="1" applyBorder="1" applyAlignment="1">
      <alignment horizontal="justify"/>
    </xf>
    <xf numFmtId="0" fontId="21" fillId="21" borderId="23" xfId="0" applyFont="1" applyFill="1" applyBorder="1" applyAlignment="1">
      <alignment horizontal="center"/>
    </xf>
    <xf numFmtId="2" fontId="21" fillId="21" borderId="23" xfId="0" applyNumberFormat="1" applyFont="1" applyFill="1" applyBorder="1"/>
    <xf numFmtId="167" fontId="21" fillId="21" borderId="23" xfId="53" applyFont="1" applyFill="1" applyBorder="1"/>
    <xf numFmtId="0" fontId="21" fillId="21" borderId="23" xfId="0" applyFont="1" applyFill="1" applyBorder="1"/>
    <xf numFmtId="164" fontId="22" fillId="0" borderId="23" xfId="108" applyFont="1" applyFill="1" applyBorder="1" applyAlignment="1" applyProtection="1">
      <alignment horizontal="left" vertical="center"/>
    </xf>
    <xf numFmtId="10" fontId="22" fillId="22" borderId="23" xfId="86" applyNumberFormat="1" applyFont="1" applyFill="1" applyBorder="1" applyAlignment="1">
      <alignment horizontal="center" vertical="center" wrapText="1"/>
    </xf>
    <xf numFmtId="10" fontId="22" fillId="16" borderId="23" xfId="86" applyNumberFormat="1" applyFont="1" applyFill="1" applyBorder="1" applyAlignment="1">
      <alignment horizontal="center"/>
    </xf>
    <xf numFmtId="10" fontId="22" fillId="23" borderId="23" xfId="86" applyNumberFormat="1" applyFont="1" applyFill="1" applyBorder="1" applyAlignment="1">
      <alignment horizontal="center"/>
    </xf>
    <xf numFmtId="164" fontId="21" fillId="21" borderId="23" xfId="108" applyFont="1" applyFill="1" applyBorder="1" applyAlignment="1" applyProtection="1">
      <alignment horizontal="left" wrapText="1"/>
    </xf>
    <xf numFmtId="49" fontId="21" fillId="0" borderId="30" xfId="0" applyNumberFormat="1" applyFont="1" applyBorder="1" applyAlignment="1">
      <alignment horizontal="right" vertical="top" wrapText="1"/>
    </xf>
    <xf numFmtId="49" fontId="21" fillId="0" borderId="9" xfId="0" applyNumberFormat="1" applyFont="1" applyBorder="1" applyAlignment="1">
      <alignment horizontal="right" vertical="top" wrapText="1"/>
    </xf>
    <xf numFmtId="49" fontId="21" fillId="0" borderId="31" xfId="0" applyNumberFormat="1" applyFont="1" applyBorder="1" applyAlignment="1">
      <alignment horizontal="right" vertical="top" wrapText="1"/>
    </xf>
    <xf numFmtId="49" fontId="21" fillId="0" borderId="30" xfId="0" applyNumberFormat="1" applyFont="1" applyBorder="1" applyAlignment="1">
      <alignment horizontal="center" vertical="top" wrapText="1"/>
    </xf>
    <xf numFmtId="49" fontId="21" fillId="0" borderId="9" xfId="0" applyNumberFormat="1" applyFont="1" applyBorder="1" applyAlignment="1">
      <alignment horizontal="center" vertical="top" wrapText="1"/>
    </xf>
    <xf numFmtId="49" fontId="21" fillId="0" borderId="31" xfId="0" applyNumberFormat="1" applyFont="1" applyBorder="1" applyAlignment="1">
      <alignment horizontal="center" vertical="top" wrapText="1"/>
    </xf>
    <xf numFmtId="0" fontId="25" fillId="17" borderId="0" xfId="0" applyFont="1" applyFill="1" applyAlignment="1">
      <alignment horizontal="left" vertical="center"/>
    </xf>
    <xf numFmtId="0" fontId="23" fillId="0" borderId="3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2" fillId="15" borderId="23" xfId="0" applyFont="1" applyFill="1" applyBorder="1" applyAlignment="1">
      <alignment horizontal="right" wrapText="1"/>
    </xf>
    <xf numFmtId="0" fontId="27" fillId="18" borderId="9" xfId="0" applyFont="1" applyFill="1" applyBorder="1" applyAlignment="1">
      <alignment horizontal="left" vertical="center" wrapText="1"/>
    </xf>
    <xf numFmtId="0" fontId="27" fillId="15" borderId="9" xfId="65" applyFont="1" applyFill="1" applyBorder="1" applyAlignment="1">
      <alignment horizontal="left" vertical="center" wrapText="1"/>
    </xf>
    <xf numFmtId="0" fontId="22" fillId="15" borderId="23" xfId="71" applyFont="1" applyFill="1" applyBorder="1" applyAlignment="1">
      <alignment horizontal="center" vertical="center" wrapText="1"/>
    </xf>
    <xf numFmtId="0" fontId="12" fillId="0" borderId="32" xfId="49" applyFont="1" applyBorder="1" applyAlignment="1">
      <alignment horizontal="left" vertical="top"/>
    </xf>
    <xf numFmtId="0" fontId="12" fillId="0" borderId="22" xfId="49" applyFont="1" applyBorder="1" applyAlignment="1">
      <alignment horizontal="left" vertical="top"/>
    </xf>
    <xf numFmtId="0" fontId="22" fillId="0" borderId="23" xfId="49" applyFont="1" applyBorder="1" applyAlignment="1">
      <alignment horizontal="left"/>
    </xf>
    <xf numFmtId="0" fontId="22" fillId="0" borderId="23" xfId="49" applyFont="1" applyBorder="1" applyAlignment="1">
      <alignment horizontal="right"/>
    </xf>
    <xf numFmtId="0" fontId="27" fillId="18" borderId="22" xfId="0" applyFont="1" applyFill="1" applyBorder="1" applyAlignment="1">
      <alignment horizontal="left" vertical="center" wrapText="1"/>
    </xf>
    <xf numFmtId="0" fontId="27" fillId="18" borderId="11" xfId="0" applyFont="1" applyFill="1" applyBorder="1" applyAlignment="1">
      <alignment horizontal="center" vertical="center" wrapText="1"/>
    </xf>
    <xf numFmtId="0" fontId="27" fillId="15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110">
    <cellStyle name="20% - Ênfase1 2" xfId="1"/>
    <cellStyle name="20% - Ênfase1 3" xfId="2"/>
    <cellStyle name="20% - Ênfase1 4" xfId="3"/>
    <cellStyle name="20% - Ênfase1 5" xfId="4"/>
    <cellStyle name="20% - Ênfase2 2" xfId="5"/>
    <cellStyle name="20% - Ênfase2 3" xfId="6"/>
    <cellStyle name="20% - Ênfase2 4" xfId="7"/>
    <cellStyle name="20% - Ênfase2 5" xfId="8"/>
    <cellStyle name="20% - Ênfase3 2" xfId="9"/>
    <cellStyle name="20% - Ênfase3 3" xfId="10"/>
    <cellStyle name="20% - Ênfase3 4" xfId="11"/>
    <cellStyle name="20% - Ênfase3 5" xfId="12"/>
    <cellStyle name="20% - Ênfase4 2" xfId="13"/>
    <cellStyle name="20% - Ênfase4 3" xfId="14"/>
    <cellStyle name="20% - Ênfase4 4" xfId="15"/>
    <cellStyle name="20% - Ênfase4 5" xfId="16"/>
    <cellStyle name="20% - Ênfase5 2" xfId="17"/>
    <cellStyle name="20% - Ênfase5 3" xfId="18"/>
    <cellStyle name="20% - Ênfase5 4" xfId="19"/>
    <cellStyle name="20% - Ênfase5 5" xfId="20"/>
    <cellStyle name="20% - Ênfase6 2" xfId="21"/>
    <cellStyle name="20% - Ênfase6 3" xfId="22"/>
    <cellStyle name="20% - Ênfase6 4" xfId="23"/>
    <cellStyle name="20% - Ênfase6 5" xfId="24"/>
    <cellStyle name="40% - Ênfase1 2" xfId="25"/>
    <cellStyle name="40% - Ênfase1 3" xfId="26"/>
    <cellStyle name="40% - Ênfase1 4" xfId="27"/>
    <cellStyle name="40% - Ênfase1 5" xfId="28"/>
    <cellStyle name="40% - Ênfase2 2" xfId="29"/>
    <cellStyle name="40% - Ênfase2 3" xfId="30"/>
    <cellStyle name="40% - Ênfase2 4" xfId="31"/>
    <cellStyle name="40% - Ênfase2 5" xfId="32"/>
    <cellStyle name="40% - Ênfase3 2" xfId="33"/>
    <cellStyle name="40% - Ênfase3 3" xfId="34"/>
    <cellStyle name="40% - Ênfase3 4" xfId="35"/>
    <cellStyle name="40% - Ênfase3 5" xfId="36"/>
    <cellStyle name="40% - Ênfase4 2" xfId="37"/>
    <cellStyle name="40% - Ênfase4 3" xfId="38"/>
    <cellStyle name="40% - Ênfase4 4" xfId="39"/>
    <cellStyle name="40% - Ênfase4 5" xfId="40"/>
    <cellStyle name="40% - Ênfase5 2" xfId="41"/>
    <cellStyle name="40% - Ênfase5 3" xfId="42"/>
    <cellStyle name="40% - Ênfase5 4" xfId="43"/>
    <cellStyle name="40% - Ênfase5 5" xfId="44"/>
    <cellStyle name="40% - Ênfase6 2" xfId="45"/>
    <cellStyle name="40% - Ênfase6 3" xfId="46"/>
    <cellStyle name="40% - Ênfase6 4" xfId="47"/>
    <cellStyle name="40% - Ênfase6 5" xfId="48"/>
    <cellStyle name="Excel Built-in Normal" xfId="49"/>
    <cellStyle name="Gameleira" xfId="50"/>
    <cellStyle name="Hiperlink 2" xfId="51"/>
    <cellStyle name="Hyperlink 2" xfId="52"/>
    <cellStyle name="Moeda" xfId="53" builtinId="4"/>
    <cellStyle name="Moeda 2" xfId="54"/>
    <cellStyle name="Moeda 2 2" xfId="55"/>
    <cellStyle name="Moeda 3" xfId="56"/>
    <cellStyle name="Moeda 3 2" xfId="57"/>
    <cellStyle name="Moeda 3 3" xfId="58"/>
    <cellStyle name="Moeda 3 4" xfId="59"/>
    <cellStyle name="Moeda 3 5" xfId="60"/>
    <cellStyle name="Moeda 3 6" xfId="61"/>
    <cellStyle name="Moeda 3 7" xfId="62"/>
    <cellStyle name="Moeda 4" xfId="63"/>
    <cellStyle name="Moeda_Igreja Santanda-TO_R02 2" xfId="108"/>
    <cellStyle name="Normal" xfId="0" builtinId="0"/>
    <cellStyle name="Normal 2" xfId="64"/>
    <cellStyle name="Normal 2 2" xfId="65"/>
    <cellStyle name="Normal 2 3" xfId="66"/>
    <cellStyle name="Normal 2 4" xfId="67"/>
    <cellStyle name="Normal 2_OÇA_Ig.SagCoração_abr13" xfId="68"/>
    <cellStyle name="Normal 3" xfId="69"/>
    <cellStyle name="Normal 3 2" xfId="70"/>
    <cellStyle name="Normal 3 2 2" xfId="71"/>
    <cellStyle name="Normal 3 3" xfId="72"/>
    <cellStyle name="Normal 3_AU_PR181_08_QD_10_003_D" xfId="73"/>
    <cellStyle name="Normal 4" xfId="74"/>
    <cellStyle name="Normal 4 2" xfId="75"/>
    <cellStyle name="Normal 5" xfId="76"/>
    <cellStyle name="Normal 6" xfId="77"/>
    <cellStyle name="Nota 2" xfId="78"/>
    <cellStyle name="Nota 3" xfId="79"/>
    <cellStyle name="Nota 4" xfId="80"/>
    <cellStyle name="Nota 5" xfId="81"/>
    <cellStyle name="Nota 6" xfId="82"/>
    <cellStyle name="Porcentagem" xfId="109" builtinId="5"/>
    <cellStyle name="Porcentagem 2" xfId="83"/>
    <cellStyle name="Porcentagem 3" xfId="84"/>
    <cellStyle name="Porcentagem 4" xfId="85"/>
    <cellStyle name="Porcentagem_ORÇA_CONCEIÇÃO-fev13_REV01" xfId="86"/>
    <cellStyle name="Separador de milhares 2" xfId="87"/>
    <cellStyle name="Separador de milhares 2 2" xfId="88"/>
    <cellStyle name="Separador de milhares 2_ORÇA_CONCEIÇÃO-fev13_REV01" xfId="89"/>
    <cellStyle name="Separador de milhares 3" xfId="90"/>
    <cellStyle name="Separador de milhares 3 2" xfId="91"/>
    <cellStyle name="Separador de milhares 4" xfId="92"/>
    <cellStyle name="Separador de milhares 5" xfId="93"/>
    <cellStyle name="Separador de milhares 6" xfId="94"/>
    <cellStyle name="Separador de milhares 7" xfId="95"/>
    <cellStyle name="Separador de milhares 8" xfId="96"/>
    <cellStyle name="Título 1 1" xfId="97"/>
    <cellStyle name="Título 1 1 1" xfId="98"/>
    <cellStyle name="Total 2" xfId="99"/>
    <cellStyle name="Vírgula 2" xfId="100"/>
    <cellStyle name="Vírgula 2 2" xfId="101"/>
    <cellStyle name="Vírgula 2 2 2" xfId="102"/>
    <cellStyle name="Vírgula 2 2 3" xfId="103"/>
    <cellStyle name="Vírgula 2 3" xfId="104"/>
    <cellStyle name="Vírgula 2_ORÇA_CONCEIÇÃO-fev13_REV01" xfId="105"/>
    <cellStyle name="Vírgula 3" xfId="106"/>
    <cellStyle name="Währung" xfId="1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394607</xdr:colOff>
      <xdr:row>1</xdr:row>
      <xdr:rowOff>176894</xdr:rowOff>
    </xdr:from>
    <xdr:to>
      <xdr:col>12</xdr:col>
      <xdr:colOff>272143</xdr:colOff>
      <xdr:row>24</xdr:row>
      <xdr:rowOff>6804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6678" t="24300" r="32055" b="12076"/>
        <a:stretch>
          <a:fillRect/>
        </a:stretch>
      </xdr:blipFill>
      <xdr:spPr bwMode="auto">
        <a:xfrm>
          <a:off x="2223407" y="319769"/>
          <a:ext cx="5363936" cy="35351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Zeros="0" tabSelected="1" view="pageBreakPreview" topLeftCell="A22" zoomScaleSheetLayoutView="100" workbookViewId="0">
      <selection activeCell="I22" sqref="I22"/>
    </sheetView>
  </sheetViews>
  <sheetFormatPr defaultColWidth="9.140625" defaultRowHeight="12.75"/>
  <cols>
    <col min="1" max="1" width="6.7109375" style="6" customWidth="1"/>
    <col min="2" max="2" width="55.140625" style="3" customWidth="1"/>
    <col min="3" max="3" width="7.42578125" style="7" customWidth="1"/>
    <col min="4" max="4" width="8.42578125" style="1" bestFit="1" customWidth="1"/>
    <col min="5" max="5" width="13.5703125" style="5" customWidth="1"/>
    <col min="6" max="6" width="19.85546875" style="5" bestFit="1" customWidth="1"/>
    <col min="7" max="7" width="37.5703125" style="1" customWidth="1"/>
    <col min="8" max="16384" width="9.140625" style="1"/>
  </cols>
  <sheetData>
    <row r="1" spans="1:7" ht="13.5" thickBot="1">
      <c r="A1" s="55" t="s">
        <v>0</v>
      </c>
      <c r="B1" s="56"/>
      <c r="C1" s="56"/>
      <c r="D1" s="161" t="s">
        <v>1</v>
      </c>
      <c r="E1" s="161"/>
      <c r="F1" s="161"/>
      <c r="G1" s="161"/>
    </row>
    <row r="2" spans="1:7">
      <c r="A2" s="57" t="s">
        <v>2</v>
      </c>
      <c r="B2" s="58"/>
      <c r="C2" s="58"/>
      <c r="D2" s="59" t="s">
        <v>3</v>
      </c>
      <c r="E2" s="59"/>
      <c r="F2" s="59"/>
      <c r="G2" s="59"/>
    </row>
    <row r="3" spans="1:7" ht="15" customHeight="1">
      <c r="A3" s="120" t="s">
        <v>4</v>
      </c>
      <c r="B3" s="121"/>
      <c r="C3" s="121"/>
      <c r="D3" s="122" t="s">
        <v>5</v>
      </c>
      <c r="E3" s="122"/>
      <c r="F3" s="122"/>
      <c r="G3" s="122"/>
    </row>
    <row r="4" spans="1:7" ht="34.5" customHeight="1">
      <c r="A4" s="60" t="s">
        <v>6</v>
      </c>
      <c r="B4" s="61"/>
      <c r="C4" s="61"/>
      <c r="D4" s="165" t="s">
        <v>7</v>
      </c>
      <c r="E4" s="165"/>
      <c r="F4" s="165"/>
      <c r="G4" s="165"/>
    </row>
    <row r="5" spans="1:7" s="2" customFormat="1" ht="31.5" customHeight="1">
      <c r="A5" s="105" t="s">
        <v>8</v>
      </c>
      <c r="B5" s="106" t="s">
        <v>9</v>
      </c>
      <c r="C5" s="106" t="s">
        <v>10</v>
      </c>
      <c r="D5" s="107" t="s">
        <v>11</v>
      </c>
      <c r="E5" s="108" t="s">
        <v>12</v>
      </c>
      <c r="F5" s="109" t="s">
        <v>13</v>
      </c>
      <c r="G5" s="106" t="s">
        <v>14</v>
      </c>
    </row>
    <row r="6" spans="1:7" ht="5.25" customHeight="1">
      <c r="A6" s="110"/>
      <c r="B6" s="111"/>
      <c r="C6" s="112"/>
      <c r="D6" s="29"/>
      <c r="E6" s="113"/>
      <c r="F6" s="113"/>
      <c r="G6" s="29"/>
    </row>
    <row r="7" spans="1:7">
      <c r="A7" s="123" t="s">
        <v>15</v>
      </c>
      <c r="B7" s="124" t="s">
        <v>16</v>
      </c>
      <c r="C7" s="114"/>
      <c r="D7" s="115"/>
      <c r="E7" s="115"/>
      <c r="F7" s="115"/>
      <c r="G7" s="29"/>
    </row>
    <row r="8" spans="1:7">
      <c r="A8" s="116" t="s">
        <v>17</v>
      </c>
      <c r="B8" s="117" t="s">
        <v>18</v>
      </c>
      <c r="C8" s="112" t="s">
        <v>19</v>
      </c>
      <c r="D8" s="118">
        <v>666</v>
      </c>
      <c r="E8" s="30">
        <v>28.64</v>
      </c>
      <c r="F8" s="30">
        <f t="shared" ref="F8:F19" si="0">D8*E8</f>
        <v>19074.240000000002</v>
      </c>
      <c r="G8" s="29" t="s">
        <v>20</v>
      </c>
    </row>
    <row r="9" spans="1:7">
      <c r="A9" s="116" t="s">
        <v>21</v>
      </c>
      <c r="B9" s="117" t="s">
        <v>22</v>
      </c>
      <c r="C9" s="112" t="s">
        <v>19</v>
      </c>
      <c r="D9" s="118">
        <v>666</v>
      </c>
      <c r="E9" s="30">
        <v>238.63</v>
      </c>
      <c r="F9" s="30">
        <f t="shared" si="0"/>
        <v>158927.57999999999</v>
      </c>
      <c r="G9" s="29" t="s">
        <v>23</v>
      </c>
    </row>
    <row r="10" spans="1:7">
      <c r="A10" s="116" t="s">
        <v>24</v>
      </c>
      <c r="B10" s="117" t="s">
        <v>25</v>
      </c>
      <c r="C10" s="112" t="s">
        <v>19</v>
      </c>
      <c r="D10" s="118">
        <v>666</v>
      </c>
      <c r="E10" s="113">
        <v>57.27</v>
      </c>
      <c r="F10" s="113">
        <f t="shared" si="0"/>
        <v>38141.82</v>
      </c>
      <c r="G10" s="29" t="s">
        <v>26</v>
      </c>
    </row>
    <row r="11" spans="1:7">
      <c r="A11" s="116" t="s">
        <v>27</v>
      </c>
      <c r="B11" s="117" t="s">
        <v>28</v>
      </c>
      <c r="C11" s="112" t="s">
        <v>19</v>
      </c>
      <c r="D11" s="118">
        <v>666</v>
      </c>
      <c r="E11" s="113">
        <f>19.09*2</f>
        <v>38.18</v>
      </c>
      <c r="F11" s="113">
        <f t="shared" si="0"/>
        <v>25427.88</v>
      </c>
      <c r="G11" s="29" t="s">
        <v>29</v>
      </c>
    </row>
    <row r="12" spans="1:7" ht="13.9" customHeight="1">
      <c r="A12" s="116" t="s">
        <v>30</v>
      </c>
      <c r="B12" s="117" t="s">
        <v>31</v>
      </c>
      <c r="C12" s="112" t="s">
        <v>19</v>
      </c>
      <c r="D12" s="118">
        <v>666</v>
      </c>
      <c r="E12" s="113">
        <v>19.09</v>
      </c>
      <c r="F12" s="113">
        <f t="shared" si="0"/>
        <v>12713.94</v>
      </c>
      <c r="G12" s="29" t="s">
        <v>32</v>
      </c>
    </row>
    <row r="13" spans="1:7">
      <c r="A13" s="116" t="s">
        <v>33</v>
      </c>
      <c r="B13" s="117" t="s">
        <v>34</v>
      </c>
      <c r="C13" s="112" t="s">
        <v>19</v>
      </c>
      <c r="D13" s="118">
        <v>666</v>
      </c>
      <c r="E13" s="113">
        <v>38.18</v>
      </c>
      <c r="F13" s="113">
        <f t="shared" si="0"/>
        <v>25427.88</v>
      </c>
      <c r="G13" s="29" t="s">
        <v>35</v>
      </c>
    </row>
    <row r="14" spans="1:7">
      <c r="A14" s="116" t="s">
        <v>36</v>
      </c>
      <c r="B14" s="117" t="s">
        <v>37</v>
      </c>
      <c r="C14" s="112" t="s">
        <v>19</v>
      </c>
      <c r="D14" s="118">
        <v>666</v>
      </c>
      <c r="E14" s="113">
        <v>19.09</v>
      </c>
      <c r="F14" s="113">
        <f t="shared" si="0"/>
        <v>12713.94</v>
      </c>
      <c r="G14" s="29" t="s">
        <v>38</v>
      </c>
    </row>
    <row r="15" spans="1:7">
      <c r="A15" s="116" t="s">
        <v>39</v>
      </c>
      <c r="B15" s="117" t="s">
        <v>40</v>
      </c>
      <c r="C15" s="112" t="s">
        <v>19</v>
      </c>
      <c r="D15" s="118">
        <v>666</v>
      </c>
      <c r="E15" s="30">
        <v>28.64</v>
      </c>
      <c r="F15" s="113">
        <f t="shared" si="0"/>
        <v>19074.240000000002</v>
      </c>
      <c r="G15" s="29" t="s">
        <v>41</v>
      </c>
    </row>
    <row r="16" spans="1:7">
      <c r="A16" s="116" t="s">
        <v>42</v>
      </c>
      <c r="B16" s="117" t="s">
        <v>43</v>
      </c>
      <c r="C16" s="112" t="s">
        <v>19</v>
      </c>
      <c r="D16" s="118">
        <v>666</v>
      </c>
      <c r="E16" s="113">
        <v>38.18</v>
      </c>
      <c r="F16" s="113">
        <f t="shared" si="0"/>
        <v>25427.88</v>
      </c>
      <c r="G16" s="29" t="s">
        <v>44</v>
      </c>
    </row>
    <row r="17" spans="1:7">
      <c r="A17" s="116" t="s">
        <v>45</v>
      </c>
      <c r="B17" s="117" t="s">
        <v>46</v>
      </c>
      <c r="C17" s="112" t="s">
        <v>19</v>
      </c>
      <c r="D17" s="118">
        <v>666</v>
      </c>
      <c r="E17" s="113">
        <v>19.09</v>
      </c>
      <c r="F17" s="113">
        <f t="shared" si="0"/>
        <v>12713.94</v>
      </c>
      <c r="G17" s="29" t="s">
        <v>47</v>
      </c>
    </row>
    <row r="18" spans="1:7">
      <c r="A18" s="116" t="s">
        <v>48</v>
      </c>
      <c r="B18" s="117" t="s">
        <v>49</v>
      </c>
      <c r="C18" s="112" t="s">
        <v>19</v>
      </c>
      <c r="D18" s="118">
        <v>2100</v>
      </c>
      <c r="E18" s="113">
        <v>8.1999999999999993</v>
      </c>
      <c r="F18" s="113">
        <f t="shared" si="0"/>
        <v>17220</v>
      </c>
      <c r="G18" s="29" t="s">
        <v>50</v>
      </c>
    </row>
    <row r="19" spans="1:7">
      <c r="A19" s="116" t="s">
        <v>51</v>
      </c>
      <c r="B19" s="117" t="s">
        <v>52</v>
      </c>
      <c r="C19" s="112" t="s">
        <v>19</v>
      </c>
      <c r="D19" s="118">
        <v>2100</v>
      </c>
      <c r="E19" s="113">
        <v>11.56</v>
      </c>
      <c r="F19" s="113">
        <f t="shared" si="0"/>
        <v>24276</v>
      </c>
      <c r="G19" s="29" t="s">
        <v>53</v>
      </c>
    </row>
    <row r="20" spans="1:7">
      <c r="A20" s="116" t="s">
        <v>54</v>
      </c>
      <c r="B20" s="117" t="s">
        <v>55</v>
      </c>
      <c r="C20" s="112" t="s">
        <v>19</v>
      </c>
      <c r="D20" s="118">
        <v>666</v>
      </c>
      <c r="E20" s="113">
        <v>38.18</v>
      </c>
      <c r="F20" s="113">
        <f t="shared" ref="F20:F27" si="1">D20*E20</f>
        <v>25427.88</v>
      </c>
      <c r="G20" s="29" t="s">
        <v>56</v>
      </c>
    </row>
    <row r="21" spans="1:7">
      <c r="A21" s="116" t="s">
        <v>57</v>
      </c>
      <c r="B21" s="117" t="s">
        <v>58</v>
      </c>
      <c r="C21" s="112" t="s">
        <v>19</v>
      </c>
      <c r="D21" s="118">
        <v>666</v>
      </c>
      <c r="E21" s="113">
        <v>38.18</v>
      </c>
      <c r="F21" s="113">
        <f t="shared" si="1"/>
        <v>25427.88</v>
      </c>
      <c r="G21" s="29" t="s">
        <v>59</v>
      </c>
    </row>
    <row r="22" spans="1:7">
      <c r="A22" s="116" t="s">
        <v>60</v>
      </c>
      <c r="B22" s="117" t="s">
        <v>61</v>
      </c>
      <c r="C22" s="112" t="s">
        <v>19</v>
      </c>
      <c r="D22" s="118">
        <v>666</v>
      </c>
      <c r="E22" s="113">
        <v>38.18</v>
      </c>
      <c r="F22" s="113">
        <f t="shared" si="1"/>
        <v>25427.88</v>
      </c>
      <c r="G22" s="29" t="s">
        <v>62</v>
      </c>
    </row>
    <row r="23" spans="1:7">
      <c r="A23" s="144" t="s">
        <v>63</v>
      </c>
      <c r="B23" s="145" t="s">
        <v>64</v>
      </c>
      <c r="C23" s="146" t="s">
        <v>19</v>
      </c>
      <c r="D23" s="147">
        <v>666</v>
      </c>
      <c r="E23" s="148">
        <v>246.42</v>
      </c>
      <c r="F23" s="148">
        <f t="shared" si="1"/>
        <v>164115.72</v>
      </c>
      <c r="G23" s="149" t="s">
        <v>65</v>
      </c>
    </row>
    <row r="24" spans="1:7">
      <c r="A24" s="116" t="s">
        <v>66</v>
      </c>
      <c r="B24" s="117" t="s">
        <v>67</v>
      </c>
      <c r="C24" s="112" t="s">
        <v>19</v>
      </c>
      <c r="D24" s="118">
        <v>1000</v>
      </c>
      <c r="E24" s="30">
        <v>18.600000000000001</v>
      </c>
      <c r="F24" s="113">
        <f t="shared" si="1"/>
        <v>18600</v>
      </c>
      <c r="G24" s="29" t="s">
        <v>68</v>
      </c>
    </row>
    <row r="25" spans="1:7">
      <c r="A25" s="116" t="s">
        <v>69</v>
      </c>
      <c r="B25" s="117" t="s">
        <v>70</v>
      </c>
      <c r="C25" s="112" t="s">
        <v>19</v>
      </c>
      <c r="D25" s="118">
        <v>666</v>
      </c>
      <c r="E25" s="113">
        <f>19.09+19.09</f>
        <v>38.18</v>
      </c>
      <c r="F25" s="113">
        <f t="shared" si="1"/>
        <v>25427.88</v>
      </c>
      <c r="G25" s="29" t="s">
        <v>71</v>
      </c>
    </row>
    <row r="26" spans="1:7">
      <c r="A26" s="116" t="s">
        <v>72</v>
      </c>
      <c r="B26" s="117" t="s">
        <v>73</v>
      </c>
      <c r="C26" s="112" t="s">
        <v>19</v>
      </c>
      <c r="D26" s="118">
        <v>666</v>
      </c>
      <c r="E26" s="113">
        <f>19.09+28.64</f>
        <v>47.730000000000004</v>
      </c>
      <c r="F26" s="113">
        <f t="shared" si="1"/>
        <v>31788.180000000004</v>
      </c>
      <c r="G26" s="29" t="s">
        <v>74</v>
      </c>
    </row>
    <row r="27" spans="1:7">
      <c r="A27" s="116" t="s">
        <v>75</v>
      </c>
      <c r="B27" s="117" t="s">
        <v>76</v>
      </c>
      <c r="C27" s="112" t="s">
        <v>19</v>
      </c>
      <c r="D27" s="118">
        <v>666</v>
      </c>
      <c r="E27" s="113">
        <v>17</v>
      </c>
      <c r="F27" s="113">
        <f t="shared" si="1"/>
        <v>11322</v>
      </c>
      <c r="G27" s="29" t="s">
        <v>77</v>
      </c>
    </row>
    <row r="28" spans="1:7">
      <c r="A28" s="116"/>
      <c r="B28" s="119" t="s">
        <v>78</v>
      </c>
      <c r="C28" s="119"/>
      <c r="D28" s="119"/>
      <c r="E28" s="119"/>
      <c r="F28" s="125">
        <f>SUM(F8:F27)</f>
        <v>718676.76</v>
      </c>
      <c r="G28" s="29"/>
    </row>
    <row r="29" spans="1:7">
      <c r="A29" s="29"/>
      <c r="B29" s="119" t="s">
        <v>79</v>
      </c>
      <c r="C29" s="119"/>
      <c r="D29" s="119"/>
      <c r="E29" s="126">
        <f>'Cálculo de BDI'!C23</f>
        <v>0.25059999999999993</v>
      </c>
      <c r="F29" s="119"/>
      <c r="G29" s="143" t="s">
        <v>80</v>
      </c>
    </row>
    <row r="30" spans="1:7">
      <c r="A30" s="29"/>
      <c r="B30" s="127" t="s">
        <v>81</v>
      </c>
      <c r="C30" s="127"/>
      <c r="D30" s="127"/>
      <c r="E30" s="127"/>
      <c r="F30" s="109">
        <f>TRUNC(SUM(F8:F27)*(1+E29),2)</f>
        <v>898777.15</v>
      </c>
      <c r="G30" s="128"/>
    </row>
    <row r="31" spans="1:7">
      <c r="A31" s="29"/>
      <c r="B31" s="127"/>
      <c r="C31" s="127"/>
      <c r="D31" s="127"/>
      <c r="E31" s="127"/>
      <c r="F31" s="109"/>
      <c r="G31" s="128"/>
    </row>
    <row r="32" spans="1:7">
      <c r="A32" s="123" t="s">
        <v>82</v>
      </c>
      <c r="B32" s="124" t="s">
        <v>83</v>
      </c>
      <c r="C32" s="112"/>
      <c r="D32" s="29"/>
      <c r="E32" s="113"/>
      <c r="F32" s="113"/>
      <c r="G32" s="29"/>
    </row>
    <row r="33" spans="1:7">
      <c r="A33" s="116" t="s">
        <v>84</v>
      </c>
      <c r="B33" s="117" t="s">
        <v>22</v>
      </c>
      <c r="C33" s="112" t="s">
        <v>19</v>
      </c>
      <c r="D33" s="118">
        <v>245</v>
      </c>
      <c r="E33" s="30">
        <v>226.58</v>
      </c>
      <c r="F33" s="113">
        <f>D33*E33</f>
        <v>55512.100000000006</v>
      </c>
      <c r="G33" s="29" t="s">
        <v>23</v>
      </c>
    </row>
    <row r="34" spans="1:7">
      <c r="A34" s="116" t="s">
        <v>85</v>
      </c>
      <c r="B34" s="117" t="s">
        <v>25</v>
      </c>
      <c r="C34" s="112" t="s">
        <v>19</v>
      </c>
      <c r="D34" s="118">
        <v>245</v>
      </c>
      <c r="E34" s="113">
        <v>67.97</v>
      </c>
      <c r="F34" s="113">
        <f t="shared" ref="F34:F44" si="2">D34*E34</f>
        <v>16652.650000000001</v>
      </c>
      <c r="G34" s="29" t="s">
        <v>26</v>
      </c>
    </row>
    <row r="35" spans="1:7">
      <c r="A35" s="116" t="s">
        <v>86</v>
      </c>
      <c r="B35" s="117" t="s">
        <v>28</v>
      </c>
      <c r="C35" s="112" t="s">
        <v>19</v>
      </c>
      <c r="D35" s="118">
        <v>245</v>
      </c>
      <c r="E35" s="113">
        <f>22.66*2</f>
        <v>45.32</v>
      </c>
      <c r="F35" s="113">
        <f t="shared" si="2"/>
        <v>11103.4</v>
      </c>
      <c r="G35" s="29" t="s">
        <v>29</v>
      </c>
    </row>
    <row r="36" spans="1:7">
      <c r="A36" s="116" t="s">
        <v>87</v>
      </c>
      <c r="B36" s="117" t="s">
        <v>31</v>
      </c>
      <c r="C36" s="112" t="s">
        <v>19</v>
      </c>
      <c r="D36" s="118">
        <v>245</v>
      </c>
      <c r="E36" s="113">
        <v>22.66</v>
      </c>
      <c r="F36" s="113">
        <f t="shared" si="2"/>
        <v>5551.7</v>
      </c>
      <c r="G36" s="29" t="s">
        <v>32</v>
      </c>
    </row>
    <row r="37" spans="1:7">
      <c r="A37" s="116" t="s">
        <v>88</v>
      </c>
      <c r="B37" s="117" t="s">
        <v>89</v>
      </c>
      <c r="C37" s="112" t="s">
        <v>19</v>
      </c>
      <c r="D37" s="118">
        <v>245</v>
      </c>
      <c r="E37" s="113">
        <v>22.66</v>
      </c>
      <c r="F37" s="113">
        <f t="shared" si="2"/>
        <v>5551.7</v>
      </c>
      <c r="G37" s="29" t="s">
        <v>47</v>
      </c>
    </row>
    <row r="38" spans="1:7" ht="15" customHeight="1">
      <c r="A38" s="116" t="s">
        <v>90</v>
      </c>
      <c r="B38" s="117" t="s">
        <v>34</v>
      </c>
      <c r="C38" s="112" t="s">
        <v>19</v>
      </c>
      <c r="D38" s="118">
        <v>245</v>
      </c>
      <c r="E38" s="113">
        <v>45.32</v>
      </c>
      <c r="F38" s="113">
        <f t="shared" si="2"/>
        <v>11103.4</v>
      </c>
      <c r="G38" s="29" t="s">
        <v>35</v>
      </c>
    </row>
    <row r="39" spans="1:7">
      <c r="A39" s="116" t="s">
        <v>91</v>
      </c>
      <c r="B39" s="117" t="s">
        <v>37</v>
      </c>
      <c r="C39" s="112" t="s">
        <v>19</v>
      </c>
      <c r="D39" s="118">
        <v>245</v>
      </c>
      <c r="E39" s="113">
        <v>22.66</v>
      </c>
      <c r="F39" s="113">
        <f t="shared" si="2"/>
        <v>5551.7</v>
      </c>
      <c r="G39" s="29" t="s">
        <v>38</v>
      </c>
    </row>
    <row r="40" spans="1:7">
      <c r="A40" s="116" t="s">
        <v>92</v>
      </c>
      <c r="B40" s="117" t="s">
        <v>40</v>
      </c>
      <c r="C40" s="112" t="s">
        <v>19</v>
      </c>
      <c r="D40" s="118">
        <v>245</v>
      </c>
      <c r="E40" s="30">
        <v>33.99</v>
      </c>
      <c r="F40" s="113">
        <f t="shared" si="2"/>
        <v>8327.5500000000011</v>
      </c>
      <c r="G40" s="29" t="s">
        <v>41</v>
      </c>
    </row>
    <row r="41" spans="1:7">
      <c r="A41" s="116" t="s">
        <v>93</v>
      </c>
      <c r="B41" s="117" t="s">
        <v>43</v>
      </c>
      <c r="C41" s="112" t="s">
        <v>19</v>
      </c>
      <c r="D41" s="118">
        <v>245</v>
      </c>
      <c r="E41" s="113">
        <v>45.32</v>
      </c>
      <c r="F41" s="113">
        <f t="shared" si="2"/>
        <v>11103.4</v>
      </c>
      <c r="G41" s="29" t="s">
        <v>44</v>
      </c>
    </row>
    <row r="42" spans="1:7">
      <c r="A42" s="144" t="s">
        <v>94</v>
      </c>
      <c r="B42" s="145" t="s">
        <v>70</v>
      </c>
      <c r="C42" s="146" t="s">
        <v>19</v>
      </c>
      <c r="D42" s="147">
        <v>245</v>
      </c>
      <c r="E42" s="148">
        <f>22.66+22.66</f>
        <v>45.32</v>
      </c>
      <c r="F42" s="148">
        <f t="shared" si="2"/>
        <v>11103.4</v>
      </c>
      <c r="G42" s="149" t="s">
        <v>71</v>
      </c>
    </row>
    <row r="43" spans="1:7">
      <c r="A43" s="144" t="s">
        <v>95</v>
      </c>
      <c r="B43" s="145" t="s">
        <v>73</v>
      </c>
      <c r="C43" s="146" t="s">
        <v>19</v>
      </c>
      <c r="D43" s="147">
        <v>245</v>
      </c>
      <c r="E43" s="148">
        <f>33.99+22.66</f>
        <v>56.650000000000006</v>
      </c>
      <c r="F43" s="148">
        <f t="shared" si="2"/>
        <v>13879.250000000002</v>
      </c>
      <c r="G43" s="149" t="s">
        <v>74</v>
      </c>
    </row>
    <row r="44" spans="1:7">
      <c r="A44" s="144" t="s">
        <v>96</v>
      </c>
      <c r="B44" s="145" t="s">
        <v>76</v>
      </c>
      <c r="C44" s="146" t="s">
        <v>19</v>
      </c>
      <c r="D44" s="147">
        <v>245</v>
      </c>
      <c r="E44" s="148">
        <v>17</v>
      </c>
      <c r="F44" s="148">
        <f t="shared" si="2"/>
        <v>4165</v>
      </c>
      <c r="G44" s="149" t="s">
        <v>77</v>
      </c>
    </row>
    <row r="45" spans="1:7" ht="15" customHeight="1">
      <c r="A45" s="116"/>
      <c r="B45" s="119" t="s">
        <v>97</v>
      </c>
      <c r="C45" s="127"/>
      <c r="D45" s="127"/>
      <c r="E45" s="127"/>
      <c r="F45" s="125">
        <f>SUM(F33:F44)</f>
        <v>159605.24999999997</v>
      </c>
      <c r="G45" s="29"/>
    </row>
    <row r="46" spans="1:7" ht="15" customHeight="1">
      <c r="A46" s="116"/>
      <c r="B46" s="119" t="s">
        <v>79</v>
      </c>
      <c r="C46" s="127"/>
      <c r="D46" s="127"/>
      <c r="E46" s="126">
        <f>'Cálculo de BDI'!C23</f>
        <v>0.25059999999999993</v>
      </c>
      <c r="F46" s="127"/>
      <c r="G46" s="143" t="s">
        <v>80</v>
      </c>
    </row>
    <row r="47" spans="1:7" ht="15" customHeight="1">
      <c r="A47" s="116"/>
      <c r="B47" s="127" t="s">
        <v>98</v>
      </c>
      <c r="C47" s="127"/>
      <c r="D47" s="127"/>
      <c r="E47" s="127"/>
      <c r="F47" s="109">
        <f>TRUNC(SUM(F33:F44)*(1+E46),2)</f>
        <v>199602.32</v>
      </c>
      <c r="G47" s="29"/>
    </row>
    <row r="48" spans="1:7" ht="12.75" customHeight="1">
      <c r="A48" s="116"/>
      <c r="B48" s="127"/>
      <c r="C48" s="127"/>
      <c r="D48" s="127"/>
      <c r="E48" s="127"/>
      <c r="F48" s="109"/>
      <c r="G48" s="29"/>
    </row>
    <row r="49" spans="1:7">
      <c r="A49" s="164" t="s">
        <v>99</v>
      </c>
      <c r="B49" s="164"/>
      <c r="C49" s="164"/>
      <c r="D49" s="164"/>
      <c r="E49" s="164"/>
      <c r="F49" s="129">
        <f>F30+F47</f>
        <v>1098379.47</v>
      </c>
      <c r="G49" s="119"/>
    </row>
    <row r="50" spans="1:7">
      <c r="A50" s="158"/>
      <c r="B50" s="159"/>
      <c r="C50" s="159"/>
      <c r="D50" s="159"/>
      <c r="E50" s="159"/>
      <c r="F50" s="159"/>
      <c r="G50" s="160"/>
    </row>
    <row r="51" spans="1:7" ht="12.75" customHeight="1">
      <c r="A51" s="162" t="s">
        <v>100</v>
      </c>
      <c r="B51" s="163"/>
      <c r="C51" s="163"/>
      <c r="D51" s="163"/>
      <c r="E51" s="163"/>
      <c r="F51" s="163"/>
      <c r="G51" s="163"/>
    </row>
    <row r="52" spans="1:7" ht="12.75" customHeight="1">
      <c r="A52" s="162" t="s">
        <v>101</v>
      </c>
      <c r="B52" s="163"/>
      <c r="C52" s="163"/>
      <c r="D52" s="163"/>
      <c r="E52" s="163"/>
      <c r="F52" s="163"/>
      <c r="G52" s="163"/>
    </row>
    <row r="53" spans="1:7">
      <c r="A53" s="158"/>
      <c r="B53" s="159"/>
      <c r="C53" s="159"/>
      <c r="D53" s="159"/>
      <c r="E53" s="159"/>
      <c r="F53" s="159"/>
      <c r="G53" s="160"/>
    </row>
    <row r="54" spans="1:7" ht="12.75" customHeight="1">
      <c r="A54" s="155" t="s">
        <v>102</v>
      </c>
      <c r="B54" s="156"/>
      <c r="C54" s="156"/>
      <c r="D54" s="156"/>
      <c r="E54" s="156"/>
      <c r="F54" s="157"/>
      <c r="G54" s="31">
        <v>44470</v>
      </c>
    </row>
    <row r="55" spans="1:7">
      <c r="A55" s="4"/>
      <c r="B55" s="4"/>
      <c r="C55" s="4"/>
    </row>
  </sheetData>
  <mergeCells count="8">
    <mergeCell ref="A54:F54"/>
    <mergeCell ref="A53:G53"/>
    <mergeCell ref="A50:G50"/>
    <mergeCell ref="D1:G1"/>
    <mergeCell ref="A52:G52"/>
    <mergeCell ref="A49:E49"/>
    <mergeCell ref="A51:G51"/>
    <mergeCell ref="D4:G4"/>
  </mergeCells>
  <phoneticPr fontId="5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98" firstPageNumber="76" fitToHeight="0" orientation="landscape" useFirstPageNumber="1" r:id="rId1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9"/>
  <sheetViews>
    <sheetView view="pageBreakPreview" topLeftCell="A4" zoomScaleSheetLayoutView="100" workbookViewId="0">
      <selection activeCell="A24" sqref="A24"/>
    </sheetView>
  </sheetViews>
  <sheetFormatPr defaultColWidth="9.140625" defaultRowHeight="12.75"/>
  <cols>
    <col min="1" max="1" width="53.5703125" style="9" customWidth="1"/>
    <col min="2" max="2" width="11.140625" style="9" customWidth="1"/>
    <col min="3" max="3" width="42.85546875" style="12" customWidth="1"/>
    <col min="4" max="16384" width="9.140625" style="9"/>
  </cols>
  <sheetData>
    <row r="1" spans="1:3" ht="13.5" thickBot="1">
      <c r="A1" s="32" t="s">
        <v>103</v>
      </c>
      <c r="B1" s="33" t="s">
        <v>1</v>
      </c>
      <c r="C1" s="34"/>
    </row>
    <row r="2" spans="1:3">
      <c r="A2" s="35" t="s">
        <v>2</v>
      </c>
      <c r="B2" s="36" t="s">
        <v>3</v>
      </c>
      <c r="C2" s="37"/>
    </row>
    <row r="3" spans="1:3">
      <c r="A3" s="38" t="s">
        <v>104</v>
      </c>
      <c r="B3" s="39" t="s">
        <v>5</v>
      </c>
      <c r="C3" s="40"/>
    </row>
    <row r="4" spans="1:3" ht="51" customHeight="1">
      <c r="A4" s="38" t="s">
        <v>6</v>
      </c>
      <c r="B4" s="166" t="s">
        <v>7</v>
      </c>
      <c r="C4" s="166"/>
    </row>
    <row r="5" spans="1:3" ht="18" customHeight="1">
      <c r="A5" s="167" t="s">
        <v>105</v>
      </c>
      <c r="B5" s="167"/>
      <c r="C5" s="167"/>
    </row>
    <row r="6" spans="1:3" ht="15.75" customHeight="1">
      <c r="A6" s="41" t="s">
        <v>106</v>
      </c>
      <c r="B6" s="41" t="s">
        <v>107</v>
      </c>
      <c r="C6" s="41" t="s">
        <v>108</v>
      </c>
    </row>
    <row r="7" spans="1:3" ht="15.75" customHeight="1">
      <c r="A7" s="42" t="s">
        <v>109</v>
      </c>
      <c r="B7" s="41" t="s">
        <v>110</v>
      </c>
      <c r="C7" s="43">
        <v>3.6999999999999998E-2</v>
      </c>
    </row>
    <row r="8" spans="1:3" ht="15.75" customHeight="1">
      <c r="A8" s="42" t="s">
        <v>111</v>
      </c>
      <c r="B8" s="41" t="s">
        <v>112</v>
      </c>
      <c r="C8" s="43">
        <v>6.88E-2</v>
      </c>
    </row>
    <row r="9" spans="1:3" ht="15.75" customHeight="1">
      <c r="A9" s="42" t="s">
        <v>113</v>
      </c>
      <c r="B9" s="41" t="s">
        <v>114</v>
      </c>
      <c r="C9" s="43">
        <v>3.0999999999999999E-3</v>
      </c>
    </row>
    <row r="10" spans="1:3">
      <c r="A10" s="42" t="s">
        <v>115</v>
      </c>
      <c r="B10" s="41"/>
      <c r="C10" s="43">
        <f>SUM(C11:C12)</f>
        <v>1.41E-2</v>
      </c>
    </row>
    <row r="11" spans="1:3">
      <c r="A11" s="44" t="s">
        <v>116</v>
      </c>
      <c r="B11" s="45" t="s">
        <v>117</v>
      </c>
      <c r="C11" s="46">
        <v>5.7999999999999996E-3</v>
      </c>
    </row>
    <row r="12" spans="1:3">
      <c r="A12" s="44" t="s">
        <v>118</v>
      </c>
      <c r="B12" s="45" t="s">
        <v>119</v>
      </c>
      <c r="C12" s="46">
        <v>8.3000000000000001E-3</v>
      </c>
    </row>
    <row r="13" spans="1:3" ht="18" customHeight="1">
      <c r="A13" s="42" t="s">
        <v>120</v>
      </c>
      <c r="B13" s="41" t="s">
        <v>121</v>
      </c>
      <c r="C13" s="43">
        <f>SUM(C14:C16)</f>
        <v>9.9000000000000005E-2</v>
      </c>
    </row>
    <row r="14" spans="1:3">
      <c r="A14" s="44" t="s">
        <v>122</v>
      </c>
      <c r="B14" s="45" t="s">
        <v>123</v>
      </c>
      <c r="C14" s="46">
        <v>2.5000000000000001E-2</v>
      </c>
    </row>
    <row r="15" spans="1:3" ht="21" customHeight="1">
      <c r="A15" s="44" t="s">
        <v>124</v>
      </c>
      <c r="B15" s="45" t="s">
        <v>124</v>
      </c>
      <c r="C15" s="46">
        <v>1.32E-2</v>
      </c>
    </row>
    <row r="16" spans="1:3">
      <c r="A16" s="44" t="s">
        <v>125</v>
      </c>
      <c r="B16" s="45" t="s">
        <v>125</v>
      </c>
      <c r="C16" s="46">
        <v>6.08E-2</v>
      </c>
    </row>
    <row r="17" spans="1:3" ht="27" customHeight="1">
      <c r="A17" s="44"/>
      <c r="B17" s="45"/>
      <c r="C17" s="46"/>
    </row>
    <row r="18" spans="1:3">
      <c r="A18" s="42" t="s">
        <v>126</v>
      </c>
      <c r="B18" s="47">
        <f>(1+(C7+C10))*(1+C9)*(1+C8)</f>
        <v>1.126898268608</v>
      </c>
      <c r="C18" s="43">
        <f>B18-1</f>
        <v>0.12689826860800002</v>
      </c>
    </row>
    <row r="19" spans="1:3">
      <c r="A19" s="42" t="s">
        <v>127</v>
      </c>
      <c r="B19" s="48">
        <f>(1-(C13+C17))</f>
        <v>0.90100000000000002</v>
      </c>
      <c r="C19" s="49">
        <f>B19</f>
        <v>0.90100000000000002</v>
      </c>
    </row>
    <row r="20" spans="1:3">
      <c r="A20" s="42"/>
      <c r="B20" s="42"/>
      <c r="C20" s="50"/>
    </row>
    <row r="21" spans="1:3">
      <c r="A21" s="42" t="s">
        <v>128</v>
      </c>
      <c r="B21" s="48">
        <v>1.2505999999999999</v>
      </c>
      <c r="C21" s="49">
        <f>B21-1</f>
        <v>0.25059999999999993</v>
      </c>
    </row>
    <row r="22" spans="1:3">
      <c r="A22" s="51"/>
      <c r="B22" s="44"/>
      <c r="C22" s="52"/>
    </row>
    <row r="23" spans="1:3">
      <c r="A23" s="53" t="s">
        <v>129</v>
      </c>
      <c r="B23" s="53"/>
      <c r="C23" s="54">
        <f>C21</f>
        <v>0.25059999999999993</v>
      </c>
    </row>
    <row r="24" spans="1:3">
      <c r="A24" s="51" t="s">
        <v>130</v>
      </c>
      <c r="B24" s="51"/>
      <c r="C24" s="51"/>
    </row>
    <row r="25" spans="1:3" ht="14.25">
      <c r="A25" s="11"/>
      <c r="B25" s="11"/>
      <c r="C25" s="10"/>
    </row>
    <row r="26" spans="1:3" ht="14.25">
      <c r="A26" s="11"/>
      <c r="B26" s="11"/>
      <c r="C26" s="10"/>
    </row>
    <row r="27" spans="1:3" ht="14.25">
      <c r="C27" s="10"/>
    </row>
    <row r="28" spans="1:3" ht="14.25">
      <c r="C28" s="10"/>
    </row>
    <row r="29" spans="1:3" ht="14.25">
      <c r="C29" s="10"/>
    </row>
    <row r="30" spans="1:3" ht="14.25">
      <c r="A30" s="11"/>
      <c r="B30" s="11"/>
      <c r="C30" s="10"/>
    </row>
    <row r="31" spans="1:3" ht="14.25">
      <c r="A31" s="11"/>
      <c r="B31" s="11"/>
      <c r="C31" s="10"/>
    </row>
    <row r="32" spans="1:3" ht="14.25">
      <c r="A32" s="11"/>
      <c r="B32" s="11"/>
      <c r="C32" s="10"/>
    </row>
    <row r="33" spans="1:3" ht="14.25">
      <c r="A33" s="11"/>
      <c r="B33" s="11"/>
      <c r="C33" s="10"/>
    </row>
    <row r="34" spans="1:3" ht="14.25">
      <c r="A34" s="11"/>
      <c r="B34" s="11"/>
      <c r="C34" s="10"/>
    </row>
    <row r="35" spans="1:3" ht="14.25">
      <c r="A35" s="11"/>
      <c r="B35" s="11"/>
      <c r="C35" s="10"/>
    </row>
    <row r="36" spans="1:3" ht="14.25">
      <c r="A36" s="11"/>
      <c r="B36" s="11"/>
      <c r="C36" s="10"/>
    </row>
    <row r="37" spans="1:3" ht="14.25">
      <c r="A37" s="11"/>
      <c r="B37" s="11"/>
      <c r="C37" s="10"/>
    </row>
    <row r="38" spans="1:3" ht="14.25">
      <c r="A38" s="11"/>
      <c r="B38" s="11"/>
      <c r="C38" s="10"/>
    </row>
    <row r="39" spans="1:3" ht="14.25">
      <c r="A39" s="11"/>
      <c r="B39" s="11"/>
      <c r="C39" s="10"/>
    </row>
    <row r="40" spans="1:3" ht="14.25">
      <c r="A40" s="11"/>
      <c r="B40" s="11"/>
      <c r="C40" s="10"/>
    </row>
    <row r="41" spans="1:3" ht="14.25">
      <c r="A41" s="11"/>
      <c r="B41" s="11"/>
      <c r="C41" s="10"/>
    </row>
    <row r="42" spans="1:3" ht="14.25">
      <c r="A42" s="11"/>
      <c r="B42" s="11"/>
      <c r="C42" s="10"/>
    </row>
    <row r="43" spans="1:3" ht="14.25">
      <c r="A43" s="11"/>
      <c r="B43" s="11"/>
      <c r="C43" s="10"/>
    </row>
    <row r="44" spans="1:3" ht="14.25">
      <c r="A44" s="11"/>
      <c r="B44" s="11"/>
      <c r="C44" s="10"/>
    </row>
    <row r="45" spans="1:3" ht="14.25">
      <c r="A45" s="11"/>
      <c r="B45" s="11"/>
      <c r="C45" s="10"/>
    </row>
    <row r="46" spans="1:3" ht="14.25">
      <c r="A46" s="11"/>
      <c r="B46" s="11"/>
      <c r="C46" s="10"/>
    </row>
    <row r="47" spans="1:3" ht="14.25">
      <c r="A47" s="11"/>
      <c r="B47" s="11"/>
      <c r="C47" s="10"/>
    </row>
    <row r="48" spans="1:3" ht="14.25">
      <c r="A48" s="11"/>
      <c r="B48" s="11"/>
      <c r="C48" s="10"/>
    </row>
    <row r="49" spans="1:3" ht="14.25">
      <c r="A49" s="11"/>
      <c r="B49" s="11"/>
      <c r="C49" s="10"/>
    </row>
    <row r="50" spans="1:3" ht="14.25">
      <c r="A50" s="11"/>
      <c r="B50" s="11"/>
      <c r="C50" s="10"/>
    </row>
    <row r="51" spans="1:3" ht="14.25">
      <c r="A51" s="11"/>
      <c r="B51" s="11"/>
      <c r="C51" s="10"/>
    </row>
    <row r="52" spans="1:3" ht="14.25">
      <c r="A52" s="11"/>
      <c r="B52" s="11"/>
      <c r="C52" s="10"/>
    </row>
    <row r="53" spans="1:3" ht="14.25">
      <c r="A53" s="11"/>
      <c r="B53" s="11"/>
      <c r="C53" s="10"/>
    </row>
    <row r="54" spans="1:3" ht="14.25">
      <c r="A54" s="11"/>
      <c r="B54" s="11"/>
      <c r="C54" s="10"/>
    </row>
    <row r="55" spans="1:3" ht="14.25">
      <c r="A55" s="11"/>
      <c r="B55" s="11"/>
      <c r="C55" s="10"/>
    </row>
    <row r="56" spans="1:3" ht="14.25">
      <c r="A56" s="11"/>
      <c r="B56" s="11"/>
      <c r="C56" s="10"/>
    </row>
    <row r="57" spans="1:3" ht="14.25">
      <c r="A57" s="11"/>
      <c r="B57" s="11"/>
      <c r="C57" s="10"/>
    </row>
    <row r="58" spans="1:3" ht="14.25">
      <c r="A58" s="11"/>
      <c r="B58" s="11"/>
      <c r="C58" s="10"/>
    </row>
    <row r="59" spans="1:3" ht="14.25">
      <c r="A59" s="11"/>
      <c r="B59" s="11"/>
      <c r="C59" s="10"/>
    </row>
    <row r="60" spans="1:3" ht="14.25">
      <c r="A60" s="11"/>
      <c r="B60" s="11"/>
      <c r="C60" s="10"/>
    </row>
    <row r="61" spans="1:3" ht="14.25">
      <c r="A61" s="11"/>
      <c r="B61" s="11"/>
      <c r="C61" s="10"/>
    </row>
    <row r="62" spans="1:3" ht="14.25">
      <c r="A62" s="11"/>
      <c r="B62" s="11"/>
      <c r="C62" s="10"/>
    </row>
    <row r="63" spans="1:3" ht="14.25">
      <c r="A63" s="11"/>
      <c r="B63" s="11"/>
      <c r="C63" s="10"/>
    </row>
    <row r="64" spans="1:3" ht="14.25">
      <c r="A64" s="11"/>
      <c r="B64" s="11"/>
      <c r="C64" s="10"/>
    </row>
    <row r="65" spans="1:3" ht="14.25">
      <c r="A65" s="11"/>
      <c r="B65" s="11"/>
      <c r="C65" s="10"/>
    </row>
    <row r="66" spans="1:3" ht="14.25">
      <c r="A66" s="11"/>
      <c r="B66" s="11"/>
      <c r="C66" s="10"/>
    </row>
    <row r="67" spans="1:3" ht="14.25">
      <c r="A67" s="11"/>
      <c r="B67" s="11"/>
      <c r="C67" s="10"/>
    </row>
    <row r="68" spans="1:3" ht="14.25">
      <c r="A68" s="11"/>
      <c r="B68" s="11"/>
      <c r="C68" s="10"/>
    </row>
    <row r="69" spans="1:3" ht="14.25">
      <c r="A69" s="11"/>
      <c r="B69" s="11"/>
      <c r="C69" s="10"/>
    </row>
    <row r="70" spans="1:3" ht="14.25">
      <c r="A70" s="11"/>
      <c r="B70" s="11"/>
      <c r="C70" s="10"/>
    </row>
    <row r="71" spans="1:3" ht="14.25">
      <c r="A71" s="11"/>
      <c r="B71" s="11"/>
      <c r="C71" s="10"/>
    </row>
    <row r="72" spans="1:3" ht="14.25">
      <c r="A72" s="11"/>
      <c r="B72" s="11"/>
      <c r="C72" s="10"/>
    </row>
    <row r="73" spans="1:3" ht="14.25">
      <c r="A73" s="11"/>
      <c r="B73" s="11"/>
      <c r="C73" s="10"/>
    </row>
    <row r="74" spans="1:3" ht="14.25">
      <c r="A74" s="11"/>
      <c r="B74" s="11"/>
      <c r="C74" s="10"/>
    </row>
    <row r="75" spans="1:3" ht="14.25">
      <c r="A75" s="11"/>
      <c r="B75" s="11"/>
      <c r="C75" s="10"/>
    </row>
    <row r="76" spans="1:3" ht="14.25">
      <c r="A76" s="11"/>
      <c r="B76" s="11"/>
      <c r="C76" s="10"/>
    </row>
    <row r="77" spans="1:3" ht="14.25">
      <c r="A77" s="11"/>
      <c r="B77" s="11"/>
      <c r="C77" s="10"/>
    </row>
    <row r="78" spans="1:3" ht="14.25">
      <c r="A78" s="11"/>
      <c r="B78" s="11"/>
      <c r="C78" s="10"/>
    </row>
    <row r="79" spans="1:3" ht="14.25">
      <c r="A79" s="11"/>
      <c r="B79" s="11"/>
      <c r="C79" s="10"/>
    </row>
    <row r="80" spans="1:3" ht="14.25">
      <c r="A80" s="11"/>
      <c r="B80" s="11"/>
      <c r="C80" s="10"/>
    </row>
    <row r="81" spans="1:3" ht="14.25">
      <c r="A81" s="11"/>
      <c r="B81" s="11"/>
      <c r="C81" s="10"/>
    </row>
    <row r="82" spans="1:3" ht="14.25">
      <c r="A82" s="11"/>
      <c r="B82" s="11"/>
      <c r="C82" s="10"/>
    </row>
    <row r="83" spans="1:3" ht="14.25">
      <c r="A83" s="11"/>
      <c r="B83" s="11"/>
      <c r="C83" s="10"/>
    </row>
    <row r="84" spans="1:3" ht="14.25">
      <c r="A84" s="11"/>
      <c r="B84" s="11"/>
      <c r="C84" s="10"/>
    </row>
    <row r="85" spans="1:3" ht="14.25">
      <c r="A85" s="11"/>
      <c r="B85" s="11"/>
      <c r="C85" s="10"/>
    </row>
    <row r="86" spans="1:3" ht="14.25">
      <c r="A86" s="11"/>
      <c r="B86" s="11"/>
      <c r="C86" s="10"/>
    </row>
    <row r="87" spans="1:3" ht="14.25">
      <c r="A87" s="11"/>
      <c r="B87" s="11"/>
      <c r="C87" s="10"/>
    </row>
    <row r="88" spans="1:3" ht="14.25">
      <c r="A88" s="11"/>
      <c r="B88" s="11"/>
      <c r="C88" s="10"/>
    </row>
    <row r="89" spans="1:3" ht="14.25">
      <c r="A89" s="11"/>
      <c r="B89" s="11"/>
      <c r="C89" s="10"/>
    </row>
    <row r="90" spans="1:3" ht="14.25">
      <c r="A90" s="11"/>
      <c r="B90" s="11"/>
      <c r="C90" s="10"/>
    </row>
    <row r="91" spans="1:3" ht="14.25">
      <c r="A91" s="11"/>
      <c r="B91" s="11"/>
      <c r="C91" s="10"/>
    </row>
    <row r="92" spans="1:3" ht="14.25">
      <c r="A92" s="11"/>
      <c r="B92" s="11"/>
      <c r="C92" s="10"/>
    </row>
    <row r="93" spans="1:3" ht="14.25">
      <c r="A93" s="11"/>
      <c r="B93" s="11"/>
      <c r="C93" s="10"/>
    </row>
    <row r="94" spans="1:3" ht="14.25">
      <c r="A94" s="11"/>
      <c r="B94" s="11"/>
      <c r="C94" s="10"/>
    </row>
    <row r="95" spans="1:3" ht="14.25">
      <c r="A95" s="11"/>
      <c r="B95" s="11"/>
      <c r="C95" s="10"/>
    </row>
    <row r="96" spans="1:3" ht="14.25">
      <c r="A96" s="11"/>
      <c r="B96" s="11"/>
      <c r="C96" s="10"/>
    </row>
    <row r="97" spans="1:3" ht="14.25">
      <c r="A97" s="11"/>
      <c r="B97" s="11"/>
      <c r="C97" s="10"/>
    </row>
    <row r="98" spans="1:3" ht="14.25">
      <c r="A98" s="11"/>
      <c r="B98" s="11"/>
      <c r="C98" s="10"/>
    </row>
    <row r="99" spans="1:3" ht="14.25">
      <c r="A99" s="11"/>
      <c r="B99" s="11"/>
      <c r="C99" s="10"/>
    </row>
    <row r="100" spans="1:3" ht="14.25">
      <c r="A100" s="11"/>
      <c r="B100" s="11"/>
      <c r="C100" s="10"/>
    </row>
    <row r="101" spans="1:3" ht="14.25">
      <c r="A101" s="11"/>
      <c r="B101" s="11"/>
      <c r="C101" s="10"/>
    </row>
    <row r="102" spans="1:3" ht="14.25">
      <c r="A102" s="11"/>
      <c r="B102" s="11"/>
      <c r="C102" s="10"/>
    </row>
    <row r="103" spans="1:3" ht="14.25">
      <c r="A103" s="11"/>
      <c r="B103" s="11"/>
      <c r="C103" s="10"/>
    </row>
    <row r="104" spans="1:3" ht="14.25">
      <c r="A104" s="11"/>
      <c r="B104" s="11"/>
      <c r="C104" s="10"/>
    </row>
    <row r="105" spans="1:3" ht="14.25">
      <c r="A105" s="11"/>
      <c r="B105" s="11"/>
      <c r="C105" s="10"/>
    </row>
    <row r="106" spans="1:3" ht="14.25">
      <c r="A106" s="11"/>
      <c r="B106" s="11"/>
      <c r="C106" s="10"/>
    </row>
    <row r="107" spans="1:3" ht="14.25">
      <c r="A107" s="11"/>
      <c r="B107" s="11"/>
      <c r="C107" s="10"/>
    </row>
    <row r="108" spans="1:3" ht="14.25">
      <c r="A108" s="11"/>
      <c r="B108" s="11"/>
      <c r="C108" s="10"/>
    </row>
    <row r="109" spans="1:3" ht="14.25">
      <c r="A109" s="11"/>
      <c r="B109" s="11"/>
      <c r="C109" s="10"/>
    </row>
    <row r="110" spans="1:3" ht="14.25">
      <c r="A110" s="11"/>
      <c r="B110" s="11"/>
      <c r="C110" s="10"/>
    </row>
    <row r="111" spans="1:3" ht="14.25">
      <c r="A111" s="11"/>
      <c r="B111" s="11"/>
      <c r="C111" s="10"/>
    </row>
    <row r="112" spans="1:3" ht="14.25">
      <c r="A112" s="11"/>
      <c r="B112" s="11"/>
      <c r="C112" s="10"/>
    </row>
    <row r="113" spans="1:3" ht="14.25">
      <c r="A113" s="11"/>
      <c r="B113" s="11"/>
      <c r="C113" s="10"/>
    </row>
    <row r="114" spans="1:3" ht="14.25">
      <c r="A114" s="11"/>
      <c r="B114" s="11"/>
      <c r="C114" s="10"/>
    </row>
    <row r="115" spans="1:3" ht="14.25">
      <c r="A115" s="11"/>
      <c r="B115" s="11"/>
      <c r="C115" s="10"/>
    </row>
    <row r="116" spans="1:3" ht="14.25">
      <c r="A116" s="11"/>
      <c r="B116" s="11"/>
      <c r="C116" s="10"/>
    </row>
    <row r="117" spans="1:3" ht="14.25">
      <c r="A117" s="11"/>
      <c r="B117" s="11"/>
      <c r="C117" s="10"/>
    </row>
    <row r="118" spans="1:3" ht="14.25">
      <c r="A118" s="11"/>
      <c r="B118" s="11"/>
      <c r="C118" s="10"/>
    </row>
    <row r="119" spans="1:3" ht="14.25">
      <c r="A119" s="11"/>
      <c r="B119" s="11"/>
      <c r="C119" s="10"/>
    </row>
  </sheetData>
  <mergeCells count="2">
    <mergeCell ref="B4:C4"/>
    <mergeCell ref="A5:C5"/>
  </mergeCells>
  <printOptions horizontalCentered="1"/>
  <pageMargins left="0.78740157480314965" right="0.78740157480314965" top="0.78740157480314965" bottom="0.78740157480314965" header="0" footer="0"/>
  <pageSetup paperSize="9" scale="81" firstPageNumber="77" orientation="portrait" useFirstPageNumber="1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Zeros="0" view="pageBreakPreview" topLeftCell="B19" zoomScaleSheetLayoutView="100" workbookViewId="0">
      <selection activeCell="B43" sqref="B43"/>
    </sheetView>
  </sheetViews>
  <sheetFormatPr defaultColWidth="8.7109375" defaultRowHeight="12.75"/>
  <cols>
    <col min="1" max="1" width="8.7109375" style="8"/>
    <col min="2" max="2" width="56.28515625" style="8" customWidth="1"/>
    <col min="3" max="3" width="15.42578125" style="8" customWidth="1"/>
    <col min="4" max="7" width="15.7109375" style="8" customWidth="1"/>
    <col min="8" max="8" width="18.140625" style="8" bestFit="1" customWidth="1"/>
    <col min="9" max="16384" width="8.7109375" style="8"/>
  </cols>
  <sheetData>
    <row r="1" spans="1:8" ht="13.5" thickBot="1">
      <c r="A1" s="55" t="s">
        <v>131</v>
      </c>
      <c r="B1" s="56"/>
      <c r="C1" s="56"/>
      <c r="D1" s="56" t="s">
        <v>1</v>
      </c>
      <c r="E1" s="56"/>
      <c r="F1" s="56"/>
      <c r="G1" s="56"/>
      <c r="H1" s="56"/>
    </row>
    <row r="2" spans="1:8" ht="12.75" customHeight="1">
      <c r="A2" s="57" t="s">
        <v>2</v>
      </c>
      <c r="B2" s="58"/>
      <c r="C2" s="58"/>
      <c r="D2" s="59" t="s">
        <v>3</v>
      </c>
      <c r="E2" s="59"/>
      <c r="F2" s="59"/>
      <c r="G2" s="59"/>
      <c r="H2" s="59"/>
    </row>
    <row r="3" spans="1:8">
      <c r="A3" s="60" t="s">
        <v>104</v>
      </c>
      <c r="B3" s="61"/>
      <c r="C3" s="61"/>
      <c r="D3" s="172" t="s">
        <v>5</v>
      </c>
      <c r="E3" s="172"/>
      <c r="F3" s="172"/>
      <c r="G3" s="172"/>
      <c r="H3" s="172"/>
    </row>
    <row r="4" spans="1:8" ht="16.5" customHeight="1" thickBot="1">
      <c r="A4" s="60" t="s">
        <v>6</v>
      </c>
      <c r="B4" s="173" t="s">
        <v>7</v>
      </c>
      <c r="C4" s="173"/>
      <c r="D4" s="173"/>
      <c r="E4" s="173"/>
      <c r="F4" s="173"/>
      <c r="G4" s="173"/>
      <c r="H4" s="173"/>
    </row>
    <row r="5" spans="1:8">
      <c r="A5" s="62" t="s">
        <v>8</v>
      </c>
      <c r="B5" s="63" t="s">
        <v>132</v>
      </c>
      <c r="C5" s="64" t="s">
        <v>133</v>
      </c>
      <c r="D5" s="63" t="s">
        <v>134</v>
      </c>
      <c r="E5" s="63" t="s">
        <v>135</v>
      </c>
      <c r="F5" s="63" t="s">
        <v>136</v>
      </c>
      <c r="G5" s="63" t="s">
        <v>137</v>
      </c>
      <c r="H5" s="63" t="s">
        <v>138</v>
      </c>
    </row>
    <row r="6" spans="1:8" ht="41.45" customHeight="1">
      <c r="A6" s="130" t="str">
        <f>VENDA!A7</f>
        <v>1.</v>
      </c>
      <c r="B6" s="150" t="s">
        <v>139</v>
      </c>
      <c r="C6" s="131"/>
      <c r="D6" s="151" t="s">
        <v>140</v>
      </c>
      <c r="E6" s="151" t="s">
        <v>141</v>
      </c>
      <c r="F6" s="151" t="s">
        <v>142</v>
      </c>
      <c r="G6" s="151" t="s">
        <v>143</v>
      </c>
      <c r="H6" s="151" t="s">
        <v>144</v>
      </c>
    </row>
    <row r="7" spans="1:8">
      <c r="A7" s="130" t="s">
        <v>17</v>
      </c>
      <c r="B7" s="133" t="s">
        <v>145</v>
      </c>
      <c r="C7" s="133">
        <f>VENDA!F8</f>
        <v>19074.240000000002</v>
      </c>
      <c r="D7" s="152">
        <v>1</v>
      </c>
      <c r="E7" s="136"/>
      <c r="F7" s="132"/>
      <c r="G7" s="132"/>
      <c r="H7" s="132"/>
    </row>
    <row r="8" spans="1:8">
      <c r="A8" s="130" t="str">
        <f>VENDA!A9</f>
        <v>1.2</v>
      </c>
      <c r="B8" s="134" t="str">
        <f>VENDA!B9</f>
        <v>Projeto de Arquitetura</v>
      </c>
      <c r="C8" s="133">
        <f>VENDA!F9</f>
        <v>158927.57999999999</v>
      </c>
      <c r="D8" s="135"/>
      <c r="E8" s="153">
        <v>0.1</v>
      </c>
      <c r="F8" s="152">
        <v>0.3</v>
      </c>
      <c r="G8" s="152">
        <v>0.5</v>
      </c>
      <c r="H8" s="153">
        <v>0.1</v>
      </c>
    </row>
    <row r="9" spans="1:8">
      <c r="A9" s="130" t="str">
        <f>VENDA!A10</f>
        <v>1.3</v>
      </c>
      <c r="B9" s="134" t="str">
        <f>VENDA!B10</f>
        <v>Projeto Estrutural</v>
      </c>
      <c r="C9" s="133">
        <f>VENDA!F10</f>
        <v>38141.82</v>
      </c>
      <c r="D9" s="135"/>
      <c r="E9" s="153">
        <v>0.1</v>
      </c>
      <c r="F9" s="153">
        <v>0.3</v>
      </c>
      <c r="G9" s="153">
        <v>0.5</v>
      </c>
      <c r="H9" s="153">
        <v>0.1</v>
      </c>
    </row>
    <row r="10" spans="1:8">
      <c r="A10" s="130" t="str">
        <f>VENDA!A11</f>
        <v>1.4</v>
      </c>
      <c r="B10" s="134" t="str">
        <f>VENDA!B11</f>
        <v>Projeto Hidrossanitário</v>
      </c>
      <c r="C10" s="133">
        <f>VENDA!F11</f>
        <v>25427.88</v>
      </c>
      <c r="D10" s="135"/>
      <c r="E10" s="153">
        <v>0.1</v>
      </c>
      <c r="F10" s="153">
        <v>0.3</v>
      </c>
      <c r="G10" s="153">
        <v>0.5</v>
      </c>
      <c r="H10" s="153">
        <v>0.1</v>
      </c>
    </row>
    <row r="11" spans="1:8">
      <c r="A11" s="130" t="str">
        <f>VENDA!A12</f>
        <v>1.5</v>
      </c>
      <c r="B11" s="134" t="str">
        <f>VENDA!B12</f>
        <v>Projeto de Águas Pluviais</v>
      </c>
      <c r="C11" s="133">
        <f>VENDA!F12</f>
        <v>12713.94</v>
      </c>
      <c r="D11" s="135"/>
      <c r="E11" s="153">
        <v>0.1</v>
      </c>
      <c r="F11" s="153">
        <v>0.3</v>
      </c>
      <c r="G11" s="153">
        <v>0.5</v>
      </c>
      <c r="H11" s="153">
        <v>0.1</v>
      </c>
    </row>
    <row r="12" spans="1:8">
      <c r="A12" s="130" t="str">
        <f>VENDA!A13</f>
        <v>1.6</v>
      </c>
      <c r="B12" s="117" t="s">
        <v>146</v>
      </c>
      <c r="C12" s="133">
        <f>VENDA!F13</f>
        <v>25427.88</v>
      </c>
      <c r="D12" s="135"/>
      <c r="E12" s="153">
        <v>0.1</v>
      </c>
      <c r="F12" s="153">
        <v>0.3</v>
      </c>
      <c r="G12" s="153">
        <v>0.5</v>
      </c>
      <c r="H12" s="153">
        <v>0.1</v>
      </c>
    </row>
    <row r="13" spans="1:8">
      <c r="A13" s="130" t="str">
        <f>VENDA!A14</f>
        <v>1.7</v>
      </c>
      <c r="B13" s="134" t="str">
        <f>VENDA!B14</f>
        <v>Projeto de Instalações de Rede de Segurança Eletrônica</v>
      </c>
      <c r="C13" s="133">
        <f>VENDA!F14</f>
        <v>12713.94</v>
      </c>
      <c r="D13" s="136"/>
      <c r="E13" s="152">
        <v>0.1</v>
      </c>
      <c r="F13" s="152">
        <v>0.3</v>
      </c>
      <c r="G13" s="152">
        <v>0.5</v>
      </c>
      <c r="H13" s="153">
        <v>0.1</v>
      </c>
    </row>
    <row r="14" spans="1:8">
      <c r="A14" s="130" t="str">
        <f>VENDA!A15</f>
        <v>1.8</v>
      </c>
      <c r="B14" s="134" t="str">
        <f>VENDA!B15</f>
        <v>Projeto de Luminotécnica</v>
      </c>
      <c r="C14" s="133">
        <f>VENDA!F15</f>
        <v>19074.240000000002</v>
      </c>
      <c r="D14" s="135"/>
      <c r="E14" s="153">
        <v>0.1</v>
      </c>
      <c r="F14" s="153">
        <v>0.3</v>
      </c>
      <c r="G14" s="153">
        <v>0.5</v>
      </c>
      <c r="H14" s="153">
        <v>0.1</v>
      </c>
    </row>
    <row r="15" spans="1:8">
      <c r="A15" s="130" t="str">
        <f>VENDA!A16</f>
        <v>1.9</v>
      </c>
      <c r="B15" s="134" t="str">
        <f>VENDA!B16</f>
        <v>Projeto de Telefonia e Rede Estruturada de Dados e Voz</v>
      </c>
      <c r="C15" s="133">
        <f>VENDA!F16</f>
        <v>25427.88</v>
      </c>
      <c r="D15" s="136"/>
      <c r="E15" s="153">
        <v>0.1</v>
      </c>
      <c r="F15" s="153">
        <v>0.3</v>
      </c>
      <c r="G15" s="153">
        <v>0.5</v>
      </c>
      <c r="H15" s="153">
        <v>0.1</v>
      </c>
    </row>
    <row r="16" spans="1:8">
      <c r="A16" s="130" t="str">
        <f>VENDA!A17</f>
        <v>1.10</v>
      </c>
      <c r="B16" s="134" t="str">
        <f>VENDA!B17</f>
        <v>Compatibilização do projeto de prevenção e combate à incêndio</v>
      </c>
      <c r="C16" s="133">
        <f>VENDA!F17</f>
        <v>12713.94</v>
      </c>
      <c r="D16" s="135"/>
      <c r="E16" s="153">
        <v>0.1</v>
      </c>
      <c r="F16" s="153">
        <v>0.3</v>
      </c>
      <c r="G16" s="153">
        <v>0.5</v>
      </c>
      <c r="H16" s="152">
        <v>0.1</v>
      </c>
    </row>
    <row r="17" spans="1:8" ht="18" customHeight="1">
      <c r="A17" s="130" t="str">
        <f>VENDA!A18</f>
        <v>1.11</v>
      </c>
      <c r="B17" s="134" t="str">
        <f>VENDA!B18</f>
        <v>Projeto de Movimentação de Terra, Drenagem e Pavimentação</v>
      </c>
      <c r="C17" s="133">
        <f>VENDA!F18</f>
        <v>17220</v>
      </c>
      <c r="D17" s="136"/>
      <c r="E17" s="153">
        <v>0.1</v>
      </c>
      <c r="F17" s="153">
        <v>0.3</v>
      </c>
      <c r="G17" s="153">
        <v>0.5</v>
      </c>
      <c r="H17" s="153">
        <v>0.1</v>
      </c>
    </row>
    <row r="18" spans="1:8">
      <c r="A18" s="130" t="str">
        <f>VENDA!A19</f>
        <v>1.12</v>
      </c>
      <c r="B18" s="134" t="str">
        <f>VENDA!B19</f>
        <v>Projeto de Paisagismo</v>
      </c>
      <c r="C18" s="133">
        <f>VENDA!F19</f>
        <v>24276</v>
      </c>
      <c r="D18" s="136"/>
      <c r="E18" s="153">
        <v>0.1</v>
      </c>
      <c r="F18" s="153">
        <v>0.3</v>
      </c>
      <c r="G18" s="153">
        <v>0.5</v>
      </c>
      <c r="H18" s="153">
        <v>0.1</v>
      </c>
    </row>
    <row r="19" spans="1:8">
      <c r="A19" s="130" t="str">
        <f>VENDA!A20</f>
        <v>1.13</v>
      </c>
      <c r="B19" s="134" t="str">
        <f>VENDA!B20</f>
        <v>Projeto de Instalações Mecânicas</v>
      </c>
      <c r="C19" s="133">
        <f>VENDA!F20</f>
        <v>25427.88</v>
      </c>
      <c r="D19" s="136"/>
      <c r="E19" s="153">
        <v>0.1</v>
      </c>
      <c r="F19" s="152">
        <v>0.3</v>
      </c>
      <c r="G19" s="152">
        <v>0.5</v>
      </c>
      <c r="H19" s="153">
        <v>0.1</v>
      </c>
    </row>
    <row r="20" spans="1:8">
      <c r="A20" s="130" t="str">
        <f>VENDA!A21</f>
        <v>1.14</v>
      </c>
      <c r="B20" s="134" t="str">
        <f>VENDA!B21</f>
        <v>Projeto de Sonorização</v>
      </c>
      <c r="C20" s="133">
        <f>VENDA!F21</f>
        <v>25427.88</v>
      </c>
      <c r="D20" s="136"/>
      <c r="E20" s="153">
        <v>0.1</v>
      </c>
      <c r="F20" s="153">
        <v>0.3</v>
      </c>
      <c r="G20" s="153">
        <v>0.5</v>
      </c>
      <c r="H20" s="153">
        <v>0.1</v>
      </c>
    </row>
    <row r="21" spans="1:8">
      <c r="A21" s="130" t="str">
        <f>VENDA!A22</f>
        <v>1.15</v>
      </c>
      <c r="B21" s="134" t="str">
        <f>VENDA!B22</f>
        <v xml:space="preserve">Projeto de Acessibilidade </v>
      </c>
      <c r="C21" s="133">
        <f>VENDA!F22</f>
        <v>25427.88</v>
      </c>
      <c r="D21" s="135"/>
      <c r="E21" s="153">
        <v>0.1</v>
      </c>
      <c r="F21" s="153">
        <v>0.3</v>
      </c>
      <c r="G21" s="153">
        <v>0.5</v>
      </c>
      <c r="H21" s="153">
        <v>0.1</v>
      </c>
    </row>
    <row r="22" spans="1:8">
      <c r="A22" s="130" t="str">
        <f>VENDA!A23</f>
        <v>1.16</v>
      </c>
      <c r="B22" s="134" t="str">
        <f>VENDA!B23</f>
        <v>Projeto de Museografia e Expografia</v>
      </c>
      <c r="C22" s="133">
        <f>VENDA!F23</f>
        <v>164115.72</v>
      </c>
      <c r="D22" s="135"/>
      <c r="E22" s="153">
        <v>0.1</v>
      </c>
      <c r="F22" s="153">
        <v>0.3</v>
      </c>
      <c r="G22" s="153">
        <v>0.5</v>
      </c>
      <c r="H22" s="153">
        <v>0.1</v>
      </c>
    </row>
    <row r="23" spans="1:8">
      <c r="A23" s="130" t="str">
        <f>VENDA!A24</f>
        <v>1.17</v>
      </c>
      <c r="B23" s="134" t="str">
        <f>VENDA!B24</f>
        <v>Projeto de Sinalização e Comunicação Visual</v>
      </c>
      <c r="C23" s="133">
        <f>VENDA!F24</f>
        <v>18600</v>
      </c>
      <c r="D23" s="136"/>
      <c r="E23" s="153">
        <v>0.1</v>
      </c>
      <c r="F23" s="152">
        <v>0.3</v>
      </c>
      <c r="G23" s="152">
        <v>0.5</v>
      </c>
      <c r="H23" s="153">
        <v>0.1</v>
      </c>
    </row>
    <row r="24" spans="1:8">
      <c r="A24" s="130" t="str">
        <f>VENDA!A25</f>
        <v>1.18</v>
      </c>
      <c r="B24" s="134" t="str">
        <f>VENDA!B25</f>
        <v>Memorial Descritivo e Caderno de Especificações</v>
      </c>
      <c r="C24" s="133">
        <f>VENDA!F25</f>
        <v>25427.88</v>
      </c>
      <c r="D24" s="136"/>
      <c r="E24" s="153">
        <v>0.1</v>
      </c>
      <c r="F24" s="152">
        <v>0.3</v>
      </c>
      <c r="G24" s="152">
        <v>0.5</v>
      </c>
      <c r="H24" s="152">
        <v>0.1</v>
      </c>
    </row>
    <row r="25" spans="1:8">
      <c r="A25" s="130" t="str">
        <f>VENDA!A26</f>
        <v>1.19</v>
      </c>
      <c r="B25" s="134" t="str">
        <f>VENDA!B26</f>
        <v xml:space="preserve">Planilhas Orçamentárias e Cronograma </v>
      </c>
      <c r="C25" s="133">
        <f>VENDA!F26</f>
        <v>31788.180000000004</v>
      </c>
      <c r="D25" s="136"/>
      <c r="E25" s="153">
        <v>0.1</v>
      </c>
      <c r="F25" s="152">
        <v>0.3</v>
      </c>
      <c r="G25" s="152">
        <v>0.5</v>
      </c>
      <c r="H25" s="153">
        <v>0.1</v>
      </c>
    </row>
    <row r="26" spans="1:8">
      <c r="A26" s="130" t="str">
        <f>VENDA!A27</f>
        <v>1.20</v>
      </c>
      <c r="B26" s="134" t="str">
        <f>VENDA!B27</f>
        <v>Assessoria para aprovação de projeto</v>
      </c>
      <c r="C26" s="133">
        <f>VENDA!F27</f>
        <v>11322</v>
      </c>
      <c r="D26" s="136"/>
      <c r="E26" s="136"/>
      <c r="F26" s="152">
        <v>0.5</v>
      </c>
      <c r="G26" s="152">
        <v>0.5</v>
      </c>
      <c r="H26" s="136"/>
    </row>
    <row r="27" spans="1:8">
      <c r="A27" s="130"/>
      <c r="B27" s="134" t="s">
        <v>79</v>
      </c>
      <c r="C27" s="137">
        <f>'Cálculo de BDI'!C23</f>
        <v>0.25059999999999993</v>
      </c>
      <c r="D27" s="136"/>
      <c r="E27" s="136"/>
      <c r="F27" s="136"/>
      <c r="G27" s="136"/>
      <c r="H27" s="136"/>
    </row>
    <row r="28" spans="1:8">
      <c r="A28" s="130" t="s">
        <v>147</v>
      </c>
      <c r="B28" s="138" t="s">
        <v>148</v>
      </c>
      <c r="C28" s="133"/>
      <c r="D28" s="136"/>
      <c r="E28" s="136"/>
      <c r="F28" s="136"/>
      <c r="G28" s="136"/>
      <c r="H28" s="136"/>
    </row>
    <row r="29" spans="1:8">
      <c r="A29" s="130" t="s">
        <v>149</v>
      </c>
      <c r="B29" s="134" t="str">
        <f>VENDA!B33</f>
        <v>Projeto de Arquitetura</v>
      </c>
      <c r="C29" s="133">
        <f>VENDA!F33</f>
        <v>55512.100000000006</v>
      </c>
      <c r="D29" s="136"/>
      <c r="E29" s="153">
        <v>0.1</v>
      </c>
      <c r="F29" s="152">
        <v>0.3</v>
      </c>
      <c r="G29" s="152">
        <v>0.5</v>
      </c>
      <c r="H29" s="153">
        <v>0.1</v>
      </c>
    </row>
    <row r="30" spans="1:8">
      <c r="A30" s="130" t="s">
        <v>150</v>
      </c>
      <c r="B30" s="134" t="str">
        <f>VENDA!B34</f>
        <v>Projeto Estrutural</v>
      </c>
      <c r="C30" s="133">
        <f>VENDA!F34</f>
        <v>16652.650000000001</v>
      </c>
      <c r="D30" s="135"/>
      <c r="E30" s="153">
        <v>0.1</v>
      </c>
      <c r="F30" s="153">
        <v>0.3</v>
      </c>
      <c r="G30" s="153">
        <v>0.5</v>
      </c>
      <c r="H30" s="153">
        <v>0.1</v>
      </c>
    </row>
    <row r="31" spans="1:8">
      <c r="A31" s="130" t="s">
        <v>151</v>
      </c>
      <c r="B31" s="134" t="str">
        <f>VENDA!B35</f>
        <v>Projeto Hidrossanitário</v>
      </c>
      <c r="C31" s="133">
        <f>VENDA!F35</f>
        <v>11103.4</v>
      </c>
      <c r="D31" s="135"/>
      <c r="E31" s="153">
        <v>0.1</v>
      </c>
      <c r="F31" s="153">
        <v>0.3</v>
      </c>
      <c r="G31" s="153">
        <v>0.5</v>
      </c>
      <c r="H31" s="153">
        <v>0.1</v>
      </c>
    </row>
    <row r="32" spans="1:8">
      <c r="A32" s="130" t="s">
        <v>152</v>
      </c>
      <c r="B32" s="134" t="str">
        <f>VENDA!B36</f>
        <v>Projeto de Águas Pluviais</v>
      </c>
      <c r="C32" s="133">
        <f>VENDA!F36</f>
        <v>5551.7</v>
      </c>
      <c r="D32" s="135"/>
      <c r="E32" s="153">
        <v>0.1</v>
      </c>
      <c r="F32" s="153">
        <v>0.3</v>
      </c>
      <c r="G32" s="153">
        <v>0.5</v>
      </c>
      <c r="H32" s="153">
        <v>0.1</v>
      </c>
    </row>
    <row r="33" spans="1:8">
      <c r="A33" s="130" t="s">
        <v>153</v>
      </c>
      <c r="B33" s="134" t="str">
        <f>VENDA!B37</f>
        <v>Projeto de Prevenção contra Incêndio e Pânico</v>
      </c>
      <c r="C33" s="133">
        <f>VENDA!F37</f>
        <v>5551.7</v>
      </c>
      <c r="D33" s="135"/>
      <c r="E33" s="153">
        <v>0.1</v>
      </c>
      <c r="F33" s="153">
        <v>0.3</v>
      </c>
      <c r="G33" s="153">
        <v>0.5</v>
      </c>
      <c r="H33" s="152">
        <v>0.1</v>
      </c>
    </row>
    <row r="34" spans="1:8">
      <c r="A34" s="130" t="s">
        <v>154</v>
      </c>
      <c r="B34" s="134" t="str">
        <f>VENDA!B38</f>
        <v>Projeto de Elétrica e Rede de Energia</v>
      </c>
      <c r="C34" s="133">
        <f>VENDA!F38</f>
        <v>11103.4</v>
      </c>
      <c r="D34" s="135"/>
      <c r="E34" s="153">
        <v>0.1</v>
      </c>
      <c r="F34" s="153">
        <v>0.3</v>
      </c>
      <c r="G34" s="153">
        <v>0.5</v>
      </c>
      <c r="H34" s="153">
        <v>0.1</v>
      </c>
    </row>
    <row r="35" spans="1:8">
      <c r="A35" s="130" t="s">
        <v>155</v>
      </c>
      <c r="B35" s="134" t="str">
        <f>VENDA!B39</f>
        <v>Projeto de Instalações de Rede de Segurança Eletrônica</v>
      </c>
      <c r="C35" s="133">
        <f>VENDA!F39</f>
        <v>5551.7</v>
      </c>
      <c r="D35" s="136"/>
      <c r="E35" s="153">
        <v>0.1</v>
      </c>
      <c r="F35" s="152">
        <v>0.3</v>
      </c>
      <c r="G35" s="152">
        <v>0.5</v>
      </c>
      <c r="H35" s="153">
        <v>0.1</v>
      </c>
    </row>
    <row r="36" spans="1:8">
      <c r="A36" s="130" t="s">
        <v>156</v>
      </c>
      <c r="B36" s="134" t="str">
        <f>VENDA!B40</f>
        <v>Projeto de Luminotécnica</v>
      </c>
      <c r="C36" s="133">
        <f>VENDA!F40</f>
        <v>8327.5500000000011</v>
      </c>
      <c r="D36" s="135"/>
      <c r="E36" s="153">
        <v>0.1</v>
      </c>
      <c r="F36" s="153">
        <v>0.3</v>
      </c>
      <c r="G36" s="153">
        <v>0.5</v>
      </c>
      <c r="H36" s="153">
        <v>0.1</v>
      </c>
    </row>
    <row r="37" spans="1:8">
      <c r="A37" s="130" t="s">
        <v>157</v>
      </c>
      <c r="B37" s="134" t="str">
        <f>VENDA!B41</f>
        <v>Projeto de Telefonia e Rede Estruturada de Dados e Voz</v>
      </c>
      <c r="C37" s="133">
        <f>VENDA!F41</f>
        <v>11103.4</v>
      </c>
      <c r="D37" s="136"/>
      <c r="E37" s="153">
        <v>0.1</v>
      </c>
      <c r="F37" s="153">
        <v>0.3</v>
      </c>
      <c r="G37" s="153">
        <v>0.5</v>
      </c>
      <c r="H37" s="153">
        <v>0.1</v>
      </c>
    </row>
    <row r="38" spans="1:8">
      <c r="A38" s="130" t="s">
        <v>158</v>
      </c>
      <c r="B38" s="154" t="str">
        <f>VENDA!B42</f>
        <v>Memorial Descritivo e Caderno de Especificações</v>
      </c>
      <c r="C38" s="133">
        <f>VENDA!F42</f>
        <v>11103.4</v>
      </c>
      <c r="D38" s="136"/>
      <c r="E38" s="153">
        <v>0.1</v>
      </c>
      <c r="F38" s="153">
        <v>0.3</v>
      </c>
      <c r="G38" s="153">
        <v>0.5</v>
      </c>
      <c r="H38" s="153">
        <v>0.1</v>
      </c>
    </row>
    <row r="39" spans="1:8" ht="14.45" customHeight="1">
      <c r="A39" s="130" t="s">
        <v>159</v>
      </c>
      <c r="B39" s="154" t="str">
        <f>VENDA!B43</f>
        <v xml:space="preserve">Planilhas Orçamentárias e Cronograma </v>
      </c>
      <c r="C39" s="133">
        <f>VENDA!F43</f>
        <v>13879.250000000002</v>
      </c>
      <c r="D39" s="135"/>
      <c r="E39" s="153">
        <v>0.1</v>
      </c>
      <c r="F39" s="153">
        <v>0.3</v>
      </c>
      <c r="G39" s="153">
        <v>0.5</v>
      </c>
      <c r="H39" s="153">
        <v>0.1</v>
      </c>
    </row>
    <row r="40" spans="1:8">
      <c r="A40" s="130" t="s">
        <v>160</v>
      </c>
      <c r="B40" s="154" t="str">
        <f>VENDA!B44</f>
        <v>Assessoria para aprovação de projeto</v>
      </c>
      <c r="C40" s="133">
        <f>VENDA!F44</f>
        <v>4165</v>
      </c>
      <c r="D40" s="136"/>
      <c r="E40" s="135"/>
      <c r="F40" s="153">
        <v>0.5</v>
      </c>
      <c r="G40" s="153">
        <v>0.5</v>
      </c>
      <c r="H40" s="135"/>
    </row>
    <row r="41" spans="1:8">
      <c r="A41" s="130"/>
      <c r="B41" s="134" t="s">
        <v>79</v>
      </c>
      <c r="C41" s="137">
        <f>'Cálculo de BDI'!C23</f>
        <v>0.25059999999999993</v>
      </c>
      <c r="D41" s="132"/>
      <c r="E41" s="135"/>
      <c r="F41" s="135"/>
      <c r="G41" s="135"/>
      <c r="H41" s="132"/>
    </row>
    <row r="42" spans="1:8">
      <c r="A42" s="170" t="s">
        <v>161</v>
      </c>
      <c r="B42" s="170"/>
      <c r="C42" s="170"/>
      <c r="D42" s="139">
        <f>SUM($C$7*D7,$C$8*D8,$C$9*D9,$C$10*D10,$C$11*D11,$C$12*D12,$C$13*D13,$C$14*D14,$C$15*D15,$C$16*D16,$C$17*D17,$C$18*D18,$C$19*D19,$C20*D20,$C$21*D21,$C$22*D22,$C$23*D23,$C$24*D24,$C$25*D25,$C$26*D26)*(1+$C$27)+SUM($C$29*D29,$C$30*D30,$C$31*D31,$C$32*D32,$C$33*D33,$C$34*D34,$C$35*D35,$C$36*D36,$C$37*D37,$C$38*D38,$C$39*D39,$C$40*D40)*(1+$C$41)</f>
        <v>23854.244544000001</v>
      </c>
      <c r="E42" s="139">
        <f t="shared" ref="E42:H42" si="0">SUM($C$7*E7,$C$8*E8,$C$9*E9,$C$10*E10,$C$11*E11,$C$12*E12,$C$13*E13,$C$14*E14,$C$15*E15,$C$16*E16,$C$17*E17,$C$18*E18,$C$19*E19,$C20*E20,$C$21*E21,$C$22*E22,$C$23*E23,$C$24*E24,$C$25*E25,$C$26*E26)*(1+$C$27)+SUM($C$29*E29,$C$30*E30,$C$31*E31,$C$32*E32,$C$33*E33,$C$34*E34,$C$35*E35,$C$36*E36,$C$37*E37,$C$38*E38,$C$39*E39,$C$40*E40)*(1+$C$41)</f>
        <v>105515.71949619999</v>
      </c>
      <c r="F42" s="139">
        <f t="shared" si="0"/>
        <v>326231.17958859995</v>
      </c>
      <c r="G42" s="139">
        <f t="shared" si="0"/>
        <v>537262.61858100002</v>
      </c>
      <c r="H42" s="139">
        <f t="shared" si="0"/>
        <v>105515.71949619999</v>
      </c>
    </row>
    <row r="43" spans="1:8">
      <c r="A43" s="140"/>
      <c r="B43" s="140"/>
      <c r="C43" s="140"/>
      <c r="D43" s="141"/>
      <c r="E43" s="141"/>
      <c r="F43" s="141"/>
      <c r="G43" s="141"/>
      <c r="H43" s="141"/>
    </row>
    <row r="44" spans="1:8">
      <c r="A44" s="171" t="s">
        <v>162</v>
      </c>
      <c r="B44" s="171"/>
      <c r="C44" s="171"/>
      <c r="D44" s="142">
        <f>D42</f>
        <v>23854.244544000001</v>
      </c>
      <c r="E44" s="142">
        <f>D44+E42</f>
        <v>129369.96404019999</v>
      </c>
      <c r="F44" s="142">
        <f>E44+F42</f>
        <v>455601.14362879994</v>
      </c>
      <c r="G44" s="142">
        <f>F44+G42</f>
        <v>992863.76220979996</v>
      </c>
      <c r="H44" s="142">
        <f>G44+H42</f>
        <v>1098379.4817059999</v>
      </c>
    </row>
    <row r="45" spans="1:8" ht="18.75" customHeight="1">
      <c r="A45" s="168" t="s">
        <v>102</v>
      </c>
      <c r="B45" s="169"/>
      <c r="C45" s="169"/>
      <c r="D45" s="169"/>
      <c r="E45" s="169"/>
      <c r="F45" s="169"/>
      <c r="G45" s="169"/>
      <c r="H45" s="169"/>
    </row>
  </sheetData>
  <sheetProtection selectLockedCells="1" selectUnlockedCells="1"/>
  <mergeCells count="5">
    <mergeCell ref="A45:H45"/>
    <mergeCell ref="A42:C42"/>
    <mergeCell ref="A44:C44"/>
    <mergeCell ref="D3:H3"/>
    <mergeCell ref="B4:H4"/>
  </mergeCells>
  <printOptions horizontalCentered="1"/>
  <pageMargins left="0.78740157480314965" right="0.27559055118110237" top="0.78740157480314965" bottom="0.27559055118110237" header="0" footer="0.19685039370078741"/>
  <pageSetup paperSize="9" scale="85" firstPageNumber="78" fitToHeight="0" orientation="landscape" useFirstPageNumber="1" horizontalDpi="300" verticalDpi="300" r:id="rId1"/>
  <headerFooter alignWithMargins="0"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topLeftCell="A4" zoomScaleNormal="115" zoomScaleSheetLayoutView="100" workbookViewId="0">
      <selection activeCell="E9" sqref="E9"/>
    </sheetView>
  </sheetViews>
  <sheetFormatPr defaultRowHeight="12.75"/>
  <cols>
    <col min="1" max="1" width="53.42578125" customWidth="1"/>
    <col min="2" max="2" width="29.140625" bestFit="1" customWidth="1"/>
    <col min="3" max="3" width="31.85546875" bestFit="1" customWidth="1"/>
    <col min="4" max="4" width="14.28515625" bestFit="1" customWidth="1"/>
  </cols>
  <sheetData>
    <row r="1" spans="1:4" ht="13.5" thickBot="1">
      <c r="A1" s="55" t="s">
        <v>163</v>
      </c>
      <c r="B1" s="56" t="s">
        <v>1</v>
      </c>
      <c r="C1" s="98"/>
    </row>
    <row r="2" spans="1:4">
      <c r="A2" s="57" t="s">
        <v>2</v>
      </c>
      <c r="B2" s="99" t="s">
        <v>3</v>
      </c>
      <c r="C2" s="100"/>
    </row>
    <row r="3" spans="1:4">
      <c r="A3" s="60" t="s">
        <v>104</v>
      </c>
      <c r="B3" s="101" t="s">
        <v>5</v>
      </c>
      <c r="C3" s="102"/>
    </row>
    <row r="4" spans="1:4" ht="45.75" customHeight="1" thickBot="1">
      <c r="A4" s="103" t="s">
        <v>6</v>
      </c>
      <c r="B4" s="174" t="s">
        <v>7</v>
      </c>
      <c r="C4" s="174"/>
    </row>
    <row r="5" spans="1:4">
      <c r="A5" s="65" t="s">
        <v>164</v>
      </c>
      <c r="B5" s="66" t="s">
        <v>165</v>
      </c>
      <c r="C5" s="67"/>
    </row>
    <row r="6" spans="1:4" ht="47.25" customHeight="1">
      <c r="A6" s="68" t="s">
        <v>166</v>
      </c>
      <c r="B6" s="69"/>
      <c r="C6" s="67"/>
    </row>
    <row r="7" spans="1:4">
      <c r="A7" s="67"/>
      <c r="B7" s="70" t="s">
        <v>167</v>
      </c>
      <c r="C7" s="70" t="s">
        <v>168</v>
      </c>
    </row>
    <row r="8" spans="1:4" ht="13.5" thickBot="1">
      <c r="A8" s="71" t="s">
        <v>169</v>
      </c>
      <c r="B8" s="72">
        <v>666</v>
      </c>
      <c r="C8" s="72">
        <v>245</v>
      </c>
    </row>
    <row r="9" spans="1:4" ht="13.5" thickTop="1">
      <c r="A9" s="65" t="s">
        <v>170</v>
      </c>
      <c r="B9" s="73" t="s">
        <v>171</v>
      </c>
      <c r="C9" s="74" t="s">
        <v>171</v>
      </c>
    </row>
    <row r="10" spans="1:4">
      <c r="A10" s="68" t="s">
        <v>172</v>
      </c>
      <c r="B10" s="75" t="s">
        <v>173</v>
      </c>
      <c r="C10" s="76" t="s">
        <v>173</v>
      </c>
    </row>
    <row r="11" spans="1:4" ht="13.5" thickBot="1">
      <c r="A11" s="68" t="s">
        <v>174</v>
      </c>
      <c r="B11" s="67">
        <v>2</v>
      </c>
      <c r="C11" s="77">
        <v>2</v>
      </c>
    </row>
    <row r="12" spans="1:4" ht="13.5" thickBot="1">
      <c r="A12" s="68" t="s">
        <v>175</v>
      </c>
      <c r="B12" s="78">
        <v>2170.4899999999998</v>
      </c>
      <c r="C12" s="79">
        <v>2170.4899999999998</v>
      </c>
    </row>
    <row r="13" spans="1:4" ht="13.5" thickBot="1">
      <c r="A13" s="80" t="s">
        <v>176</v>
      </c>
      <c r="B13" s="81">
        <f>B12*B11</f>
        <v>4340.9799999999996</v>
      </c>
      <c r="C13" s="82">
        <f>C12*C11</f>
        <v>4340.9799999999996</v>
      </c>
    </row>
    <row r="14" spans="1:4" ht="27" thickTop="1" thickBot="1">
      <c r="A14" s="83" t="s">
        <v>177</v>
      </c>
      <c r="B14" s="84">
        <f>'Cálculo de fator percentual'!C4</f>
        <v>9.2682399999999998E-2</v>
      </c>
      <c r="C14" s="85">
        <v>0.11</v>
      </c>
      <c r="D14" s="24"/>
    </row>
    <row r="15" spans="1:4" ht="26.25" thickTop="1">
      <c r="A15" s="86" t="s">
        <v>178</v>
      </c>
      <c r="B15" s="87" t="s">
        <v>179</v>
      </c>
      <c r="C15" s="87" t="s">
        <v>179</v>
      </c>
    </row>
    <row r="16" spans="1:4" ht="12.75" customHeight="1" thickBot="1">
      <c r="A16" s="70" t="s">
        <v>180</v>
      </c>
      <c r="B16" s="88" t="s">
        <v>181</v>
      </c>
      <c r="C16" s="88" t="s">
        <v>181</v>
      </c>
    </row>
    <row r="17" spans="1:7" ht="13.5" thickBot="1">
      <c r="A17" s="68" t="s">
        <v>182</v>
      </c>
      <c r="B17" s="89">
        <f>B8</f>
        <v>666</v>
      </c>
      <c r="C17" s="89">
        <f>C8</f>
        <v>245</v>
      </c>
    </row>
    <row r="18" spans="1:7" ht="13.5" thickBot="1">
      <c r="A18" s="68" t="s">
        <v>183</v>
      </c>
      <c r="B18" s="89">
        <v>0</v>
      </c>
      <c r="C18" s="89">
        <v>0</v>
      </c>
    </row>
    <row r="19" spans="1:7" ht="25.5">
      <c r="A19" s="68" t="s">
        <v>184</v>
      </c>
      <c r="B19" s="90">
        <f>'Cálculo de Redutor'!C4</f>
        <v>1</v>
      </c>
      <c r="C19" s="90">
        <f>'Cálculo de Redutor'!D4</f>
        <v>0</v>
      </c>
    </row>
    <row r="20" spans="1:7">
      <c r="A20" s="68" t="s">
        <v>185</v>
      </c>
      <c r="B20" s="67">
        <f>B17+(B18*B19)</f>
        <v>666</v>
      </c>
      <c r="C20" s="67">
        <f>C17+(C18*C19)</f>
        <v>245</v>
      </c>
    </row>
    <row r="21" spans="1:7" ht="13.5" thickBot="1">
      <c r="A21" s="80" t="s">
        <v>186</v>
      </c>
      <c r="B21" s="91">
        <f>B20/B8</f>
        <v>1</v>
      </c>
      <c r="C21" s="91">
        <f>C20/C8</f>
        <v>1</v>
      </c>
    </row>
    <row r="22" spans="1:7" ht="13.5" thickTop="1">
      <c r="A22" s="68" t="s">
        <v>187</v>
      </c>
      <c r="B22" s="104">
        <f>TRUNC(B8*B13*(B14*B21),2)</f>
        <v>267953.40000000002</v>
      </c>
      <c r="C22" s="104">
        <f>TRUNC(C8*C13*(C14*C21),2)</f>
        <v>116989.41</v>
      </c>
    </row>
    <row r="23" spans="1:7">
      <c r="A23" s="68"/>
      <c r="B23" s="104"/>
      <c r="C23" s="67"/>
    </row>
    <row r="24" spans="1:7">
      <c r="A24" s="92" t="s">
        <v>188</v>
      </c>
      <c r="B24" s="92" t="s">
        <v>189</v>
      </c>
      <c r="C24" s="92" t="s">
        <v>190</v>
      </c>
      <c r="D24" s="25"/>
      <c r="E24" s="26"/>
      <c r="F24" s="27"/>
      <c r="G24" s="25"/>
    </row>
    <row r="25" spans="1:7" ht="25.5">
      <c r="A25" s="93" t="s">
        <v>145</v>
      </c>
      <c r="B25" s="94">
        <f>10%*B14</f>
        <v>9.2682400000000005E-3</v>
      </c>
      <c r="C25" s="95">
        <f>B13*B25</f>
        <v>40.233244475199996</v>
      </c>
    </row>
    <row r="26" spans="1:7">
      <c r="A26" s="93" t="s">
        <v>22</v>
      </c>
      <c r="B26" s="94">
        <f>B14*90%</f>
        <v>8.3414160000000001E-2</v>
      </c>
      <c r="C26" s="95">
        <f>B13*B26</f>
        <v>362.09920027679999</v>
      </c>
    </row>
    <row r="27" spans="1:7" ht="25.5">
      <c r="A27" s="93" t="s">
        <v>191</v>
      </c>
      <c r="B27" s="94">
        <f>B14*10%</f>
        <v>9.2682400000000005E-3</v>
      </c>
      <c r="C27" s="95">
        <f>B13*B27</f>
        <v>40.233244475199996</v>
      </c>
    </row>
    <row r="28" spans="1:7">
      <c r="A28" s="93" t="s">
        <v>40</v>
      </c>
      <c r="B28" s="94">
        <f>B14*15%</f>
        <v>1.3902359999999999E-2</v>
      </c>
      <c r="C28" s="95">
        <f>B13*B28</f>
        <v>60.349866712799987</v>
      </c>
    </row>
    <row r="29" spans="1:7">
      <c r="A29" s="93" t="s">
        <v>55</v>
      </c>
      <c r="B29" s="96">
        <f>B14*15%</f>
        <v>1.3902359999999999E-2</v>
      </c>
      <c r="C29" s="95">
        <f>B13*B29</f>
        <v>60.349866712799987</v>
      </c>
    </row>
    <row r="30" spans="1:7">
      <c r="A30" s="93" t="s">
        <v>64</v>
      </c>
      <c r="B30" s="96">
        <f>B14*20%</f>
        <v>1.8536480000000001E-2</v>
      </c>
      <c r="C30" s="95">
        <f>B13*B30</f>
        <v>80.466488950399992</v>
      </c>
    </row>
    <row r="31" spans="1:7">
      <c r="A31" s="93" t="s">
        <v>70</v>
      </c>
      <c r="B31" s="96">
        <f>B14*10%</f>
        <v>9.2682400000000005E-3</v>
      </c>
      <c r="C31" s="95">
        <f>B13*B31</f>
        <v>40.233244475199996</v>
      </c>
    </row>
    <row r="32" spans="1:7">
      <c r="A32" s="93" t="s">
        <v>73</v>
      </c>
      <c r="B32" s="96">
        <f>B14*10%</f>
        <v>9.2682400000000005E-3</v>
      </c>
      <c r="C32" s="95">
        <f>B13*B32</f>
        <v>40.233244475199996</v>
      </c>
    </row>
    <row r="33" spans="1:4">
      <c r="A33" s="68"/>
      <c r="B33" s="90"/>
      <c r="C33" s="97"/>
    </row>
    <row r="34" spans="1:4">
      <c r="A34" s="92" t="s">
        <v>192</v>
      </c>
      <c r="B34" s="92" t="s">
        <v>189</v>
      </c>
      <c r="C34" s="92" t="s">
        <v>190</v>
      </c>
    </row>
    <row r="35" spans="1:4">
      <c r="A35" s="93" t="s">
        <v>22</v>
      </c>
      <c r="B35" s="96">
        <f>C14</f>
        <v>0.11</v>
      </c>
      <c r="C35" s="95">
        <f>C13*B35</f>
        <v>477.50779999999997</v>
      </c>
    </row>
    <row r="36" spans="1:4">
      <c r="A36" s="93" t="s">
        <v>37</v>
      </c>
      <c r="B36" s="96">
        <f>C14*10%</f>
        <v>1.1000000000000001E-2</v>
      </c>
      <c r="C36" s="95">
        <f>C13*B36</f>
        <v>47.750779999999999</v>
      </c>
    </row>
    <row r="37" spans="1:4">
      <c r="A37" s="93" t="s">
        <v>40</v>
      </c>
      <c r="B37" s="96">
        <f>C14*15%</f>
        <v>1.6500000000000001E-2</v>
      </c>
      <c r="C37" s="95">
        <f>C13*B37</f>
        <v>71.626170000000002</v>
      </c>
    </row>
    <row r="38" spans="1:4">
      <c r="A38" s="68"/>
      <c r="B38" s="90"/>
      <c r="C38" s="97"/>
    </row>
    <row r="39" spans="1:4" ht="28.5" customHeight="1">
      <c r="A39" s="175" t="s">
        <v>193</v>
      </c>
      <c r="B39" s="175"/>
      <c r="C39" s="175"/>
      <c r="D39" s="14"/>
    </row>
    <row r="40" spans="1:4" ht="39.75" customHeight="1">
      <c r="A40" s="175" t="s">
        <v>194</v>
      </c>
      <c r="B40" s="175"/>
      <c r="C40" s="175"/>
      <c r="D40" s="14"/>
    </row>
    <row r="41" spans="1:4" ht="25.5" customHeight="1">
      <c r="A41" s="175" t="s">
        <v>195</v>
      </c>
      <c r="B41" s="175"/>
      <c r="C41" s="175"/>
      <c r="D41" s="14"/>
    </row>
  </sheetData>
  <mergeCells count="4">
    <mergeCell ref="B4:C4"/>
    <mergeCell ref="A39:C39"/>
    <mergeCell ref="A40:C40"/>
    <mergeCell ref="A41:C41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10" zoomScale="115" zoomScaleNormal="130" zoomScaleSheetLayoutView="115" workbookViewId="0">
      <selection activeCell="H11" sqref="H11"/>
    </sheetView>
  </sheetViews>
  <sheetFormatPr defaultRowHeight="12.75"/>
  <cols>
    <col min="1" max="1" width="11" customWidth="1"/>
    <col min="2" max="2" width="11.42578125" customWidth="1"/>
    <col min="3" max="3" width="11" customWidth="1"/>
    <col min="4" max="4" width="7.7109375" customWidth="1"/>
    <col min="5" max="5" width="8.42578125" customWidth="1"/>
  </cols>
  <sheetData>
    <row r="1" spans="1:8" ht="18">
      <c r="A1" s="18" t="s">
        <v>196</v>
      </c>
    </row>
    <row r="2" spans="1:8">
      <c r="A2" s="13"/>
    </row>
    <row r="3" spans="1:8">
      <c r="A3" s="176" t="s">
        <v>197</v>
      </c>
      <c r="B3" s="176"/>
      <c r="C3">
        <v>666</v>
      </c>
    </row>
    <row r="4" spans="1:8">
      <c r="A4" s="176" t="s">
        <v>198</v>
      </c>
      <c r="B4" s="176"/>
      <c r="C4" s="16">
        <f>IF(C3&lt;=$B$9,$C$9,IF(C3&gt;=$B$19,$C$19,(B25-((B25-B26)*((C3-B23)/(B24-B23))))))</f>
        <v>9.2682399999999998E-2</v>
      </c>
      <c r="D4" s="16">
        <f>IF(C3&lt;=$B$9,$C$9,IF(C3&gt;=$B$19,$C$19,(INDEX($C$9:$C$19,MATCH(C3,$B$9:$B$19,1))-((INDEX($C$9:$C$19,MATCH(C3,$B$9:$B$19,1))-INDEX($C$9:$C$19,MATCH(C3,$B$9:$B$19,1)+1))*((C3-INDEX($B$9:$B$19,MATCH(C3,$B$9:$B$19,1)))/(INDEX($B$9:$B$19,MATCH(C3,$B$9:$B$19,1)+1)-INDEX($B$9:$B$19,MATCH(C3,$B$9:$B$19,1))))))))</f>
        <v>9.2682399999999998E-2</v>
      </c>
    </row>
    <row r="5" spans="1:8">
      <c r="A5" s="13"/>
      <c r="B5" s="13"/>
      <c r="C5" s="16"/>
    </row>
    <row r="6" spans="1:8">
      <c r="A6" s="13" t="s">
        <v>199</v>
      </c>
      <c r="B6" s="13"/>
      <c r="C6" s="16"/>
    </row>
    <row r="7" spans="1:8" ht="38.25">
      <c r="B7" s="20" t="s">
        <v>197</v>
      </c>
      <c r="C7" s="19" t="s">
        <v>200</v>
      </c>
    </row>
    <row r="8" spans="1:8">
      <c r="A8" s="13" t="s">
        <v>201</v>
      </c>
      <c r="B8" s="13" t="s">
        <v>19</v>
      </c>
      <c r="C8" s="13" t="s">
        <v>202</v>
      </c>
    </row>
    <row r="9" spans="1:8" ht="29.25" customHeight="1">
      <c r="A9">
        <v>1</v>
      </c>
      <c r="B9">
        <v>250</v>
      </c>
      <c r="C9" s="15">
        <v>0.11</v>
      </c>
      <c r="E9" s="17"/>
      <c r="H9" s="28">
        <v>2431.37</v>
      </c>
    </row>
    <row r="10" spans="1:8">
      <c r="A10">
        <v>2</v>
      </c>
      <c r="B10">
        <f>B9*2</f>
        <v>500</v>
      </c>
      <c r="C10" s="15">
        <v>9.6600000000000005E-2</v>
      </c>
      <c r="H10">
        <f>H9*2</f>
        <v>4862.74</v>
      </c>
    </row>
    <row r="11" spans="1:8">
      <c r="A11">
        <v>3</v>
      </c>
      <c r="B11">
        <f t="shared" ref="B11:B19" si="0">B10*2</f>
        <v>1000</v>
      </c>
      <c r="C11" s="15">
        <v>8.48E-2</v>
      </c>
    </row>
    <row r="12" spans="1:8">
      <c r="A12">
        <v>4</v>
      </c>
      <c r="B12">
        <f t="shared" si="0"/>
        <v>2000</v>
      </c>
      <c r="C12" s="15">
        <v>7.4499999999999997E-2</v>
      </c>
    </row>
    <row r="13" spans="1:8">
      <c r="A13">
        <v>5</v>
      </c>
      <c r="B13">
        <f t="shared" si="0"/>
        <v>4000</v>
      </c>
      <c r="C13" s="15">
        <v>6.54E-2</v>
      </c>
    </row>
    <row r="14" spans="1:8">
      <c r="A14">
        <v>6</v>
      </c>
      <c r="B14">
        <f t="shared" si="0"/>
        <v>8000</v>
      </c>
      <c r="C14" s="15">
        <v>5.74E-2</v>
      </c>
    </row>
    <row r="15" spans="1:8">
      <c r="A15">
        <v>7</v>
      </c>
      <c r="B15">
        <f t="shared" si="0"/>
        <v>16000</v>
      </c>
      <c r="C15" s="15">
        <v>5.04E-2</v>
      </c>
    </row>
    <row r="16" spans="1:8">
      <c r="A16">
        <v>8</v>
      </c>
      <c r="B16">
        <f>B15*2</f>
        <v>32000</v>
      </c>
      <c r="C16" s="15">
        <v>4.4299999999999999E-2</v>
      </c>
    </row>
    <row r="17" spans="1:13">
      <c r="A17">
        <v>9</v>
      </c>
      <c r="B17">
        <f t="shared" si="0"/>
        <v>64000</v>
      </c>
      <c r="C17" s="15">
        <v>3.8899999999999997E-2</v>
      </c>
    </row>
    <row r="18" spans="1:13">
      <c r="A18">
        <v>10</v>
      </c>
      <c r="B18">
        <f t="shared" si="0"/>
        <v>128000</v>
      </c>
      <c r="C18" s="15">
        <v>3.4200000000000001E-2</v>
      </c>
    </row>
    <row r="19" spans="1:13">
      <c r="A19">
        <v>11</v>
      </c>
      <c r="B19">
        <f t="shared" si="0"/>
        <v>256000</v>
      </c>
      <c r="C19" s="15">
        <v>0.03</v>
      </c>
    </row>
    <row r="20" spans="1:13">
      <c r="C20" s="15"/>
    </row>
    <row r="21" spans="1:13" ht="29.25" customHeight="1">
      <c r="A21" s="177" t="s">
        <v>203</v>
      </c>
      <c r="B21" s="177"/>
      <c r="C21" s="177"/>
      <c r="D21" s="177"/>
    </row>
    <row r="22" spans="1:13">
      <c r="C22" s="15"/>
    </row>
    <row r="23" spans="1:13">
      <c r="A23" s="13" t="s">
        <v>204</v>
      </c>
      <c r="B23">
        <f>INDEX($B$9:$B$19,MATCH(C3,$B$9:$B$19,1))</f>
        <v>500</v>
      </c>
      <c r="C23" s="15"/>
      <c r="D23" s="13" t="s">
        <v>205</v>
      </c>
    </row>
    <row r="24" spans="1:13">
      <c r="A24" s="13" t="s">
        <v>206</v>
      </c>
      <c r="B24">
        <f>INDEX($B$9:$B$19,MATCH(C3,$B$9:$B$19,1)+1)</f>
        <v>1000</v>
      </c>
      <c r="D24" s="13" t="s">
        <v>207</v>
      </c>
    </row>
    <row r="25" spans="1:13">
      <c r="A25" s="13" t="s">
        <v>208</v>
      </c>
      <c r="B25" s="16">
        <f>VLOOKUP(B23,$B$9:$C$19,2,0)</f>
        <v>9.6600000000000005E-2</v>
      </c>
      <c r="D25" s="13" t="s">
        <v>209</v>
      </c>
    </row>
    <row r="26" spans="1:13">
      <c r="A26" s="13" t="s">
        <v>210</v>
      </c>
      <c r="B26" s="21">
        <f>VLOOKUP(B24,$B$9:$C$19,2,0)</f>
        <v>8.48E-2</v>
      </c>
      <c r="D26" s="13" t="s">
        <v>211</v>
      </c>
    </row>
    <row r="27" spans="1:13">
      <c r="A27" s="13"/>
    </row>
    <row r="28" spans="1:13">
      <c r="A28" s="13" t="s">
        <v>208</v>
      </c>
      <c r="B28" s="16">
        <f>INDEX($C$9:$C$19,MATCH(C3,$B$9:$B$19,1))</f>
        <v>9.6600000000000005E-2</v>
      </c>
    </row>
    <row r="29" spans="1:13">
      <c r="A29" s="13" t="s">
        <v>210</v>
      </c>
      <c r="B29" s="21">
        <f>INDEX($C$9:$C$19,MATCH(C3,$B$9:$B$19,1)+1)</f>
        <v>8.48E-2</v>
      </c>
      <c r="C29" s="14"/>
    </row>
    <row r="30" spans="1:13">
      <c r="B30" s="16"/>
      <c r="C30" s="16"/>
      <c r="F30" s="13"/>
      <c r="G30" s="13"/>
      <c r="H30" s="13"/>
      <c r="I30" s="16"/>
      <c r="J30" s="13"/>
      <c r="K30" s="13"/>
      <c r="L30" s="13"/>
      <c r="M30" s="16"/>
    </row>
    <row r="31" spans="1:13">
      <c r="A31" s="13"/>
      <c r="B31" s="16"/>
      <c r="C31" s="16"/>
      <c r="F31" s="13"/>
      <c r="G31" s="13"/>
      <c r="H31" s="13"/>
      <c r="I31" s="16"/>
      <c r="J31" s="13"/>
      <c r="K31" s="13"/>
      <c r="L31" s="13"/>
      <c r="M31" s="16"/>
    </row>
    <row r="32" spans="1:13">
      <c r="B32" s="16"/>
      <c r="C32" s="16"/>
      <c r="F32" s="13"/>
      <c r="G32" s="13"/>
      <c r="H32" s="13"/>
      <c r="I32" s="16"/>
      <c r="J32" s="13"/>
      <c r="K32" s="13"/>
      <c r="L32" s="13"/>
      <c r="M32" s="16"/>
    </row>
    <row r="33" spans="2:13">
      <c r="B33" s="16"/>
      <c r="C33" s="16"/>
      <c r="F33" s="13"/>
      <c r="G33" s="13"/>
      <c r="H33" s="13"/>
      <c r="I33" s="16"/>
      <c r="J33" s="13"/>
      <c r="K33" s="13"/>
      <c r="L33" s="13"/>
      <c r="M33" s="16"/>
    </row>
    <row r="34" spans="2:13">
      <c r="B34" s="16"/>
      <c r="C34" s="16"/>
      <c r="F34" s="13"/>
      <c r="G34" s="13"/>
      <c r="H34" s="13"/>
      <c r="I34" s="16"/>
      <c r="J34" s="13"/>
      <c r="K34" s="13"/>
      <c r="L34" s="13"/>
      <c r="M34" s="16"/>
    </row>
    <row r="35" spans="2:13">
      <c r="B35" s="16"/>
      <c r="C35" s="16"/>
      <c r="F35" s="13"/>
      <c r="G35" s="13"/>
      <c r="H35" s="13"/>
      <c r="I35" s="16"/>
      <c r="J35" s="13"/>
      <c r="K35" s="13"/>
      <c r="L35" s="13"/>
      <c r="M35" s="16"/>
    </row>
    <row r="36" spans="2:13">
      <c r="B36" s="16"/>
      <c r="C36" s="16"/>
      <c r="F36" s="13"/>
      <c r="G36" s="13"/>
      <c r="H36" s="13"/>
      <c r="I36" s="16"/>
      <c r="J36" s="13"/>
      <c r="K36" s="13"/>
      <c r="L36" s="13"/>
      <c r="M36" s="16"/>
    </row>
    <row r="37" spans="2:13">
      <c r="B37" s="16"/>
      <c r="C37" s="16"/>
      <c r="F37" s="13"/>
      <c r="G37" s="13"/>
      <c r="H37" s="13"/>
      <c r="I37" s="16"/>
      <c r="J37" s="13"/>
      <c r="K37" s="13"/>
      <c r="L37" s="13"/>
      <c r="M37" s="16"/>
    </row>
    <row r="38" spans="2:13">
      <c r="B38" s="16"/>
      <c r="C38" s="16"/>
      <c r="F38" s="13"/>
      <c r="G38" s="13"/>
      <c r="H38" s="13"/>
      <c r="I38" s="16"/>
      <c r="J38" s="13"/>
      <c r="K38" s="13"/>
      <c r="L38" s="13"/>
      <c r="M38" s="16"/>
    </row>
    <row r="39" spans="2:13">
      <c r="B39" s="16"/>
      <c r="C39" s="16"/>
      <c r="F39" s="13"/>
      <c r="G39" s="13"/>
      <c r="H39" s="13"/>
      <c r="I39" s="16"/>
      <c r="J39" s="13"/>
      <c r="K39" s="13"/>
      <c r="L39" s="13"/>
      <c r="M39" s="16"/>
    </row>
    <row r="40" spans="2:13">
      <c r="B40" s="16"/>
      <c r="C40" s="16"/>
      <c r="F40" s="13"/>
      <c r="G40" s="13"/>
      <c r="H40" s="13"/>
      <c r="I40" s="16"/>
      <c r="J40" s="13"/>
      <c r="K40" s="13"/>
      <c r="L40" s="13"/>
      <c r="M40" s="16"/>
    </row>
    <row r="41" spans="2:13">
      <c r="B41" s="16"/>
      <c r="C41" s="16"/>
      <c r="F41" s="13"/>
      <c r="G41" s="13"/>
      <c r="H41" s="13"/>
      <c r="I41" s="16"/>
      <c r="J41" s="13"/>
      <c r="K41" s="13"/>
      <c r="L41" s="13"/>
      <c r="M41" s="16"/>
    </row>
  </sheetData>
  <mergeCells count="3">
    <mergeCell ref="A3:B3"/>
    <mergeCell ref="A4:B4"/>
    <mergeCell ref="A21:D21"/>
  </mergeCells>
  <pageMargins left="0.511811024" right="0.511811024" top="0.78740157499999996" bottom="0.78740157499999996" header="0.31496062000000002" footer="0.31496062000000002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13" zoomScale="160" zoomScaleNormal="160" workbookViewId="0">
      <selection activeCell="G6" sqref="G6"/>
    </sheetView>
  </sheetViews>
  <sheetFormatPr defaultRowHeight="12.75"/>
  <cols>
    <col min="1" max="1" width="10" customWidth="1"/>
    <col min="2" max="2" width="12.7109375" customWidth="1"/>
    <col min="3" max="3" width="10.140625" customWidth="1"/>
  </cols>
  <sheetData>
    <row r="1" spans="1:3" ht="21">
      <c r="A1" s="22" t="s">
        <v>212</v>
      </c>
    </row>
    <row r="3" spans="1:3">
      <c r="A3" s="13" t="s">
        <v>213</v>
      </c>
      <c r="C3">
        <v>0</v>
      </c>
    </row>
    <row r="4" spans="1:3">
      <c r="A4" s="13" t="s">
        <v>214</v>
      </c>
      <c r="C4" s="23">
        <f>IF(C3&gt;=$A$15,$B$15,B21-((B21-B22)*((C3-B19)/(B20-B19))))</f>
        <v>1</v>
      </c>
    </row>
    <row r="5" spans="1:3">
      <c r="A5" s="13"/>
    </row>
    <row r="6" spans="1:3">
      <c r="A6" s="13" t="s">
        <v>199</v>
      </c>
    </row>
    <row r="7" spans="1:3">
      <c r="A7">
        <v>0</v>
      </c>
      <c r="B7" s="15">
        <v>1</v>
      </c>
      <c r="C7" s="15"/>
    </row>
    <row r="8" spans="1:3">
      <c r="A8">
        <v>1</v>
      </c>
      <c r="B8" s="15">
        <v>0.98</v>
      </c>
      <c r="C8" s="15"/>
    </row>
    <row r="9" spans="1:3">
      <c r="A9">
        <v>2</v>
      </c>
      <c r="B9" s="15">
        <v>0.94</v>
      </c>
      <c r="C9" s="15"/>
    </row>
    <row r="10" spans="1:3">
      <c r="A10">
        <v>4</v>
      </c>
      <c r="B10" s="15">
        <v>0.84</v>
      </c>
      <c r="C10" s="15"/>
    </row>
    <row r="11" spans="1:3">
      <c r="A11">
        <v>8</v>
      </c>
      <c r="B11" s="15">
        <v>0.76</v>
      </c>
      <c r="C11" s="15"/>
    </row>
    <row r="12" spans="1:3">
      <c r="A12">
        <v>16</v>
      </c>
      <c r="B12" s="15">
        <v>0.64</v>
      </c>
      <c r="C12" s="15"/>
    </row>
    <row r="13" spans="1:3">
      <c r="A13">
        <v>32</v>
      </c>
      <c r="B13" s="15">
        <v>0.5</v>
      </c>
      <c r="C13" s="15"/>
    </row>
    <row r="14" spans="1:3">
      <c r="A14">
        <v>64</v>
      </c>
      <c r="B14" s="15">
        <v>0.25</v>
      </c>
      <c r="C14" s="15"/>
    </row>
    <row r="15" spans="1:3">
      <c r="A15" s="13">
        <v>128</v>
      </c>
      <c r="B15" s="15">
        <v>0.125</v>
      </c>
      <c r="C15" s="15"/>
    </row>
    <row r="17" spans="1:3" ht="42" customHeight="1">
      <c r="A17" s="178" t="s">
        <v>215</v>
      </c>
      <c r="B17" s="178"/>
      <c r="C17" s="178"/>
    </row>
    <row r="19" spans="1:3">
      <c r="A19" s="13" t="s">
        <v>216</v>
      </c>
      <c r="B19">
        <f>INDEX($A$7:$A$15,MATCH($C$3,$A$7:$A$15,1))</f>
        <v>0</v>
      </c>
    </row>
    <row r="20" spans="1:3">
      <c r="A20" s="13" t="s">
        <v>217</v>
      </c>
      <c r="B20">
        <f>INDEX($A$7:$A$15,MATCH($C$3,$A$7:$A$15,1)+1)</f>
        <v>1</v>
      </c>
    </row>
    <row r="21" spans="1:3">
      <c r="A21" s="13" t="s">
        <v>218</v>
      </c>
      <c r="B21" s="16">
        <f>VLOOKUP(B19,$A$7:$B$15,2,0)</f>
        <v>1</v>
      </c>
    </row>
    <row r="22" spans="1:3">
      <c r="A22" s="13" t="s">
        <v>219</v>
      </c>
      <c r="B22" s="16">
        <f>VLOOKUP(B20,$A$7:$B$15,2,0)</f>
        <v>0.98</v>
      </c>
    </row>
  </sheetData>
  <mergeCells count="1">
    <mergeCell ref="A17:C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VENDA</vt:lpstr>
      <vt:lpstr>Cálculo de BDI</vt:lpstr>
      <vt:lpstr>CRONOGRAMA (12 meses)</vt:lpstr>
      <vt:lpstr>Composição de custos</vt:lpstr>
      <vt:lpstr>Cálculo de fator percentual</vt:lpstr>
      <vt:lpstr>Cálculo de Redutor</vt:lpstr>
      <vt:lpstr>'Cálculo de BDI'!Area_de_impressao</vt:lpstr>
      <vt:lpstr>'CRONOGRAMA (12 meses)'!Area_de_impressao</vt:lpstr>
      <vt:lpstr>VENDA!Area_de_impressao</vt:lpstr>
      <vt:lpstr>VENDA!Titulos_de_impressao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</dc:creator>
  <cp:keywords/>
  <dc:description/>
  <cp:lastModifiedBy>USER</cp:lastModifiedBy>
  <cp:revision/>
  <dcterms:created xsi:type="dcterms:W3CDTF">2013-03-02T23:35:38Z</dcterms:created>
  <dcterms:modified xsi:type="dcterms:W3CDTF">2021-11-18T20:18:00Z</dcterms:modified>
  <cp:category/>
  <cp:contentStatus/>
</cp:coreProperties>
</file>