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sta\Documents\Google Drive\Acervo Técnico da RedEE\Planilhas\"/>
    </mc:Choice>
  </mc:AlternateContent>
  <xr:revisionPtr revIDLastSave="0" documentId="13_ncr:1_{52453018-3AFA-492D-8A32-38292859AD2F}" xr6:coauthVersionLast="36" xr6:coauthVersionMax="36" xr10:uidLastSave="{00000000-0000-0000-0000-000000000000}"/>
  <bookViews>
    <workbookView xWindow="0" yWindow="0" windowWidth="23040" windowHeight="9060" xr2:uid="{96512EB8-27B7-4869-820B-CD5DF34E3680}"/>
  </bookViews>
  <sheets>
    <sheet name="Informações" sheetId="10" r:id="rId1"/>
    <sheet name="AC Consumo evitado" sheetId="9" r:id="rId2"/>
    <sheet name="AC Retrofit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6" l="1"/>
  <c r="F12" i="6" s="1"/>
  <c r="G12" i="6" s="1"/>
  <c r="H12" i="6" s="1"/>
  <c r="I12" i="6" s="1"/>
  <c r="J12" i="6" s="1"/>
  <c r="K12" i="6" s="1"/>
  <c r="L12" i="6" s="1"/>
  <c r="M12" i="6" s="1"/>
  <c r="N12" i="6" s="1"/>
  <c r="O12" i="6" s="1"/>
  <c r="P12" i="6" s="1"/>
  <c r="Q12" i="6" s="1"/>
  <c r="R12" i="6" s="1"/>
  <c r="E14" i="6" l="1"/>
  <c r="F14" i="6" s="1"/>
  <c r="G14" i="6" s="1"/>
  <c r="H14" i="6" s="1"/>
  <c r="I14" i="6" s="1"/>
  <c r="J14" i="6" s="1"/>
  <c r="K14" i="6" s="1"/>
  <c r="L14" i="6" s="1"/>
  <c r="M14" i="6" s="1"/>
  <c r="N14" i="6" s="1"/>
  <c r="O14" i="6" s="1"/>
  <c r="P14" i="6" s="1"/>
  <c r="Q14" i="6" s="1"/>
  <c r="R14" i="6" s="1"/>
  <c r="N17" i="9"/>
  <c r="N16" i="9"/>
  <c r="N15" i="9"/>
  <c r="L9" i="9"/>
  <c r="M9" i="9" s="1"/>
  <c r="N9" i="9" s="1"/>
  <c r="N14" i="9" s="1"/>
  <c r="E10" i="9"/>
  <c r="F10" i="9" s="1"/>
  <c r="G10" i="9" s="1"/>
  <c r="E11" i="9"/>
  <c r="F11" i="9" s="1"/>
  <c r="G11" i="9" s="1"/>
  <c r="E12" i="9"/>
  <c r="F12" i="9" s="1"/>
  <c r="G12" i="9" s="1"/>
  <c r="E13" i="9"/>
  <c r="F13" i="9" s="1"/>
  <c r="G13" i="9" s="1"/>
  <c r="E9" i="9"/>
  <c r="F9" i="9" s="1"/>
  <c r="G9" i="9" s="1"/>
  <c r="C42" i="6"/>
  <c r="C38" i="6"/>
  <c r="C18" i="6"/>
  <c r="C19" i="6" s="1"/>
  <c r="D13" i="6"/>
  <c r="C6" i="6"/>
  <c r="I43" i="6" s="1"/>
  <c r="F43" i="6" l="1"/>
  <c r="Q43" i="6"/>
  <c r="O43" i="6"/>
  <c r="E43" i="6"/>
  <c r="M43" i="6"/>
  <c r="L43" i="6"/>
  <c r="J43" i="6"/>
  <c r="N43" i="6"/>
  <c r="R43" i="6"/>
  <c r="G43" i="6"/>
  <c r="D43" i="6"/>
  <c r="K43" i="6"/>
  <c r="D44" i="6"/>
  <c r="P43" i="6"/>
  <c r="H43" i="6"/>
  <c r="N18" i="9"/>
  <c r="G14" i="9"/>
  <c r="E13" i="6"/>
  <c r="E44" i="6" s="1"/>
  <c r="C24" i="6"/>
  <c r="C25" i="6" s="1"/>
  <c r="D18" i="6"/>
  <c r="D24" i="6" s="1"/>
  <c r="G39" i="6"/>
  <c r="D39" i="6"/>
  <c r="E39" i="6"/>
  <c r="F39" i="6"/>
  <c r="D25" i="6" l="1"/>
  <c r="G18" i="9"/>
  <c r="N20" i="9" s="1"/>
  <c r="E18" i="6"/>
  <c r="D19" i="6"/>
  <c r="H39" i="6"/>
  <c r="F13" i="6"/>
  <c r="F44" i="6" s="1"/>
  <c r="E24" i="6" l="1"/>
  <c r="E25" i="6" s="1"/>
  <c r="E19" i="6"/>
  <c r="F18" i="6"/>
  <c r="G13" i="6"/>
  <c r="G44" i="6" s="1"/>
  <c r="I39" i="6"/>
  <c r="J39" i="6" l="1"/>
  <c r="H13" i="6"/>
  <c r="H44" i="6" s="1"/>
  <c r="G18" i="6"/>
  <c r="F24" i="6"/>
  <c r="F19" i="6"/>
  <c r="G24" i="6" l="1"/>
  <c r="I13" i="6"/>
  <c r="I44" i="6" s="1"/>
  <c r="H18" i="6"/>
  <c r="H24" i="6" s="1"/>
  <c r="K39" i="6"/>
  <c r="F25" i="6"/>
  <c r="G19" i="6"/>
  <c r="G25" i="6" l="1"/>
  <c r="H25" i="6" s="1"/>
  <c r="H19" i="6"/>
  <c r="L39" i="6"/>
  <c r="J13" i="6"/>
  <c r="J44" i="6" s="1"/>
  <c r="I18" i="6"/>
  <c r="I24" i="6" l="1"/>
  <c r="I25" i="6" s="1"/>
  <c r="J18" i="6"/>
  <c r="J24" i="6" s="1"/>
  <c r="K13" i="6"/>
  <c r="K44" i="6" s="1"/>
  <c r="M39" i="6"/>
  <c r="I19" i="6"/>
  <c r="C31" i="6" l="1"/>
  <c r="J19" i="6"/>
  <c r="N39" i="6"/>
  <c r="K18" i="6"/>
  <c r="L13" i="6"/>
  <c r="L44" i="6" s="1"/>
  <c r="J25" i="6"/>
  <c r="K24" i="6" l="1"/>
  <c r="K25" i="6" s="1"/>
  <c r="K19" i="6"/>
  <c r="M13" i="6"/>
  <c r="M44" i="6" s="1"/>
  <c r="L18" i="6"/>
  <c r="L24" i="6" s="1"/>
  <c r="O39" i="6"/>
  <c r="C32" i="6" l="1"/>
  <c r="L25" i="6"/>
  <c r="P39" i="6"/>
  <c r="N13" i="6"/>
  <c r="N44" i="6" s="1"/>
  <c r="M18" i="6"/>
  <c r="M24" i="6" s="1"/>
  <c r="L19" i="6"/>
  <c r="M25" i="6" l="1"/>
  <c r="O13" i="6"/>
  <c r="O44" i="6" s="1"/>
  <c r="Q39" i="6"/>
  <c r="N18" i="6"/>
  <c r="N24" i="6" s="1"/>
  <c r="M19" i="6"/>
  <c r="N25" i="6" l="1"/>
  <c r="O18" i="6"/>
  <c r="O24" i="6" s="1"/>
  <c r="R39" i="6"/>
  <c r="P13" i="6"/>
  <c r="P44" i="6" s="1"/>
  <c r="N19" i="6"/>
  <c r="O25" i="6" l="1"/>
  <c r="O19" i="6"/>
  <c r="P18" i="6"/>
  <c r="P24" i="6" s="1"/>
  <c r="Q13" i="6"/>
  <c r="Q44" i="6" s="1"/>
  <c r="P25" i="6" l="1"/>
  <c r="P19" i="6"/>
  <c r="R13" i="6"/>
  <c r="R44" i="6" s="1"/>
  <c r="C44" i="6" s="1"/>
  <c r="Q18" i="6"/>
  <c r="Q24" i="6" s="1"/>
  <c r="Q25" i="6" l="1"/>
  <c r="Q19" i="6"/>
  <c r="R18" i="6"/>
  <c r="C35" i="6" s="1"/>
  <c r="R24" i="6" l="1"/>
  <c r="R25" i="6" s="1"/>
  <c r="C34" i="6"/>
  <c r="R19" i="6"/>
  <c r="C39" i="6" l="1"/>
  <c r="C41" i="6" s="1"/>
  <c r="C37" i="6" l="1"/>
  <c r="C33" i="6" l="1"/>
  <c r="C43" i="6"/>
  <c r="C3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Gontijo</author>
  </authors>
  <commentList>
    <comment ref="B9" authorId="0" shapeId="0" xr:uid="{241B66A0-7CC4-4AE9-899D-BB7B0603BE75}">
      <text>
        <r>
          <rPr>
            <b/>
            <sz val="9"/>
            <color indexed="81"/>
            <rFont val="Segoe UI"/>
            <family val="2"/>
          </rPr>
          <t>Gustavo Gontijo:</t>
        </r>
        <r>
          <rPr>
            <sz val="9"/>
            <color indexed="81"/>
            <rFont val="Segoe UI"/>
            <family val="2"/>
          </rPr>
          <t xml:space="preserve">
Todas as saídas de caixa deve ser registradas com sinal negativo. Isto se aplica a Manutenção, Reinvestimento, Alavancagem e Investimento.</t>
        </r>
      </text>
    </comment>
    <comment ref="B16" authorId="0" shapeId="0" xr:uid="{5A50CB15-D2EC-474A-9444-A79702CFA480}">
      <text>
        <r>
          <rPr>
            <b/>
            <sz val="9"/>
            <color indexed="81"/>
            <rFont val="Segoe UI"/>
            <family val="2"/>
          </rPr>
          <t>Gustavo Gontijo:</t>
        </r>
        <r>
          <rPr>
            <sz val="9"/>
            <color indexed="81"/>
            <rFont val="Segoe UI"/>
            <family val="2"/>
          </rPr>
          <t xml:space="preserve">
Aqui entram as parcelas que amortizam o financiamento, se for o caso.</t>
        </r>
      </text>
    </comment>
  </commentList>
</comments>
</file>

<file path=xl/sharedStrings.xml><?xml version="1.0" encoding="utf-8"?>
<sst xmlns="http://schemas.openxmlformats.org/spreadsheetml/2006/main" count="84" uniqueCount="64">
  <si>
    <t>Ano</t>
  </si>
  <si>
    <t>TIR [% a.a.]</t>
  </si>
  <si>
    <r>
      <rPr>
        <b/>
        <u/>
        <sz val="11"/>
        <color rgb="FFFF0000"/>
        <rFont val="Calibri"/>
        <family val="2"/>
        <scheme val="minor"/>
      </rPr>
      <t>Parâmetro:</t>
    </r>
    <r>
      <rPr>
        <sz val="11"/>
        <color rgb="FFFF0000"/>
        <rFont val="Calibri"/>
        <family val="2"/>
        <scheme val="minor"/>
      </rPr>
      <t xml:space="preserve"> O VPL deve ser maior que zero.</t>
    </r>
  </si>
  <si>
    <r>
      <rPr>
        <b/>
        <u/>
        <sz val="11"/>
        <color rgb="FFFF0000"/>
        <rFont val="Calibri"/>
        <family val="2"/>
        <scheme val="minor"/>
      </rPr>
      <t>Parâmetro:</t>
    </r>
    <r>
      <rPr>
        <sz val="11"/>
        <color rgb="FFFF0000"/>
        <rFont val="Calibri"/>
        <family val="2"/>
        <scheme val="minor"/>
      </rPr>
      <t xml:space="preserve"> A TIR deve ser maior que a TMA.</t>
    </r>
  </si>
  <si>
    <r>
      <rPr>
        <b/>
        <u/>
        <sz val="11"/>
        <color rgb="FFFF0000"/>
        <rFont val="Calibri"/>
        <family val="2"/>
        <scheme val="minor"/>
      </rPr>
      <t>Parâmetro:</t>
    </r>
    <r>
      <rPr>
        <sz val="11"/>
        <color rgb="FFFF0000"/>
        <rFont val="Calibri"/>
        <family val="2"/>
        <scheme val="minor"/>
      </rPr>
      <t xml:space="preserve"> O IBC deve ser maior que zero.</t>
    </r>
  </si>
  <si>
    <t>kW</t>
  </si>
  <si>
    <t>COP</t>
  </si>
  <si>
    <t>Qtd</t>
  </si>
  <si>
    <t>Potência total</t>
  </si>
  <si>
    <t>Semanas/ano</t>
  </si>
  <si>
    <t>Horas/dia</t>
  </si>
  <si>
    <t>Dias/semana</t>
  </si>
  <si>
    <t>Consumo anual</t>
  </si>
  <si>
    <t>h</t>
  </si>
  <si>
    <t>d</t>
  </si>
  <si>
    <t>sem</t>
  </si>
  <si>
    <t>kWh/ano</t>
  </si>
  <si>
    <t>Consumo evitado anual</t>
  </si>
  <si>
    <t>Potência Térmica Unitária [kWt]</t>
  </si>
  <si>
    <t>Potência Elétrica Unitária [kWe]</t>
  </si>
  <si>
    <t>Potência Elétrica Total [kW]</t>
  </si>
  <si>
    <t>Potência Térmica [BTU/h]</t>
  </si>
  <si>
    <t>Fator de conversão</t>
  </si>
  <si>
    <t>12000 BTU/h =</t>
  </si>
  <si>
    <t>SISTEMA ANTERIOR</t>
  </si>
  <si>
    <t>SISTEMA PROPOSTO</t>
  </si>
  <si>
    <t>EER</t>
  </si>
  <si>
    <t>Potência elétrica = Potência térmica/COP</t>
  </si>
  <si>
    <t>Conversão kWt &lt;-&gt; kWe</t>
  </si>
  <si>
    <t>Total acumulado [mil R$]</t>
  </si>
  <si>
    <t>Tarifa média [R$/kWh]</t>
  </si>
  <si>
    <t>Economia total com energia [mil R$]</t>
  </si>
  <si>
    <t>Manutenção [mil R$]</t>
  </si>
  <si>
    <t>Reinvestimento [mil R$]</t>
  </si>
  <si>
    <t>Fluxo de caixa [mil R$]</t>
  </si>
  <si>
    <t>Fluxo de caixa descontado [mil R$]</t>
  </si>
  <si>
    <t>Total acumulado descontado [mil R$]</t>
  </si>
  <si>
    <t>Payback simples [anos]</t>
  </si>
  <si>
    <t>Payback descontado [anos]</t>
  </si>
  <si>
    <t>Valor Presente Líquido [mil R$]</t>
  </si>
  <si>
    <t>VPL CAPEX [mil R$]</t>
  </si>
  <si>
    <t>VPL OPEX [mil R$]</t>
  </si>
  <si>
    <t>VPL Reinvestimento [mil R$]</t>
  </si>
  <si>
    <t>VPL Total Investimento [mil R$]</t>
  </si>
  <si>
    <t>Inflação [% a.a.]</t>
  </si>
  <si>
    <t>Taxa de juros [% a.a.]</t>
  </si>
  <si>
    <t>Taxa Mínima de Atratividade [% a.a.]</t>
  </si>
  <si>
    <t>VPL Economia total [mil R$]</t>
  </si>
  <si>
    <t>Consumo evitado [mil kWh/ano]</t>
  </si>
  <si>
    <t>Consumo evitado total [mil kWh]</t>
  </si>
  <si>
    <t>VPL Consumo evitado [mil kWh]</t>
  </si>
  <si>
    <t>IBC [R$ obtido/R$ investido]</t>
  </si>
  <si>
    <t>Tesouro IPCA+</t>
  </si>
  <si>
    <t>Projeção IPCA BC (16/04/2021) [% a.a.]</t>
  </si>
  <si>
    <t>LCCE [R$/kWh evitado]</t>
  </si>
  <si>
    <r>
      <t xml:space="preserve">Análise de Viabilidade
</t>
    </r>
    <r>
      <rPr>
        <b/>
        <sz val="20"/>
        <color theme="5"/>
        <rFont val="Calibri"/>
        <family val="2"/>
        <scheme val="minor"/>
      </rPr>
      <t>Retrofit de Ar condicionado</t>
    </r>
  </si>
  <si>
    <t>Fluxo de caixa simples</t>
  </si>
  <si>
    <t>Fluxo de caixa descontado</t>
  </si>
  <si>
    <t>Cálculo dos Indicadores</t>
  </si>
  <si>
    <t>Investimento [mil R$]</t>
  </si>
  <si>
    <t>TIRM [% a.a.]</t>
  </si>
  <si>
    <r>
      <rPr>
        <b/>
        <u/>
        <sz val="11"/>
        <color rgb="FFFF0000"/>
        <rFont val="Calibri"/>
        <family val="2"/>
        <scheme val="minor"/>
      </rPr>
      <t>Parâmetro:</t>
    </r>
    <r>
      <rPr>
        <sz val="11"/>
        <color rgb="FFFF0000"/>
        <rFont val="Calibri"/>
        <family val="2"/>
        <scheme val="minor"/>
      </rPr>
      <t xml:space="preserve"> A TIRM deve ser maior que a TMA.</t>
    </r>
  </si>
  <si>
    <t>Alavancagem (financiamento) [mil R$]</t>
  </si>
  <si>
    <r>
      <rPr>
        <b/>
        <sz val="20"/>
        <color theme="9" tint="-0.249977111117893"/>
        <rFont val="Calibri"/>
        <family val="2"/>
        <scheme val="minor"/>
      </rPr>
      <t>Informações sobre esta planilha</t>
    </r>
    <r>
      <rPr>
        <sz val="11"/>
        <color theme="1"/>
        <rFont val="Calibri"/>
        <family val="2"/>
        <scheme val="minor"/>
      </rPr>
      <t xml:space="preserve">
Esta planilha foi desenvolvida por Gustavo Vaz Gontijo, no âmbito do projeto RedEE - Edifícios Públicos.
É recomendável não alterar as fórmulas. Em caso de necessidade de adaptação ou correção, entre em contato pelo e-mail </t>
    </r>
    <r>
      <rPr>
        <b/>
        <sz val="11"/>
        <color theme="9" tint="-0.249977111117893"/>
        <rFont val="Calibri"/>
        <family val="2"/>
        <scheme val="minor"/>
      </rPr>
      <t>gustavo@vazgontijo.com.br</t>
    </r>
    <r>
      <rPr>
        <sz val="11"/>
        <color theme="1"/>
        <rFont val="Calibri"/>
        <family val="2"/>
        <scheme val="minor"/>
      </rPr>
      <t xml:space="preserve">
Esta planilha é parte integrante da apresentação intitulada</t>
    </r>
    <r>
      <rPr>
        <b/>
        <sz val="11"/>
        <color theme="9" tint="-0.249977111117893"/>
        <rFont val="Calibri"/>
        <family val="2"/>
        <scheme val="minor"/>
      </rPr>
      <t xml:space="preserve"> Análise de viabilidade econômico financeira de Ações de Eficiência Energética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rgb="FFFF0000"/>
        <rFont val="Calibri"/>
        <family val="2"/>
        <scheme val="minor"/>
      </rPr>
      <t>Assista a esta apresentação</t>
    </r>
    <r>
      <rPr>
        <sz val="11"/>
        <color theme="1"/>
        <rFont val="Calibri"/>
        <family val="2"/>
        <scheme val="minor"/>
      </rPr>
      <t xml:space="preserve">, disponível no Acervo Técnico da RedEE - Edifícios Públicos em </t>
    </r>
    <r>
      <rPr>
        <b/>
        <sz val="11"/>
        <color theme="9" tint="-0.249977111117893"/>
        <rFont val="Calibri"/>
        <family val="2"/>
        <scheme val="minor"/>
      </rPr>
      <t>http://www.mme.gov.br/redee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</si>
</sst>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/>
    <xf numFmtId="0" fontId="0" fillId="4" borderId="1" xfId="0" applyFill="1" applyBorder="1"/>
    <xf numFmtId="10" fontId="0" fillId="2" borderId="1" xfId="1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0" fontId="0" fillId="5" borderId="1" xfId="1" applyNumberFormat="1" applyFon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0" fontId="0" fillId="0" borderId="0" xfId="0" applyAlignment="1"/>
    <xf numFmtId="0" fontId="2" fillId="0" borderId="0" xfId="0" applyFont="1" applyAlignment="1"/>
    <xf numFmtId="1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/>
    <xf numFmtId="0" fontId="3" fillId="0" borderId="0" xfId="0" applyFont="1" applyAlignment="1">
      <alignment vertical="center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left" vertical="center" indent="2"/>
    </xf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/>
    </xf>
    <xf numFmtId="0" fontId="0" fillId="8" borderId="5" xfId="0" applyFill="1" applyBorder="1" applyAlignment="1">
      <alignment horizontal="right"/>
    </xf>
    <xf numFmtId="0" fontId="0" fillId="8" borderId="6" xfId="0" applyFill="1" applyBorder="1"/>
    <xf numFmtId="0" fontId="0" fillId="8" borderId="7" xfId="0" applyFill="1" applyBorder="1"/>
    <xf numFmtId="0" fontId="0" fillId="8" borderId="5" xfId="0" applyFill="1" applyBorder="1" applyAlignment="1">
      <alignment horizontal="left" indent="1"/>
    </xf>
    <xf numFmtId="0" fontId="5" fillId="4" borderId="8" xfId="0" applyFont="1" applyFill="1" applyBorder="1" applyAlignment="1">
      <alignment horizontal="left" indent="2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6" fillId="9" borderId="0" xfId="0" applyFont="1" applyFill="1" applyAlignment="1" applyProtection="1">
      <alignment vertical="center" wrapText="1"/>
      <protection locked="0"/>
    </xf>
    <xf numFmtId="0" fontId="3" fillId="3" borderId="1" xfId="0" applyFont="1" applyFill="1" applyBorder="1" applyAlignment="1">
      <alignment horizontal="right" indent="1"/>
    </xf>
    <xf numFmtId="0" fontId="0" fillId="4" borderId="1" xfId="0" applyFill="1" applyBorder="1" applyAlignment="1">
      <alignment horizontal="left" indent="3"/>
    </xf>
    <xf numFmtId="0" fontId="0" fillId="0" borderId="0" xfId="0" applyAlignment="1">
      <alignment horizontal="left" vertical="center" indent="2"/>
    </xf>
    <xf numFmtId="0" fontId="8" fillId="4" borderId="8" xfId="0" applyFont="1" applyFill="1" applyBorder="1" applyAlignment="1">
      <alignment horizontal="left" vertical="center" indent="2"/>
    </xf>
    <xf numFmtId="0" fontId="0" fillId="4" borderId="9" xfId="0" applyFill="1" applyBorder="1" applyAlignment="1">
      <alignment horizontal="left" vertical="center" indent="2"/>
    </xf>
    <xf numFmtId="0" fontId="0" fillId="4" borderId="10" xfId="0" applyFill="1" applyBorder="1" applyAlignment="1">
      <alignment horizontal="left" vertical="center" indent="2"/>
    </xf>
    <xf numFmtId="0" fontId="6" fillId="9" borderId="0" xfId="0" applyFont="1" applyFill="1" applyAlignment="1" applyProtection="1">
      <alignment vertical="center" wrapText="1"/>
      <protection locked="0"/>
    </xf>
    <xf numFmtId="0" fontId="5" fillId="8" borderId="2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0" fillId="9" borderId="0" xfId="0" applyFill="1" applyAlignment="1" applyProtection="1">
      <protection locked="0"/>
    </xf>
    <xf numFmtId="0" fontId="6" fillId="9" borderId="0" xfId="0" applyFont="1" applyFill="1" applyAlignment="1" applyProtection="1">
      <alignment horizontal="left" vertical="center" wrapText="1" indent="4"/>
      <protection locked="0"/>
    </xf>
    <xf numFmtId="0" fontId="6" fillId="9" borderId="0" xfId="0" applyFont="1" applyFill="1" applyAlignment="1" applyProtection="1">
      <alignment vertical="center" wrapText="1"/>
      <protection locked="0"/>
    </xf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0" fillId="9" borderId="11" xfId="0" applyFill="1" applyBorder="1" applyAlignment="1" applyProtection="1">
      <alignment vertical="center" wrapText="1"/>
      <protection locked="0"/>
    </xf>
    <xf numFmtId="0" fontId="0" fillId="9" borderId="12" xfId="0" applyFill="1" applyBorder="1" applyAlignment="1" applyProtection="1">
      <alignment vertical="center" wrapText="1"/>
      <protection locked="0"/>
    </xf>
    <xf numFmtId="0" fontId="0" fillId="9" borderId="13" xfId="0" applyFill="1" applyBorder="1" applyAlignment="1" applyProtection="1">
      <alignment vertical="center" wrapText="1"/>
      <protection locked="0"/>
    </xf>
    <xf numFmtId="0" fontId="0" fillId="9" borderId="14" xfId="0" applyFill="1" applyBorder="1" applyAlignment="1" applyProtection="1">
      <alignment vertical="center" wrapText="1"/>
      <protection locked="0"/>
    </xf>
    <xf numFmtId="0" fontId="0" fillId="9" borderId="0" xfId="0" applyFill="1" applyBorder="1" applyAlignment="1" applyProtection="1">
      <alignment vertical="center" wrapText="1"/>
      <protection locked="0"/>
    </xf>
    <xf numFmtId="0" fontId="0" fillId="9" borderId="15" xfId="0" applyFill="1" applyBorder="1" applyAlignment="1" applyProtection="1">
      <alignment vertical="center" wrapText="1"/>
      <protection locked="0"/>
    </xf>
    <xf numFmtId="0" fontId="0" fillId="9" borderId="16" xfId="0" applyFill="1" applyBorder="1" applyAlignment="1" applyProtection="1">
      <alignment vertical="center" wrapText="1"/>
      <protection locked="0"/>
    </xf>
    <xf numFmtId="0" fontId="0" fillId="9" borderId="17" xfId="0" applyFill="1" applyBorder="1" applyAlignment="1" applyProtection="1">
      <alignment vertical="center" wrapText="1"/>
      <protection locked="0"/>
    </xf>
    <xf numFmtId="0" fontId="0" fillId="9" borderId="18" xfId="0" applyFill="1" applyBorder="1" applyAlignment="1" applyProtection="1">
      <alignment vertical="center" wrapText="1"/>
      <protection locked="0"/>
    </xf>
    <xf numFmtId="0" fontId="0" fillId="9" borderId="11" xfId="0" applyFill="1" applyBorder="1" applyAlignment="1" applyProtection="1">
      <alignment horizontal="center" vertical="top" wrapText="1"/>
      <protection locked="0"/>
    </xf>
    <xf numFmtId="0" fontId="0" fillId="9" borderId="12" xfId="0" applyFill="1" applyBorder="1" applyAlignment="1" applyProtection="1">
      <alignment horizontal="center" vertical="top" wrapText="1"/>
      <protection locked="0"/>
    </xf>
    <xf numFmtId="0" fontId="0" fillId="9" borderId="13" xfId="0" applyFill="1" applyBorder="1" applyAlignment="1" applyProtection="1">
      <alignment horizontal="center" vertical="top" wrapText="1"/>
      <protection locked="0"/>
    </xf>
    <xf numFmtId="0" fontId="0" fillId="9" borderId="14" xfId="0" applyFill="1" applyBorder="1" applyAlignment="1" applyProtection="1">
      <alignment horizontal="center" vertical="top" wrapText="1"/>
      <protection locked="0"/>
    </xf>
    <xf numFmtId="0" fontId="0" fillId="9" borderId="0" xfId="0" applyFill="1" applyBorder="1" applyAlignment="1" applyProtection="1">
      <alignment horizontal="center" vertical="top" wrapText="1"/>
      <protection locked="0"/>
    </xf>
    <xf numFmtId="0" fontId="0" fillId="9" borderId="15" xfId="0" applyFill="1" applyBorder="1" applyAlignment="1" applyProtection="1">
      <alignment horizontal="center" vertical="top" wrapText="1"/>
      <protection locked="0"/>
    </xf>
    <xf numFmtId="0" fontId="0" fillId="9" borderId="16" xfId="0" applyFill="1" applyBorder="1" applyAlignment="1" applyProtection="1">
      <alignment horizontal="center" vertical="top" wrapText="1"/>
      <protection locked="0"/>
    </xf>
    <xf numFmtId="0" fontId="0" fillId="9" borderId="17" xfId="0" applyFill="1" applyBorder="1" applyAlignment="1" applyProtection="1">
      <alignment horizontal="center" vertical="top" wrapText="1"/>
      <protection locked="0"/>
    </xf>
    <xf numFmtId="0" fontId="0" fillId="9" borderId="18" xfId="0" applyFill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</xdr:rowOff>
    </xdr:from>
    <xdr:to>
      <xdr:col>1</xdr:col>
      <xdr:colOff>1069322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33B4C7-105A-4907-94DD-2A762868C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1648442" cy="1082040"/>
        </a:xfrm>
        <a:prstGeom prst="rect">
          <a:avLst/>
        </a:prstGeom>
      </xdr:spPr>
    </xdr:pic>
    <xdr:clientData/>
  </xdr:twoCellAnchor>
  <xdr:twoCellAnchor editAs="oneCell">
    <xdr:from>
      <xdr:col>1</xdr:col>
      <xdr:colOff>354330</xdr:colOff>
      <xdr:row>17</xdr:row>
      <xdr:rowOff>116205</xdr:rowOff>
    </xdr:from>
    <xdr:to>
      <xdr:col>6</xdr:col>
      <xdr:colOff>506730</xdr:colOff>
      <xdr:row>21</xdr:row>
      <xdr:rowOff>135315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4A202E4-EB39-469E-BAD5-1F1E6BD51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3930" y="4147185"/>
          <a:ext cx="4617720" cy="750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</xdr:rowOff>
    </xdr:from>
    <xdr:to>
      <xdr:col>1</xdr:col>
      <xdr:colOff>1069322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755DA12-3E0D-449F-B6BD-A7E2A365C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1648442" cy="10820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</xdr:rowOff>
    </xdr:from>
    <xdr:to>
      <xdr:col>1</xdr:col>
      <xdr:colOff>1488422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97F6C67-9650-46C5-8A72-2521A9F47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1648442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7C2F5-AA57-433E-ABD5-435B43FDB443}">
  <dimension ref="A1:I22"/>
  <sheetViews>
    <sheetView showGridLines="0" tabSelected="1" zoomScaleNormal="100" workbookViewId="0">
      <selection activeCell="A3" sqref="A3"/>
    </sheetView>
  </sheetViews>
  <sheetFormatPr defaultRowHeight="14.4" x14ac:dyDescent="0.3"/>
  <cols>
    <col min="2" max="2" width="15.77734375" customWidth="1"/>
    <col min="5" max="7" width="15.77734375" customWidth="1"/>
    <col min="9" max="9" width="15.21875" bestFit="1" customWidth="1"/>
    <col min="12" max="14" width="15.77734375" customWidth="1"/>
  </cols>
  <sheetData>
    <row r="1" spans="1:9" s="17" customFormat="1" ht="85.95" customHeight="1" x14ac:dyDescent="0.3">
      <c r="A1" s="61"/>
      <c r="B1" s="61"/>
      <c r="C1" s="62" t="s">
        <v>55</v>
      </c>
      <c r="D1" s="62"/>
      <c r="E1" s="62"/>
      <c r="F1" s="62"/>
      <c r="G1" s="62"/>
      <c r="H1" s="62"/>
      <c r="I1" s="57"/>
    </row>
    <row r="4" spans="1:9" ht="15" thickBot="1" x14ac:dyDescent="0.35"/>
    <row r="5" spans="1:9" x14ac:dyDescent="0.3">
      <c r="B5" s="66" t="s">
        <v>63</v>
      </c>
      <c r="C5" s="67"/>
      <c r="D5" s="67"/>
      <c r="E5" s="67"/>
      <c r="F5" s="67"/>
      <c r="G5" s="68"/>
    </row>
    <row r="6" spans="1:9" x14ac:dyDescent="0.3">
      <c r="B6" s="69"/>
      <c r="C6" s="70"/>
      <c r="D6" s="70"/>
      <c r="E6" s="70"/>
      <c r="F6" s="70"/>
      <c r="G6" s="71"/>
    </row>
    <row r="7" spans="1:9" x14ac:dyDescent="0.3">
      <c r="B7" s="69"/>
      <c r="C7" s="70"/>
      <c r="D7" s="70"/>
      <c r="E7" s="70"/>
      <c r="F7" s="70"/>
      <c r="G7" s="71"/>
    </row>
    <row r="8" spans="1:9" x14ac:dyDescent="0.3">
      <c r="B8" s="69"/>
      <c r="C8" s="70"/>
      <c r="D8" s="70"/>
      <c r="E8" s="70"/>
      <c r="F8" s="70"/>
      <c r="G8" s="71"/>
    </row>
    <row r="9" spans="1:9" x14ac:dyDescent="0.3">
      <c r="B9" s="69"/>
      <c r="C9" s="70"/>
      <c r="D9" s="70"/>
      <c r="E9" s="70"/>
      <c r="F9" s="70"/>
      <c r="G9" s="71"/>
    </row>
    <row r="10" spans="1:9" x14ac:dyDescent="0.3">
      <c r="B10" s="69"/>
      <c r="C10" s="70"/>
      <c r="D10" s="70"/>
      <c r="E10" s="70"/>
      <c r="F10" s="70"/>
      <c r="G10" s="71"/>
    </row>
    <row r="11" spans="1:9" x14ac:dyDescent="0.3">
      <c r="B11" s="69"/>
      <c r="C11" s="70"/>
      <c r="D11" s="70"/>
      <c r="E11" s="70"/>
      <c r="F11" s="70"/>
      <c r="G11" s="71"/>
    </row>
    <row r="12" spans="1:9" x14ac:dyDescent="0.3">
      <c r="B12" s="69"/>
      <c r="C12" s="70"/>
      <c r="D12" s="70"/>
      <c r="E12" s="70"/>
      <c r="F12" s="70"/>
      <c r="G12" s="71"/>
    </row>
    <row r="13" spans="1:9" x14ac:dyDescent="0.3">
      <c r="B13" s="69"/>
      <c r="C13" s="70"/>
      <c r="D13" s="70"/>
      <c r="E13" s="70"/>
      <c r="F13" s="70"/>
      <c r="G13" s="71"/>
    </row>
    <row r="14" spans="1:9" x14ac:dyDescent="0.3">
      <c r="B14" s="69"/>
      <c r="C14" s="70"/>
      <c r="D14" s="70"/>
      <c r="E14" s="70"/>
      <c r="F14" s="70"/>
      <c r="G14" s="71"/>
    </row>
    <row r="15" spans="1:9" x14ac:dyDescent="0.3">
      <c r="B15" s="69"/>
      <c r="C15" s="70"/>
      <c r="D15" s="70"/>
      <c r="E15" s="70"/>
      <c r="F15" s="70"/>
      <c r="G15" s="71"/>
    </row>
    <row r="16" spans="1:9" x14ac:dyDescent="0.3">
      <c r="B16" s="69"/>
      <c r="C16" s="70"/>
      <c r="D16" s="70"/>
      <c r="E16" s="70"/>
      <c r="F16" s="70"/>
      <c r="G16" s="71"/>
    </row>
    <row r="17" spans="2:7" ht="15" thickBot="1" x14ac:dyDescent="0.35">
      <c r="B17" s="72"/>
      <c r="C17" s="73"/>
      <c r="D17" s="73"/>
      <c r="E17" s="73"/>
      <c r="F17" s="73"/>
      <c r="G17" s="74"/>
    </row>
    <row r="18" spans="2:7" x14ac:dyDescent="0.3">
      <c r="B18" s="75"/>
      <c r="C18" s="76"/>
      <c r="D18" s="76"/>
      <c r="E18" s="76"/>
      <c r="F18" s="76"/>
      <c r="G18" s="77"/>
    </row>
    <row r="19" spans="2:7" x14ac:dyDescent="0.3">
      <c r="B19" s="78"/>
      <c r="C19" s="79"/>
      <c r="D19" s="79"/>
      <c r="E19" s="79"/>
      <c r="F19" s="79"/>
      <c r="G19" s="80"/>
    </row>
    <row r="20" spans="2:7" x14ac:dyDescent="0.3">
      <c r="B20" s="78"/>
      <c r="C20" s="79"/>
      <c r="D20" s="79"/>
      <c r="E20" s="79"/>
      <c r="F20" s="79"/>
      <c r="G20" s="80"/>
    </row>
    <row r="21" spans="2:7" x14ac:dyDescent="0.3">
      <c r="B21" s="78"/>
      <c r="C21" s="79"/>
      <c r="D21" s="79"/>
      <c r="E21" s="79"/>
      <c r="F21" s="79"/>
      <c r="G21" s="80"/>
    </row>
    <row r="22" spans="2:7" ht="15" thickBot="1" x14ac:dyDescent="0.35">
      <c r="B22" s="81"/>
      <c r="C22" s="82"/>
      <c r="D22" s="82"/>
      <c r="E22" s="82"/>
      <c r="F22" s="82"/>
      <c r="G22" s="83"/>
    </row>
  </sheetData>
  <mergeCells count="4">
    <mergeCell ref="A1:B1"/>
    <mergeCell ref="C1:H1"/>
    <mergeCell ref="B5:G17"/>
    <mergeCell ref="B18:G22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26462-A0B5-4766-BBD6-483933D558FD}">
  <dimension ref="A1:N20"/>
  <sheetViews>
    <sheetView showGridLines="0" zoomScaleNormal="100" workbookViewId="0">
      <selection activeCell="A6" sqref="A6"/>
    </sheetView>
  </sheetViews>
  <sheetFormatPr defaultRowHeight="14.4" x14ac:dyDescent="0.3"/>
  <cols>
    <col min="2" max="2" width="15.77734375" customWidth="1"/>
    <col min="5" max="7" width="15.77734375" customWidth="1"/>
    <col min="9" max="9" width="15.21875" bestFit="1" customWidth="1"/>
    <col min="12" max="14" width="15.77734375" customWidth="1"/>
  </cols>
  <sheetData>
    <row r="1" spans="1:14" s="17" customFormat="1" ht="85.95" customHeight="1" x14ac:dyDescent="0.3">
      <c r="A1" s="61"/>
      <c r="B1" s="61"/>
      <c r="C1" s="62" t="s">
        <v>55</v>
      </c>
      <c r="D1" s="62"/>
      <c r="E1" s="62"/>
      <c r="F1" s="62"/>
      <c r="G1" s="62"/>
      <c r="H1" s="62"/>
      <c r="I1" s="50"/>
    </row>
    <row r="4" spans="1:14" x14ac:dyDescent="0.3">
      <c r="B4" s="58" t="s">
        <v>22</v>
      </c>
      <c r="C4" s="59"/>
      <c r="D4" s="60"/>
      <c r="F4" s="58" t="s">
        <v>28</v>
      </c>
      <c r="G4" s="59"/>
      <c r="H4" s="60"/>
    </row>
    <row r="5" spans="1:14" x14ac:dyDescent="0.3">
      <c r="B5" s="41" t="s">
        <v>23</v>
      </c>
      <c r="C5" s="42">
        <v>3.5168528399999999</v>
      </c>
      <c r="D5" s="43" t="s">
        <v>5</v>
      </c>
      <c r="F5" s="44" t="s">
        <v>27</v>
      </c>
      <c r="G5" s="42"/>
      <c r="H5" s="43"/>
    </row>
    <row r="6" spans="1:14" x14ac:dyDescent="0.3">
      <c r="B6" s="24"/>
      <c r="C6" s="25"/>
      <c r="D6" s="25"/>
    </row>
    <row r="7" spans="1:14" s="26" customFormat="1" ht="25.05" customHeight="1" x14ac:dyDescent="0.3">
      <c r="B7" s="35" t="s">
        <v>24</v>
      </c>
      <c r="C7" s="36"/>
      <c r="D7" s="36"/>
      <c r="E7" s="36"/>
      <c r="F7" s="36"/>
      <c r="G7" s="37"/>
      <c r="I7" s="35" t="s">
        <v>25</v>
      </c>
      <c r="J7" s="36"/>
      <c r="K7" s="36"/>
      <c r="L7" s="36"/>
      <c r="M7" s="36"/>
      <c r="N7" s="37"/>
    </row>
    <row r="8" spans="1:14" ht="28.8" x14ac:dyDescent="0.3">
      <c r="B8" s="38" t="s">
        <v>21</v>
      </c>
      <c r="C8" s="39" t="s">
        <v>6</v>
      </c>
      <c r="D8" s="39" t="s">
        <v>7</v>
      </c>
      <c r="E8" s="38" t="s">
        <v>18</v>
      </c>
      <c r="F8" s="38" t="s">
        <v>19</v>
      </c>
      <c r="G8" s="38" t="s">
        <v>20</v>
      </c>
      <c r="I8" s="38" t="s">
        <v>21</v>
      </c>
      <c r="J8" s="39" t="s">
        <v>26</v>
      </c>
      <c r="K8" s="39" t="s">
        <v>7</v>
      </c>
      <c r="L8" s="38" t="s">
        <v>18</v>
      </c>
      <c r="M8" s="38" t="s">
        <v>19</v>
      </c>
      <c r="N8" s="38" t="s">
        <v>20</v>
      </c>
    </row>
    <row r="9" spans="1:14" x14ac:dyDescent="0.3">
      <c r="B9" s="2">
        <v>9000</v>
      </c>
      <c r="C9" s="2">
        <v>2.5</v>
      </c>
      <c r="D9" s="2">
        <v>16</v>
      </c>
      <c r="E9" s="7">
        <f>(B9/12000)*$C$5</f>
        <v>2.6376396299999998</v>
      </c>
      <c r="F9" s="7">
        <f>E9/C9</f>
        <v>1.055055852</v>
      </c>
      <c r="G9" s="7">
        <f>F9*D9</f>
        <v>16.880893631999999</v>
      </c>
      <c r="I9" s="2">
        <v>210200</v>
      </c>
      <c r="J9" s="2">
        <v>3.67</v>
      </c>
      <c r="K9" s="2">
        <v>5</v>
      </c>
      <c r="L9" s="7">
        <f>(I9/12000)*$C$5</f>
        <v>61.603538913999998</v>
      </c>
      <c r="M9" s="7">
        <f>L9/J9</f>
        <v>16.785705426158039</v>
      </c>
      <c r="N9" s="7">
        <f>M9*K9</f>
        <v>83.928527130790201</v>
      </c>
    </row>
    <row r="10" spans="1:14" x14ac:dyDescent="0.3">
      <c r="B10" s="2">
        <v>12000</v>
      </c>
      <c r="C10" s="2">
        <v>2.5</v>
      </c>
      <c r="D10" s="2">
        <v>35</v>
      </c>
      <c r="E10" s="7">
        <f t="shared" ref="E10:E13" si="0">(B10/12000)*$C$5</f>
        <v>3.5168528399999999</v>
      </c>
      <c r="F10" s="7">
        <f t="shared" ref="F10:F13" si="1">E10/C10</f>
        <v>1.4067411359999999</v>
      </c>
      <c r="G10" s="7">
        <f t="shared" ref="G10:G13" si="2">F10*D10</f>
        <v>49.235939760000001</v>
      </c>
      <c r="I10" s="2"/>
      <c r="J10" s="2"/>
      <c r="K10" s="2"/>
      <c r="L10" s="2"/>
      <c r="M10" s="2"/>
      <c r="N10" s="2"/>
    </row>
    <row r="11" spans="1:14" x14ac:dyDescent="0.3">
      <c r="B11" s="2">
        <v>18000</v>
      </c>
      <c r="C11" s="2">
        <v>2.5</v>
      </c>
      <c r="D11" s="2">
        <v>16</v>
      </c>
      <c r="E11" s="7">
        <f t="shared" si="0"/>
        <v>5.2752792599999996</v>
      </c>
      <c r="F11" s="7">
        <f t="shared" si="1"/>
        <v>2.1101117039999999</v>
      </c>
      <c r="G11" s="7">
        <f t="shared" si="2"/>
        <v>33.761787263999999</v>
      </c>
      <c r="I11" s="2"/>
      <c r="J11" s="2"/>
      <c r="K11" s="2"/>
      <c r="L11" s="2"/>
      <c r="M11" s="2"/>
      <c r="N11" s="2"/>
    </row>
    <row r="12" spans="1:14" x14ac:dyDescent="0.3">
      <c r="B12" s="2">
        <v>24000</v>
      </c>
      <c r="C12" s="2">
        <v>2.5</v>
      </c>
      <c r="D12" s="2">
        <v>2</v>
      </c>
      <c r="E12" s="7">
        <f t="shared" si="0"/>
        <v>7.0337056799999997</v>
      </c>
      <c r="F12" s="7">
        <f t="shared" si="1"/>
        <v>2.8134822719999999</v>
      </c>
      <c r="G12" s="7">
        <f t="shared" si="2"/>
        <v>5.6269645439999998</v>
      </c>
      <c r="I12" s="2"/>
      <c r="J12" s="2"/>
      <c r="K12" s="2"/>
      <c r="L12" s="2"/>
      <c r="M12" s="2"/>
      <c r="N12" s="2"/>
    </row>
    <row r="13" spans="1:14" x14ac:dyDescent="0.3">
      <c r="B13" s="2">
        <v>36000</v>
      </c>
      <c r="C13" s="2">
        <v>2.5</v>
      </c>
      <c r="D13" s="2">
        <v>12</v>
      </c>
      <c r="E13" s="7">
        <f t="shared" si="0"/>
        <v>10.550558519999999</v>
      </c>
      <c r="F13" s="7">
        <f t="shared" si="1"/>
        <v>4.2202234079999998</v>
      </c>
      <c r="G13" s="7">
        <f t="shared" si="2"/>
        <v>50.642680896000002</v>
      </c>
      <c r="I13" s="2"/>
      <c r="J13" s="2"/>
      <c r="K13" s="2"/>
      <c r="L13" s="2"/>
      <c r="M13" s="2"/>
      <c r="N13" s="2"/>
    </row>
    <row r="14" spans="1:14" x14ac:dyDescent="0.3">
      <c r="E14" s="10" t="s">
        <v>8</v>
      </c>
      <c r="F14" s="27" t="s">
        <v>5</v>
      </c>
      <c r="G14" s="28">
        <f>SUM(G9:G13)</f>
        <v>156.14826609600001</v>
      </c>
      <c r="L14" s="10" t="s">
        <v>8</v>
      </c>
      <c r="M14" s="27" t="s">
        <v>5</v>
      </c>
      <c r="N14" s="28">
        <f>SUM(N9:N13)</f>
        <v>83.928527130790201</v>
      </c>
    </row>
    <row r="15" spans="1:14" x14ac:dyDescent="0.3">
      <c r="E15" s="10" t="s">
        <v>10</v>
      </c>
      <c r="F15" s="27" t="s">
        <v>13</v>
      </c>
      <c r="G15" s="29">
        <v>12.808893500716877</v>
      </c>
      <c r="L15" s="10" t="s">
        <v>10</v>
      </c>
      <c r="M15" s="27" t="s">
        <v>13</v>
      </c>
      <c r="N15" s="29">
        <f>G15</f>
        <v>12.808893500716877</v>
      </c>
    </row>
    <row r="16" spans="1:14" x14ac:dyDescent="0.3">
      <c r="E16" s="10" t="s">
        <v>11</v>
      </c>
      <c r="F16" s="27" t="s">
        <v>14</v>
      </c>
      <c r="G16" s="27">
        <v>7</v>
      </c>
      <c r="L16" s="10" t="s">
        <v>11</v>
      </c>
      <c r="M16" s="27" t="s">
        <v>14</v>
      </c>
      <c r="N16" s="27">
        <f>G16</f>
        <v>7</v>
      </c>
    </row>
    <row r="17" spans="5:14" x14ac:dyDescent="0.3">
      <c r="E17" s="10" t="s">
        <v>9</v>
      </c>
      <c r="F17" s="27" t="s">
        <v>15</v>
      </c>
      <c r="G17" s="27">
        <v>52</v>
      </c>
      <c r="L17" s="10" t="s">
        <v>9</v>
      </c>
      <c r="M17" s="27" t="s">
        <v>15</v>
      </c>
      <c r="N17" s="27">
        <f>G17</f>
        <v>52</v>
      </c>
    </row>
    <row r="18" spans="5:14" x14ac:dyDescent="0.3">
      <c r="E18" s="9" t="s">
        <v>12</v>
      </c>
      <c r="F18" s="30" t="s">
        <v>16</v>
      </c>
      <c r="G18" s="31">
        <f>G14*G15*G16*G17</f>
        <v>728031.48991127615</v>
      </c>
      <c r="L18" s="9" t="s">
        <v>12</v>
      </c>
      <c r="M18" s="30" t="s">
        <v>16</v>
      </c>
      <c r="N18" s="31">
        <f>N14*N15*N16*N17</f>
        <v>391311.48991127603</v>
      </c>
    </row>
    <row r="20" spans="5:14" x14ac:dyDescent="0.3">
      <c r="K20" s="32" t="s">
        <v>17</v>
      </c>
      <c r="L20" s="33"/>
      <c r="M20" s="34" t="s">
        <v>16</v>
      </c>
      <c r="N20" s="40">
        <f>G18-N18</f>
        <v>336720.00000000012</v>
      </c>
    </row>
  </sheetData>
  <mergeCells count="4">
    <mergeCell ref="B4:D4"/>
    <mergeCell ref="F4:H4"/>
    <mergeCell ref="A1:B1"/>
    <mergeCell ref="C1:H1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C37B4-E76F-4204-B10C-51BE721CB5A0}">
  <dimension ref="A1:R44"/>
  <sheetViews>
    <sheetView showGridLines="0" workbookViewId="0">
      <selection activeCell="A2" sqref="A2"/>
    </sheetView>
  </sheetViews>
  <sheetFormatPr defaultRowHeight="14.4" x14ac:dyDescent="0.3"/>
  <cols>
    <col min="1" max="1" width="2.77734375" customWidth="1"/>
    <col min="2" max="2" width="34.33203125" customWidth="1"/>
    <col min="3" max="3" width="9.6640625" style="1" customWidth="1"/>
    <col min="4" max="10" width="9.109375" style="1" bestFit="1" customWidth="1"/>
    <col min="11" max="18" width="9" style="1" bestFit="1" customWidth="1"/>
  </cols>
  <sheetData>
    <row r="1" spans="1:18" s="17" customFormat="1" ht="85.95" customHeight="1" x14ac:dyDescent="0.3">
      <c r="A1" s="61"/>
      <c r="B1" s="61"/>
      <c r="C1" s="63" t="s">
        <v>55</v>
      </c>
      <c r="D1" s="63"/>
      <c r="E1" s="63"/>
      <c r="F1" s="63"/>
      <c r="G1" s="63"/>
      <c r="H1" s="63"/>
      <c r="I1" s="50"/>
    </row>
    <row r="4" spans="1:18" x14ac:dyDescent="0.3">
      <c r="B4" s="9" t="s">
        <v>44</v>
      </c>
      <c r="C4" s="15">
        <v>3.3500000000000002E-2</v>
      </c>
      <c r="E4" s="45" t="s">
        <v>53</v>
      </c>
      <c r="F4" s="46"/>
      <c r="G4" s="46"/>
      <c r="H4" s="46"/>
      <c r="I4" s="47"/>
      <c r="K4" s="45" t="s">
        <v>52</v>
      </c>
      <c r="L4" s="48"/>
      <c r="M4" s="49"/>
    </row>
    <row r="5" spans="1:18" x14ac:dyDescent="0.3">
      <c r="B5" s="9" t="s">
        <v>45</v>
      </c>
      <c r="C5" s="15">
        <v>3.7400000000000003E-2</v>
      </c>
      <c r="E5" s="14">
        <v>2021</v>
      </c>
      <c r="F5" s="14">
        <v>2022</v>
      </c>
      <c r="G5" s="14">
        <v>2023</v>
      </c>
      <c r="H5" s="14">
        <v>2024</v>
      </c>
      <c r="I5" s="14">
        <v>2025</v>
      </c>
      <c r="K5" s="14">
        <v>2026</v>
      </c>
      <c r="L5" s="14">
        <v>2035</v>
      </c>
      <c r="M5" s="14">
        <v>2045</v>
      </c>
    </row>
    <row r="6" spans="1:18" x14ac:dyDescent="0.3">
      <c r="B6" s="9" t="s">
        <v>46</v>
      </c>
      <c r="C6" s="11">
        <f>((1+C4)*(1+C5)-1)</f>
        <v>7.2152900000000297E-2</v>
      </c>
      <c r="E6" s="6">
        <v>4.9099999999999998E-2</v>
      </c>
      <c r="F6" s="6">
        <v>3.6400000000000002E-2</v>
      </c>
      <c r="G6" s="6">
        <v>3.3500000000000002E-2</v>
      </c>
      <c r="H6" s="6">
        <v>3.2899999999999999E-2</v>
      </c>
      <c r="I6" s="6">
        <v>3.27E-2</v>
      </c>
      <c r="K6" s="6">
        <v>3.7400000000000003E-2</v>
      </c>
      <c r="L6" s="6">
        <v>4.1799999999999997E-2</v>
      </c>
      <c r="M6" s="6">
        <v>4.1799999999999997E-2</v>
      </c>
    </row>
    <row r="9" spans="1:18" s="53" customFormat="1" ht="28.8" customHeight="1" x14ac:dyDescent="0.3">
      <c r="B9" s="54" t="s">
        <v>56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6"/>
    </row>
    <row r="10" spans="1:18" x14ac:dyDescent="0.3">
      <c r="B10" s="51" t="s">
        <v>0</v>
      </c>
      <c r="C10" s="8">
        <v>0</v>
      </c>
      <c r="D10" s="8">
        <v>1</v>
      </c>
      <c r="E10" s="8">
        <v>2</v>
      </c>
      <c r="F10" s="8">
        <v>3</v>
      </c>
      <c r="G10" s="8">
        <v>4</v>
      </c>
      <c r="H10" s="8">
        <v>5</v>
      </c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8">
        <v>11</v>
      </c>
      <c r="O10" s="8">
        <v>12</v>
      </c>
      <c r="P10" s="8">
        <v>13</v>
      </c>
      <c r="Q10" s="8">
        <v>14</v>
      </c>
      <c r="R10" s="8">
        <v>15</v>
      </c>
    </row>
    <row r="11" spans="1:18" x14ac:dyDescent="0.3">
      <c r="B11" s="9" t="s">
        <v>48</v>
      </c>
      <c r="C11" s="2"/>
      <c r="D11" s="22">
        <v>336.72</v>
      </c>
      <c r="E11" s="22">
        <v>336.72</v>
      </c>
      <c r="F11" s="22">
        <v>336.72</v>
      </c>
      <c r="G11" s="22">
        <v>336.72</v>
      </c>
      <c r="H11" s="22">
        <v>336.72</v>
      </c>
      <c r="I11" s="22">
        <v>336.72</v>
      </c>
      <c r="J11" s="22">
        <v>336.72</v>
      </c>
      <c r="K11" s="22">
        <v>336.72</v>
      </c>
      <c r="L11" s="22">
        <v>336.72</v>
      </c>
      <c r="M11" s="22">
        <v>336.72</v>
      </c>
      <c r="N11" s="22">
        <v>336.72</v>
      </c>
      <c r="O11" s="22">
        <v>336.72</v>
      </c>
      <c r="P11" s="22">
        <v>336.72</v>
      </c>
      <c r="Q11" s="22">
        <v>336.72</v>
      </c>
      <c r="R11" s="22">
        <v>336.72</v>
      </c>
    </row>
    <row r="12" spans="1:18" x14ac:dyDescent="0.3">
      <c r="B12" s="9" t="s">
        <v>30</v>
      </c>
      <c r="C12" s="2"/>
      <c r="D12" s="20">
        <v>0.51987000000000005</v>
      </c>
      <c r="E12" s="4">
        <f>D12*(1+$C$4)</f>
        <v>0.53728564500000009</v>
      </c>
      <c r="F12" s="4">
        <f t="shared" ref="F12:R12" si="0">E12*(1+$C$4)</f>
        <v>0.55528471410750013</v>
      </c>
      <c r="G12" s="4">
        <f t="shared" si="0"/>
        <v>0.57388675203010142</v>
      </c>
      <c r="H12" s="4">
        <f t="shared" si="0"/>
        <v>0.59311195822310991</v>
      </c>
      <c r="I12" s="4">
        <f t="shared" si="0"/>
        <v>0.6129812088235842</v>
      </c>
      <c r="J12" s="4">
        <f t="shared" si="0"/>
        <v>0.63351607931917431</v>
      </c>
      <c r="K12" s="4">
        <f t="shared" si="0"/>
        <v>0.65473886797636671</v>
      </c>
      <c r="L12" s="4">
        <f t="shared" si="0"/>
        <v>0.67667262005357509</v>
      </c>
      <c r="M12" s="4">
        <f t="shared" si="0"/>
        <v>0.6993411528253699</v>
      </c>
      <c r="N12" s="4">
        <f t="shared" si="0"/>
        <v>0.72276908144501983</v>
      </c>
      <c r="O12" s="4">
        <f t="shared" si="0"/>
        <v>0.74698184567342807</v>
      </c>
      <c r="P12" s="4">
        <f t="shared" si="0"/>
        <v>0.772005737503488</v>
      </c>
      <c r="Q12" s="4">
        <f t="shared" si="0"/>
        <v>0.79786792970985487</v>
      </c>
      <c r="R12" s="4">
        <f t="shared" si="0"/>
        <v>0.82459650535513507</v>
      </c>
    </row>
    <row r="13" spans="1:18" x14ac:dyDescent="0.3">
      <c r="B13" s="9" t="s">
        <v>31</v>
      </c>
      <c r="C13" s="2"/>
      <c r="D13" s="23">
        <f>D11*D12</f>
        <v>175.05062640000003</v>
      </c>
      <c r="E13" s="23">
        <f t="shared" ref="E13:R13" si="1">E11*E12</f>
        <v>180.91482238440005</v>
      </c>
      <c r="F13" s="23">
        <f t="shared" si="1"/>
        <v>186.97546893427747</v>
      </c>
      <c r="G13" s="23">
        <f t="shared" si="1"/>
        <v>193.23914714357576</v>
      </c>
      <c r="H13" s="23">
        <f t="shared" si="1"/>
        <v>199.71265857288557</v>
      </c>
      <c r="I13" s="23">
        <f t="shared" si="1"/>
        <v>206.4030326350773</v>
      </c>
      <c r="J13" s="23">
        <f t="shared" si="1"/>
        <v>213.3175342283524</v>
      </c>
      <c r="K13" s="23">
        <f t="shared" si="1"/>
        <v>220.46367162500221</v>
      </c>
      <c r="L13" s="23">
        <f t="shared" si="1"/>
        <v>227.84920462443984</v>
      </c>
      <c r="M13" s="23">
        <f t="shared" si="1"/>
        <v>235.48215297935857</v>
      </c>
      <c r="N13" s="23">
        <f t="shared" si="1"/>
        <v>243.37080510416709</v>
      </c>
      <c r="O13" s="23">
        <f t="shared" si="1"/>
        <v>251.52372707515673</v>
      </c>
      <c r="P13" s="23">
        <f t="shared" si="1"/>
        <v>259.94977193217449</v>
      </c>
      <c r="Q13" s="23">
        <f t="shared" si="1"/>
        <v>268.65808929190234</v>
      </c>
      <c r="R13" s="23">
        <f t="shared" si="1"/>
        <v>277.65813528318108</v>
      </c>
    </row>
    <row r="14" spans="1:18" x14ac:dyDescent="0.3">
      <c r="B14" s="9" t="s">
        <v>32</v>
      </c>
      <c r="C14" s="2"/>
      <c r="D14" s="21">
        <v>0</v>
      </c>
      <c r="E14" s="3">
        <f>D14*(1+$C$4)</f>
        <v>0</v>
      </c>
      <c r="F14" s="3">
        <f t="shared" ref="F14:R14" si="2">E14*(1+$C$4)</f>
        <v>0</v>
      </c>
      <c r="G14" s="3">
        <f t="shared" si="2"/>
        <v>0</v>
      </c>
      <c r="H14" s="3">
        <f t="shared" si="2"/>
        <v>0</v>
      </c>
      <c r="I14" s="3">
        <f t="shared" si="2"/>
        <v>0</v>
      </c>
      <c r="J14" s="3">
        <f t="shared" si="2"/>
        <v>0</v>
      </c>
      <c r="K14" s="3">
        <f t="shared" si="2"/>
        <v>0</v>
      </c>
      <c r="L14" s="3">
        <f t="shared" si="2"/>
        <v>0</v>
      </c>
      <c r="M14" s="3">
        <f t="shared" si="2"/>
        <v>0</v>
      </c>
      <c r="N14" s="3">
        <f t="shared" si="2"/>
        <v>0</v>
      </c>
      <c r="O14" s="3">
        <f t="shared" si="2"/>
        <v>0</v>
      </c>
      <c r="P14" s="3">
        <f t="shared" si="2"/>
        <v>0</v>
      </c>
      <c r="Q14" s="3">
        <f t="shared" si="2"/>
        <v>0</v>
      </c>
      <c r="R14" s="3">
        <f t="shared" si="2"/>
        <v>0</v>
      </c>
    </row>
    <row r="15" spans="1:18" x14ac:dyDescent="0.3">
      <c r="B15" s="9" t="s">
        <v>33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1"/>
      <c r="O15" s="2"/>
      <c r="P15" s="2"/>
      <c r="Q15" s="2"/>
      <c r="R15" s="2"/>
    </row>
    <row r="16" spans="1:18" x14ac:dyDescent="0.3">
      <c r="B16" s="9" t="s">
        <v>62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1"/>
      <c r="O16" s="2"/>
      <c r="P16" s="2"/>
      <c r="Q16" s="2"/>
      <c r="R16" s="2"/>
    </row>
    <row r="17" spans="2:18" x14ac:dyDescent="0.3">
      <c r="B17" s="9" t="s">
        <v>59</v>
      </c>
      <c r="C17" s="19">
        <v>-1146.0190299999999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2:18" x14ac:dyDescent="0.3">
      <c r="B18" s="9" t="s">
        <v>34</v>
      </c>
      <c r="C18" s="3">
        <f t="shared" ref="C18:R18" si="3">SUM(C13:C17)</f>
        <v>-1146.0190299999999</v>
      </c>
      <c r="D18" s="23">
        <f t="shared" si="3"/>
        <v>175.05062640000003</v>
      </c>
      <c r="E18" s="23">
        <f t="shared" si="3"/>
        <v>180.91482238440005</v>
      </c>
      <c r="F18" s="23">
        <f t="shared" si="3"/>
        <v>186.97546893427747</v>
      </c>
      <c r="G18" s="23">
        <f t="shared" si="3"/>
        <v>193.23914714357576</v>
      </c>
      <c r="H18" s="23">
        <f t="shared" si="3"/>
        <v>199.71265857288557</v>
      </c>
      <c r="I18" s="23">
        <f t="shared" si="3"/>
        <v>206.4030326350773</v>
      </c>
      <c r="J18" s="23">
        <f t="shared" si="3"/>
        <v>213.3175342283524</v>
      </c>
      <c r="K18" s="23">
        <f t="shared" si="3"/>
        <v>220.46367162500221</v>
      </c>
      <c r="L18" s="23">
        <f t="shared" si="3"/>
        <v>227.84920462443984</v>
      </c>
      <c r="M18" s="23">
        <f t="shared" si="3"/>
        <v>235.48215297935857</v>
      </c>
      <c r="N18" s="23">
        <f t="shared" si="3"/>
        <v>243.37080510416709</v>
      </c>
      <c r="O18" s="23">
        <f t="shared" si="3"/>
        <v>251.52372707515673</v>
      </c>
      <c r="P18" s="23">
        <f t="shared" si="3"/>
        <v>259.94977193217449</v>
      </c>
      <c r="Q18" s="23">
        <f t="shared" si="3"/>
        <v>268.65808929190234</v>
      </c>
      <c r="R18" s="23">
        <f t="shared" si="3"/>
        <v>277.65813528318108</v>
      </c>
    </row>
    <row r="19" spans="2:18" x14ac:dyDescent="0.3">
      <c r="B19" s="9" t="s">
        <v>29</v>
      </c>
      <c r="C19" s="3">
        <f>C18</f>
        <v>-1146.0190299999999</v>
      </c>
      <c r="D19" s="3">
        <f>C19+D18</f>
        <v>-970.96840359999987</v>
      </c>
      <c r="E19" s="3">
        <f t="shared" ref="E19:R19" si="4">D19+E18</f>
        <v>-790.05358121559982</v>
      </c>
      <c r="F19" s="3">
        <f t="shared" si="4"/>
        <v>-603.07811228132232</v>
      </c>
      <c r="G19" s="3">
        <f t="shared" si="4"/>
        <v>-409.83896513774653</v>
      </c>
      <c r="H19" s="3">
        <f t="shared" si="4"/>
        <v>-210.12630656486095</v>
      </c>
      <c r="I19" s="3">
        <f t="shared" si="4"/>
        <v>-3.7232739297836588</v>
      </c>
      <c r="J19" s="16">
        <f t="shared" si="4"/>
        <v>209.59426029856874</v>
      </c>
      <c r="K19" s="3">
        <f t="shared" si="4"/>
        <v>430.05793192357095</v>
      </c>
      <c r="L19" s="19">
        <f t="shared" si="4"/>
        <v>657.90713654801084</v>
      </c>
      <c r="M19" s="3">
        <f t="shared" si="4"/>
        <v>893.38928952736944</v>
      </c>
      <c r="N19" s="3">
        <f t="shared" si="4"/>
        <v>1136.7600946315365</v>
      </c>
      <c r="O19" s="3">
        <f t="shared" si="4"/>
        <v>1388.2838217066933</v>
      </c>
      <c r="P19" s="3">
        <f t="shared" si="4"/>
        <v>1648.2335936388677</v>
      </c>
      <c r="Q19" s="3">
        <f t="shared" si="4"/>
        <v>1916.89168293077</v>
      </c>
      <c r="R19" s="3">
        <f t="shared" si="4"/>
        <v>2194.5498182139509</v>
      </c>
    </row>
    <row r="22" spans="2:18" s="53" customFormat="1" ht="28.8" customHeight="1" x14ac:dyDescent="0.3">
      <c r="B22" s="54" t="s">
        <v>57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6"/>
    </row>
    <row r="23" spans="2:18" x14ac:dyDescent="0.3">
      <c r="B23" s="51" t="s">
        <v>0</v>
      </c>
      <c r="C23" s="8">
        <v>0</v>
      </c>
      <c r="D23" s="8">
        <v>1</v>
      </c>
      <c r="E23" s="8">
        <v>2</v>
      </c>
      <c r="F23" s="8">
        <v>3</v>
      </c>
      <c r="G23" s="8">
        <v>4</v>
      </c>
      <c r="H23" s="8">
        <v>5</v>
      </c>
      <c r="I23" s="8">
        <v>6</v>
      </c>
      <c r="J23" s="8">
        <v>7</v>
      </c>
      <c r="K23" s="8">
        <v>8</v>
      </c>
      <c r="L23" s="8">
        <v>9</v>
      </c>
      <c r="M23" s="8">
        <v>10</v>
      </c>
      <c r="N23" s="8">
        <v>11</v>
      </c>
      <c r="O23" s="8">
        <v>12</v>
      </c>
      <c r="P23" s="8">
        <v>13</v>
      </c>
      <c r="Q23" s="8">
        <v>14</v>
      </c>
      <c r="R23" s="8">
        <v>15</v>
      </c>
    </row>
    <row r="24" spans="2:18" x14ac:dyDescent="0.3">
      <c r="B24" s="9" t="s">
        <v>35</v>
      </c>
      <c r="C24" s="3">
        <f>C18</f>
        <v>-1146.0190299999999</v>
      </c>
      <c r="D24" s="3">
        <f t="shared" ref="D24:R24" si="5">D18/(1+$C$6)^D10</f>
        <v>163.2702074489562</v>
      </c>
      <c r="E24" s="3">
        <f t="shared" si="5"/>
        <v>157.38404419602483</v>
      </c>
      <c r="F24" s="3">
        <f t="shared" si="5"/>
        <v>151.7100869443077</v>
      </c>
      <c r="G24" s="3">
        <f t="shared" si="5"/>
        <v>146.24068531357977</v>
      </c>
      <c r="H24" s="3">
        <f t="shared" si="5"/>
        <v>140.96846473258123</v>
      </c>
      <c r="I24" s="3">
        <f t="shared" si="5"/>
        <v>135.88631649564411</v>
      </c>
      <c r="J24" s="3">
        <f t="shared" si="5"/>
        <v>130.98738817779457</v>
      </c>
      <c r="K24" s="3">
        <f t="shared" si="5"/>
        <v>126.26507439540633</v>
      </c>
      <c r="L24" s="3">
        <f t="shared" si="5"/>
        <v>121.71300789994827</v>
      </c>
      <c r="M24" s="3">
        <f t="shared" si="5"/>
        <v>117.32505099281688</v>
      </c>
      <c r="N24" s="3">
        <f t="shared" si="5"/>
        <v>113.09528724967885</v>
      </c>
      <c r="O24" s="3">
        <f t="shared" si="5"/>
        <v>109.0180135431645</v>
      </c>
      <c r="P24" s="3">
        <f t="shared" si="5"/>
        <v>105.08773235315643</v>
      </c>
      <c r="Q24" s="3">
        <f t="shared" si="5"/>
        <v>101.29914435430537</v>
      </c>
      <c r="R24" s="3">
        <f t="shared" si="5"/>
        <v>97.647141270778235</v>
      </c>
    </row>
    <row r="25" spans="2:18" x14ac:dyDescent="0.3">
      <c r="B25" s="9" t="s">
        <v>36</v>
      </c>
      <c r="C25" s="3">
        <f>C24</f>
        <v>-1146.0190299999999</v>
      </c>
      <c r="D25" s="3">
        <f>C25+D24</f>
        <v>-982.74882255104376</v>
      </c>
      <c r="E25" s="3">
        <f t="shared" ref="E25:R25" si="6">D25+E24</f>
        <v>-825.36477835501887</v>
      </c>
      <c r="F25" s="3">
        <f t="shared" si="6"/>
        <v>-673.65469141071117</v>
      </c>
      <c r="G25" s="3">
        <f t="shared" si="6"/>
        <v>-527.41400609713139</v>
      </c>
      <c r="H25" s="3">
        <f t="shared" si="6"/>
        <v>-386.44554136455019</v>
      </c>
      <c r="I25" s="3">
        <f t="shared" si="6"/>
        <v>-250.55922486890609</v>
      </c>
      <c r="J25" s="3">
        <f t="shared" si="6"/>
        <v>-119.57183669111151</v>
      </c>
      <c r="K25" s="16">
        <f t="shared" si="6"/>
        <v>6.6932377042948161</v>
      </c>
      <c r="L25" s="3">
        <f t="shared" si="6"/>
        <v>128.40624560424308</v>
      </c>
      <c r="M25" s="3">
        <f t="shared" si="6"/>
        <v>245.73129659705995</v>
      </c>
      <c r="N25" s="3">
        <f t="shared" si="6"/>
        <v>358.8265838467388</v>
      </c>
      <c r="O25" s="3">
        <f t="shared" si="6"/>
        <v>467.8445973899033</v>
      </c>
      <c r="P25" s="3">
        <f t="shared" si="6"/>
        <v>572.93232974305977</v>
      </c>
      <c r="Q25" s="19">
        <f t="shared" si="6"/>
        <v>674.23147409736509</v>
      </c>
      <c r="R25" s="3">
        <f t="shared" si="6"/>
        <v>771.8786153681433</v>
      </c>
    </row>
    <row r="29" spans="2:18" ht="28.8" customHeight="1" x14ac:dyDescent="0.3">
      <c r="B29" s="64" t="s">
        <v>58</v>
      </c>
      <c r="C29" s="65"/>
    </row>
    <row r="31" spans="2:18" x14ac:dyDescent="0.3">
      <c r="B31" s="9" t="s">
        <v>37</v>
      </c>
      <c r="C31" s="12">
        <f>I10-I19/J18</f>
        <v>6.017454139169816</v>
      </c>
    </row>
    <row r="32" spans="2:18" x14ac:dyDescent="0.3">
      <c r="B32" s="9" t="s">
        <v>38</v>
      </c>
      <c r="C32" s="12">
        <f>J10-J25/K24</f>
        <v>7.9469905851927463</v>
      </c>
    </row>
    <row r="33" spans="2:18" x14ac:dyDescent="0.3">
      <c r="B33" s="9" t="s">
        <v>39</v>
      </c>
      <c r="C33" s="5">
        <f>C24+SUM(D24:R24)</f>
        <v>771.87861536814353</v>
      </c>
      <c r="E33" s="18" t="s">
        <v>2</v>
      </c>
    </row>
    <row r="34" spans="2:18" x14ac:dyDescent="0.3">
      <c r="B34" s="9" t="s">
        <v>1</v>
      </c>
      <c r="C34" s="11">
        <f>IRR(C18:R18)</f>
        <v>0.15879886275424049</v>
      </c>
      <c r="E34" s="18" t="s">
        <v>3</v>
      </c>
    </row>
    <row r="35" spans="2:18" x14ac:dyDescent="0.3">
      <c r="B35" s="9" t="s">
        <v>60</v>
      </c>
      <c r="C35" s="11">
        <f>MIRR(C18:R18,C6,C6)</f>
        <v>0.10959791261138241</v>
      </c>
      <c r="E35" s="18" t="s">
        <v>61</v>
      </c>
    </row>
    <row r="36" spans="2:18" x14ac:dyDescent="0.3">
      <c r="B36" s="9" t="s">
        <v>54</v>
      </c>
      <c r="C36" s="13">
        <f>C41/C43</f>
        <v>0.37878090755349736</v>
      </c>
    </row>
    <row r="37" spans="2:18" x14ac:dyDescent="0.3">
      <c r="B37" s="9" t="s">
        <v>51</v>
      </c>
      <c r="C37" s="13">
        <f>C44/C41</f>
        <v>1.6735303648213795</v>
      </c>
      <c r="E37" s="18" t="s">
        <v>4</v>
      </c>
    </row>
    <row r="38" spans="2:18" x14ac:dyDescent="0.3">
      <c r="B38" s="52" t="s">
        <v>40</v>
      </c>
      <c r="C38" s="3">
        <f>-C17</f>
        <v>1146.0190299999999</v>
      </c>
    </row>
    <row r="39" spans="2:18" x14ac:dyDescent="0.3">
      <c r="B39" s="52" t="s">
        <v>41</v>
      </c>
      <c r="C39" s="2">
        <f>-SUM(D39:R39)</f>
        <v>0</v>
      </c>
      <c r="D39" s="3">
        <f t="shared" ref="D39:R39" si="7">D14/(1+$C$6)^D10</f>
        <v>0</v>
      </c>
      <c r="E39" s="3">
        <f t="shared" si="7"/>
        <v>0</v>
      </c>
      <c r="F39" s="3">
        <f t="shared" si="7"/>
        <v>0</v>
      </c>
      <c r="G39" s="3">
        <f t="shared" si="7"/>
        <v>0</v>
      </c>
      <c r="H39" s="3">
        <f t="shared" si="7"/>
        <v>0</v>
      </c>
      <c r="I39" s="3">
        <f t="shared" si="7"/>
        <v>0</v>
      </c>
      <c r="J39" s="3">
        <f t="shared" si="7"/>
        <v>0</v>
      </c>
      <c r="K39" s="3">
        <f t="shared" si="7"/>
        <v>0</v>
      </c>
      <c r="L39" s="3">
        <f t="shared" si="7"/>
        <v>0</v>
      </c>
      <c r="M39" s="3">
        <f t="shared" si="7"/>
        <v>0</v>
      </c>
      <c r="N39" s="3">
        <f t="shared" si="7"/>
        <v>0</v>
      </c>
      <c r="O39" s="3">
        <f t="shared" si="7"/>
        <v>0</v>
      </c>
      <c r="P39" s="3">
        <f t="shared" si="7"/>
        <v>0</v>
      </c>
      <c r="Q39" s="3">
        <f t="shared" si="7"/>
        <v>0</v>
      </c>
      <c r="R39" s="3">
        <f t="shared" si="7"/>
        <v>0</v>
      </c>
    </row>
    <row r="40" spans="2:18" x14ac:dyDescent="0.3">
      <c r="B40" s="52" t="s">
        <v>42</v>
      </c>
      <c r="C40" s="2">
        <v>0</v>
      </c>
    </row>
    <row r="41" spans="2:18" x14ac:dyDescent="0.3">
      <c r="B41" s="52" t="s">
        <v>43</v>
      </c>
      <c r="C41" s="3">
        <f>SUM(C38:C40)</f>
        <v>1146.0190299999999</v>
      </c>
    </row>
    <row r="42" spans="2:18" x14ac:dyDescent="0.3">
      <c r="B42" s="52" t="s">
        <v>49</v>
      </c>
      <c r="C42" s="3">
        <f>SUM(D11:R11)</f>
        <v>5050.800000000002</v>
      </c>
    </row>
    <row r="43" spans="2:18" x14ac:dyDescent="0.3">
      <c r="B43" s="52" t="s">
        <v>50</v>
      </c>
      <c r="C43" s="3">
        <f>SUM(D43:R43)</f>
        <v>3025.5459215249416</v>
      </c>
      <c r="D43" s="3">
        <f t="shared" ref="D43:R43" si="8">D11/(1+$C$6)^D10</f>
        <v>314.05968309184254</v>
      </c>
      <c r="E43" s="3">
        <f t="shared" si="8"/>
        <v>292.92434231334209</v>
      </c>
      <c r="F43" s="3">
        <f t="shared" si="8"/>
        <v>273.21135102403957</v>
      </c>
      <c r="G43" s="3">
        <f t="shared" si="8"/>
        <v>254.82498907015923</v>
      </c>
      <c r="H43" s="3">
        <f t="shared" si="8"/>
        <v>237.67597799731658</v>
      </c>
      <c r="I43" s="3">
        <f t="shared" si="8"/>
        <v>221.68104754211504</v>
      </c>
      <c r="J43" s="3">
        <f t="shared" si="8"/>
        <v>206.76253129764882</v>
      </c>
      <c r="K43" s="3">
        <f t="shared" si="8"/>
        <v>192.84798958959004</v>
      </c>
      <c r="L43" s="3">
        <f t="shared" si="8"/>
        <v>179.86985773166307</v>
      </c>
      <c r="M43" s="3">
        <f t="shared" si="8"/>
        <v>167.76511795254487</v>
      </c>
      <c r="N43" s="3">
        <f t="shared" si="8"/>
        <v>156.47499340116954</v>
      </c>
      <c r="O43" s="3">
        <f t="shared" si="8"/>
        <v>145.94466274462303</v>
      </c>
      <c r="P43" s="3">
        <f t="shared" si="8"/>
        <v>136.12299397280273</v>
      </c>
      <c r="Q43" s="3">
        <f t="shared" si="8"/>
        <v>126.96229611728205</v>
      </c>
      <c r="R43" s="3">
        <f t="shared" si="8"/>
        <v>118.41808767880217</v>
      </c>
    </row>
    <row r="44" spans="2:18" x14ac:dyDescent="0.3">
      <c r="B44" s="52" t="s">
        <v>47</v>
      </c>
      <c r="C44" s="3">
        <f>SUM(D44:R44)</f>
        <v>1917.8976453681435</v>
      </c>
      <c r="D44" s="3">
        <f t="shared" ref="D44:R44" si="9">D13/(1+$C$6)^D10</f>
        <v>163.2702074489562</v>
      </c>
      <c r="E44" s="3">
        <f t="shared" si="9"/>
        <v>157.38404419602483</v>
      </c>
      <c r="F44" s="3">
        <f t="shared" si="9"/>
        <v>151.7100869443077</v>
      </c>
      <c r="G44" s="3">
        <f t="shared" si="9"/>
        <v>146.24068531357977</v>
      </c>
      <c r="H44" s="3">
        <f t="shared" si="9"/>
        <v>140.96846473258123</v>
      </c>
      <c r="I44" s="3">
        <f t="shared" si="9"/>
        <v>135.88631649564411</v>
      </c>
      <c r="J44" s="3">
        <f t="shared" si="9"/>
        <v>130.98738817779457</v>
      </c>
      <c r="K44" s="3">
        <f t="shared" si="9"/>
        <v>126.26507439540633</v>
      </c>
      <c r="L44" s="3">
        <f t="shared" si="9"/>
        <v>121.71300789994827</v>
      </c>
      <c r="M44" s="3">
        <f t="shared" si="9"/>
        <v>117.32505099281688</v>
      </c>
      <c r="N44" s="3">
        <f t="shared" si="9"/>
        <v>113.09528724967885</v>
      </c>
      <c r="O44" s="3">
        <f t="shared" si="9"/>
        <v>109.0180135431645</v>
      </c>
      <c r="P44" s="3">
        <f t="shared" si="9"/>
        <v>105.08773235315643</v>
      </c>
      <c r="Q44" s="3">
        <f t="shared" si="9"/>
        <v>101.29914435430537</v>
      </c>
      <c r="R44" s="3">
        <f t="shared" si="9"/>
        <v>97.647141270778235</v>
      </c>
    </row>
  </sheetData>
  <mergeCells count="3">
    <mergeCell ref="A1:B1"/>
    <mergeCell ref="C1:H1"/>
    <mergeCell ref="B29:C29"/>
  </mergeCells>
  <pageMargins left="0.511811024" right="0.511811024" top="0.78740157499999996" bottom="0.78740157499999996" header="0.31496062000000002" footer="0.31496062000000002"/>
  <pageSetup paperSize="9" orientation="portrait" verticalDpi="300" r:id="rId1"/>
  <ignoredErrors>
    <ignoredError sqref="E13:R13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Informações</vt:lpstr>
      <vt:lpstr>AC Consumo evitado</vt:lpstr>
      <vt:lpstr>AC Retrofit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Gontijo</dc:creator>
  <cp:lastModifiedBy>Gustavo Gontijo</cp:lastModifiedBy>
  <dcterms:created xsi:type="dcterms:W3CDTF">2021-04-20T20:50:28Z</dcterms:created>
  <dcterms:modified xsi:type="dcterms:W3CDTF">2021-06-23T15:25:13Z</dcterms:modified>
</cp:coreProperties>
</file>