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xr:revisionPtr revIDLastSave="1" documentId="11_C2B5D42E5336A773C3F6364979BB6A4AA6410D79" xr6:coauthVersionLast="47" xr6:coauthVersionMax="47" xr10:uidLastSave="{0AAB7E16-E06F-49FE-B4E6-07985A6BE998}"/>
  <bookViews>
    <workbookView xWindow="-12" yWindow="168" windowWidth="15372" windowHeight="4452" tabRatio="785" firstSheet="2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4" hidden="1">tab_Bloco_TE_RE_projetos!$A$1:$M$269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tab_Tecnologias_TE_RE!$A$1:$AU$64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tab_UHE_projetos!$A$1:$BH$216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310" r:id="rId4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N108" i="32" l="1"/>
  <c r="AM108" i="32"/>
  <c r="AL108" i="32"/>
  <c r="AK108" i="32"/>
  <c r="AJ108" i="32"/>
  <c r="AI108" i="32"/>
  <c r="AH108" i="32"/>
  <c r="AG108" i="32"/>
  <c r="AF108" i="32"/>
  <c r="AE108" i="32"/>
  <c r="AD108" i="32"/>
  <c r="AC108" i="32"/>
  <c r="AB108" i="32"/>
  <c r="AA108" i="32"/>
  <c r="Z108" i="32"/>
  <c r="Y108" i="32"/>
  <c r="X108" i="32"/>
  <c r="W108" i="32"/>
  <c r="V108" i="32"/>
  <c r="U108" i="32"/>
  <c r="T108" i="32"/>
  <c r="S108" i="32"/>
  <c r="R108" i="32"/>
  <c r="Q108" i="32"/>
  <c r="P108" i="32"/>
  <c r="O108" i="32"/>
  <c r="N108" i="32"/>
  <c r="M108" i="32"/>
  <c r="L108" i="32"/>
  <c r="K108" i="32"/>
  <c r="J108" i="32"/>
  <c r="I108" i="32"/>
  <c r="H108" i="32"/>
  <c r="G108" i="32"/>
  <c r="F108" i="32"/>
  <c r="E108" i="32"/>
  <c r="D108" i="32"/>
  <c r="C108" i="32"/>
  <c r="O95" i="32"/>
  <c r="P95" i="32" s="1"/>
  <c r="AO93" i="32"/>
  <c r="AO92" i="32"/>
  <c r="AO91" i="32"/>
  <c r="AO90" i="32"/>
  <c r="AO89" i="32"/>
  <c r="AO88" i="32"/>
  <c r="AO87" i="32"/>
  <c r="AO86" i="32"/>
  <c r="M83" i="32"/>
  <c r="P82" i="32"/>
  <c r="O82" i="32"/>
  <c r="N82" i="32"/>
  <c r="M82" i="32"/>
  <c r="L82" i="32"/>
  <c r="K82" i="32"/>
  <c r="J82" i="32"/>
  <c r="I82" i="32"/>
  <c r="H82" i="32"/>
  <c r="G82" i="32"/>
  <c r="F82" i="32"/>
  <c r="E82" i="32"/>
  <c r="D82" i="32"/>
  <c r="C82" i="32"/>
  <c r="B82" i="32"/>
  <c r="AN81" i="32"/>
  <c r="AM81" i="32"/>
  <c r="AL81" i="32"/>
  <c r="AK81" i="32"/>
  <c r="AJ81" i="32"/>
  <c r="AI81" i="32"/>
  <c r="AH81" i="32"/>
  <c r="AG81" i="32"/>
  <c r="AF81" i="32"/>
  <c r="AE81" i="32"/>
  <c r="AD81" i="32"/>
  <c r="AC81" i="32"/>
  <c r="AB81" i="32"/>
  <c r="AA81" i="32"/>
  <c r="Z81" i="32"/>
  <c r="Y81" i="32"/>
  <c r="X81" i="32"/>
  <c r="W81" i="32"/>
  <c r="V81" i="32"/>
  <c r="U81" i="32"/>
  <c r="T81" i="32"/>
  <c r="S81" i="32"/>
  <c r="R81" i="32"/>
  <c r="Q81" i="32"/>
  <c r="AN80" i="32"/>
  <c r="AM80" i="32"/>
  <c r="AL80" i="32"/>
  <c r="AK80" i="32"/>
  <c r="AJ80" i="32"/>
  <c r="AI80" i="32"/>
  <c r="AH80" i="32"/>
  <c r="AG80" i="32"/>
  <c r="AF80" i="32"/>
  <c r="AE80" i="32"/>
  <c r="AD80" i="32"/>
  <c r="AC80" i="32"/>
  <c r="AB80" i="32"/>
  <c r="AA80" i="32"/>
  <c r="Z80" i="32"/>
  <c r="Y80" i="32"/>
  <c r="X80" i="32"/>
  <c r="W80" i="32"/>
  <c r="V80" i="32"/>
  <c r="U80" i="32"/>
  <c r="T80" i="32"/>
  <c r="S80" i="32"/>
  <c r="R80" i="32"/>
  <c r="Q80" i="32"/>
  <c r="AN79" i="32"/>
  <c r="AM79" i="32"/>
  <c r="AL79" i="32"/>
  <c r="AK79" i="32"/>
  <c r="AJ79" i="32"/>
  <c r="AI79" i="32"/>
  <c r="AH79" i="32"/>
  <c r="AG79" i="32"/>
  <c r="AF79" i="32"/>
  <c r="AE79" i="32"/>
  <c r="AD79" i="32"/>
  <c r="AC79" i="32"/>
  <c r="AB79" i="32"/>
  <c r="AA79" i="32"/>
  <c r="Z79" i="32"/>
  <c r="Y79" i="32"/>
  <c r="X79" i="32"/>
  <c r="W79" i="32"/>
  <c r="V79" i="32"/>
  <c r="U79" i="32"/>
  <c r="T79" i="32"/>
  <c r="S79" i="32"/>
  <c r="R79" i="32"/>
  <c r="Q79" i="32"/>
  <c r="AN78" i="32"/>
  <c r="AM78" i="32"/>
  <c r="AL78" i="32"/>
  <c r="AK78" i="32"/>
  <c r="AJ78" i="32"/>
  <c r="AI78" i="32"/>
  <c r="AH78" i="32"/>
  <c r="AG78" i="32"/>
  <c r="AF78" i="32"/>
  <c r="AE78" i="32"/>
  <c r="AD78" i="32"/>
  <c r="AC78" i="32"/>
  <c r="AB78" i="32"/>
  <c r="AA78" i="32"/>
  <c r="Z78" i="32"/>
  <c r="Y78" i="32"/>
  <c r="X78" i="32"/>
  <c r="W78" i="32"/>
  <c r="V78" i="32"/>
  <c r="U78" i="32"/>
  <c r="T78" i="32"/>
  <c r="S78" i="32"/>
  <c r="R78" i="32"/>
  <c r="Q78" i="32"/>
  <c r="AN77" i="32"/>
  <c r="AM77" i="32"/>
  <c r="AL77" i="32"/>
  <c r="AK77" i="32"/>
  <c r="AJ77" i="32"/>
  <c r="AI77" i="32"/>
  <c r="AH77" i="32"/>
  <c r="AG77" i="32"/>
  <c r="AF77" i="32"/>
  <c r="AE77" i="32"/>
  <c r="AD77" i="32"/>
  <c r="AC77" i="32"/>
  <c r="AB77" i="32"/>
  <c r="AA77" i="32"/>
  <c r="Z77" i="32"/>
  <c r="Y77" i="32"/>
  <c r="X77" i="32"/>
  <c r="W77" i="32"/>
  <c r="V77" i="32"/>
  <c r="U77" i="32"/>
  <c r="T77" i="32"/>
  <c r="S77" i="32"/>
  <c r="R77" i="32"/>
  <c r="Q77" i="32"/>
  <c r="AN76" i="32"/>
  <c r="AN82" i="32" s="1"/>
  <c r="AM76" i="32"/>
  <c r="AM82" i="32" s="1"/>
  <c r="AL76" i="32"/>
  <c r="AL82" i="32" s="1"/>
  <c r="AK76" i="32"/>
  <c r="AK82" i="32" s="1"/>
  <c r="AJ76" i="32"/>
  <c r="AJ82" i="32" s="1"/>
  <c r="AI76" i="32"/>
  <c r="AI82" i="32" s="1"/>
  <c r="AH76" i="32"/>
  <c r="AH82" i="32" s="1"/>
  <c r="AG76" i="32"/>
  <c r="AG82" i="32" s="1"/>
  <c r="AF76" i="32"/>
  <c r="AF82" i="32" s="1"/>
  <c r="AE76" i="32"/>
  <c r="AE82" i="32" s="1"/>
  <c r="AD76" i="32"/>
  <c r="AD82" i="32" s="1"/>
  <c r="AC76" i="32"/>
  <c r="AC82" i="32" s="1"/>
  <c r="AB76" i="32"/>
  <c r="AB82" i="32" s="1"/>
  <c r="AA76" i="32"/>
  <c r="AA82" i="32" s="1"/>
  <c r="Z76" i="32"/>
  <c r="Z82" i="32" s="1"/>
  <c r="Y76" i="32"/>
  <c r="Y82" i="32" s="1"/>
  <c r="X76" i="32"/>
  <c r="X82" i="32" s="1"/>
  <c r="W76" i="32"/>
  <c r="W82" i="32" s="1"/>
  <c r="V76" i="32"/>
  <c r="V82" i="32" s="1"/>
  <c r="U76" i="32"/>
  <c r="U82" i="32" s="1"/>
  <c r="T76" i="32"/>
  <c r="T82" i="32" s="1"/>
  <c r="S76" i="32"/>
  <c r="S82" i="32" s="1"/>
  <c r="R76" i="32"/>
  <c r="R82" i="32" s="1"/>
  <c r="Q76" i="32"/>
  <c r="Q82" i="32" s="1"/>
  <c r="AN72" i="32"/>
  <c r="AM72" i="32"/>
  <c r="AL72" i="32"/>
  <c r="AK72" i="32"/>
  <c r="AJ72" i="32"/>
  <c r="AI72" i="32"/>
  <c r="AH72" i="32"/>
  <c r="AG72" i="32"/>
  <c r="AF72" i="32"/>
  <c r="AE72" i="32"/>
  <c r="AD72" i="32"/>
  <c r="AC72" i="32"/>
  <c r="AB72" i="32"/>
  <c r="AA72" i="32"/>
  <c r="Z72" i="32"/>
  <c r="Y72" i="32"/>
  <c r="X72" i="32"/>
  <c r="W72" i="32"/>
  <c r="V72" i="32"/>
  <c r="U72" i="32"/>
  <c r="T72" i="32"/>
  <c r="S72" i="32"/>
  <c r="R72" i="32"/>
  <c r="Q72" i="32"/>
  <c r="P72" i="32"/>
  <c r="O72" i="32"/>
  <c r="N72" i="32"/>
  <c r="M72" i="32"/>
  <c r="L72" i="32"/>
  <c r="K72" i="32"/>
  <c r="J72" i="32"/>
  <c r="I72" i="32"/>
  <c r="H72" i="32"/>
  <c r="G72" i="32"/>
  <c r="F72" i="32"/>
  <c r="E72" i="32"/>
  <c r="D72" i="32"/>
  <c r="C72" i="32"/>
  <c r="B7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T61" i="32"/>
  <c r="S61" i="32"/>
  <c r="R61" i="32"/>
  <c r="Q61" i="32"/>
  <c r="P61" i="32"/>
  <c r="O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AN51" i="32"/>
  <c r="AM51" i="32"/>
  <c r="AL51" i="32"/>
  <c r="AK51" i="32"/>
  <c r="AJ51" i="32"/>
  <c r="AI51" i="32"/>
  <c r="AH51" i="32"/>
  <c r="AG51" i="32"/>
  <c r="AF51" i="32"/>
  <c r="AE51" i="32"/>
  <c r="AD51" i="32"/>
  <c r="AC51" i="32"/>
  <c r="AB51" i="32"/>
  <c r="AA51" i="32"/>
  <c r="Z51" i="32"/>
  <c r="Y51" i="32"/>
  <c r="X51" i="32"/>
  <c r="W51" i="32"/>
  <c r="V51" i="32"/>
  <c r="U51" i="32"/>
  <c r="T51" i="32"/>
  <c r="S51" i="32"/>
  <c r="R51" i="32"/>
  <c r="Q51" i="32"/>
  <c r="P51" i="32"/>
  <c r="O51" i="32"/>
  <c r="N51" i="32"/>
  <c r="M51" i="32"/>
  <c r="L51" i="32"/>
  <c r="K51" i="32"/>
  <c r="J51" i="32"/>
  <c r="I51" i="32"/>
  <c r="H51" i="32"/>
  <c r="G51" i="32"/>
  <c r="F51" i="32"/>
  <c r="E51" i="32"/>
  <c r="D51" i="32"/>
  <c r="C51" i="32"/>
  <c r="B51" i="32"/>
  <c r="AN42" i="32"/>
  <c r="AM42" i="32"/>
  <c r="AL42" i="32"/>
  <c r="AK42" i="32"/>
  <c r="AJ42" i="32"/>
  <c r="AI42" i="32"/>
  <c r="AH42" i="32"/>
  <c r="AG42" i="32"/>
  <c r="AF42" i="32"/>
  <c r="AE42" i="32"/>
  <c r="AD42" i="32"/>
  <c r="AC42" i="32"/>
  <c r="AB42" i="32"/>
  <c r="AA42" i="32"/>
  <c r="Z42" i="32"/>
  <c r="Y42" i="32"/>
  <c r="X42" i="32"/>
  <c r="W42" i="32"/>
  <c r="V42" i="32"/>
  <c r="U42" i="32"/>
  <c r="T42" i="32"/>
  <c r="S42" i="32"/>
  <c r="R42" i="32"/>
  <c r="Q42" i="32"/>
  <c r="P42" i="32"/>
  <c r="O42" i="32"/>
  <c r="N42" i="32"/>
  <c r="M42" i="32"/>
  <c r="L42" i="32"/>
  <c r="K42" i="32"/>
  <c r="J42" i="32"/>
  <c r="I42" i="32"/>
  <c r="H42" i="32"/>
  <c r="G42" i="32"/>
  <c r="F42" i="32"/>
  <c r="E42" i="32"/>
  <c r="D42" i="32"/>
  <c r="C42" i="32"/>
  <c r="B42" i="32"/>
  <c r="AN27" i="32"/>
  <c r="AM27" i="32"/>
  <c r="AL27" i="32"/>
  <c r="AK27" i="32"/>
  <c r="AJ27" i="32"/>
  <c r="AI27" i="32"/>
  <c r="AH27" i="32"/>
  <c r="AG27" i="32"/>
  <c r="AF27" i="32"/>
  <c r="AE27" i="32"/>
  <c r="AD27" i="32"/>
  <c r="AC27" i="32"/>
  <c r="AB27" i="32"/>
  <c r="AA27" i="32"/>
  <c r="Z27" i="32"/>
  <c r="Y27" i="32"/>
  <c r="X27" i="32"/>
  <c r="W27" i="32"/>
  <c r="V27" i="32"/>
  <c r="U27" i="32"/>
  <c r="T27" i="32"/>
  <c r="S27" i="32"/>
  <c r="R27" i="32"/>
  <c r="Q27" i="32"/>
  <c r="P27" i="32"/>
  <c r="O27" i="32"/>
  <c r="N27" i="32"/>
  <c r="M27" i="32"/>
  <c r="L27" i="32"/>
  <c r="K27" i="32"/>
  <c r="J27" i="32"/>
  <c r="I27" i="32"/>
  <c r="H27" i="32"/>
  <c r="G27" i="32"/>
  <c r="F27" i="32"/>
  <c r="E27" i="32"/>
  <c r="D27" i="32"/>
  <c r="C27" i="32"/>
  <c r="B27" i="32"/>
  <c r="AN16" i="32"/>
  <c r="AN21" i="32" s="1"/>
  <c r="AM16" i="32"/>
  <c r="AM35" i="32" s="1"/>
  <c r="AL16" i="32"/>
  <c r="AK16" i="32"/>
  <c r="AK21" i="32" s="1"/>
  <c r="AJ16" i="32"/>
  <c r="AI16" i="32"/>
  <c r="AI97" i="32" s="1"/>
  <c r="AH16" i="32"/>
  <c r="AG16" i="32"/>
  <c r="AG21" i="32" s="1"/>
  <c r="AF16" i="32"/>
  <c r="AE16" i="32"/>
  <c r="AE75" i="32" s="1"/>
  <c r="AD16" i="32"/>
  <c r="AC16" i="32"/>
  <c r="AC44" i="32" s="1"/>
  <c r="AB16" i="32"/>
  <c r="AA16" i="32"/>
  <c r="AA97" i="32" s="1"/>
  <c r="Z16" i="32"/>
  <c r="Y16" i="32"/>
  <c r="Y65" i="32" s="1"/>
  <c r="X16" i="32"/>
  <c r="X21" i="32" s="1"/>
  <c r="W16" i="32"/>
  <c r="W97" i="32" s="1"/>
  <c r="V16" i="32"/>
  <c r="U16" i="32"/>
  <c r="U21" i="32" s="1"/>
  <c r="T16" i="32"/>
  <c r="S16" i="32"/>
  <c r="R16" i="32"/>
  <c r="Q16" i="32"/>
  <c r="Q21" i="32" s="1"/>
  <c r="P16" i="32"/>
  <c r="O16" i="32"/>
  <c r="O75" i="32" s="1"/>
  <c r="N16" i="32"/>
  <c r="M16" i="32"/>
  <c r="M44" i="32" s="1"/>
  <c r="L16" i="32"/>
  <c r="K16" i="32"/>
  <c r="K97" i="32" s="1"/>
  <c r="J16" i="32"/>
  <c r="I16" i="32"/>
  <c r="I65" i="32" s="1"/>
  <c r="H16" i="32"/>
  <c r="H21" i="32" s="1"/>
  <c r="G16" i="32"/>
  <c r="G97" i="32" s="1"/>
  <c r="F16" i="32"/>
  <c r="E16" i="32"/>
  <c r="E21" i="32" s="1"/>
  <c r="D16" i="32"/>
  <c r="D85" i="32" s="1"/>
  <c r="C16" i="32"/>
  <c r="B16" i="32"/>
  <c r="B13" i="32"/>
  <c r="B11" i="32"/>
  <c r="D10" i="32"/>
  <c r="B8" i="32"/>
  <c r="L30" i="32" l="1"/>
  <c r="L21" i="32"/>
  <c r="P85" i="32"/>
  <c r="P21" i="32"/>
  <c r="T85" i="32"/>
  <c r="T21" i="32"/>
  <c r="AB30" i="32"/>
  <c r="AB21" i="32"/>
  <c r="AF85" i="32"/>
  <c r="AF21" i="32"/>
  <c r="AJ85" i="32"/>
  <c r="AJ21" i="32"/>
  <c r="C85" i="32"/>
  <c r="C65" i="32"/>
  <c r="C44" i="32"/>
  <c r="S85" i="32"/>
  <c r="S65" i="32"/>
  <c r="S44" i="32"/>
  <c r="B97" i="32"/>
  <c r="B75" i="32"/>
  <c r="B54" i="32"/>
  <c r="B35" i="32"/>
  <c r="B85" i="32"/>
  <c r="B65" i="32"/>
  <c r="B44" i="32"/>
  <c r="F97" i="32"/>
  <c r="F75" i="32"/>
  <c r="F54" i="32"/>
  <c r="F35" i="32"/>
  <c r="F85" i="32"/>
  <c r="F65" i="32"/>
  <c r="F44" i="32"/>
  <c r="J97" i="32"/>
  <c r="J75" i="32"/>
  <c r="J54" i="32"/>
  <c r="J35" i="32"/>
  <c r="J85" i="32"/>
  <c r="J65" i="32"/>
  <c r="J44" i="32"/>
  <c r="N97" i="32"/>
  <c r="N75" i="32"/>
  <c r="N54" i="32"/>
  <c r="N35" i="32"/>
  <c r="N85" i="32"/>
  <c r="N65" i="32"/>
  <c r="N44" i="32"/>
  <c r="R97" i="32"/>
  <c r="R75" i="32"/>
  <c r="R54" i="32"/>
  <c r="R35" i="32"/>
  <c r="R85" i="32"/>
  <c r="R65" i="32"/>
  <c r="R44" i="32"/>
  <c r="V97" i="32"/>
  <c r="V75" i="32"/>
  <c r="V54" i="32"/>
  <c r="V35" i="32"/>
  <c r="V85" i="32"/>
  <c r="V65" i="32"/>
  <c r="V44" i="32"/>
  <c r="Z97" i="32"/>
  <c r="Z75" i="32"/>
  <c r="Z54" i="32"/>
  <c r="Z35" i="32"/>
  <c r="Z85" i="32"/>
  <c r="Z65" i="32"/>
  <c r="Z44" i="32"/>
  <c r="AD97" i="32"/>
  <c r="AD75" i="32"/>
  <c r="AD54" i="32"/>
  <c r="AD35" i="32"/>
  <c r="AD85" i="32"/>
  <c r="AD65" i="32"/>
  <c r="AD44" i="32"/>
  <c r="AH97" i="32"/>
  <c r="AH75" i="32"/>
  <c r="AH54" i="32"/>
  <c r="AH35" i="32"/>
  <c r="AH85" i="32"/>
  <c r="AH65" i="32"/>
  <c r="AH44" i="32"/>
  <c r="AL97" i="32"/>
  <c r="AL75" i="32"/>
  <c r="AL54" i="32"/>
  <c r="AL35" i="32"/>
  <c r="AL85" i="32"/>
  <c r="AL65" i="32"/>
  <c r="AL44" i="32"/>
  <c r="C21" i="32"/>
  <c r="G21" i="32"/>
  <c r="K21" i="32"/>
  <c r="O21" i="32"/>
  <c r="S21" i="32"/>
  <c r="W21" i="32"/>
  <c r="AA21" i="32"/>
  <c r="AE21" i="32"/>
  <c r="AI21" i="32"/>
  <c r="AM21" i="32"/>
  <c r="F30" i="32"/>
  <c r="K30" i="32"/>
  <c r="P30" i="32"/>
  <c r="V30" i="32"/>
  <c r="AA30" i="32"/>
  <c r="AF30" i="32"/>
  <c r="AL30" i="32"/>
  <c r="D35" i="32"/>
  <c r="I35" i="32"/>
  <c r="W35" i="32"/>
  <c r="E44" i="32"/>
  <c r="U44" i="32"/>
  <c r="AK44" i="32"/>
  <c r="C54" i="32"/>
  <c r="S54" i="32"/>
  <c r="AI54" i="32"/>
  <c r="Q65" i="32"/>
  <c r="AG65" i="32"/>
  <c r="C97" i="32"/>
  <c r="S97" i="32"/>
  <c r="O85" i="32"/>
  <c r="O65" i="32"/>
  <c r="O44" i="32"/>
  <c r="AE85" i="32"/>
  <c r="AE65" i="32"/>
  <c r="AE44" i="32"/>
  <c r="AI85" i="32"/>
  <c r="AI65" i="32"/>
  <c r="AI44" i="32"/>
  <c r="AM85" i="32"/>
  <c r="AM65" i="32"/>
  <c r="AM44" i="32"/>
  <c r="D21" i="32"/>
  <c r="B30" i="32"/>
  <c r="G30" i="32"/>
  <c r="R30" i="32"/>
  <c r="W30" i="32"/>
  <c r="AH30" i="32"/>
  <c r="AM30" i="32"/>
  <c r="E35" i="32"/>
  <c r="K35" i="32"/>
  <c r="AA35" i="32"/>
  <c r="I44" i="32"/>
  <c r="Y44" i="32"/>
  <c r="G54" i="32"/>
  <c r="W54" i="32"/>
  <c r="AM54" i="32"/>
  <c r="E65" i="32"/>
  <c r="U65" i="32"/>
  <c r="AK65" i="32"/>
  <c r="C75" i="32"/>
  <c r="S75" i="32"/>
  <c r="AI75" i="32"/>
  <c r="AM97" i="32"/>
  <c r="G85" i="32"/>
  <c r="G65" i="32"/>
  <c r="G44" i="32"/>
  <c r="W85" i="32"/>
  <c r="W65" i="32"/>
  <c r="W44" i="32"/>
  <c r="D65" i="32"/>
  <c r="D44" i="32"/>
  <c r="D97" i="32"/>
  <c r="D75" i="32"/>
  <c r="D54" i="32"/>
  <c r="H65" i="32"/>
  <c r="H44" i="32"/>
  <c r="H97" i="32"/>
  <c r="H75" i="32"/>
  <c r="H54" i="32"/>
  <c r="L65" i="32"/>
  <c r="L44" i="32"/>
  <c r="L97" i="32"/>
  <c r="L75" i="32"/>
  <c r="L54" i="32"/>
  <c r="L35" i="32"/>
  <c r="P65" i="32"/>
  <c r="P44" i="32"/>
  <c r="P97" i="32"/>
  <c r="P75" i="32"/>
  <c r="P54" i="32"/>
  <c r="P35" i="32"/>
  <c r="T65" i="32"/>
  <c r="T44" i="32"/>
  <c r="T97" i="32"/>
  <c r="T75" i="32"/>
  <c r="T54" i="32"/>
  <c r="T35" i="32"/>
  <c r="X65" i="32"/>
  <c r="X44" i="32"/>
  <c r="X97" i="32"/>
  <c r="X75" i="32"/>
  <c r="X54" i="32"/>
  <c r="X35" i="32"/>
  <c r="AB65" i="32"/>
  <c r="AB44" i="32"/>
  <c r="AB97" i="32"/>
  <c r="AB75" i="32"/>
  <c r="AB54" i="32"/>
  <c r="AB35" i="32"/>
  <c r="AF65" i="32"/>
  <c r="AF44" i="32"/>
  <c r="AF97" i="32"/>
  <c r="AF75" i="32"/>
  <c r="AF54" i="32"/>
  <c r="AF35" i="32"/>
  <c r="AJ65" i="32"/>
  <c r="AJ44" i="32"/>
  <c r="AJ97" i="32"/>
  <c r="AJ75" i="32"/>
  <c r="AJ54" i="32"/>
  <c r="AJ35" i="32"/>
  <c r="AN65" i="32"/>
  <c r="AN44" i="32"/>
  <c r="AN97" i="32"/>
  <c r="AN75" i="32"/>
  <c r="AN54" i="32"/>
  <c r="AN35" i="32"/>
  <c r="I21" i="32"/>
  <c r="M21" i="32"/>
  <c r="Y21" i="32"/>
  <c r="AC21" i="32"/>
  <c r="C30" i="32"/>
  <c r="H30" i="32"/>
  <c r="N30" i="32"/>
  <c r="S30" i="32"/>
  <c r="X30" i="32"/>
  <c r="AD30" i="32"/>
  <c r="AI30" i="32"/>
  <c r="AN30" i="32"/>
  <c r="G35" i="32"/>
  <c r="O35" i="32"/>
  <c r="AE35" i="32"/>
  <c r="K54" i="32"/>
  <c r="AA54" i="32"/>
  <c r="G75" i="32"/>
  <c r="W75" i="32"/>
  <c r="AM75" i="32"/>
  <c r="H85" i="32"/>
  <c r="X85" i="32"/>
  <c r="AN85" i="32"/>
  <c r="K85" i="32"/>
  <c r="K65" i="32"/>
  <c r="K44" i="32"/>
  <c r="AA85" i="32"/>
  <c r="AA65" i="32"/>
  <c r="AA44" i="32"/>
  <c r="E30" i="32"/>
  <c r="E97" i="32"/>
  <c r="E75" i="32"/>
  <c r="E54" i="32"/>
  <c r="E85" i="32"/>
  <c r="I30" i="32"/>
  <c r="I97" i="32"/>
  <c r="I75" i="32"/>
  <c r="I54" i="32"/>
  <c r="I85" i="32"/>
  <c r="M30" i="32"/>
  <c r="M97" i="32"/>
  <c r="M75" i="32"/>
  <c r="M54" i="32"/>
  <c r="M35" i="32"/>
  <c r="M85" i="32"/>
  <c r="Q30" i="32"/>
  <c r="Q97" i="32"/>
  <c r="Q75" i="32"/>
  <c r="Q54" i="32"/>
  <c r="Q35" i="32"/>
  <c r="Q85" i="32"/>
  <c r="U30" i="32"/>
  <c r="U97" i="32"/>
  <c r="U75" i="32"/>
  <c r="U54" i="32"/>
  <c r="U35" i="32"/>
  <c r="U85" i="32"/>
  <c r="Y30" i="32"/>
  <c r="Y97" i="32"/>
  <c r="Y75" i="32"/>
  <c r="Y54" i="32"/>
  <c r="Y35" i="32"/>
  <c r="Y85" i="32"/>
  <c r="AC30" i="32"/>
  <c r="AC97" i="32"/>
  <c r="AC75" i="32"/>
  <c r="AC54" i="32"/>
  <c r="AC35" i="32"/>
  <c r="AC85" i="32"/>
  <c r="AG30" i="32"/>
  <c r="AG97" i="32"/>
  <c r="AG75" i="32"/>
  <c r="AG54" i="32"/>
  <c r="AG35" i="32"/>
  <c r="AG85" i="32"/>
  <c r="AK30" i="32"/>
  <c r="AK97" i="32"/>
  <c r="AK75" i="32"/>
  <c r="AK54" i="32"/>
  <c r="AK35" i="32"/>
  <c r="AK85" i="32"/>
  <c r="B21" i="32"/>
  <c r="F21" i="32"/>
  <c r="J21" i="32"/>
  <c r="N21" i="32"/>
  <c r="R21" i="32"/>
  <c r="V21" i="32"/>
  <c r="Z21" i="32"/>
  <c r="AD21" i="32"/>
  <c r="AH21" i="32"/>
  <c r="AL21" i="32"/>
  <c r="D30" i="32"/>
  <c r="J30" i="32"/>
  <c r="O30" i="32"/>
  <c r="T30" i="32"/>
  <c r="Z30" i="32"/>
  <c r="AE30" i="32"/>
  <c r="AJ30" i="32"/>
  <c r="C35" i="32"/>
  <c r="H35" i="32"/>
  <c r="S35" i="32"/>
  <c r="AI35" i="32"/>
  <c r="Q44" i="32"/>
  <c r="AG44" i="32"/>
  <c r="O54" i="32"/>
  <c r="AE54" i="32"/>
  <c r="M65" i="32"/>
  <c r="AC65" i="32"/>
  <c r="K75" i="32"/>
  <c r="AA75" i="32"/>
  <c r="L85" i="32"/>
  <c r="AB85" i="32"/>
  <c r="O97" i="32"/>
  <c r="AE97" i="32"/>
  <c r="AE64" i="8"/>
  <c r="AE62" i="8"/>
  <c r="AE60" i="8"/>
  <c r="AE59" i="8"/>
  <c r="AE58" i="8"/>
  <c r="AE57" i="8"/>
  <c r="AE56" i="8"/>
  <c r="AE20" i="8"/>
  <c r="AE4" i="8"/>
  <c r="O31" i="8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I6" i="9" l="1"/>
  <c r="L6" i="9"/>
  <c r="M6" i="9"/>
  <c r="AR54" i="8" l="1"/>
  <c r="F40" i="9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F42" i="8"/>
  <c r="AD42" i="8" s="1"/>
  <c r="AJ42" i="8" s="1"/>
  <c r="AF43" i="8"/>
  <c r="AD43" i="8" s="1"/>
  <c r="AJ43" i="8" s="1"/>
  <c r="AF44" i="8"/>
  <c r="AD44" i="8" s="1"/>
  <c r="AJ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J48" i="8" s="1"/>
  <c r="AF49" i="8"/>
  <c r="AD49" i="8" s="1"/>
  <c r="AJ49" i="8" s="1"/>
  <c r="AF50" i="8"/>
  <c r="AD50" i="8" s="1"/>
  <c r="AJ50" i="8" s="1"/>
  <c r="AF51" i="8"/>
  <c r="AD51" i="8" s="1"/>
  <c r="AJ51" i="8" s="1"/>
  <c r="AF52" i="8"/>
  <c r="AD52" i="8" s="1"/>
  <c r="AJ52" i="8" s="1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K43" i="8" l="1"/>
  <c r="AK45" i="8"/>
  <c r="AK51" i="8"/>
  <c r="AK50" i="8"/>
  <c r="AK42" i="8"/>
  <c r="AK49" i="8"/>
  <c r="AK41" i="8"/>
  <c r="AK48" i="8"/>
  <c r="AK46" i="8"/>
  <c r="AK52" i="8"/>
  <c r="AK44" i="8"/>
  <c r="AK47" i="8"/>
  <c r="I13" i="15"/>
  <c r="H13" i="15"/>
  <c r="G13" i="15"/>
  <c r="F3" i="22" l="1"/>
  <c r="F4" i="22"/>
  <c r="F5" i="22"/>
  <c r="F6" i="22"/>
  <c r="F7" i="22"/>
  <c r="F8" i="22"/>
  <c r="F2" i="22"/>
  <c r="AM63" i="8"/>
  <c r="AM64" i="8"/>
  <c r="AQ64" i="8"/>
  <c r="AF63" i="8"/>
  <c r="AD63" i="8" s="1"/>
  <c r="AJ63" i="8" s="1"/>
  <c r="X63" i="8"/>
  <c r="X64" i="8"/>
  <c r="V63" i="8"/>
  <c r="V64" i="8"/>
  <c r="O63" i="8"/>
  <c r="O64" i="8"/>
  <c r="J63" i="8"/>
  <c r="J64" i="8"/>
  <c r="L3" i="9"/>
  <c r="M3" i="9"/>
  <c r="L4" i="9"/>
  <c r="M4" i="9"/>
  <c r="L5" i="9"/>
  <c r="M5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M262" i="9"/>
  <c r="M263" i="9"/>
  <c r="M264" i="9"/>
  <c r="M265" i="9"/>
  <c r="M266" i="9"/>
  <c r="M267" i="9"/>
  <c r="M268" i="9"/>
  <c r="M269" i="9"/>
  <c r="I3" i="9"/>
  <c r="I4" i="9"/>
  <c r="I5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AK63" i="8" l="1"/>
  <c r="AF64" i="8"/>
  <c r="AD64" i="8" s="1"/>
  <c r="AJ64" i="8" s="1"/>
  <c r="AK64" i="8" l="1"/>
  <c r="R46" i="4"/>
  <c r="F269" i="9" l="1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F262" i="9"/>
  <c r="L262" i="9" s="1"/>
  <c r="AR21" i="8"/>
  <c r="AR63" i="8"/>
  <c r="AQ63" i="8" s="1"/>
  <c r="AN13" i="15" l="1"/>
  <c r="AM13" i="15"/>
  <c r="AM17" i="15" s="1"/>
  <c r="AL13" i="15"/>
  <c r="AK13" i="15"/>
  <c r="AK17" i="15" s="1"/>
  <c r="AJ13" i="15"/>
  <c r="AI13" i="15"/>
  <c r="AI17" i="15" s="1"/>
  <c r="AH13" i="15"/>
  <c r="AH17" i="15" s="1"/>
  <c r="AG13" i="15"/>
  <c r="AG17" i="15" s="1"/>
  <c r="AF13" i="15"/>
  <c r="AE13" i="15"/>
  <c r="AE17" i="15" s="1"/>
  <c r="AD13" i="15"/>
  <c r="AC13" i="15"/>
  <c r="AC17" i="15" s="1"/>
  <c r="AB13" i="15"/>
  <c r="AB17" i="15" s="1"/>
  <c r="AA13" i="15"/>
  <c r="AA17" i="15" s="1"/>
  <c r="Z13" i="15"/>
  <c r="Z17" i="15" s="1"/>
  <c r="Y13" i="15"/>
  <c r="Y17" i="15" s="1"/>
  <c r="X13" i="15"/>
  <c r="W13" i="15"/>
  <c r="V13" i="15"/>
  <c r="U13" i="15"/>
  <c r="U17" i="15" s="1"/>
  <c r="T13" i="15"/>
  <c r="T17" i="15" s="1"/>
  <c r="S13" i="15"/>
  <c r="S17" i="15" s="1"/>
  <c r="R13" i="15"/>
  <c r="R17" i="15" s="1"/>
  <c r="Q13" i="15"/>
  <c r="Q17" i="15" s="1"/>
  <c r="P13" i="15"/>
  <c r="O13" i="15"/>
  <c r="N13" i="15"/>
  <c r="M13" i="15"/>
  <c r="M17" i="15" s="1"/>
  <c r="L13" i="15"/>
  <c r="L17" i="15" s="1"/>
  <c r="K13" i="15"/>
  <c r="K17" i="15" s="1"/>
  <c r="J13" i="15"/>
  <c r="J17" i="15" s="1"/>
  <c r="AB13" i="16"/>
  <c r="AC13" i="16"/>
  <c r="AD13" i="16"/>
  <c r="AE13" i="16"/>
  <c r="AF13" i="16"/>
  <c r="AG13" i="16"/>
  <c r="AH13" i="16"/>
  <c r="AI13" i="16"/>
  <c r="AJ13" i="16"/>
  <c r="AK13" i="16"/>
  <c r="AL13" i="16"/>
  <c r="AM13" i="16"/>
  <c r="AN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H13" i="16"/>
  <c r="G13" i="16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42" i="16"/>
  <c r="E2" i="16" s="1"/>
  <c r="F42" i="16"/>
  <c r="F2" i="16" s="1"/>
  <c r="G42" i="16"/>
  <c r="G2" i="16" s="1"/>
  <c r="H42" i="16"/>
  <c r="H2" i="16" s="1"/>
  <c r="I42" i="16"/>
  <c r="I2" i="16" s="1"/>
  <c r="J42" i="16"/>
  <c r="J2" i="16" s="1"/>
  <c r="K42" i="16"/>
  <c r="K2" i="16" s="1"/>
  <c r="L42" i="16"/>
  <c r="L2" i="16" s="1"/>
  <c r="M42" i="16"/>
  <c r="M2" i="16" s="1"/>
  <c r="N42" i="16"/>
  <c r="N2" i="16" s="1"/>
  <c r="O42" i="16"/>
  <c r="O2" i="16" s="1"/>
  <c r="P42" i="16"/>
  <c r="P2" i="16" s="1"/>
  <c r="Q42" i="16"/>
  <c r="Q2" i="16" s="1"/>
  <c r="R42" i="16"/>
  <c r="R2" i="16" s="1"/>
  <c r="S42" i="16"/>
  <c r="S2" i="16" s="1"/>
  <c r="T42" i="16"/>
  <c r="U42" i="16"/>
  <c r="U2" i="16" s="1"/>
  <c r="V42" i="16"/>
  <c r="V2" i="16" s="1"/>
  <c r="W42" i="16"/>
  <c r="W2" i="16" s="1"/>
  <c r="X42" i="16"/>
  <c r="X2" i="16" s="1"/>
  <c r="Y42" i="16"/>
  <c r="Y2" i="16" s="1"/>
  <c r="Z42" i="16"/>
  <c r="Z2" i="16" s="1"/>
  <c r="AA42" i="16"/>
  <c r="AA2" i="16" s="1"/>
  <c r="AB42" i="16"/>
  <c r="AB2" i="16" s="1"/>
  <c r="AC42" i="16"/>
  <c r="AC2" i="16" s="1"/>
  <c r="AD42" i="16"/>
  <c r="AD2" i="16" s="1"/>
  <c r="AE42" i="16"/>
  <c r="AE2" i="16" s="1"/>
  <c r="AF42" i="16"/>
  <c r="AF2" i="16" s="1"/>
  <c r="AG42" i="16"/>
  <c r="AG2" i="16" s="1"/>
  <c r="AH42" i="16"/>
  <c r="AH2" i="16" s="1"/>
  <c r="AI42" i="16"/>
  <c r="AI2" i="16" s="1"/>
  <c r="AJ42" i="16"/>
  <c r="AJ2" i="16" s="1"/>
  <c r="AK42" i="16"/>
  <c r="AK2" i="16" s="1"/>
  <c r="AL42" i="16"/>
  <c r="AL2" i="16" s="1"/>
  <c r="AM42" i="16"/>
  <c r="AM2" i="16" s="1"/>
  <c r="AN42" i="16"/>
  <c r="AN2" i="16" s="1"/>
  <c r="E43" i="16"/>
  <c r="E3" i="16" s="1"/>
  <c r="F43" i="16"/>
  <c r="F3" i="16" s="1"/>
  <c r="G43" i="16"/>
  <c r="G3" i="16" s="1"/>
  <c r="H43" i="16"/>
  <c r="H3" i="16" s="1"/>
  <c r="I43" i="16"/>
  <c r="I3" i="16" s="1"/>
  <c r="J43" i="16"/>
  <c r="J3" i="16" s="1"/>
  <c r="K43" i="16"/>
  <c r="K3" i="16" s="1"/>
  <c r="L43" i="16"/>
  <c r="L3" i="16" s="1"/>
  <c r="M43" i="16"/>
  <c r="M3" i="16" s="1"/>
  <c r="N43" i="16"/>
  <c r="N3" i="16" s="1"/>
  <c r="O43" i="16"/>
  <c r="O3" i="16" s="1"/>
  <c r="P43" i="16"/>
  <c r="P3" i="16" s="1"/>
  <c r="Q43" i="16"/>
  <c r="Q3" i="16" s="1"/>
  <c r="R43" i="16"/>
  <c r="R3" i="16" s="1"/>
  <c r="S43" i="16"/>
  <c r="S3" i="16" s="1"/>
  <c r="T43" i="16"/>
  <c r="T3" i="16" s="1"/>
  <c r="U43" i="16"/>
  <c r="U3" i="16" s="1"/>
  <c r="V43" i="16"/>
  <c r="V3" i="16" s="1"/>
  <c r="W43" i="16"/>
  <c r="W3" i="16" s="1"/>
  <c r="X43" i="16"/>
  <c r="X3" i="16" s="1"/>
  <c r="Y43" i="16"/>
  <c r="Y3" i="16" s="1"/>
  <c r="Z43" i="16"/>
  <c r="Z3" i="16" s="1"/>
  <c r="AA43" i="16"/>
  <c r="AA3" i="16" s="1"/>
  <c r="AB43" i="16"/>
  <c r="AB3" i="16" s="1"/>
  <c r="AC43" i="16"/>
  <c r="AC3" i="16" s="1"/>
  <c r="AD43" i="16"/>
  <c r="AD3" i="16" s="1"/>
  <c r="AE43" i="16"/>
  <c r="AE3" i="16" s="1"/>
  <c r="AF43" i="16"/>
  <c r="AF3" i="16" s="1"/>
  <c r="AG43" i="16"/>
  <c r="AG3" i="16" s="1"/>
  <c r="AH43" i="16"/>
  <c r="AH3" i="16" s="1"/>
  <c r="AI43" i="16"/>
  <c r="AI3" i="16" s="1"/>
  <c r="AJ43" i="16"/>
  <c r="AJ3" i="16" s="1"/>
  <c r="AK43" i="16"/>
  <c r="AK3" i="16" s="1"/>
  <c r="AL43" i="16"/>
  <c r="AL3" i="16" s="1"/>
  <c r="AM43" i="16"/>
  <c r="AM3" i="16" s="1"/>
  <c r="AN43" i="16"/>
  <c r="AN3" i="16" s="1"/>
  <c r="E44" i="16"/>
  <c r="E4" i="16" s="1"/>
  <c r="F44" i="16"/>
  <c r="F4" i="16" s="1"/>
  <c r="G44" i="16"/>
  <c r="G4" i="16" s="1"/>
  <c r="H44" i="16"/>
  <c r="H4" i="16" s="1"/>
  <c r="I44" i="16"/>
  <c r="I4" i="16" s="1"/>
  <c r="J44" i="16"/>
  <c r="J4" i="16" s="1"/>
  <c r="K44" i="16"/>
  <c r="K4" i="16" s="1"/>
  <c r="L44" i="16"/>
  <c r="L4" i="16" s="1"/>
  <c r="M44" i="16"/>
  <c r="M4" i="16" s="1"/>
  <c r="N44" i="16"/>
  <c r="N4" i="16" s="1"/>
  <c r="O44" i="16"/>
  <c r="O4" i="16" s="1"/>
  <c r="P44" i="16"/>
  <c r="P4" i="16" s="1"/>
  <c r="Q44" i="16"/>
  <c r="Q4" i="16" s="1"/>
  <c r="R44" i="16"/>
  <c r="R4" i="16" s="1"/>
  <c r="S44" i="16"/>
  <c r="S4" i="16" s="1"/>
  <c r="T44" i="16"/>
  <c r="T4" i="16" s="1"/>
  <c r="U44" i="16"/>
  <c r="U4" i="16" s="1"/>
  <c r="V44" i="16"/>
  <c r="V4" i="16" s="1"/>
  <c r="W44" i="16"/>
  <c r="W4" i="16" s="1"/>
  <c r="X44" i="16"/>
  <c r="X4" i="16" s="1"/>
  <c r="Y44" i="16"/>
  <c r="Y4" i="16" s="1"/>
  <c r="Z44" i="16"/>
  <c r="Z4" i="16" s="1"/>
  <c r="AA44" i="16"/>
  <c r="AA4" i="16" s="1"/>
  <c r="AB44" i="16"/>
  <c r="AB4" i="16" s="1"/>
  <c r="AC44" i="16"/>
  <c r="AC4" i="16" s="1"/>
  <c r="AD44" i="16"/>
  <c r="AD4" i="16" s="1"/>
  <c r="AE44" i="16"/>
  <c r="AE4" i="16" s="1"/>
  <c r="AF44" i="16"/>
  <c r="AF4" i="16" s="1"/>
  <c r="AG44" i="16"/>
  <c r="AG4" i="16" s="1"/>
  <c r="AH44" i="16"/>
  <c r="AH4" i="16" s="1"/>
  <c r="AI44" i="16"/>
  <c r="AI4" i="16" s="1"/>
  <c r="AJ44" i="16"/>
  <c r="AJ4" i="16" s="1"/>
  <c r="AK44" i="16"/>
  <c r="AK4" i="16" s="1"/>
  <c r="AL44" i="16"/>
  <c r="AL4" i="16" s="1"/>
  <c r="AM44" i="16"/>
  <c r="AM4" i="16" s="1"/>
  <c r="AN44" i="16"/>
  <c r="AN4" i="16" s="1"/>
  <c r="E45" i="16"/>
  <c r="E5" i="16" s="1"/>
  <c r="F45" i="16"/>
  <c r="F5" i="16" s="1"/>
  <c r="G45" i="16"/>
  <c r="G5" i="16" s="1"/>
  <c r="H45" i="16"/>
  <c r="H5" i="16" s="1"/>
  <c r="I45" i="16"/>
  <c r="I5" i="16" s="1"/>
  <c r="J45" i="16"/>
  <c r="J5" i="16" s="1"/>
  <c r="K45" i="16"/>
  <c r="K5" i="16" s="1"/>
  <c r="L45" i="16"/>
  <c r="L5" i="16" s="1"/>
  <c r="M45" i="16"/>
  <c r="M5" i="16" s="1"/>
  <c r="N45" i="16"/>
  <c r="N5" i="16" s="1"/>
  <c r="O45" i="16"/>
  <c r="O5" i="16" s="1"/>
  <c r="P45" i="16"/>
  <c r="P5" i="16" s="1"/>
  <c r="Q45" i="16"/>
  <c r="Q5" i="16" s="1"/>
  <c r="R45" i="16"/>
  <c r="R5" i="16" s="1"/>
  <c r="S45" i="16"/>
  <c r="S5" i="16" s="1"/>
  <c r="T45" i="16"/>
  <c r="T5" i="16" s="1"/>
  <c r="U45" i="16"/>
  <c r="U5" i="16" s="1"/>
  <c r="V45" i="16"/>
  <c r="V5" i="16" s="1"/>
  <c r="W45" i="16"/>
  <c r="W5" i="16" s="1"/>
  <c r="X45" i="16"/>
  <c r="X5" i="16" s="1"/>
  <c r="Y45" i="16"/>
  <c r="Y5" i="16" s="1"/>
  <c r="Z45" i="16"/>
  <c r="Z5" i="16" s="1"/>
  <c r="AA45" i="16"/>
  <c r="AA5" i="16" s="1"/>
  <c r="AB45" i="16"/>
  <c r="AB5" i="16" s="1"/>
  <c r="AC45" i="16"/>
  <c r="AC5" i="16" s="1"/>
  <c r="AD45" i="16"/>
  <c r="AD5" i="16" s="1"/>
  <c r="AE45" i="16"/>
  <c r="AE5" i="16" s="1"/>
  <c r="AF45" i="16"/>
  <c r="AF5" i="16" s="1"/>
  <c r="AG45" i="16"/>
  <c r="AG5" i="16" s="1"/>
  <c r="AH45" i="16"/>
  <c r="AH5" i="16" s="1"/>
  <c r="AI45" i="16"/>
  <c r="AI5" i="16" s="1"/>
  <c r="AJ45" i="16"/>
  <c r="AJ5" i="16" s="1"/>
  <c r="AK45" i="16"/>
  <c r="AK5" i="16" s="1"/>
  <c r="AL45" i="16"/>
  <c r="AL5" i="16" s="1"/>
  <c r="AM45" i="16"/>
  <c r="AM5" i="16" s="1"/>
  <c r="AN45" i="16"/>
  <c r="AN5" i="16" s="1"/>
  <c r="E47" i="16"/>
  <c r="E7" i="16" s="1"/>
  <c r="F47" i="16"/>
  <c r="F7" i="16" s="1"/>
  <c r="G47" i="16"/>
  <c r="G7" i="16" s="1"/>
  <c r="H47" i="16"/>
  <c r="H7" i="16" s="1"/>
  <c r="I47" i="16"/>
  <c r="I7" i="16" s="1"/>
  <c r="J47" i="16"/>
  <c r="J7" i="16" s="1"/>
  <c r="K47" i="16"/>
  <c r="K7" i="16" s="1"/>
  <c r="L47" i="16"/>
  <c r="L7" i="16" s="1"/>
  <c r="M47" i="16"/>
  <c r="M7" i="16" s="1"/>
  <c r="N47" i="16"/>
  <c r="O47" i="16"/>
  <c r="O7" i="16" s="1"/>
  <c r="P47" i="16"/>
  <c r="P7" i="16" s="1"/>
  <c r="Q47" i="16"/>
  <c r="Q7" i="16" s="1"/>
  <c r="R47" i="16"/>
  <c r="R7" i="16" s="1"/>
  <c r="S47" i="16"/>
  <c r="S7" i="16" s="1"/>
  <c r="T47" i="16"/>
  <c r="T7" i="16" s="1"/>
  <c r="U47" i="16"/>
  <c r="U7" i="16" s="1"/>
  <c r="V47" i="16"/>
  <c r="V7" i="16" s="1"/>
  <c r="W47" i="16"/>
  <c r="W7" i="16" s="1"/>
  <c r="X47" i="16"/>
  <c r="X7" i="16" s="1"/>
  <c r="Y47" i="16"/>
  <c r="Y7" i="16" s="1"/>
  <c r="Z47" i="16"/>
  <c r="Z7" i="16" s="1"/>
  <c r="AA47" i="16"/>
  <c r="AA7" i="16" s="1"/>
  <c r="AB47" i="16"/>
  <c r="AB7" i="16" s="1"/>
  <c r="AC47" i="16"/>
  <c r="AC7" i="16" s="1"/>
  <c r="AD47" i="16"/>
  <c r="AD7" i="16" s="1"/>
  <c r="AE47" i="16"/>
  <c r="AE7" i="16" s="1"/>
  <c r="AF47" i="16"/>
  <c r="AF7" i="16" s="1"/>
  <c r="AG47" i="16"/>
  <c r="AG7" i="16" s="1"/>
  <c r="AH47" i="16"/>
  <c r="AH7" i="16" s="1"/>
  <c r="AI47" i="16"/>
  <c r="AI7" i="16" s="1"/>
  <c r="AJ47" i="16"/>
  <c r="AJ7" i="16" s="1"/>
  <c r="AK47" i="16"/>
  <c r="AK7" i="16" s="1"/>
  <c r="AL47" i="16"/>
  <c r="AM47" i="16"/>
  <c r="AM7" i="16" s="1"/>
  <c r="AN47" i="16"/>
  <c r="AN7" i="16" s="1"/>
  <c r="E48" i="16"/>
  <c r="E8" i="16" s="1"/>
  <c r="F48" i="16"/>
  <c r="F8" i="16" s="1"/>
  <c r="G48" i="16"/>
  <c r="G8" i="16" s="1"/>
  <c r="H48" i="16"/>
  <c r="H8" i="16" s="1"/>
  <c r="I48" i="16"/>
  <c r="I8" i="16" s="1"/>
  <c r="J48" i="16"/>
  <c r="J8" i="16" s="1"/>
  <c r="K48" i="16"/>
  <c r="K8" i="16" s="1"/>
  <c r="L48" i="16"/>
  <c r="L8" i="16" s="1"/>
  <c r="M48" i="16"/>
  <c r="M8" i="16" s="1"/>
  <c r="N48" i="16"/>
  <c r="N8" i="16" s="1"/>
  <c r="O48" i="16"/>
  <c r="O8" i="16" s="1"/>
  <c r="P48" i="16"/>
  <c r="P8" i="16" s="1"/>
  <c r="Q48" i="16"/>
  <c r="Q8" i="16" s="1"/>
  <c r="R48" i="16"/>
  <c r="R8" i="16" s="1"/>
  <c r="S48" i="16"/>
  <c r="S8" i="16" s="1"/>
  <c r="T48" i="16"/>
  <c r="T8" i="16" s="1"/>
  <c r="U48" i="16"/>
  <c r="U8" i="16" s="1"/>
  <c r="V48" i="16"/>
  <c r="V8" i="16" s="1"/>
  <c r="W48" i="16"/>
  <c r="W8" i="16" s="1"/>
  <c r="X48" i="16"/>
  <c r="X8" i="16" s="1"/>
  <c r="Y48" i="16"/>
  <c r="Y8" i="16" s="1"/>
  <c r="Z48" i="16"/>
  <c r="AA48" i="16"/>
  <c r="AA8" i="16" s="1"/>
  <c r="AB48" i="16"/>
  <c r="AB8" i="16" s="1"/>
  <c r="AC48" i="16"/>
  <c r="AC8" i="16" s="1"/>
  <c r="AD48" i="16"/>
  <c r="AD8" i="16" s="1"/>
  <c r="AE48" i="16"/>
  <c r="AE8" i="16" s="1"/>
  <c r="AF48" i="16"/>
  <c r="AF8" i="16" s="1"/>
  <c r="AG48" i="16"/>
  <c r="AG8" i="16" s="1"/>
  <c r="AH48" i="16"/>
  <c r="AH8" i="16" s="1"/>
  <c r="AI48" i="16"/>
  <c r="AI8" i="16" s="1"/>
  <c r="AJ48" i="16"/>
  <c r="AJ8" i="16" s="1"/>
  <c r="AK48" i="16"/>
  <c r="AK8" i="16" s="1"/>
  <c r="AL48" i="16"/>
  <c r="AL8" i="16" s="1"/>
  <c r="AM48" i="16"/>
  <c r="AM8" i="16" s="1"/>
  <c r="AN48" i="16"/>
  <c r="AN8" i="16" s="1"/>
  <c r="C42" i="16"/>
  <c r="D42" i="16"/>
  <c r="D2" i="16" s="1"/>
  <c r="C43" i="16"/>
  <c r="C3" i="16" s="1"/>
  <c r="D43" i="16"/>
  <c r="D3" i="16" s="1"/>
  <c r="C44" i="16"/>
  <c r="C4" i="16" s="1"/>
  <c r="D44" i="16"/>
  <c r="D4" i="16" s="1"/>
  <c r="C45" i="16"/>
  <c r="C5" i="16" s="1"/>
  <c r="D45" i="16"/>
  <c r="D5" i="16" s="1"/>
  <c r="C46" i="16"/>
  <c r="D46" i="16"/>
  <c r="C47" i="16"/>
  <c r="C7" i="16" s="1"/>
  <c r="D47" i="16"/>
  <c r="D7" i="16" s="1"/>
  <c r="C48" i="16"/>
  <c r="C8" i="16" s="1"/>
  <c r="D48" i="16"/>
  <c r="D8" i="16" s="1"/>
  <c r="B43" i="16"/>
  <c r="B3" i="16" s="1"/>
  <c r="B44" i="16"/>
  <c r="B4" i="16" s="1"/>
  <c r="B45" i="16"/>
  <c r="B5" i="16" s="1"/>
  <c r="B46" i="16"/>
  <c r="B47" i="16"/>
  <c r="B7" i="16" s="1"/>
  <c r="B48" i="16"/>
  <c r="B8" i="16" s="1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F88" i="18"/>
  <c r="F97" i="18" s="1"/>
  <c r="F100" i="18" s="1"/>
  <c r="G88" i="18"/>
  <c r="G97" i="18" s="1"/>
  <c r="H88" i="18"/>
  <c r="H97" i="18" s="1"/>
  <c r="I88" i="18"/>
  <c r="I97" i="18" s="1"/>
  <c r="J88" i="18"/>
  <c r="J97" i="18" s="1"/>
  <c r="K88" i="18"/>
  <c r="K97" i="18" s="1"/>
  <c r="L88" i="18"/>
  <c r="L97" i="18" s="1"/>
  <c r="M88" i="18"/>
  <c r="M97" i="18" s="1"/>
  <c r="N88" i="18"/>
  <c r="N97" i="18" s="1"/>
  <c r="O88" i="18"/>
  <c r="O97" i="18" s="1"/>
  <c r="P88" i="18"/>
  <c r="P97" i="18" s="1"/>
  <c r="Q88" i="18"/>
  <c r="Q97" i="18" s="1"/>
  <c r="R88" i="18"/>
  <c r="R97" i="18" s="1"/>
  <c r="S88" i="18"/>
  <c r="S97" i="18" s="1"/>
  <c r="T88" i="18"/>
  <c r="T97" i="18" s="1"/>
  <c r="T46" i="16" s="1"/>
  <c r="U88" i="18"/>
  <c r="U97" i="18" s="1"/>
  <c r="V88" i="18"/>
  <c r="V97" i="18" s="1"/>
  <c r="V100" i="18" s="1"/>
  <c r="W88" i="18"/>
  <c r="W97" i="18" s="1"/>
  <c r="X88" i="18"/>
  <c r="X97" i="18" s="1"/>
  <c r="X100" i="18" s="1"/>
  <c r="Y88" i="18"/>
  <c r="Y97" i="18" s="1"/>
  <c r="Z88" i="18"/>
  <c r="Z97" i="18" s="1"/>
  <c r="Z46" i="16" s="1"/>
  <c r="AA88" i="18"/>
  <c r="AA97" i="18" s="1"/>
  <c r="AB88" i="18"/>
  <c r="AB97" i="18" s="1"/>
  <c r="AC88" i="18"/>
  <c r="AC97" i="18" s="1"/>
  <c r="AD88" i="18"/>
  <c r="AD97" i="18" s="1"/>
  <c r="AE88" i="18"/>
  <c r="AE97" i="18" s="1"/>
  <c r="AF88" i="18"/>
  <c r="AF97" i="18" s="1"/>
  <c r="AG88" i="18"/>
  <c r="AG97" i="18" s="1"/>
  <c r="AH88" i="18"/>
  <c r="AH97" i="18" s="1"/>
  <c r="AI88" i="18"/>
  <c r="AI97" i="18" s="1"/>
  <c r="AJ88" i="18"/>
  <c r="AJ97" i="18" s="1"/>
  <c r="AJ100" i="18" s="1"/>
  <c r="AK88" i="18"/>
  <c r="AK97" i="18" s="1"/>
  <c r="AL88" i="18"/>
  <c r="AL97" i="18" s="1"/>
  <c r="AL46" i="16" s="1"/>
  <c r="AM88" i="18"/>
  <c r="AM97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K171" i="9"/>
  <c r="K170" i="9"/>
  <c r="K168" i="9"/>
  <c r="K167" i="9"/>
  <c r="K169" i="9"/>
  <c r="K165" i="9"/>
  <c r="K163" i="9"/>
  <c r="K162" i="9"/>
  <c r="K159" i="9"/>
  <c r="K178" i="9"/>
  <c r="K148" i="9"/>
  <c r="K149" i="9"/>
  <c r="K150" i="9"/>
  <c r="K151" i="9"/>
  <c r="K152" i="9"/>
  <c r="K153" i="9"/>
  <c r="K154" i="9"/>
  <c r="K155" i="9"/>
  <c r="K158" i="9"/>
  <c r="K160" i="9"/>
  <c r="K161" i="9"/>
  <c r="K164" i="9"/>
  <c r="K166" i="9"/>
  <c r="K176" i="9"/>
  <c r="K177" i="9"/>
  <c r="K179" i="9"/>
  <c r="K180" i="9"/>
  <c r="K147" i="9"/>
  <c r="AF62" i="8"/>
  <c r="AD62" i="8" s="1"/>
  <c r="AJ62" i="8" s="1"/>
  <c r="AR62" i="8"/>
  <c r="AQ62" i="8" s="1"/>
  <c r="AM62" i="8"/>
  <c r="X62" i="8"/>
  <c r="V62" i="8"/>
  <c r="O62" i="8"/>
  <c r="J62" i="8"/>
  <c r="AR4" i="8"/>
  <c r="AQ4" i="8" s="1"/>
  <c r="AR5" i="8"/>
  <c r="AQ5" i="8" s="1"/>
  <c r="AR6" i="8"/>
  <c r="AR7" i="8"/>
  <c r="AQ7" i="8" s="1"/>
  <c r="AR8" i="8"/>
  <c r="AQ8" i="8" s="1"/>
  <c r="AQ54" i="8"/>
  <c r="AR13" i="8"/>
  <c r="AQ61" i="8"/>
  <c r="AM61" i="8"/>
  <c r="AF61" i="8"/>
  <c r="AD61" i="8" s="1"/>
  <c r="AJ61" i="8" s="1"/>
  <c r="X61" i="8"/>
  <c r="V61" i="8"/>
  <c r="O61" i="8"/>
  <c r="J61" i="8"/>
  <c r="AQ56" i="8"/>
  <c r="AM56" i="8"/>
  <c r="AF56" i="8"/>
  <c r="AD56" i="8" s="1"/>
  <c r="AJ56" i="8" s="1"/>
  <c r="L40" i="9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N33" i="31" s="1"/>
  <c r="AF11" i="8"/>
  <c r="AD11" i="8" s="1"/>
  <c r="AJ11" i="8" s="1"/>
  <c r="AM11" i="8"/>
  <c r="H33" i="31" s="1"/>
  <c r="AQ11" i="8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AM57" i="8"/>
  <c r="AQ57" i="8"/>
  <c r="AM58" i="8"/>
  <c r="AQ58" i="8"/>
  <c r="AF58" i="8"/>
  <c r="AD58" i="8" s="1"/>
  <c r="AJ58" i="8" s="1"/>
  <c r="AF57" i="8"/>
  <c r="AD57" i="8" s="1"/>
  <c r="AJ57" i="8" s="1"/>
  <c r="K4" i="9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AF55" i="8"/>
  <c r="AD55" i="8" s="1"/>
  <c r="AJ55" i="8" s="1"/>
  <c r="AF9" i="8"/>
  <c r="AD9" i="8" s="1"/>
  <c r="AJ9" i="8" s="1"/>
  <c r="AS18" i="8"/>
  <c r="AS19" i="8"/>
  <c r="AS17" i="8"/>
  <c r="AR18" i="8"/>
  <c r="AQ18" i="8" s="1"/>
  <c r="AR19" i="8"/>
  <c r="AQ19" i="8" s="1"/>
  <c r="AR17" i="8"/>
  <c r="AQ17" i="8" s="1"/>
  <c r="AF17" i="8"/>
  <c r="AD17" i="8" s="1"/>
  <c r="AJ17" i="8" s="1"/>
  <c r="AF18" i="8"/>
  <c r="AD18" i="8" s="1"/>
  <c r="AJ18" i="8" s="1"/>
  <c r="AF19" i="8"/>
  <c r="AD19" i="8" s="1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B42" i="16"/>
  <c r="B2" i="16" s="1"/>
  <c r="AU146" i="4"/>
  <c r="AU147" i="4"/>
  <c r="AU148" i="4"/>
  <c r="AU150" i="4"/>
  <c r="AU149" i="4"/>
  <c r="AU151" i="4"/>
  <c r="AU152" i="4"/>
  <c r="AZ152" i="4"/>
  <c r="AY152" i="4"/>
  <c r="AK152" i="4"/>
  <c r="AJ152" i="4"/>
  <c r="AP152" i="4" s="1"/>
  <c r="AF152" i="4"/>
  <c r="Y152" i="4"/>
  <c r="R152" i="4"/>
  <c r="Q152" i="4" s="1"/>
  <c r="AZ151" i="4"/>
  <c r="AY151" i="4"/>
  <c r="AK151" i="4"/>
  <c r="AJ151" i="4"/>
  <c r="AP151" i="4" s="1"/>
  <c r="AR151" i="4" s="1"/>
  <c r="AF151" i="4"/>
  <c r="Y151" i="4"/>
  <c r="R151" i="4"/>
  <c r="Q151" i="4" s="1"/>
  <c r="AZ149" i="4"/>
  <c r="AY149" i="4"/>
  <c r="AK149" i="4"/>
  <c r="AJ149" i="4"/>
  <c r="AP149" i="4" s="1"/>
  <c r="AR149" i="4" s="1"/>
  <c r="AF149" i="4"/>
  <c r="Y149" i="4"/>
  <c r="R149" i="4"/>
  <c r="Q149" i="4" s="1"/>
  <c r="AZ150" i="4"/>
  <c r="AY150" i="4"/>
  <c r="AK150" i="4"/>
  <c r="AJ150" i="4"/>
  <c r="AP150" i="4" s="1"/>
  <c r="AR150" i="4" s="1"/>
  <c r="AF150" i="4"/>
  <c r="Y150" i="4"/>
  <c r="R150" i="4"/>
  <c r="Q150" i="4" s="1"/>
  <c r="AZ148" i="4"/>
  <c r="AY148" i="4"/>
  <c r="AK148" i="4"/>
  <c r="AJ148" i="4"/>
  <c r="AP148" i="4" s="1"/>
  <c r="AR148" i="4" s="1"/>
  <c r="AF148" i="4"/>
  <c r="Y148" i="4"/>
  <c r="X148" i="4" s="1"/>
  <c r="R148" i="4"/>
  <c r="S148" i="4" s="1"/>
  <c r="AZ147" i="4"/>
  <c r="AY147" i="4"/>
  <c r="AK147" i="4"/>
  <c r="AJ147" i="4"/>
  <c r="AP147" i="4" s="1"/>
  <c r="AF147" i="4"/>
  <c r="Y147" i="4"/>
  <c r="X147" i="4" s="1"/>
  <c r="R147" i="4"/>
  <c r="AZ146" i="4"/>
  <c r="AY146" i="4"/>
  <c r="AK146" i="4"/>
  <c r="AJ146" i="4"/>
  <c r="AP146" i="4" s="1"/>
  <c r="AR146" i="4" s="1"/>
  <c r="AF146" i="4"/>
  <c r="Y146" i="4"/>
  <c r="X146" i="4" s="1"/>
  <c r="R146" i="4"/>
  <c r="Q146" i="4" s="1"/>
  <c r="AF20" i="4"/>
  <c r="AF11" i="4"/>
  <c r="AF12" i="4"/>
  <c r="AF13" i="4"/>
  <c r="AF16" i="4"/>
  <c r="AF22" i="4"/>
  <c r="AF54" i="8"/>
  <c r="AD54" i="8" s="1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141" i="12"/>
  <c r="A276" i="12" s="1"/>
  <c r="A411" i="12" s="1"/>
  <c r="A546" i="12" s="1"/>
  <c r="A142" i="12"/>
  <c r="A277" i="12" s="1"/>
  <c r="A412" i="12" s="1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144" i="12"/>
  <c r="A279" i="12" s="1"/>
  <c r="A414" i="12" s="1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 s="1"/>
  <c r="A147" i="12"/>
  <c r="A282" i="12" s="1"/>
  <c r="A417" i="12" s="1"/>
  <c r="A552" i="12" s="1"/>
  <c r="A687" i="12" s="1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2307" i="12" s="1"/>
  <c r="A2442" i="12" s="1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A148" i="12"/>
  <c r="A283" i="12" s="1"/>
  <c r="A418" i="12" s="1"/>
  <c r="A553" i="12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/>
  <c r="A419" i="12" s="1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2174" i="12" s="1"/>
  <c r="A2309" i="12" s="1"/>
  <c r="A2444" i="12" s="1"/>
  <c r="A2579" i="12" s="1"/>
  <c r="A2714" i="12" s="1"/>
  <c r="A2849" i="12" s="1"/>
  <c r="A2984" i="12" s="1"/>
  <c r="A3119" i="12" s="1"/>
  <c r="A3254" i="12" s="1"/>
  <c r="A150" i="12"/>
  <c r="A151" i="12"/>
  <c r="A286" i="12" s="1"/>
  <c r="A421" i="12" s="1"/>
  <c r="A556" i="12" s="1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 s="1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154" i="12"/>
  <c r="A289" i="12" s="1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 s="1"/>
  <c r="A156" i="12"/>
  <c r="A291" i="12" s="1"/>
  <c r="A426" i="12" s="1"/>
  <c r="A561" i="12" s="1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 s="1"/>
  <c r="A562" i="12" s="1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 s="1"/>
  <c r="A428" i="12" s="1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/>
  <c r="A429" i="12" s="1"/>
  <c r="A564" i="12" s="1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 s="1"/>
  <c r="A430" i="12" s="1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 s="1"/>
  <c r="A432" i="12" s="1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 s="1"/>
  <c r="A568" i="12" s="1"/>
  <c r="A703" i="12" s="1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 s="1"/>
  <c r="A434" i="12" s="1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 s="1"/>
  <c r="A166" i="12"/>
  <c r="A301" i="12" s="1"/>
  <c r="A436" i="12" s="1"/>
  <c r="A571" i="12" s="1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 s="1"/>
  <c r="A573" i="12" s="1"/>
  <c r="A708" i="12" s="1"/>
  <c r="A843" i="12" s="1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 s="1"/>
  <c r="A439" i="12" s="1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171" i="12"/>
  <c r="A306" i="12" s="1"/>
  <c r="A441" i="12" s="1"/>
  <c r="A576" i="12" s="1"/>
  <c r="A711" i="12" s="1"/>
  <c r="A846" i="12" s="1"/>
  <c r="A981" i="12" s="1"/>
  <c r="A1116" i="12" s="1"/>
  <c r="A172" i="12"/>
  <c r="A307" i="12" s="1"/>
  <c r="A442" i="12" s="1"/>
  <c r="A577" i="12" s="1"/>
  <c r="A712" i="12" s="1"/>
  <c r="A847" i="12" s="1"/>
  <c r="A982" i="12" s="1"/>
  <c r="A173" i="12"/>
  <c r="A308" i="12" s="1"/>
  <c r="A443" i="12" s="1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 s="1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5" i="12"/>
  <c r="A310" i="12" s="1"/>
  <c r="A445" i="12"/>
  <c r="A580" i="12" s="1"/>
  <c r="A715" i="12" s="1"/>
  <c r="A850" i="12" s="1"/>
  <c r="A985" i="12" s="1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 s="1"/>
  <c r="A447" i="12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 s="1"/>
  <c r="A449" i="12" s="1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 s="1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316" i="12" s="1"/>
  <c r="A451" i="12" s="1"/>
  <c r="A586" i="12" s="1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182" i="12"/>
  <c r="A317" i="12" s="1"/>
  <c r="A452" i="12" s="1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 s="1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 s="1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 s="1"/>
  <c r="A455" i="12" s="1"/>
  <c r="A590" i="12" s="1"/>
  <c r="A725" i="12" s="1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 s="1"/>
  <c r="A456" i="12" s="1"/>
  <c r="A591" i="12" s="1"/>
  <c r="A726" i="12" s="1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 s="1"/>
  <c r="A728" i="12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324" i="12" s="1"/>
  <c r="A459" i="12" s="1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190" i="12"/>
  <c r="A325" i="12" s="1"/>
  <c r="A460" i="12" s="1"/>
  <c r="A595" i="12" s="1"/>
  <c r="A730" i="12" s="1"/>
  <c r="A865" i="12" s="1"/>
  <c r="A1000" i="12" s="1"/>
  <c r="A1135" i="12" s="1"/>
  <c r="A1270" i="12" s="1"/>
  <c r="A1405" i="12" s="1"/>
  <c r="A1540" i="12" s="1"/>
  <c r="A1675" i="12" s="1"/>
  <c r="A1810" i="12" s="1"/>
  <c r="A1945" i="12" s="1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A191" i="12"/>
  <c r="A326" i="12" s="1"/>
  <c r="A461" i="12" s="1"/>
  <c r="A192" i="12"/>
  <c r="A327" i="12" s="1"/>
  <c r="A462" i="12" s="1"/>
  <c r="A597" i="12" s="1"/>
  <c r="A732" i="12" s="1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 s="1"/>
  <c r="A464" i="12" s="1"/>
  <c r="A599" i="12" s="1"/>
  <c r="A734" i="12" s="1"/>
  <c r="A869" i="12" s="1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 s="1"/>
  <c r="A466" i="12" s="1"/>
  <c r="A601" i="12" s="1"/>
  <c r="A736" i="12" s="1"/>
  <c r="A871" i="12" s="1"/>
  <c r="A1006" i="12" s="1"/>
  <c r="A1141" i="12" s="1"/>
  <c r="A1276" i="12" s="1"/>
  <c r="A1411" i="12" s="1"/>
  <c r="A1546" i="12" s="1"/>
  <c r="A1681" i="12" s="1"/>
  <c r="A1816" i="12" s="1"/>
  <c r="A1951" i="12" s="1"/>
  <c r="A197" i="12"/>
  <c r="A332" i="12" s="1"/>
  <c r="A467" i="12" s="1"/>
  <c r="A602" i="12" s="1"/>
  <c r="A737" i="12" s="1"/>
  <c r="A872" i="12" s="1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 s="1"/>
  <c r="A468" i="12" s="1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/>
  <c r="A469" i="12" s="1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201" i="12"/>
  <c r="A336" i="12" s="1"/>
  <c r="A471" i="12" s="1"/>
  <c r="A606" i="12" s="1"/>
  <c r="A741" i="12" s="1"/>
  <c r="A876" i="12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 s="1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/>
  <c r="A473" i="12" s="1"/>
  <c r="A608" i="12" s="1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 s="1"/>
  <c r="A474" i="12" s="1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 s="1"/>
  <c r="A475" i="12" s="1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 s="1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 s="1"/>
  <c r="A477" i="12" s="1"/>
  <c r="A612" i="12" s="1"/>
  <c r="A747" i="12" s="1"/>
  <c r="A882" i="12" s="1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637" i="12" s="1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08" i="12"/>
  <c r="A343" i="12" s="1"/>
  <c r="A478" i="12" s="1"/>
  <c r="A613" i="12" s="1"/>
  <c r="A209" i="12"/>
  <c r="A344" i="12" s="1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/>
  <c r="A480" i="12" s="1"/>
  <c r="A615" i="12" s="1"/>
  <c r="A750" i="12" s="1"/>
  <c r="A885" i="12" s="1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346" i="12" s="1"/>
  <c r="A481" i="12" s="1"/>
  <c r="A616" i="12" s="1"/>
  <c r="A751" i="12" s="1"/>
  <c r="A886" i="12" s="1"/>
  <c r="A1021" i="12" s="1"/>
  <c r="A1156" i="12" s="1"/>
  <c r="A1291" i="12" s="1"/>
  <c r="A1426" i="12" s="1"/>
  <c r="A1561" i="12" s="1"/>
  <c r="A1696" i="12" s="1"/>
  <c r="A1831" i="12" s="1"/>
  <c r="A1966" i="12" s="1"/>
  <c r="A2101" i="12" s="1"/>
  <c r="A2236" i="12" s="1"/>
  <c r="A2371" i="12" s="1"/>
  <c r="A2506" i="12" s="1"/>
  <c r="A212" i="12"/>
  <c r="A347" i="12" s="1"/>
  <c r="A482" i="12" s="1"/>
  <c r="A617" i="12" s="1"/>
  <c r="A752" i="12" s="1"/>
  <c r="A887" i="12" s="1"/>
  <c r="A1022" i="12" s="1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213" i="12"/>
  <c r="A348" i="12" s="1"/>
  <c r="A483" i="12" s="1"/>
  <c r="A618" i="12" s="1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/>
  <c r="A215" i="12"/>
  <c r="A350" i="12" s="1"/>
  <c r="A485" i="12" s="1"/>
  <c r="A620" i="12"/>
  <c r="A755" i="12" s="1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 s="1"/>
  <c r="A486" i="12" s="1"/>
  <c r="A621" i="12" s="1"/>
  <c r="A217" i="12"/>
  <c r="A352" i="12" s="1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354" i="12" s="1"/>
  <c r="A489" i="12" s="1"/>
  <c r="A220" i="12"/>
  <c r="A355" i="12" s="1"/>
  <c r="A490" i="12"/>
  <c r="A625" i="12" s="1"/>
  <c r="A760" i="12" s="1"/>
  <c r="A895" i="12" s="1"/>
  <c r="A1030" i="12" s="1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356" i="12" s="1"/>
  <c r="A491" i="12" s="1"/>
  <c r="A626" i="12" s="1"/>
  <c r="A761" i="12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 s="1"/>
  <c r="A627" i="12" s="1"/>
  <c r="A762" i="12" s="1"/>
  <c r="A897" i="12" s="1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 s="1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 s="1"/>
  <c r="A764" i="12" s="1"/>
  <c r="A899" i="12" s="1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 s="1"/>
  <c r="A495" i="12" s="1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 s="1"/>
  <c r="A497" i="12" s="1"/>
  <c r="A632" i="12" s="1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 s="1"/>
  <c r="A498" i="12" s="1"/>
  <c r="A633" i="12" s="1"/>
  <c r="A768" i="12" s="1"/>
  <c r="A903" i="12" s="1"/>
  <c r="A1038" i="12" s="1"/>
  <c r="A1173" i="12" s="1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A229" i="12"/>
  <c r="A364" i="12" s="1"/>
  <c r="A499" i="12" s="1"/>
  <c r="A634" i="12" s="1"/>
  <c r="A769" i="12" s="1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 s="1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232" i="12"/>
  <c r="A367" i="12" s="1"/>
  <c r="A502" i="12" s="1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 s="1"/>
  <c r="A638" i="12" s="1"/>
  <c r="A773" i="12" s="1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235" i="12"/>
  <c r="A370" i="12" s="1"/>
  <c r="A236" i="12"/>
  <c r="A371" i="12" s="1"/>
  <c r="A506" i="12" s="1"/>
  <c r="A641" i="12" s="1"/>
  <c r="A776" i="12" s="1"/>
  <c r="A911" i="12" s="1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801" i="12" s="1"/>
  <c r="A2936" i="12" s="1"/>
  <c r="A3071" i="12" s="1"/>
  <c r="A3206" i="12" s="1"/>
  <c r="A3341" i="12" s="1"/>
  <c r="A3476" i="12" s="1"/>
  <c r="A3611" i="12" s="1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A237" i="12"/>
  <c r="A372" i="12" s="1"/>
  <c r="A507" i="12" s="1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 s="1"/>
  <c r="A508" i="12" s="1"/>
  <c r="A643" i="12" s="1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 s="1"/>
  <c r="A509" i="12" s="1"/>
  <c r="A644" i="12" s="1"/>
  <c r="A779" i="12" s="1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241" i="12"/>
  <c r="A376" i="12" s="1"/>
  <c r="A511" i="12" s="1"/>
  <c r="A646" i="12" s="1"/>
  <c r="A781" i="12" s="1"/>
  <c r="A916" i="12" s="1"/>
  <c r="A1051" i="12" s="1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 s="1"/>
  <c r="A512" i="12" s="1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 s="1"/>
  <c r="A513" i="12" s="1"/>
  <c r="A244" i="12"/>
  <c r="A379" i="12" s="1"/>
  <c r="A514" i="12" s="1"/>
  <c r="A649" i="12" s="1"/>
  <c r="A245" i="12"/>
  <c r="A380" i="12" s="1"/>
  <c r="A515" i="12" s="1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 s="1"/>
  <c r="A516" i="12" s="1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 s="1"/>
  <c r="A517" i="12" s="1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249" i="12"/>
  <c r="A384" i="12" s="1"/>
  <c r="A519" i="12" s="1"/>
  <c r="A654" i="12" s="1"/>
  <c r="A789" i="12" s="1"/>
  <c r="A924" i="12" s="1"/>
  <c r="A1059" i="12" s="1"/>
  <c r="A1194" i="12" s="1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250" i="12"/>
  <c r="A385" i="12" s="1"/>
  <c r="A251" i="12"/>
  <c r="A386" i="12" s="1"/>
  <c r="A252" i="12"/>
  <c r="A387" i="12" s="1"/>
  <c r="A522" i="12" s="1"/>
  <c r="A657" i="12" s="1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253" i="12"/>
  <c r="A388" i="12" s="1"/>
  <c r="A523" i="12" s="1"/>
  <c r="A658" i="12" s="1"/>
  <c r="A793" i="12" s="1"/>
  <c r="A928" i="12" s="1"/>
  <c r="A1063" i="12" s="1"/>
  <c r="A1198" i="12" s="1"/>
  <c r="A1333" i="12" s="1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 s="1"/>
  <c r="A524" i="12" s="1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 s="1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 s="1"/>
  <c r="A526" i="12" s="1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 s="1"/>
  <c r="A527" i="12" s="1"/>
  <c r="A662" i="12" s="1"/>
  <c r="A797" i="12" s="1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393" i="12" s="1"/>
  <c r="A528" i="12" s="1"/>
  <c r="A663" i="12" s="1"/>
  <c r="A798" i="12" s="1"/>
  <c r="A933" i="12" s="1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259" i="12"/>
  <c r="A394" i="12" s="1"/>
  <c r="A529" i="12" s="1"/>
  <c r="A664" i="12" s="1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 s="1"/>
  <c r="A530" i="12" s="1"/>
  <c r="A665" i="12" s="1"/>
  <c r="A800" i="12" s="1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61" i="12"/>
  <c r="A262" i="12"/>
  <c r="A397" i="12" s="1"/>
  <c r="A532" i="12" s="1"/>
  <c r="A667" i="12" s="1"/>
  <c r="A802" i="12" s="1"/>
  <c r="A937" i="12" s="1"/>
  <c r="A1072" i="12" s="1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 s="1"/>
  <c r="A533" i="12" s="1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 s="1"/>
  <c r="A669" i="12" s="1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 s="1"/>
  <c r="A670" i="12" s="1"/>
  <c r="A805" i="12" s="1"/>
  <c r="A940" i="12" s="1"/>
  <c r="A1075" i="12" s="1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 s="1"/>
  <c r="A536" i="12" s="1"/>
  <c r="A671" i="12" s="1"/>
  <c r="A806" i="12" s="1"/>
  <c r="A941" i="12" s="1"/>
  <c r="A1076" i="12" s="1"/>
  <c r="A1211" i="12" s="1"/>
  <c r="A1346" i="12" s="1"/>
  <c r="A1481" i="12" s="1"/>
  <c r="A1616" i="12" s="1"/>
  <c r="A1751" i="12" s="1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 s="1"/>
  <c r="A537" i="12" s="1"/>
  <c r="A672" i="12" s="1"/>
  <c r="A807" i="12" s="1"/>
  <c r="A942" i="12" s="1"/>
  <c r="A1077" i="12" s="1"/>
  <c r="A1212" i="12" s="1"/>
  <c r="A1347" i="12" s="1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 s="1"/>
  <c r="A538" i="12" s="1"/>
  <c r="A673" i="12" s="1"/>
  <c r="A808" i="12" s="1"/>
  <c r="A943" i="12" s="1"/>
  <c r="A1078" i="12" s="1"/>
  <c r="A1213" i="12" s="1"/>
  <c r="A1348" i="12" s="1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 s="1"/>
  <c r="A539" i="12" s="1"/>
  <c r="A674" i="12" s="1"/>
  <c r="A809" i="12" s="1"/>
  <c r="A944" i="12" s="1"/>
  <c r="A1079" i="12" s="1"/>
  <c r="A1214" i="12" s="1"/>
  <c r="A1349" i="12" s="1"/>
  <c r="A1484" i="12" s="1"/>
  <c r="A1619" i="12" s="1"/>
  <c r="A270" i="12"/>
  <c r="A405" i="12" s="1"/>
  <c r="A540" i="12" s="1"/>
  <c r="A675" i="12" s="1"/>
  <c r="A810" i="12" s="1"/>
  <c r="A945" i="12" s="1"/>
  <c r="A1080" i="12" s="1"/>
  <c r="A1215" i="12" s="1"/>
  <c r="A1350" i="12" s="1"/>
  <c r="A1485" i="12" s="1"/>
  <c r="A1620" i="12" s="1"/>
  <c r="A1755" i="12" s="1"/>
  <c r="A271" i="12"/>
  <c r="A406" i="12" s="1"/>
  <c r="A541" i="12" s="1"/>
  <c r="A676" i="12" s="1"/>
  <c r="A811" i="12" s="1"/>
  <c r="A946" i="12" s="1"/>
  <c r="A1081" i="12" s="1"/>
  <c r="A1216" i="12" s="1"/>
  <c r="A1351" i="12" s="1"/>
  <c r="A1486" i="12" s="1"/>
  <c r="A1621" i="12" s="1"/>
  <c r="A1756" i="12" s="1"/>
  <c r="A1891" i="12" s="1"/>
  <c r="A2026" i="12" s="1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624" i="12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69" i="12"/>
  <c r="A138" i="12"/>
  <c r="A273" i="12" s="1"/>
  <c r="A408" i="12" s="1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 s="1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/>
  <c r="A137" i="12"/>
  <c r="A272" i="12" s="1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135" i="12"/>
  <c r="B136" i="12"/>
  <c r="B271" i="12" s="1"/>
  <c r="B406" i="12" s="1"/>
  <c r="B541" i="12" s="1"/>
  <c r="B676" i="12" s="1"/>
  <c r="B811" i="12" s="1"/>
  <c r="B946" i="12" s="1"/>
  <c r="B1081" i="12" s="1"/>
  <c r="B1216" i="12" s="1"/>
  <c r="B1351" i="12" s="1"/>
  <c r="B1486" i="12" s="1"/>
  <c r="B1621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N1277" i="7" s="1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N1172" i="7" s="1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N1100" i="7" s="1"/>
  <c r="Q1099" i="7"/>
  <c r="P1099" i="7"/>
  <c r="Q1098" i="7"/>
  <c r="P1098" i="7"/>
  <c r="Q1096" i="7"/>
  <c r="P1096" i="7"/>
  <c r="Q1095" i="7"/>
  <c r="P1095" i="7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I1121" i="7" s="1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I1031" i="7" s="1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I1601" i="7" s="1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B109" i="6"/>
  <c r="A109" i="6"/>
  <c r="B107" i="6"/>
  <c r="A107" i="6"/>
  <c r="B105" i="6"/>
  <c r="A105" i="6"/>
  <c r="B98" i="6"/>
  <c r="B99" i="6" s="1"/>
  <c r="B100" i="6" s="1"/>
  <c r="A98" i="6"/>
  <c r="A99" i="6" s="1"/>
  <c r="A100" i="6" s="1"/>
  <c r="B96" i="6"/>
  <c r="A96" i="6"/>
  <c r="B93" i="6"/>
  <c r="A93" i="6"/>
  <c r="B84" i="6"/>
  <c r="B85" i="6" s="1"/>
  <c r="A84" i="6"/>
  <c r="A85" i="6" s="1"/>
  <c r="B76" i="6"/>
  <c r="A76" i="6"/>
  <c r="B74" i="6"/>
  <c r="A74" i="6"/>
  <c r="B70" i="6"/>
  <c r="A70" i="6"/>
  <c r="B63" i="6"/>
  <c r="B64" i="6" s="1"/>
  <c r="A63" i="6"/>
  <c r="A64" i="6" s="1"/>
  <c r="B56" i="6"/>
  <c r="B57" i="6" s="1"/>
  <c r="A56" i="6"/>
  <c r="A57" i="6" s="1"/>
  <c r="B44" i="6"/>
  <c r="A44" i="6"/>
  <c r="B39" i="6"/>
  <c r="A39" i="6"/>
  <c r="B32" i="6"/>
  <c r="B33" i="6" s="1"/>
  <c r="B34" i="6" s="1"/>
  <c r="B35" i="6" s="1"/>
  <c r="B36" i="6" s="1"/>
  <c r="A32" i="6"/>
  <c r="A33" i="6" s="1"/>
  <c r="A34" i="6" s="1"/>
  <c r="A35" i="6" s="1"/>
  <c r="A36" i="6" s="1"/>
  <c r="B28" i="6"/>
  <c r="B29" i="6" s="1"/>
  <c r="B30" i="6" s="1"/>
  <c r="A28" i="6"/>
  <c r="A29" i="6" s="1"/>
  <c r="A30" i="6" s="1"/>
  <c r="B25" i="6"/>
  <c r="A25" i="6"/>
  <c r="B22" i="6"/>
  <c r="A22" i="6"/>
  <c r="B17" i="6"/>
  <c r="B18" i="6" s="1"/>
  <c r="B19" i="6" s="1"/>
  <c r="A17" i="6"/>
  <c r="A18" i="6" s="1"/>
  <c r="A19" i="6" s="1"/>
  <c r="A20" i="6" s="1"/>
  <c r="B12" i="6"/>
  <c r="B13" i="6" s="1"/>
  <c r="B14" i="6" s="1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V40" i="8"/>
  <c r="C2" i="9"/>
  <c r="G2" i="9" s="1"/>
  <c r="M2" i="9"/>
  <c r="L2" i="9"/>
  <c r="B20" i="15"/>
  <c r="AF24" i="15" s="1"/>
  <c r="I2" i="9"/>
  <c r="S212" i="28"/>
  <c r="Y212" i="28" s="1"/>
  <c r="S213" i="28"/>
  <c r="S214" i="28"/>
  <c r="Y214" i="28" s="1"/>
  <c r="S215" i="28"/>
  <c r="S216" i="28"/>
  <c r="Y216" i="28" s="1"/>
  <c r="S217" i="28"/>
  <c r="Y217" i="28" s="1"/>
  <c r="S218" i="28"/>
  <c r="Y218" i="28" s="1"/>
  <c r="S2" i="28"/>
  <c r="U318" i="28"/>
  <c r="S318" i="28"/>
  <c r="Y318" i="28" s="1"/>
  <c r="D318" i="28"/>
  <c r="B318" i="28" s="1"/>
  <c r="U317" i="28"/>
  <c r="S317" i="28"/>
  <c r="Y317" i="28"/>
  <c r="D317" i="28"/>
  <c r="B317" i="28" s="1"/>
  <c r="U316" i="28"/>
  <c r="S316" i="28"/>
  <c r="D316" i="28"/>
  <c r="B316" i="28" s="1"/>
  <c r="U315" i="28"/>
  <c r="S315" i="28"/>
  <c r="D315" i="28"/>
  <c r="B315" i="28"/>
  <c r="U314" i="28"/>
  <c r="S314" i="28"/>
  <c r="Y314" i="28" s="1"/>
  <c r="D314" i="28"/>
  <c r="B314" i="28" s="1"/>
  <c r="U313" i="28"/>
  <c r="S313" i="28"/>
  <c r="Y313" i="28" s="1"/>
  <c r="D313" i="28"/>
  <c r="B313" i="28" s="1"/>
  <c r="U312" i="28"/>
  <c r="S312" i="28"/>
  <c r="D312" i="28"/>
  <c r="B312" i="28" s="1"/>
  <c r="U311" i="28"/>
  <c r="S311" i="28"/>
  <c r="Y311" i="28" s="1"/>
  <c r="D311" i="28"/>
  <c r="B311" i="28" s="1"/>
  <c r="U310" i="28"/>
  <c r="S310" i="28"/>
  <c r="Y310" i="28" s="1"/>
  <c r="D310" i="28"/>
  <c r="B310" i="28" s="1"/>
  <c r="U309" i="28"/>
  <c r="S309" i="28"/>
  <c r="Y309" i="28" s="1"/>
  <c r="D309" i="28"/>
  <c r="B309" i="28" s="1"/>
  <c r="U308" i="28"/>
  <c r="S308" i="28"/>
  <c r="Y308" i="28" s="1"/>
  <c r="D308" i="28"/>
  <c r="B308" i="28" s="1"/>
  <c r="U307" i="28"/>
  <c r="S307" i="28"/>
  <c r="Y307" i="28" s="1"/>
  <c r="D307" i="28"/>
  <c r="B307" i="28" s="1"/>
  <c r="U306" i="28"/>
  <c r="S306" i="28"/>
  <c r="Y306" i="28" s="1"/>
  <c r="D306" i="28"/>
  <c r="B306" i="28" s="1"/>
  <c r="U305" i="28"/>
  <c r="S305" i="28"/>
  <c r="Y305" i="28" s="1"/>
  <c r="D305" i="28"/>
  <c r="B305" i="28" s="1"/>
  <c r="U304" i="28"/>
  <c r="S304" i="28"/>
  <c r="Y304" i="28" s="1"/>
  <c r="D304" i="28"/>
  <c r="B304" i="28" s="1"/>
  <c r="U303" i="28"/>
  <c r="S303" i="28"/>
  <c r="Y303" i="28" s="1"/>
  <c r="D303" i="28"/>
  <c r="B303" i="28" s="1"/>
  <c r="U302" i="28"/>
  <c r="S302" i="28"/>
  <c r="D302" i="28"/>
  <c r="B302" i="28" s="1"/>
  <c r="U301" i="28"/>
  <c r="S301" i="28"/>
  <c r="Y301" i="28" s="1"/>
  <c r="D301" i="28"/>
  <c r="B301" i="28" s="1"/>
  <c r="U300" i="28"/>
  <c r="S300" i="28"/>
  <c r="Y300" i="28" s="1"/>
  <c r="D300" i="28"/>
  <c r="B300" i="28" s="1"/>
  <c r="U299" i="28"/>
  <c r="S299" i="28"/>
  <c r="Y299" i="28" s="1"/>
  <c r="D299" i="28"/>
  <c r="B299" i="28" s="1"/>
  <c r="U298" i="28"/>
  <c r="S298" i="28"/>
  <c r="Y298" i="28" s="1"/>
  <c r="D298" i="28"/>
  <c r="B298" i="28" s="1"/>
  <c r="U297" i="28"/>
  <c r="S297" i="28"/>
  <c r="Y297" i="28" s="1"/>
  <c r="D297" i="28"/>
  <c r="B297" i="28" s="1"/>
  <c r="U296" i="28"/>
  <c r="S296" i="28"/>
  <c r="D296" i="28"/>
  <c r="B296" i="28" s="1"/>
  <c r="U295" i="28"/>
  <c r="S295" i="28"/>
  <c r="D295" i="28"/>
  <c r="B295" i="28" s="1"/>
  <c r="U294" i="28"/>
  <c r="S294" i="28"/>
  <c r="Y294" i="28" s="1"/>
  <c r="D294" i="28"/>
  <c r="B294" i="28" s="1"/>
  <c r="U293" i="28"/>
  <c r="S293" i="28"/>
  <c r="Y293" i="28" s="1"/>
  <c r="D293" i="28"/>
  <c r="B293" i="28" s="1"/>
  <c r="U292" i="28"/>
  <c r="S292" i="28"/>
  <c r="Y292" i="28" s="1"/>
  <c r="D292" i="28"/>
  <c r="B292" i="28" s="1"/>
  <c r="U291" i="28"/>
  <c r="S291" i="28"/>
  <c r="Y291" i="28" s="1"/>
  <c r="D291" i="28"/>
  <c r="B291" i="28" s="1"/>
  <c r="U290" i="28"/>
  <c r="S290" i="28"/>
  <c r="Y290" i="28" s="1"/>
  <c r="D290" i="28"/>
  <c r="B290" i="28"/>
  <c r="U289" i="28"/>
  <c r="S289" i="28"/>
  <c r="D289" i="28"/>
  <c r="B289" i="28" s="1"/>
  <c r="U288" i="28"/>
  <c r="S288" i="28"/>
  <c r="Y288" i="28"/>
  <c r="D288" i="28"/>
  <c r="B288" i="28"/>
  <c r="U287" i="28"/>
  <c r="S287" i="28"/>
  <c r="Y287" i="28" s="1"/>
  <c r="D287" i="28"/>
  <c r="B287" i="28" s="1"/>
  <c r="U286" i="28"/>
  <c r="S286" i="28"/>
  <c r="Y286" i="28" s="1"/>
  <c r="D286" i="28"/>
  <c r="B286" i="28"/>
  <c r="U285" i="28"/>
  <c r="S285" i="28"/>
  <c r="D285" i="28"/>
  <c r="B285" i="28" s="1"/>
  <c r="U284" i="28"/>
  <c r="S284" i="28"/>
  <c r="Y284" i="28" s="1"/>
  <c r="D284" i="28"/>
  <c r="B284" i="28" s="1"/>
  <c r="U283" i="28"/>
  <c r="S283" i="28"/>
  <c r="Y283" i="28" s="1"/>
  <c r="D283" i="28"/>
  <c r="B283" i="28" s="1"/>
  <c r="U282" i="28"/>
  <c r="S282" i="28"/>
  <c r="Y282" i="28" s="1"/>
  <c r="D282" i="28"/>
  <c r="B282" i="28" s="1"/>
  <c r="U281" i="28"/>
  <c r="S281" i="28"/>
  <c r="Y281" i="28" s="1"/>
  <c r="D281" i="28"/>
  <c r="B281" i="28" s="1"/>
  <c r="U280" i="28"/>
  <c r="S280" i="28"/>
  <c r="Y280" i="28" s="1"/>
  <c r="D280" i="28"/>
  <c r="B280" i="28" s="1"/>
  <c r="U279" i="28"/>
  <c r="S279" i="28"/>
  <c r="Y279" i="28" s="1"/>
  <c r="D279" i="28"/>
  <c r="B279" i="28" s="1"/>
  <c r="U278" i="28"/>
  <c r="S278" i="28"/>
  <c r="D278" i="28"/>
  <c r="B278" i="28" s="1"/>
  <c r="U277" i="28"/>
  <c r="S277" i="28"/>
  <c r="Y277" i="28" s="1"/>
  <c r="D277" i="28"/>
  <c r="B277" i="28" s="1"/>
  <c r="U276" i="28"/>
  <c r="S276" i="28"/>
  <c r="D276" i="28"/>
  <c r="B276" i="28" s="1"/>
  <c r="AB275" i="28"/>
  <c r="U275" i="28"/>
  <c r="S275" i="28"/>
  <c r="Y275" i="28" s="1"/>
  <c r="D275" i="28"/>
  <c r="B275" i="28" s="1"/>
  <c r="U274" i="28"/>
  <c r="S274" i="28"/>
  <c r="Y274" i="28" s="1"/>
  <c r="D274" i="28"/>
  <c r="B274" i="28" s="1"/>
  <c r="U273" i="28"/>
  <c r="S273" i="28"/>
  <c r="D273" i="28"/>
  <c r="B273" i="28" s="1"/>
  <c r="U272" i="28"/>
  <c r="S272" i="28"/>
  <c r="Y272" i="28" s="1"/>
  <c r="D272" i="28"/>
  <c r="B272" i="28" s="1"/>
  <c r="U271" i="28"/>
  <c r="S271" i="28"/>
  <c r="Y271" i="28" s="1"/>
  <c r="D271" i="28"/>
  <c r="B271" i="28"/>
  <c r="U270" i="28"/>
  <c r="S270" i="28"/>
  <c r="Y270" i="28" s="1"/>
  <c r="D270" i="28"/>
  <c r="B270" i="28" s="1"/>
  <c r="U269" i="28"/>
  <c r="S269" i="28"/>
  <c r="D269" i="28"/>
  <c r="B269" i="28" s="1"/>
  <c r="U268" i="28"/>
  <c r="S268" i="28"/>
  <c r="Y268" i="28" s="1"/>
  <c r="D268" i="28"/>
  <c r="B268" i="28" s="1"/>
  <c r="U267" i="28"/>
  <c r="S267" i="28"/>
  <c r="Y267" i="28" s="1"/>
  <c r="D267" i="28"/>
  <c r="B267" i="28" s="1"/>
  <c r="U266" i="28"/>
  <c r="S266" i="28"/>
  <c r="Y266" i="28" s="1"/>
  <c r="D266" i="28"/>
  <c r="B266" i="28" s="1"/>
  <c r="U265" i="28"/>
  <c r="S265" i="28"/>
  <c r="Y265" i="28" s="1"/>
  <c r="D265" i="28"/>
  <c r="B265" i="28" s="1"/>
  <c r="U264" i="28"/>
  <c r="S264" i="28"/>
  <c r="D264" i="28"/>
  <c r="B264" i="28" s="1"/>
  <c r="U263" i="28"/>
  <c r="S263" i="28"/>
  <c r="Y263" i="28" s="1"/>
  <c r="D263" i="28"/>
  <c r="B263" i="28" s="1"/>
  <c r="U262" i="28"/>
  <c r="S262" i="28"/>
  <c r="Y262" i="28" s="1"/>
  <c r="D262" i="28"/>
  <c r="B262" i="28" s="1"/>
  <c r="U261" i="28"/>
  <c r="S261" i="28"/>
  <c r="Y261" i="28" s="1"/>
  <c r="D261" i="28"/>
  <c r="B261" i="28" s="1"/>
  <c r="U260" i="28"/>
  <c r="S260" i="28"/>
  <c r="Y260" i="28" s="1"/>
  <c r="D260" i="28"/>
  <c r="B260" i="28" s="1"/>
  <c r="U259" i="28"/>
  <c r="S259" i="28"/>
  <c r="Y259" i="28" s="1"/>
  <c r="D259" i="28"/>
  <c r="B259" i="28" s="1"/>
  <c r="U258" i="28"/>
  <c r="S258" i="28"/>
  <c r="D258" i="28"/>
  <c r="B258" i="28" s="1"/>
  <c r="U257" i="28"/>
  <c r="S257" i="28"/>
  <c r="Y257" i="28" s="1"/>
  <c r="D257" i="28"/>
  <c r="B257" i="28"/>
  <c r="U256" i="28"/>
  <c r="S256" i="28"/>
  <c r="Y256" i="28" s="1"/>
  <c r="D256" i="28"/>
  <c r="B256" i="28" s="1"/>
  <c r="U112" i="28"/>
  <c r="S112" i="28"/>
  <c r="Y112" i="28" s="1"/>
  <c r="D112" i="28"/>
  <c r="B112" i="28" s="1"/>
  <c r="U111" i="28"/>
  <c r="S111" i="28"/>
  <c r="Y111" i="28" s="1"/>
  <c r="D111" i="28"/>
  <c r="B111" i="28" s="1"/>
  <c r="U110" i="28"/>
  <c r="S110" i="28"/>
  <c r="Y110" i="28" s="1"/>
  <c r="D110" i="28"/>
  <c r="B110" i="28" s="1"/>
  <c r="U109" i="28"/>
  <c r="S109" i="28"/>
  <c r="Y109" i="28" s="1"/>
  <c r="D109" i="28"/>
  <c r="B109" i="28" s="1"/>
  <c r="U108" i="28"/>
  <c r="S108" i="28"/>
  <c r="D108" i="28"/>
  <c r="B108" i="28" s="1"/>
  <c r="U107" i="28"/>
  <c r="S107" i="28"/>
  <c r="Y107" i="28" s="1"/>
  <c r="D107" i="28"/>
  <c r="B107" i="28" s="1"/>
  <c r="U106" i="28"/>
  <c r="S106" i="28"/>
  <c r="Y106" i="28" s="1"/>
  <c r="D106" i="28"/>
  <c r="B106" i="28" s="1"/>
  <c r="U105" i="28"/>
  <c r="S105" i="28"/>
  <c r="Y105" i="28" s="1"/>
  <c r="D105" i="28"/>
  <c r="B105" i="28" s="1"/>
  <c r="U104" i="28"/>
  <c r="S104" i="28"/>
  <c r="Y104" i="28" s="1"/>
  <c r="D104" i="28"/>
  <c r="B104" i="28"/>
  <c r="U103" i="28"/>
  <c r="S103" i="28"/>
  <c r="Y103" i="28" s="1"/>
  <c r="D103" i="28"/>
  <c r="B103" i="28" s="1"/>
  <c r="U102" i="28"/>
  <c r="S102" i="28"/>
  <c r="Y102" i="28" s="1"/>
  <c r="D102" i="28"/>
  <c r="B102" i="28"/>
  <c r="U101" i="28"/>
  <c r="S101" i="28"/>
  <c r="D101" i="28"/>
  <c r="B101" i="28" s="1"/>
  <c r="U100" i="28"/>
  <c r="S100" i="28"/>
  <c r="Y100" i="28" s="1"/>
  <c r="D100" i="28"/>
  <c r="B100" i="28" s="1"/>
  <c r="U99" i="28"/>
  <c r="S99" i="28"/>
  <c r="D99" i="28"/>
  <c r="B99" i="28" s="1"/>
  <c r="U98" i="28"/>
  <c r="S98" i="28"/>
  <c r="Y98" i="28" s="1"/>
  <c r="D98" i="28"/>
  <c r="B98" i="28" s="1"/>
  <c r="U97" i="28"/>
  <c r="S97" i="28"/>
  <c r="D97" i="28"/>
  <c r="B97" i="28" s="1"/>
  <c r="U96" i="28"/>
  <c r="S96" i="28"/>
  <c r="D96" i="28"/>
  <c r="B96" i="28" s="1"/>
  <c r="U95" i="28"/>
  <c r="S95" i="28"/>
  <c r="Y95" i="28" s="1"/>
  <c r="D95" i="28"/>
  <c r="B95" i="28" s="1"/>
  <c r="U94" i="28"/>
  <c r="S94" i="28"/>
  <c r="Y94" i="28" s="1"/>
  <c r="D94" i="28"/>
  <c r="B94" i="28" s="1"/>
  <c r="U93" i="28"/>
  <c r="S93" i="28"/>
  <c r="Y93" i="28" s="1"/>
  <c r="D93" i="28"/>
  <c r="B93" i="28" s="1"/>
  <c r="U92" i="28"/>
  <c r="S92" i="28"/>
  <c r="Y92" i="28" s="1"/>
  <c r="D92" i="28"/>
  <c r="B92" i="28" s="1"/>
  <c r="U91" i="28"/>
  <c r="S91" i="28"/>
  <c r="Y91" i="28" s="1"/>
  <c r="D91" i="28"/>
  <c r="B91" i="28" s="1"/>
  <c r="U90" i="28"/>
  <c r="S90" i="28"/>
  <c r="Y90" i="28"/>
  <c r="D90" i="28"/>
  <c r="B90" i="28" s="1"/>
  <c r="U89" i="28"/>
  <c r="S89" i="28"/>
  <c r="Y89" i="28" s="1"/>
  <c r="D89" i="28"/>
  <c r="B89" i="28" s="1"/>
  <c r="U88" i="28"/>
  <c r="S88" i="28"/>
  <c r="Y88" i="28" s="1"/>
  <c r="D88" i="28"/>
  <c r="B88" i="28" s="1"/>
  <c r="U87" i="28"/>
  <c r="S87" i="28"/>
  <c r="Y87" i="28" s="1"/>
  <c r="D87" i="28"/>
  <c r="B87" i="28" s="1"/>
  <c r="U86" i="28"/>
  <c r="S86" i="28"/>
  <c r="D86" i="28"/>
  <c r="B86" i="28" s="1"/>
  <c r="U85" i="28"/>
  <c r="S85" i="28"/>
  <c r="Y85" i="28" s="1"/>
  <c r="D85" i="28"/>
  <c r="B85" i="28" s="1"/>
  <c r="U84" i="28"/>
  <c r="S84" i="28"/>
  <c r="Y84" i="28" s="1"/>
  <c r="D84" i="28"/>
  <c r="B84" i="28"/>
  <c r="U83" i="28"/>
  <c r="S83" i="28"/>
  <c r="D83" i="28"/>
  <c r="B83" i="28" s="1"/>
  <c r="U82" i="28"/>
  <c r="S82" i="28"/>
  <c r="Y82" i="28" s="1"/>
  <c r="D82" i="28"/>
  <c r="B82" i="28" s="1"/>
  <c r="U81" i="28"/>
  <c r="S81" i="28"/>
  <c r="Y81" i="28" s="1"/>
  <c r="D81" i="28"/>
  <c r="B81" i="28" s="1"/>
  <c r="U80" i="28"/>
  <c r="S80" i="28"/>
  <c r="Y80" i="28" s="1"/>
  <c r="D80" i="28"/>
  <c r="B80" i="28" s="1"/>
  <c r="U79" i="28"/>
  <c r="S79" i="28"/>
  <c r="Y79" i="28" s="1"/>
  <c r="D79" i="28"/>
  <c r="B79" i="28" s="1"/>
  <c r="U78" i="28"/>
  <c r="S78" i="28"/>
  <c r="D78" i="28"/>
  <c r="B78" i="28" s="1"/>
  <c r="U77" i="28"/>
  <c r="S77" i="28"/>
  <c r="Y77" i="28" s="1"/>
  <c r="D77" i="28"/>
  <c r="B77" i="28" s="1"/>
  <c r="U76" i="28"/>
  <c r="S76" i="28"/>
  <c r="D76" i="28"/>
  <c r="B76" i="28" s="1"/>
  <c r="U75" i="28"/>
  <c r="S75" i="28"/>
  <c r="Y75" i="28" s="1"/>
  <c r="D75" i="28"/>
  <c r="B75" i="28" s="1"/>
  <c r="U74" i="28"/>
  <c r="S74" i="28"/>
  <c r="Y74" i="28" s="1"/>
  <c r="D74" i="28"/>
  <c r="B74" i="28" s="1"/>
  <c r="U73" i="28"/>
  <c r="S73" i="28"/>
  <c r="Y73" i="28" s="1"/>
  <c r="D73" i="28"/>
  <c r="B73" i="28" s="1"/>
  <c r="U72" i="28"/>
  <c r="S72" i="28"/>
  <c r="Y72" i="28" s="1"/>
  <c r="D72" i="28"/>
  <c r="B72" i="28" s="1"/>
  <c r="U71" i="28"/>
  <c r="S71" i="28"/>
  <c r="Y71" i="28" s="1"/>
  <c r="D71" i="28"/>
  <c r="B71" i="28" s="1"/>
  <c r="U70" i="28"/>
  <c r="S70" i="28"/>
  <c r="Y70" i="28" s="1"/>
  <c r="D70" i="28"/>
  <c r="B70" i="28" s="1"/>
  <c r="U69" i="28"/>
  <c r="S69" i="28"/>
  <c r="Y69" i="28" s="1"/>
  <c r="D69" i="28"/>
  <c r="B69" i="28" s="1"/>
  <c r="U68" i="28"/>
  <c r="S68" i="28"/>
  <c r="Y68" i="28" s="1"/>
  <c r="D68" i="28"/>
  <c r="B68" i="28" s="1"/>
  <c r="U67" i="28"/>
  <c r="S67" i="28"/>
  <c r="Y67" i="28"/>
  <c r="D67" i="28"/>
  <c r="B67" i="28" s="1"/>
  <c r="U66" i="28"/>
  <c r="S66" i="28"/>
  <c r="Y66" i="28" s="1"/>
  <c r="D66" i="28"/>
  <c r="B66" i="28" s="1"/>
  <c r="U65" i="28"/>
  <c r="S65" i="28"/>
  <c r="Y65" i="28" s="1"/>
  <c r="D65" i="28"/>
  <c r="B65" i="28" s="1"/>
  <c r="U64" i="28"/>
  <c r="S64" i="28"/>
  <c r="D64" i="28"/>
  <c r="B64" i="28" s="1"/>
  <c r="U63" i="28"/>
  <c r="S63" i="28"/>
  <c r="Y63" i="28" s="1"/>
  <c r="D63" i="28"/>
  <c r="B63" i="28" s="1"/>
  <c r="U62" i="28"/>
  <c r="S62" i="28"/>
  <c r="Y62" i="28" s="1"/>
  <c r="D62" i="28"/>
  <c r="B62" i="28" s="1"/>
  <c r="U61" i="28"/>
  <c r="S61" i="28"/>
  <c r="Y61" i="28" s="1"/>
  <c r="D61" i="28"/>
  <c r="B61" i="28" s="1"/>
  <c r="U60" i="28"/>
  <c r="S60" i="28"/>
  <c r="D60" i="28"/>
  <c r="B60" i="28" s="1"/>
  <c r="U59" i="28"/>
  <c r="S59" i="28"/>
  <c r="Y59" i="28" s="1"/>
  <c r="D59" i="28"/>
  <c r="B59" i="28" s="1"/>
  <c r="U58" i="28"/>
  <c r="S58" i="28"/>
  <c r="Y58" i="28" s="1"/>
  <c r="D58" i="28"/>
  <c r="B58" i="28" s="1"/>
  <c r="U57" i="28"/>
  <c r="S57" i="28"/>
  <c r="Y57" i="28" s="1"/>
  <c r="D57" i="28"/>
  <c r="B57" i="28" s="1"/>
  <c r="U56" i="28"/>
  <c r="S56" i="28"/>
  <c r="D56" i="28"/>
  <c r="B56" i="28"/>
  <c r="U55" i="28"/>
  <c r="S55" i="28"/>
  <c r="Y55" i="28" s="1"/>
  <c r="D55" i="28"/>
  <c r="B55" i="28" s="1"/>
  <c r="U54" i="28"/>
  <c r="S54" i="28"/>
  <c r="Y54" i="28" s="1"/>
  <c r="D54" i="28"/>
  <c r="B54" i="28" s="1"/>
  <c r="U53" i="28"/>
  <c r="S53" i="28"/>
  <c r="Y53" i="28" s="1"/>
  <c r="D53" i="28"/>
  <c r="B53" i="28" s="1"/>
  <c r="U52" i="28"/>
  <c r="S52" i="28"/>
  <c r="Y52" i="28" s="1"/>
  <c r="D52" i="28"/>
  <c r="B52" i="28" s="1"/>
  <c r="U51" i="28"/>
  <c r="S51" i="28"/>
  <c r="Y51" i="28" s="1"/>
  <c r="D51" i="28"/>
  <c r="B51" i="28" s="1"/>
  <c r="U50" i="28"/>
  <c r="S50" i="28"/>
  <c r="Y50" i="28" s="1"/>
  <c r="D50" i="28"/>
  <c r="B50" i="28" s="1"/>
  <c r="U49" i="28"/>
  <c r="S49" i="28"/>
  <c r="Y49" i="28" s="1"/>
  <c r="D49" i="28"/>
  <c r="B49" i="28" s="1"/>
  <c r="U48" i="28"/>
  <c r="S48" i="28"/>
  <c r="D48" i="28"/>
  <c r="B48" i="28" s="1"/>
  <c r="U47" i="28"/>
  <c r="S47" i="28"/>
  <c r="D47" i="28"/>
  <c r="B47" i="28" s="1"/>
  <c r="U46" i="28"/>
  <c r="S46" i="28"/>
  <c r="Y46" i="28" s="1"/>
  <c r="D46" i="28"/>
  <c r="B46" i="28" s="1"/>
  <c r="U45" i="28"/>
  <c r="S45" i="28"/>
  <c r="Y45" i="28" s="1"/>
  <c r="D45" i="28"/>
  <c r="B45" i="28" s="1"/>
  <c r="U44" i="28"/>
  <c r="S44" i="28"/>
  <c r="Y44" i="28" s="1"/>
  <c r="D44" i="28"/>
  <c r="B44" i="28" s="1"/>
  <c r="U43" i="28"/>
  <c r="S43" i="28"/>
  <c r="Y43" i="28" s="1"/>
  <c r="D43" i="28"/>
  <c r="B43" i="28" s="1"/>
  <c r="U42" i="28"/>
  <c r="S42" i="28"/>
  <c r="Y42" i="28" s="1"/>
  <c r="D42" i="28"/>
  <c r="B42" i="28" s="1"/>
  <c r="U41" i="28"/>
  <c r="S41" i="28"/>
  <c r="Y41" i="28" s="1"/>
  <c r="D41" i="28"/>
  <c r="B41" i="28" s="1"/>
  <c r="U40" i="28"/>
  <c r="S40" i="28"/>
  <c r="Y40" i="28" s="1"/>
  <c r="D40" i="28"/>
  <c r="B40" i="28" s="1"/>
  <c r="U39" i="28"/>
  <c r="S39" i="28"/>
  <c r="Y39" i="28" s="1"/>
  <c r="D39" i="28"/>
  <c r="B39" i="28" s="1"/>
  <c r="U38" i="28"/>
  <c r="S38" i="28"/>
  <c r="Y38" i="28" s="1"/>
  <c r="D38" i="28"/>
  <c r="B38" i="28" s="1"/>
  <c r="U37" i="28"/>
  <c r="S37" i="28"/>
  <c r="D37" i="28"/>
  <c r="B37" i="28" s="1"/>
  <c r="U36" i="28"/>
  <c r="S36" i="28"/>
  <c r="Y36" i="28" s="1"/>
  <c r="D36" i="28"/>
  <c r="B36" i="28" s="1"/>
  <c r="U35" i="28"/>
  <c r="S35" i="28"/>
  <c r="Y35" i="28" s="1"/>
  <c r="D35" i="28"/>
  <c r="B35" i="28" s="1"/>
  <c r="U34" i="28"/>
  <c r="S34" i="28"/>
  <c r="Y34" i="28" s="1"/>
  <c r="D34" i="28"/>
  <c r="B34" i="28" s="1"/>
  <c r="U33" i="28"/>
  <c r="S33" i="28"/>
  <c r="Y33" i="28" s="1"/>
  <c r="D33" i="28"/>
  <c r="B33" i="28"/>
  <c r="U32" i="28"/>
  <c r="S32" i="28"/>
  <c r="Y32" i="28" s="1"/>
  <c r="D32" i="28"/>
  <c r="B32" i="28" s="1"/>
  <c r="U31" i="28"/>
  <c r="S31" i="28"/>
  <c r="Y31" i="28" s="1"/>
  <c r="D31" i="28"/>
  <c r="B31" i="28" s="1"/>
  <c r="U30" i="28"/>
  <c r="S30" i="28"/>
  <c r="Y30" i="28" s="1"/>
  <c r="D30" i="28"/>
  <c r="B30" i="28" s="1"/>
  <c r="Y96" i="28"/>
  <c r="Y86" i="28"/>
  <c r="Y315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 s="1"/>
  <c r="AJ13" i="8" s="1"/>
  <c r="AK13" i="8" s="1"/>
  <c r="X13" i="8"/>
  <c r="N31" i="31" s="1"/>
  <c r="O13" i="8"/>
  <c r="J13" i="8"/>
  <c r="J3" i="33"/>
  <c r="J4" i="33"/>
  <c r="J5" i="33"/>
  <c r="J6" i="33"/>
  <c r="J7" i="33"/>
  <c r="J8" i="33"/>
  <c r="J9" i="33"/>
  <c r="J10" i="33"/>
  <c r="J11" i="33"/>
  <c r="J12" i="33"/>
  <c r="J13" i="33"/>
  <c r="J14" i="33"/>
  <c r="J15" i="33"/>
  <c r="J16" i="33"/>
  <c r="J17" i="33"/>
  <c r="J18" i="33"/>
  <c r="J19" i="33"/>
  <c r="J20" i="33"/>
  <c r="J21" i="33"/>
  <c r="J22" i="33"/>
  <c r="J23" i="33"/>
  <c r="J24" i="33"/>
  <c r="J25" i="33"/>
  <c r="J26" i="33"/>
  <c r="J27" i="33"/>
  <c r="J28" i="33"/>
  <c r="J29" i="33"/>
  <c r="J30" i="33"/>
  <c r="J31" i="33"/>
  <c r="J32" i="33"/>
  <c r="J33" i="33"/>
  <c r="J34" i="33"/>
  <c r="J35" i="33"/>
  <c r="J36" i="33"/>
  <c r="J37" i="33"/>
  <c r="J38" i="33"/>
  <c r="J39" i="33"/>
  <c r="J40" i="33"/>
  <c r="AS20" i="8"/>
  <c r="AQ33" i="8"/>
  <c r="AF134" i="4"/>
  <c r="AF133" i="4"/>
  <c r="AF132" i="4"/>
  <c r="AF131" i="4"/>
  <c r="AF130" i="4"/>
  <c r="AF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X4" i="11"/>
  <c r="AS79" i="4" s="1"/>
  <c r="X5" i="11"/>
  <c r="X6" i="11"/>
  <c r="X7" i="11"/>
  <c r="X8" i="11"/>
  <c r="X9" i="11"/>
  <c r="X10" i="11"/>
  <c r="X11" i="11"/>
  <c r="X12" i="11"/>
  <c r="X13" i="11"/>
  <c r="X14" i="11"/>
  <c r="X2" i="11"/>
  <c r="AS83" i="4"/>
  <c r="AS113" i="4"/>
  <c r="AS185" i="4"/>
  <c r="AS46" i="4"/>
  <c r="AS80" i="4"/>
  <c r="AS14" i="4"/>
  <c r="AS210" i="4"/>
  <c r="AS117" i="4"/>
  <c r="AS191" i="4"/>
  <c r="AS9" i="4"/>
  <c r="AS177" i="4"/>
  <c r="AS120" i="4"/>
  <c r="AS55" i="4"/>
  <c r="AS214" i="4"/>
  <c r="AQ31" i="8"/>
  <c r="AM31" i="8"/>
  <c r="AF31" i="8"/>
  <c r="AD31" i="8" s="1"/>
  <c r="AJ31" i="8" s="1"/>
  <c r="X31" i="8"/>
  <c r="AQ30" i="8"/>
  <c r="AM30" i="8"/>
  <c r="AF30" i="8"/>
  <c r="AD30" i="8" s="1"/>
  <c r="AJ30" i="8" s="1"/>
  <c r="AK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266" i="12" s="1"/>
  <c r="B401" i="12" s="1"/>
  <c r="B536" i="12" s="1"/>
  <c r="B671" i="12" s="1"/>
  <c r="B132" i="12"/>
  <c r="B133" i="12"/>
  <c r="B268" i="12" s="1"/>
  <c r="B403" i="12" s="1"/>
  <c r="B538" i="12" s="1"/>
  <c r="B119" i="12"/>
  <c r="B254" i="12" s="1"/>
  <c r="B120" i="12"/>
  <c r="B255" i="12" s="1"/>
  <c r="B121" i="12"/>
  <c r="B122" i="12"/>
  <c r="B123" i="12"/>
  <c r="B258" i="12" s="1"/>
  <c r="B393" i="12" s="1"/>
  <c r="B528" i="12" s="1"/>
  <c r="B663" i="12" s="1"/>
  <c r="B798" i="12" s="1"/>
  <c r="B933" i="12" s="1"/>
  <c r="B1068" i="12" s="1"/>
  <c r="B1203" i="12" s="1"/>
  <c r="B1338" i="12" s="1"/>
  <c r="B1473" i="12" s="1"/>
  <c r="B1608" i="12" s="1"/>
  <c r="B1743" i="12" s="1"/>
  <c r="B1878" i="12" s="1"/>
  <c r="B2013" i="12" s="1"/>
  <c r="B2148" i="12" s="1"/>
  <c r="B2283" i="12" s="1"/>
  <c r="B2418" i="12" s="1"/>
  <c r="B2553" i="12" s="1"/>
  <c r="B2688" i="12" s="1"/>
  <c r="B2823" i="12" s="1"/>
  <c r="B2958" i="12" s="1"/>
  <c r="B124" i="12"/>
  <c r="B125" i="12"/>
  <c r="B126" i="12"/>
  <c r="B261" i="12" s="1"/>
  <c r="B396" i="12" s="1"/>
  <c r="B531" i="12" s="1"/>
  <c r="B127" i="12"/>
  <c r="B262" i="12" s="1"/>
  <c r="B397" i="12" s="1"/>
  <c r="B532" i="12" s="1"/>
  <c r="B128" i="12"/>
  <c r="B263" i="12" s="1"/>
  <c r="B398" i="12" s="1"/>
  <c r="B533" i="12" s="1"/>
  <c r="B668" i="12" s="1"/>
  <c r="B803" i="12" s="1"/>
  <c r="B129" i="12"/>
  <c r="B130" i="12"/>
  <c r="B265" i="12" s="1"/>
  <c r="B400" i="12" s="1"/>
  <c r="B535" i="12" s="1"/>
  <c r="B670" i="12" s="1"/>
  <c r="B805" i="12" s="1"/>
  <c r="B940" i="12" s="1"/>
  <c r="B1075" i="12" s="1"/>
  <c r="B1210" i="12" s="1"/>
  <c r="B1345" i="12" s="1"/>
  <c r="B1480" i="12" s="1"/>
  <c r="AY130" i="4"/>
  <c r="AY134" i="4"/>
  <c r="AY133" i="4"/>
  <c r="AY132" i="4"/>
  <c r="AY131" i="4"/>
  <c r="AY137" i="4"/>
  <c r="AY136" i="4"/>
  <c r="AY135" i="4"/>
  <c r="AY139" i="4"/>
  <c r="AY138" i="4"/>
  <c r="AY141" i="4"/>
  <c r="AY140" i="4"/>
  <c r="AY145" i="4"/>
  <c r="AY144" i="4"/>
  <c r="AY143" i="4"/>
  <c r="AY142" i="4"/>
  <c r="AY129" i="4"/>
  <c r="AJ129" i="4"/>
  <c r="AP129" i="4" s="1"/>
  <c r="AT129" i="4" s="1"/>
  <c r="AK129" i="4"/>
  <c r="AK130" i="4"/>
  <c r="AK134" i="4"/>
  <c r="AK133" i="4"/>
  <c r="AK132" i="4"/>
  <c r="AK131" i="4"/>
  <c r="AK137" i="4"/>
  <c r="AK136" i="4"/>
  <c r="AK135" i="4"/>
  <c r="AK139" i="4"/>
  <c r="AK138" i="4"/>
  <c r="AK141" i="4"/>
  <c r="AK140" i="4"/>
  <c r="AK145" i="4"/>
  <c r="AK144" i="4"/>
  <c r="AK143" i="4"/>
  <c r="AK142" i="4"/>
  <c r="AL3" i="4"/>
  <c r="AK3" i="4" s="1"/>
  <c r="AL4" i="4"/>
  <c r="AK4" i="4" s="1"/>
  <c r="AL5" i="4"/>
  <c r="AK5" i="4" s="1"/>
  <c r="AL6" i="4"/>
  <c r="AK6" i="4" s="1"/>
  <c r="AL7" i="4"/>
  <c r="AK7" i="4" s="1"/>
  <c r="AL8" i="4"/>
  <c r="AK8" i="4" s="1"/>
  <c r="AL9" i="4"/>
  <c r="AK9" i="4" s="1"/>
  <c r="AL10" i="4"/>
  <c r="AK10" i="4" s="1"/>
  <c r="AL11" i="4"/>
  <c r="AK11" i="4" s="1"/>
  <c r="AL12" i="4"/>
  <c r="AK12" i="4" s="1"/>
  <c r="AL13" i="4"/>
  <c r="AK13" i="4" s="1"/>
  <c r="AL14" i="4"/>
  <c r="AK14" i="4" s="1"/>
  <c r="AL15" i="4"/>
  <c r="AK15" i="4" s="1"/>
  <c r="AL16" i="4"/>
  <c r="AK16" i="4" s="1"/>
  <c r="AL17" i="4"/>
  <c r="AK17" i="4" s="1"/>
  <c r="AL18" i="4"/>
  <c r="AK18" i="4" s="1"/>
  <c r="AL19" i="4"/>
  <c r="AK19" i="4" s="1"/>
  <c r="AL20" i="4"/>
  <c r="AK20" i="4" s="1"/>
  <c r="AL21" i="4"/>
  <c r="AK21" i="4" s="1"/>
  <c r="AL22" i="4"/>
  <c r="AK22" i="4" s="1"/>
  <c r="AL23" i="4"/>
  <c r="AK23" i="4" s="1"/>
  <c r="AL24" i="4"/>
  <c r="AK24" i="4" s="1"/>
  <c r="AL25" i="4"/>
  <c r="AK25" i="4" s="1"/>
  <c r="AL26" i="4"/>
  <c r="AK26" i="4" s="1"/>
  <c r="AL27" i="4"/>
  <c r="AK27" i="4" s="1"/>
  <c r="AL28" i="4"/>
  <c r="AK28" i="4" s="1"/>
  <c r="AL29" i="4"/>
  <c r="AK29" i="4" s="1"/>
  <c r="AL30" i="4"/>
  <c r="AK30" i="4" s="1"/>
  <c r="AL31" i="4"/>
  <c r="AK31" i="4" s="1"/>
  <c r="AL32" i="4"/>
  <c r="AK32" i="4" s="1"/>
  <c r="AL33" i="4"/>
  <c r="AK33" i="4" s="1"/>
  <c r="AL34" i="4"/>
  <c r="AK34" i="4" s="1"/>
  <c r="AL35" i="4"/>
  <c r="AK35" i="4" s="1"/>
  <c r="AL36" i="4"/>
  <c r="AK36" i="4" s="1"/>
  <c r="AL37" i="4"/>
  <c r="AK37" i="4" s="1"/>
  <c r="AL38" i="4"/>
  <c r="AK38" i="4" s="1"/>
  <c r="AL39" i="4"/>
  <c r="AK39" i="4" s="1"/>
  <c r="AL40" i="4"/>
  <c r="AK40" i="4" s="1"/>
  <c r="AL41" i="4"/>
  <c r="AK41" i="4" s="1"/>
  <c r="AL42" i="4"/>
  <c r="AK42" i="4" s="1"/>
  <c r="AL43" i="4"/>
  <c r="AK43" i="4" s="1"/>
  <c r="AL44" i="4"/>
  <c r="AK44" i="4" s="1"/>
  <c r="AL45" i="4"/>
  <c r="AK45" i="4" s="1"/>
  <c r="AL46" i="4"/>
  <c r="AK46" i="4" s="1"/>
  <c r="AL47" i="4"/>
  <c r="AK47" i="4" s="1"/>
  <c r="AL48" i="4"/>
  <c r="AK48" i="4" s="1"/>
  <c r="AL49" i="4"/>
  <c r="AK49" i="4" s="1"/>
  <c r="AL50" i="4"/>
  <c r="AK50" i="4" s="1"/>
  <c r="AL51" i="4"/>
  <c r="AK51" i="4" s="1"/>
  <c r="AL52" i="4"/>
  <c r="AK52" i="4" s="1"/>
  <c r="AL53" i="4"/>
  <c r="AK53" i="4" s="1"/>
  <c r="AL54" i="4"/>
  <c r="AK54" i="4" s="1"/>
  <c r="AL55" i="4"/>
  <c r="AK55" i="4" s="1"/>
  <c r="AL56" i="4"/>
  <c r="AK56" i="4" s="1"/>
  <c r="AL57" i="4"/>
  <c r="AK57" i="4" s="1"/>
  <c r="AL58" i="4"/>
  <c r="AK58" i="4" s="1"/>
  <c r="AL59" i="4"/>
  <c r="AK59" i="4" s="1"/>
  <c r="AL60" i="4"/>
  <c r="AK60" i="4" s="1"/>
  <c r="AL61" i="4"/>
  <c r="AK61" i="4" s="1"/>
  <c r="AL62" i="4"/>
  <c r="AK62" i="4" s="1"/>
  <c r="AL63" i="4"/>
  <c r="AK63" i="4" s="1"/>
  <c r="AL64" i="4"/>
  <c r="AK64" i="4" s="1"/>
  <c r="AL65" i="4"/>
  <c r="AK65" i="4" s="1"/>
  <c r="AL66" i="4"/>
  <c r="AK66" i="4" s="1"/>
  <c r="AL67" i="4"/>
  <c r="AK67" i="4" s="1"/>
  <c r="AL68" i="4"/>
  <c r="AK68" i="4" s="1"/>
  <c r="AL69" i="4"/>
  <c r="AK69" i="4" s="1"/>
  <c r="AL70" i="4"/>
  <c r="AK70" i="4"/>
  <c r="AL71" i="4"/>
  <c r="AK71" i="4" s="1"/>
  <c r="AL72" i="4"/>
  <c r="AK72" i="4" s="1"/>
  <c r="AL73" i="4"/>
  <c r="AK73" i="4" s="1"/>
  <c r="AL74" i="4"/>
  <c r="AK74" i="4" s="1"/>
  <c r="AL75" i="4"/>
  <c r="AK75" i="4" s="1"/>
  <c r="AL76" i="4"/>
  <c r="AK76" i="4" s="1"/>
  <c r="AL77" i="4"/>
  <c r="AK77" i="4" s="1"/>
  <c r="AL78" i="4"/>
  <c r="AK78" i="4" s="1"/>
  <c r="AL79" i="4"/>
  <c r="AK79" i="4" s="1"/>
  <c r="AL80" i="4"/>
  <c r="AK80" i="4" s="1"/>
  <c r="AL81" i="4"/>
  <c r="AK81" i="4" s="1"/>
  <c r="AL82" i="4"/>
  <c r="AK82" i="4" s="1"/>
  <c r="AL83" i="4"/>
  <c r="AK83" i="4" s="1"/>
  <c r="AL84" i="4"/>
  <c r="AK84" i="4" s="1"/>
  <c r="AL85" i="4"/>
  <c r="AK85" i="4" s="1"/>
  <c r="AL86" i="4"/>
  <c r="AK86" i="4" s="1"/>
  <c r="AL87" i="4"/>
  <c r="AK87" i="4" s="1"/>
  <c r="AL88" i="4"/>
  <c r="AK88" i="4" s="1"/>
  <c r="AL89" i="4"/>
  <c r="AK89" i="4" s="1"/>
  <c r="AL90" i="4"/>
  <c r="AK90" i="4" s="1"/>
  <c r="AL91" i="4"/>
  <c r="AK91" i="4" s="1"/>
  <c r="AL92" i="4"/>
  <c r="AK92" i="4" s="1"/>
  <c r="AL93" i="4"/>
  <c r="AK93" i="4" s="1"/>
  <c r="AL94" i="4"/>
  <c r="AK94" i="4" s="1"/>
  <c r="AL95" i="4"/>
  <c r="AK95" i="4" s="1"/>
  <c r="AL96" i="4"/>
  <c r="AK96" i="4" s="1"/>
  <c r="AL97" i="4"/>
  <c r="AK97" i="4" s="1"/>
  <c r="AL98" i="4"/>
  <c r="AK98" i="4" s="1"/>
  <c r="AL99" i="4"/>
  <c r="AK99" i="4" s="1"/>
  <c r="AL100" i="4"/>
  <c r="AK100" i="4" s="1"/>
  <c r="AL101" i="4"/>
  <c r="AK101" i="4" s="1"/>
  <c r="AL102" i="4"/>
  <c r="AK102" i="4" s="1"/>
  <c r="AL103" i="4"/>
  <c r="AK103" i="4" s="1"/>
  <c r="AL104" i="4"/>
  <c r="AK104" i="4" s="1"/>
  <c r="AL105" i="4"/>
  <c r="AK105" i="4" s="1"/>
  <c r="AL106" i="4"/>
  <c r="AK106" i="4" s="1"/>
  <c r="AL107" i="4"/>
  <c r="AK107" i="4" s="1"/>
  <c r="AL108" i="4"/>
  <c r="AK108" i="4" s="1"/>
  <c r="AL109" i="4"/>
  <c r="AK109" i="4" s="1"/>
  <c r="AL110" i="4"/>
  <c r="AK110" i="4" s="1"/>
  <c r="AL111" i="4"/>
  <c r="AK111" i="4" s="1"/>
  <c r="AL112" i="4"/>
  <c r="AK112" i="4" s="1"/>
  <c r="AL113" i="4"/>
  <c r="AK113" i="4" s="1"/>
  <c r="AL114" i="4"/>
  <c r="AK114" i="4" s="1"/>
  <c r="AL115" i="4"/>
  <c r="AK115" i="4" s="1"/>
  <c r="AL116" i="4"/>
  <c r="AK116" i="4" s="1"/>
  <c r="AL117" i="4"/>
  <c r="AK117" i="4" s="1"/>
  <c r="AL118" i="4"/>
  <c r="AK118" i="4" s="1"/>
  <c r="AL119" i="4"/>
  <c r="AK119" i="4" s="1"/>
  <c r="AL120" i="4"/>
  <c r="AK120" i="4" s="1"/>
  <c r="AL121" i="4"/>
  <c r="AK121" i="4" s="1"/>
  <c r="AL122" i="4"/>
  <c r="AK122" i="4" s="1"/>
  <c r="AL123" i="4"/>
  <c r="AK123" i="4" s="1"/>
  <c r="AL124" i="4"/>
  <c r="AK124" i="4" s="1"/>
  <c r="AL125" i="4"/>
  <c r="AK125" i="4" s="1"/>
  <c r="AL126" i="4"/>
  <c r="AK126" i="4" s="1"/>
  <c r="AL127" i="4"/>
  <c r="AK127" i="4" s="1"/>
  <c r="AL128" i="4"/>
  <c r="AK128" i="4" s="1"/>
  <c r="AL153" i="4"/>
  <c r="AK153" i="4" s="1"/>
  <c r="AL154" i="4"/>
  <c r="AK154" i="4" s="1"/>
  <c r="AL155" i="4"/>
  <c r="AK155" i="4" s="1"/>
  <c r="AL156" i="4"/>
  <c r="AK156" i="4" s="1"/>
  <c r="AL157" i="4"/>
  <c r="AK157" i="4" s="1"/>
  <c r="AL158" i="4"/>
  <c r="AK158" i="4" s="1"/>
  <c r="AL159" i="4"/>
  <c r="AK159" i="4" s="1"/>
  <c r="AL160" i="4"/>
  <c r="AK160" i="4" s="1"/>
  <c r="AL161" i="4"/>
  <c r="AK161" i="4" s="1"/>
  <c r="AL162" i="4"/>
  <c r="AK162" i="4" s="1"/>
  <c r="AL163" i="4"/>
  <c r="AK163" i="4" s="1"/>
  <c r="AL164" i="4"/>
  <c r="AK164" i="4" s="1"/>
  <c r="AL165" i="4"/>
  <c r="AK165" i="4" s="1"/>
  <c r="AL166" i="4"/>
  <c r="AK166" i="4" s="1"/>
  <c r="AL167" i="4"/>
  <c r="AK167" i="4" s="1"/>
  <c r="AL168" i="4"/>
  <c r="AK168" i="4" s="1"/>
  <c r="AL169" i="4"/>
  <c r="AK169" i="4" s="1"/>
  <c r="AL170" i="4"/>
  <c r="AK170" i="4" s="1"/>
  <c r="AL171" i="4"/>
  <c r="AK171" i="4" s="1"/>
  <c r="AL172" i="4"/>
  <c r="AK172" i="4" s="1"/>
  <c r="AL173" i="4"/>
  <c r="AK173" i="4" s="1"/>
  <c r="AL174" i="4"/>
  <c r="AK174" i="4" s="1"/>
  <c r="AL175" i="4"/>
  <c r="AK175" i="4" s="1"/>
  <c r="AL176" i="4"/>
  <c r="AK176" i="4" s="1"/>
  <c r="AL177" i="4"/>
  <c r="AK177" i="4" s="1"/>
  <c r="AL178" i="4"/>
  <c r="AK178" i="4" s="1"/>
  <c r="AL179" i="4"/>
  <c r="AK179" i="4" s="1"/>
  <c r="AL180" i="4"/>
  <c r="AK180" i="4" s="1"/>
  <c r="AL181" i="4"/>
  <c r="AK181" i="4" s="1"/>
  <c r="AL182" i="4"/>
  <c r="AK182" i="4" s="1"/>
  <c r="AL183" i="4"/>
  <c r="AK183" i="4" s="1"/>
  <c r="AL184" i="4"/>
  <c r="AK184" i="4" s="1"/>
  <c r="AL185" i="4"/>
  <c r="AK185" i="4" s="1"/>
  <c r="AL186" i="4"/>
  <c r="AK186" i="4" s="1"/>
  <c r="AL187" i="4"/>
  <c r="AK187" i="4" s="1"/>
  <c r="AL188" i="4"/>
  <c r="AK188" i="4" s="1"/>
  <c r="AL189" i="4"/>
  <c r="AK189" i="4" s="1"/>
  <c r="AL190" i="4"/>
  <c r="AK190" i="4" s="1"/>
  <c r="AL191" i="4"/>
  <c r="AK191" i="4" s="1"/>
  <c r="AL192" i="4"/>
  <c r="AK192" i="4" s="1"/>
  <c r="AL193" i="4"/>
  <c r="AK193" i="4" s="1"/>
  <c r="AL194" i="4"/>
  <c r="AK194" i="4" s="1"/>
  <c r="AL195" i="4"/>
  <c r="AK195" i="4" s="1"/>
  <c r="AL196" i="4"/>
  <c r="AK196" i="4" s="1"/>
  <c r="AL197" i="4"/>
  <c r="AK197" i="4" s="1"/>
  <c r="AL198" i="4"/>
  <c r="AK198" i="4" s="1"/>
  <c r="AL199" i="4"/>
  <c r="AK199" i="4" s="1"/>
  <c r="AL200" i="4"/>
  <c r="AK200" i="4" s="1"/>
  <c r="AL201" i="4"/>
  <c r="AK201" i="4" s="1"/>
  <c r="AL202" i="4"/>
  <c r="AK202" i="4" s="1"/>
  <c r="AL203" i="4"/>
  <c r="AK203" i="4" s="1"/>
  <c r="AL204" i="4"/>
  <c r="AK204" i="4" s="1"/>
  <c r="AL205" i="4"/>
  <c r="AK205" i="4" s="1"/>
  <c r="AL206" i="4"/>
  <c r="AK206" i="4" s="1"/>
  <c r="AL207" i="4"/>
  <c r="AK207" i="4" s="1"/>
  <c r="AL208" i="4"/>
  <c r="AK208" i="4" s="1"/>
  <c r="AL209" i="4"/>
  <c r="AK209" i="4" s="1"/>
  <c r="AL210" i="4"/>
  <c r="AK210" i="4" s="1"/>
  <c r="AL211" i="4"/>
  <c r="AK211" i="4" s="1"/>
  <c r="AL212" i="4"/>
  <c r="AK212" i="4" s="1"/>
  <c r="AL213" i="4"/>
  <c r="AK213" i="4" s="1"/>
  <c r="AL214" i="4"/>
  <c r="AK214" i="4" s="1"/>
  <c r="AL215" i="4"/>
  <c r="AK215" i="4" s="1"/>
  <c r="AL216" i="4"/>
  <c r="AK216" i="4" s="1"/>
  <c r="Y216" i="4"/>
  <c r="R216" i="4"/>
  <c r="S216" i="4" s="1"/>
  <c r="Y215" i="4"/>
  <c r="X215" i="4" s="1"/>
  <c r="R215" i="4"/>
  <c r="Q215" i="4" s="1"/>
  <c r="Y214" i="4"/>
  <c r="X214" i="4" s="1"/>
  <c r="R214" i="4"/>
  <c r="Q214" i="4" s="1"/>
  <c r="Y213" i="4"/>
  <c r="X213" i="4" s="1"/>
  <c r="R213" i="4"/>
  <c r="Y212" i="4"/>
  <c r="R212" i="4"/>
  <c r="S212" i="4" s="1"/>
  <c r="Y211" i="4"/>
  <c r="X211" i="4" s="1"/>
  <c r="R211" i="4"/>
  <c r="S211" i="4" s="1"/>
  <c r="Y210" i="4"/>
  <c r="X210" i="4" s="1"/>
  <c r="R210" i="4"/>
  <c r="S210" i="4" s="1"/>
  <c r="Y209" i="4"/>
  <c r="X209" i="4" s="1"/>
  <c r="R209" i="4"/>
  <c r="Y208" i="4"/>
  <c r="X208" i="4" s="1"/>
  <c r="R208" i="4"/>
  <c r="S208" i="4" s="1"/>
  <c r="Y207" i="4"/>
  <c r="X207" i="4" s="1"/>
  <c r="R207" i="4"/>
  <c r="Q207" i="4" s="1"/>
  <c r="Y206" i="4"/>
  <c r="X206" i="4" s="1"/>
  <c r="R206" i="4"/>
  <c r="S206" i="4" s="1"/>
  <c r="Y205" i="4"/>
  <c r="X205" i="4" s="1"/>
  <c r="R205" i="4"/>
  <c r="Q205" i="4" s="1"/>
  <c r="Y204" i="4"/>
  <c r="R204" i="4"/>
  <c r="Q204" i="4" s="1"/>
  <c r="Y203" i="4"/>
  <c r="X203" i="4" s="1"/>
  <c r="R203" i="4"/>
  <c r="S203" i="4" s="1"/>
  <c r="Y202" i="4"/>
  <c r="X202" i="4" s="1"/>
  <c r="R202" i="4"/>
  <c r="S202" i="4" s="1"/>
  <c r="Y201" i="4"/>
  <c r="R201" i="4"/>
  <c r="S201" i="4" s="1"/>
  <c r="Y200" i="4"/>
  <c r="X200" i="4" s="1"/>
  <c r="R200" i="4"/>
  <c r="Y199" i="4"/>
  <c r="X199" i="4" s="1"/>
  <c r="R199" i="4"/>
  <c r="Y198" i="4"/>
  <c r="R198" i="4"/>
  <c r="Q198" i="4" s="1"/>
  <c r="Y197" i="4"/>
  <c r="X197" i="4" s="1"/>
  <c r="R197" i="4"/>
  <c r="S197" i="4" s="1"/>
  <c r="Y196" i="4"/>
  <c r="X196" i="4" s="1"/>
  <c r="R196" i="4"/>
  <c r="Q196" i="4" s="1"/>
  <c r="Y195" i="4"/>
  <c r="X195" i="4" s="1"/>
  <c r="R195" i="4"/>
  <c r="S195" i="4" s="1"/>
  <c r="Y194" i="4"/>
  <c r="X194" i="4" s="1"/>
  <c r="R194" i="4"/>
  <c r="Y193" i="4"/>
  <c r="X193" i="4" s="1"/>
  <c r="R193" i="4"/>
  <c r="S193" i="4" s="1"/>
  <c r="Y192" i="4"/>
  <c r="X192" i="4" s="1"/>
  <c r="R192" i="4"/>
  <c r="Y191" i="4"/>
  <c r="X191" i="4" s="1"/>
  <c r="R191" i="4"/>
  <c r="S191" i="4" s="1"/>
  <c r="Y190" i="4"/>
  <c r="X190" i="4" s="1"/>
  <c r="R190" i="4"/>
  <c r="Y189" i="4"/>
  <c r="R189" i="4"/>
  <c r="S189" i="4" s="1"/>
  <c r="Y188" i="4"/>
  <c r="R188" i="4"/>
  <c r="S188" i="4" s="1"/>
  <c r="Y187" i="4"/>
  <c r="X187" i="4" s="1"/>
  <c r="R187" i="4"/>
  <c r="S187" i="4" s="1"/>
  <c r="Y186" i="4"/>
  <c r="X186" i="4" s="1"/>
  <c r="R186" i="4"/>
  <c r="Y185" i="4"/>
  <c r="R185" i="4"/>
  <c r="Q185" i="4" s="1"/>
  <c r="Y184" i="4"/>
  <c r="R184" i="4"/>
  <c r="S184" i="4" s="1"/>
  <c r="Y183" i="4"/>
  <c r="R183" i="4"/>
  <c r="S183" i="4" s="1"/>
  <c r="Y182" i="4"/>
  <c r="X182" i="4" s="1"/>
  <c r="R182" i="4"/>
  <c r="S182" i="4" s="1"/>
  <c r="Y181" i="4"/>
  <c r="X181" i="4" s="1"/>
  <c r="R181" i="4"/>
  <c r="Q181" i="4" s="1"/>
  <c r="Y180" i="4"/>
  <c r="X180" i="4" s="1"/>
  <c r="R180" i="4"/>
  <c r="S180" i="4" s="1"/>
  <c r="Y179" i="4"/>
  <c r="X179" i="4" s="1"/>
  <c r="R179" i="4"/>
  <c r="S179" i="4" s="1"/>
  <c r="Y178" i="4"/>
  <c r="R178" i="4"/>
  <c r="S178" i="4" s="1"/>
  <c r="Y177" i="4"/>
  <c r="X177" i="4" s="1"/>
  <c r="R177" i="4"/>
  <c r="S177" i="4" s="1"/>
  <c r="Y176" i="4"/>
  <c r="X176" i="4" s="1"/>
  <c r="R176" i="4"/>
  <c r="S176" i="4" s="1"/>
  <c r="Y175" i="4"/>
  <c r="X175" i="4" s="1"/>
  <c r="R175" i="4"/>
  <c r="Y174" i="4"/>
  <c r="X174" i="4" s="1"/>
  <c r="R174" i="4"/>
  <c r="Y173" i="4"/>
  <c r="X173" i="4" s="1"/>
  <c r="R173" i="4"/>
  <c r="Y172" i="4"/>
  <c r="X172" i="4" s="1"/>
  <c r="R172" i="4"/>
  <c r="Q172" i="4" s="1"/>
  <c r="Y171" i="4"/>
  <c r="R171" i="4"/>
  <c r="Q171" i="4" s="1"/>
  <c r="Y170" i="4"/>
  <c r="X170" i="4" s="1"/>
  <c r="R170" i="4"/>
  <c r="Y169" i="4"/>
  <c r="R169" i="4"/>
  <c r="S169" i="4" s="1"/>
  <c r="Y168" i="4"/>
  <c r="R168" i="4"/>
  <c r="Q168" i="4" s="1"/>
  <c r="Y167" i="4"/>
  <c r="R167" i="4"/>
  <c r="Y166" i="4"/>
  <c r="R166" i="4"/>
  <c r="S166" i="4" s="1"/>
  <c r="Y165" i="4"/>
  <c r="X165" i="4" s="1"/>
  <c r="R165" i="4"/>
  <c r="S165" i="4" s="1"/>
  <c r="Y164" i="4"/>
  <c r="X164" i="4" s="1"/>
  <c r="R164" i="4"/>
  <c r="S164" i="4" s="1"/>
  <c r="Y163" i="4"/>
  <c r="R163" i="4"/>
  <c r="Q163" i="4" s="1"/>
  <c r="Y162" i="4"/>
  <c r="X162" i="4" s="1"/>
  <c r="R162" i="4"/>
  <c r="Y161" i="4"/>
  <c r="X161" i="4" s="1"/>
  <c r="R161" i="4"/>
  <c r="S161" i="4" s="1"/>
  <c r="Y160" i="4"/>
  <c r="X160" i="4" s="1"/>
  <c r="R160" i="4"/>
  <c r="Q160" i="4" s="1"/>
  <c r="Y159" i="4"/>
  <c r="R159" i="4"/>
  <c r="S159" i="4" s="1"/>
  <c r="Y158" i="4"/>
  <c r="R158" i="4"/>
  <c r="Q158" i="4" s="1"/>
  <c r="Y157" i="4"/>
  <c r="X157" i="4" s="1"/>
  <c r="R157" i="4"/>
  <c r="Q157" i="4" s="1"/>
  <c r="Y156" i="4"/>
  <c r="X156" i="4" s="1"/>
  <c r="R156" i="4"/>
  <c r="Q156" i="4" s="1"/>
  <c r="Y155" i="4"/>
  <c r="R155" i="4"/>
  <c r="Y154" i="4"/>
  <c r="R154" i="4"/>
  <c r="Y153" i="4"/>
  <c r="X153" i="4" s="1"/>
  <c r="R153" i="4"/>
  <c r="S153" i="4" s="1"/>
  <c r="Y142" i="4"/>
  <c r="R142" i="4"/>
  <c r="S142" i="4" s="1"/>
  <c r="Y143" i="4"/>
  <c r="X143" i="4" s="1"/>
  <c r="R143" i="4"/>
  <c r="S143" i="4" s="1"/>
  <c r="Y144" i="4"/>
  <c r="R144" i="4"/>
  <c r="Q144" i="4" s="1"/>
  <c r="Y145" i="4"/>
  <c r="R145" i="4"/>
  <c r="S145" i="4" s="1"/>
  <c r="Y140" i="4"/>
  <c r="X140" i="4" s="1"/>
  <c r="R140" i="4"/>
  <c r="Q140" i="4" s="1"/>
  <c r="Y141" i="4"/>
  <c r="X141" i="4" s="1"/>
  <c r="R141" i="4"/>
  <c r="Y138" i="4"/>
  <c r="R138" i="4"/>
  <c r="Y139" i="4"/>
  <c r="X139" i="4" s="1"/>
  <c r="R139" i="4"/>
  <c r="Y135" i="4"/>
  <c r="X135" i="4" s="1"/>
  <c r="R135" i="4"/>
  <c r="Q135" i="4" s="1"/>
  <c r="Y136" i="4"/>
  <c r="X136" i="4" s="1"/>
  <c r="R136" i="4"/>
  <c r="Y137" i="4"/>
  <c r="X137" i="4" s="1"/>
  <c r="R137" i="4"/>
  <c r="S137" i="4" s="1"/>
  <c r="Y131" i="4"/>
  <c r="X131" i="4" s="1"/>
  <c r="R131" i="4"/>
  <c r="Q131" i="4" s="1"/>
  <c r="Y132" i="4"/>
  <c r="X132" i="4" s="1"/>
  <c r="R132" i="4"/>
  <c r="S132" i="4" s="1"/>
  <c r="Y133" i="4"/>
  <c r="X133" i="4" s="1"/>
  <c r="R133" i="4"/>
  <c r="S133" i="4" s="1"/>
  <c r="Y134" i="4"/>
  <c r="X134" i="4" s="1"/>
  <c r="R134" i="4"/>
  <c r="S134" i="4" s="1"/>
  <c r="Y130" i="4"/>
  <c r="X130" i="4" s="1"/>
  <c r="R130" i="4"/>
  <c r="Y129" i="4"/>
  <c r="X129" i="4" s="1"/>
  <c r="R129" i="4"/>
  <c r="S129" i="4" s="1"/>
  <c r="AU129" i="4"/>
  <c r="AZ129" i="4"/>
  <c r="AU130" i="4"/>
  <c r="AZ130" i="4"/>
  <c r="AU134" i="4"/>
  <c r="AZ134" i="4"/>
  <c r="AU133" i="4"/>
  <c r="AZ133" i="4"/>
  <c r="AU132" i="4"/>
  <c r="AZ132" i="4"/>
  <c r="AU131" i="4"/>
  <c r="AZ131" i="4"/>
  <c r="AF137" i="4"/>
  <c r="AU137" i="4"/>
  <c r="AZ137" i="4"/>
  <c r="AF136" i="4"/>
  <c r="AU136" i="4"/>
  <c r="AZ136" i="4"/>
  <c r="AF135" i="4"/>
  <c r="AU135" i="4"/>
  <c r="AZ135" i="4"/>
  <c r="AF139" i="4"/>
  <c r="AU139" i="4"/>
  <c r="AZ139" i="4"/>
  <c r="AF138" i="4"/>
  <c r="AU138" i="4"/>
  <c r="AZ138" i="4"/>
  <c r="AF141" i="4"/>
  <c r="AU141" i="4"/>
  <c r="AZ141" i="4"/>
  <c r="AF140" i="4"/>
  <c r="AU140" i="4"/>
  <c r="AZ140" i="4"/>
  <c r="AF145" i="4"/>
  <c r="AU145" i="4"/>
  <c r="AZ145" i="4"/>
  <c r="AF144" i="4"/>
  <c r="AU144" i="4"/>
  <c r="AZ144" i="4"/>
  <c r="AF143" i="4"/>
  <c r="AU143" i="4"/>
  <c r="AZ143" i="4"/>
  <c r="AF142" i="4"/>
  <c r="AU142" i="4"/>
  <c r="AZ142" i="4"/>
  <c r="Y128" i="4"/>
  <c r="X128" i="4" s="1"/>
  <c r="R128" i="4"/>
  <c r="Y127" i="4"/>
  <c r="X127" i="4" s="1"/>
  <c r="R127" i="4"/>
  <c r="Y126" i="4"/>
  <c r="R126" i="4"/>
  <c r="Q126" i="4" s="1"/>
  <c r="Y125" i="4"/>
  <c r="X125" i="4" s="1"/>
  <c r="R125" i="4"/>
  <c r="Q125" i="4" s="1"/>
  <c r="Y124" i="4"/>
  <c r="X124" i="4" s="1"/>
  <c r="R124" i="4"/>
  <c r="Y123" i="4"/>
  <c r="X123" i="4" s="1"/>
  <c r="R123" i="4"/>
  <c r="Q123" i="4" s="1"/>
  <c r="Y122" i="4"/>
  <c r="X122" i="4" s="1"/>
  <c r="R122" i="4"/>
  <c r="S122" i="4" s="1"/>
  <c r="Y121" i="4"/>
  <c r="X121" i="4" s="1"/>
  <c r="R121" i="4"/>
  <c r="Q121" i="4" s="1"/>
  <c r="Y120" i="4"/>
  <c r="X120" i="4" s="1"/>
  <c r="R120" i="4"/>
  <c r="S120" i="4" s="1"/>
  <c r="Y119" i="4"/>
  <c r="R119" i="4"/>
  <c r="Q119" i="4" s="1"/>
  <c r="Y118" i="4"/>
  <c r="R118" i="4"/>
  <c r="S118" i="4" s="1"/>
  <c r="Y117" i="4"/>
  <c r="R117" i="4"/>
  <c r="S117" i="4" s="1"/>
  <c r="Y116" i="4"/>
  <c r="R116" i="4"/>
  <c r="Q116" i="4" s="1"/>
  <c r="Y115" i="4"/>
  <c r="X115" i="4" s="1"/>
  <c r="R115" i="4"/>
  <c r="Q115" i="4" s="1"/>
  <c r="Y114" i="4"/>
  <c r="R114" i="4"/>
  <c r="S114" i="4" s="1"/>
  <c r="Y113" i="4"/>
  <c r="R113" i="4"/>
  <c r="S113" i="4" s="1"/>
  <c r="Y112" i="4"/>
  <c r="R112" i="4"/>
  <c r="Y111" i="4"/>
  <c r="X111" i="4" s="1"/>
  <c r="R111" i="4"/>
  <c r="S111" i="4" s="1"/>
  <c r="Y110" i="4"/>
  <c r="X110" i="4" s="1"/>
  <c r="R110" i="4"/>
  <c r="Y109" i="4"/>
  <c r="X109" i="4" s="1"/>
  <c r="R109" i="4"/>
  <c r="Q109" i="4" s="1"/>
  <c r="Y108" i="4"/>
  <c r="X108" i="4" s="1"/>
  <c r="R108" i="4"/>
  <c r="Q108" i="4" s="1"/>
  <c r="Y107" i="4"/>
  <c r="X107" i="4" s="1"/>
  <c r="R107" i="4"/>
  <c r="Y106" i="4"/>
  <c r="X106" i="4" s="1"/>
  <c r="R106" i="4"/>
  <c r="Q106" i="4" s="1"/>
  <c r="Y105" i="4"/>
  <c r="X105" i="4" s="1"/>
  <c r="R105" i="4"/>
  <c r="S105" i="4" s="1"/>
  <c r="Y104" i="4"/>
  <c r="X104" i="4" s="1"/>
  <c r="R104" i="4"/>
  <c r="Y103" i="4"/>
  <c r="R103" i="4"/>
  <c r="S103" i="4" s="1"/>
  <c r="Y102" i="4"/>
  <c r="R102" i="4"/>
  <c r="S102" i="4" s="1"/>
  <c r="Y101" i="4"/>
  <c r="R101" i="4"/>
  <c r="Q101" i="4" s="1"/>
  <c r="Y100" i="4"/>
  <c r="X100" i="4" s="1"/>
  <c r="R100" i="4"/>
  <c r="Q100" i="4" s="1"/>
  <c r="Y99" i="4"/>
  <c r="X99" i="4" s="1"/>
  <c r="R99" i="4"/>
  <c r="Z99" i="4" s="1"/>
  <c r="Y98" i="4"/>
  <c r="X98" i="4" s="1"/>
  <c r="R98" i="4"/>
  <c r="Q98" i="4" s="1"/>
  <c r="Y97" i="4"/>
  <c r="R97" i="4"/>
  <c r="S97" i="4" s="1"/>
  <c r="Y96" i="4"/>
  <c r="X96" i="4" s="1"/>
  <c r="R96" i="4"/>
  <c r="S96" i="4" s="1"/>
  <c r="Y95" i="4"/>
  <c r="X95" i="4" s="1"/>
  <c r="R95" i="4"/>
  <c r="S95" i="4" s="1"/>
  <c r="Y94" i="4"/>
  <c r="X94" i="4" s="1"/>
  <c r="R94" i="4"/>
  <c r="Y93" i="4"/>
  <c r="X93" i="4" s="1"/>
  <c r="R93" i="4"/>
  <c r="Q93" i="4" s="1"/>
  <c r="Y92" i="4"/>
  <c r="X92" i="4" s="1"/>
  <c r="R92" i="4"/>
  <c r="S92" i="4" s="1"/>
  <c r="Y91" i="4"/>
  <c r="X91" i="4" s="1"/>
  <c r="R91" i="4"/>
  <c r="S91" i="4" s="1"/>
  <c r="Y90" i="4"/>
  <c r="X90" i="4" s="1"/>
  <c r="R90" i="4"/>
  <c r="Q90" i="4" s="1"/>
  <c r="Y89" i="4"/>
  <c r="X89" i="4" s="1"/>
  <c r="R89" i="4"/>
  <c r="S89" i="4" s="1"/>
  <c r="Y88" i="4"/>
  <c r="X88" i="4" s="1"/>
  <c r="R88" i="4"/>
  <c r="Y87" i="4"/>
  <c r="X87" i="4" s="1"/>
  <c r="R87" i="4"/>
  <c r="S87" i="4" s="1"/>
  <c r="Y86" i="4"/>
  <c r="X86" i="4" s="1"/>
  <c r="R86" i="4"/>
  <c r="Y85" i="4"/>
  <c r="R85" i="4"/>
  <c r="S85" i="4" s="1"/>
  <c r="Y84" i="4"/>
  <c r="X84" i="4" s="1"/>
  <c r="R84" i="4"/>
  <c r="S84" i="4" s="1"/>
  <c r="Y83" i="4"/>
  <c r="R83" i="4"/>
  <c r="S83" i="4" s="1"/>
  <c r="Y82" i="4"/>
  <c r="X82" i="4" s="1"/>
  <c r="R82" i="4"/>
  <c r="Y81" i="4"/>
  <c r="X81" i="4" s="1"/>
  <c r="R81" i="4"/>
  <c r="Q81" i="4" s="1"/>
  <c r="Y80" i="4"/>
  <c r="X80" i="4" s="1"/>
  <c r="R80" i="4"/>
  <c r="Q80" i="4" s="1"/>
  <c r="Y79" i="4"/>
  <c r="X79" i="4" s="1"/>
  <c r="R79" i="4"/>
  <c r="Y78" i="4"/>
  <c r="X78" i="4" s="1"/>
  <c r="R78" i="4"/>
  <c r="Z78" i="4" s="1"/>
  <c r="Y77" i="4"/>
  <c r="X77" i="4" s="1"/>
  <c r="R77" i="4"/>
  <c r="Q77" i="4" s="1"/>
  <c r="Y76" i="4"/>
  <c r="X76" i="4" s="1"/>
  <c r="R76" i="4"/>
  <c r="Y75" i="4"/>
  <c r="X75" i="4" s="1"/>
  <c r="R75" i="4"/>
  <c r="Y74" i="4"/>
  <c r="X74" i="4" s="1"/>
  <c r="R74" i="4"/>
  <c r="Y73" i="4"/>
  <c r="X73" i="4" s="1"/>
  <c r="R73" i="4"/>
  <c r="S73" i="4" s="1"/>
  <c r="Y72" i="4"/>
  <c r="X72" i="4" s="1"/>
  <c r="R72" i="4"/>
  <c r="Y71" i="4"/>
  <c r="X71" i="4" s="1"/>
  <c r="R71" i="4"/>
  <c r="Y70" i="4"/>
  <c r="X70" i="4" s="1"/>
  <c r="R70" i="4"/>
  <c r="Z70" i="4" s="1"/>
  <c r="Y69" i="4"/>
  <c r="X69" i="4" s="1"/>
  <c r="R69" i="4"/>
  <c r="S69" i="4" s="1"/>
  <c r="Y68" i="4"/>
  <c r="X68" i="4" s="1"/>
  <c r="R68" i="4"/>
  <c r="Q68" i="4" s="1"/>
  <c r="Y67" i="4"/>
  <c r="X67" i="4" s="1"/>
  <c r="R67" i="4"/>
  <c r="Q67" i="4" s="1"/>
  <c r="Y66" i="4"/>
  <c r="X66" i="4" s="1"/>
  <c r="R66" i="4"/>
  <c r="Q66" i="4" s="1"/>
  <c r="Y65" i="4"/>
  <c r="X65" i="4" s="1"/>
  <c r="R65" i="4"/>
  <c r="Q65" i="4" s="1"/>
  <c r="Y64" i="4"/>
  <c r="X64" i="4" s="1"/>
  <c r="R64" i="4"/>
  <c r="Q64" i="4" s="1"/>
  <c r="Y63" i="4"/>
  <c r="X63" i="4" s="1"/>
  <c r="R63" i="4"/>
  <c r="S63" i="4" s="1"/>
  <c r="Y62" i="4"/>
  <c r="X62" i="4" s="1"/>
  <c r="R62" i="4"/>
  <c r="Y61" i="4"/>
  <c r="X61" i="4" s="1"/>
  <c r="R61" i="4"/>
  <c r="S61" i="4" s="1"/>
  <c r="Y60" i="4"/>
  <c r="X60" i="4" s="1"/>
  <c r="R60" i="4"/>
  <c r="Y59" i="4"/>
  <c r="X59" i="4" s="1"/>
  <c r="R59" i="4"/>
  <c r="S59" i="4" s="1"/>
  <c r="Y58" i="4"/>
  <c r="X58" i="4" s="1"/>
  <c r="R58" i="4"/>
  <c r="Q58" i="4" s="1"/>
  <c r="Y57" i="4"/>
  <c r="X57" i="4" s="1"/>
  <c r="R57" i="4"/>
  <c r="Y56" i="4"/>
  <c r="X56" i="4" s="1"/>
  <c r="R56" i="4"/>
  <c r="Q56" i="4" s="1"/>
  <c r="Y55" i="4"/>
  <c r="X55" i="4" s="1"/>
  <c r="R55" i="4"/>
  <c r="Q55" i="4" s="1"/>
  <c r="Y54" i="4"/>
  <c r="X54" i="4" s="1"/>
  <c r="R54" i="4"/>
  <c r="S54" i="4" s="1"/>
  <c r="Y53" i="4"/>
  <c r="X53" i="4" s="1"/>
  <c r="R53" i="4"/>
  <c r="S53" i="4" s="1"/>
  <c r="Y52" i="4"/>
  <c r="X52" i="4" s="1"/>
  <c r="R52" i="4"/>
  <c r="S52" i="4" s="1"/>
  <c r="Y51" i="4"/>
  <c r="X51" i="4" s="1"/>
  <c r="R51" i="4"/>
  <c r="Q51" i="4" s="1"/>
  <c r="Y50" i="4"/>
  <c r="R50" i="4"/>
  <c r="S50" i="4" s="1"/>
  <c r="Y49" i="4"/>
  <c r="R49" i="4"/>
  <c r="S49" i="4" s="1"/>
  <c r="Y48" i="4"/>
  <c r="X48" i="4" s="1"/>
  <c r="R48" i="4"/>
  <c r="Y47" i="4"/>
  <c r="R47" i="4"/>
  <c r="S47" i="4" s="1"/>
  <c r="Y46" i="4"/>
  <c r="X46" i="4" s="1"/>
  <c r="Y45" i="4"/>
  <c r="X45" i="4" s="1"/>
  <c r="R45" i="4"/>
  <c r="Q45" i="4" s="1"/>
  <c r="Y44" i="4"/>
  <c r="R44" i="4"/>
  <c r="S44" i="4" s="1"/>
  <c r="Y43" i="4"/>
  <c r="X43" i="4" s="1"/>
  <c r="R43" i="4"/>
  <c r="Y42" i="4"/>
  <c r="X42" i="4" s="1"/>
  <c r="R42" i="4"/>
  <c r="Y41" i="4"/>
  <c r="X41" i="4" s="1"/>
  <c r="R41" i="4"/>
  <c r="Y40" i="4"/>
  <c r="X40" i="4" s="1"/>
  <c r="R40" i="4"/>
  <c r="S40" i="4" s="1"/>
  <c r="Y39" i="4"/>
  <c r="X39" i="4" s="1"/>
  <c r="R39" i="4"/>
  <c r="S39" i="4" s="1"/>
  <c r="Y38" i="4"/>
  <c r="R38" i="4"/>
  <c r="Q38" i="4" s="1"/>
  <c r="Y37" i="4"/>
  <c r="R37" i="4"/>
  <c r="S37" i="4" s="1"/>
  <c r="Y36" i="4"/>
  <c r="R36" i="4"/>
  <c r="Q36" i="4" s="1"/>
  <c r="Y35" i="4"/>
  <c r="X35" i="4" s="1"/>
  <c r="R35" i="4"/>
  <c r="Q35" i="4" s="1"/>
  <c r="Y34" i="4"/>
  <c r="X34" i="4" s="1"/>
  <c r="R34" i="4"/>
  <c r="S34" i="4" s="1"/>
  <c r="Y33" i="4"/>
  <c r="R33" i="4"/>
  <c r="S33" i="4" s="1"/>
  <c r="Y32" i="4"/>
  <c r="X32" i="4" s="1"/>
  <c r="R32" i="4"/>
  <c r="S32" i="4" s="1"/>
  <c r="Y31" i="4"/>
  <c r="X31" i="4" s="1"/>
  <c r="R31" i="4"/>
  <c r="S31" i="4" s="1"/>
  <c r="Y30" i="4"/>
  <c r="X30" i="4" s="1"/>
  <c r="R30" i="4"/>
  <c r="Y29" i="4"/>
  <c r="R29" i="4"/>
  <c r="Q29" i="4" s="1"/>
  <c r="Y28" i="4"/>
  <c r="X28" i="4" s="1"/>
  <c r="R28" i="4"/>
  <c r="Y27" i="4"/>
  <c r="X27" i="4" s="1"/>
  <c r="R27" i="4"/>
  <c r="S27" i="4" s="1"/>
  <c r="Y26" i="4"/>
  <c r="X26" i="4" s="1"/>
  <c r="R26" i="4"/>
  <c r="Y25" i="4"/>
  <c r="X25" i="4" s="1"/>
  <c r="R25" i="4"/>
  <c r="Q25" i="4" s="1"/>
  <c r="Y24" i="4"/>
  <c r="X24" i="4" s="1"/>
  <c r="R24" i="4"/>
  <c r="Q24" i="4" s="1"/>
  <c r="Y23" i="4"/>
  <c r="X23" i="4" s="1"/>
  <c r="R23" i="4"/>
  <c r="S23" i="4" s="1"/>
  <c r="Y22" i="4"/>
  <c r="R22" i="4"/>
  <c r="Q22" i="4" s="1"/>
  <c r="Y21" i="4"/>
  <c r="X21" i="4" s="1"/>
  <c r="R21" i="4"/>
  <c r="Y20" i="4"/>
  <c r="X20" i="4" s="1"/>
  <c r="R20" i="4"/>
  <c r="Y19" i="4"/>
  <c r="X19" i="4" s="1"/>
  <c r="R19" i="4"/>
  <c r="Q19" i="4" s="1"/>
  <c r="Y18" i="4"/>
  <c r="X18" i="4" s="1"/>
  <c r="R18" i="4"/>
  <c r="Q18" i="4" s="1"/>
  <c r="Y17" i="4"/>
  <c r="R17" i="4"/>
  <c r="Y16" i="4"/>
  <c r="X16" i="4" s="1"/>
  <c r="R16" i="4"/>
  <c r="S16" i="4" s="1"/>
  <c r="Y15" i="4"/>
  <c r="X15" i="4" s="1"/>
  <c r="R15" i="4"/>
  <c r="Y14" i="4"/>
  <c r="X14" i="4" s="1"/>
  <c r="R14" i="4"/>
  <c r="S14" i="4" s="1"/>
  <c r="Y13" i="4"/>
  <c r="X13" i="4" s="1"/>
  <c r="R13" i="4"/>
  <c r="S13" i="4" s="1"/>
  <c r="Y12" i="4"/>
  <c r="R12" i="4"/>
  <c r="S12" i="4" s="1"/>
  <c r="Y11" i="4"/>
  <c r="R11" i="4"/>
  <c r="Q11" i="4" s="1"/>
  <c r="Y10" i="4"/>
  <c r="X10" i="4" s="1"/>
  <c r="R10" i="4"/>
  <c r="Y9" i="4"/>
  <c r="X9" i="4" s="1"/>
  <c r="R9" i="4"/>
  <c r="S9" i="4" s="1"/>
  <c r="Y8" i="4"/>
  <c r="X8" i="4" s="1"/>
  <c r="R8" i="4"/>
  <c r="Q8" i="4" s="1"/>
  <c r="Y7" i="4"/>
  <c r="X7" i="4" s="1"/>
  <c r="R7" i="4"/>
  <c r="Y6" i="4"/>
  <c r="R6" i="4"/>
  <c r="S6" i="4" s="1"/>
  <c r="Y5" i="4"/>
  <c r="X5" i="4" s="1"/>
  <c r="R5" i="4"/>
  <c r="S5" i="4" s="1"/>
  <c r="Y4" i="4"/>
  <c r="X4" i="4" s="1"/>
  <c r="R4" i="4"/>
  <c r="Q4" i="4" s="1"/>
  <c r="Y3" i="4"/>
  <c r="X3" i="4" s="1"/>
  <c r="R3" i="4"/>
  <c r="Q3" i="4" s="1"/>
  <c r="Y2" i="4"/>
  <c r="X2" i="4" s="1"/>
  <c r="R2" i="4"/>
  <c r="S2" i="4" s="1"/>
  <c r="AF2" i="4"/>
  <c r="AL2" i="4"/>
  <c r="AK2" i="4" s="1"/>
  <c r="AP2" i="4"/>
  <c r="AU2" i="4"/>
  <c r="AY2" i="4"/>
  <c r="AZ2" i="4"/>
  <c r="AF3" i="4"/>
  <c r="AP3" i="4"/>
  <c r="AT3" i="4" s="1"/>
  <c r="AU3" i="4"/>
  <c r="AY3" i="4"/>
  <c r="AZ3" i="4"/>
  <c r="AF4" i="4"/>
  <c r="AP4" i="4"/>
  <c r="AR4" i="4" s="1"/>
  <c r="AU4" i="4"/>
  <c r="AY4" i="4"/>
  <c r="AZ4" i="4"/>
  <c r="AF5" i="4"/>
  <c r="AP5" i="4"/>
  <c r="AU5" i="4"/>
  <c r="AY5" i="4"/>
  <c r="AZ5" i="4"/>
  <c r="AF6" i="4"/>
  <c r="AP6" i="4"/>
  <c r="AT6" i="4" s="1"/>
  <c r="AU6" i="4"/>
  <c r="AY6" i="4"/>
  <c r="AZ6" i="4"/>
  <c r="AF7" i="4"/>
  <c r="AP7" i="4"/>
  <c r="AR7" i="4" s="1"/>
  <c r="AU7" i="4"/>
  <c r="AY7" i="4"/>
  <c r="AZ7" i="4"/>
  <c r="AF8" i="4"/>
  <c r="AP8" i="4"/>
  <c r="AR8" i="4" s="1"/>
  <c r="AU8" i="4"/>
  <c r="AY8" i="4"/>
  <c r="AZ8" i="4"/>
  <c r="AF9" i="4"/>
  <c r="AP9" i="4"/>
  <c r="AU9" i="4"/>
  <c r="AY9" i="4"/>
  <c r="AZ9" i="4"/>
  <c r="AF10" i="4"/>
  <c r="AP10" i="4"/>
  <c r="AR10" i="4" s="1"/>
  <c r="AU10" i="4"/>
  <c r="AY10" i="4"/>
  <c r="AZ10" i="4"/>
  <c r="AP11" i="4"/>
  <c r="AT11" i="4" s="1"/>
  <c r="AU11" i="4"/>
  <c r="AY11" i="4"/>
  <c r="AZ11" i="4"/>
  <c r="AP12" i="4"/>
  <c r="AU12" i="4"/>
  <c r="AY12" i="4"/>
  <c r="AZ12" i="4"/>
  <c r="AP13" i="4"/>
  <c r="AU13" i="4"/>
  <c r="AY13" i="4"/>
  <c r="AZ13" i="4"/>
  <c r="AF14" i="4"/>
  <c r="AP14" i="4"/>
  <c r="AU14" i="4"/>
  <c r="AY14" i="4"/>
  <c r="AZ14" i="4"/>
  <c r="AF15" i="4"/>
  <c r="AP15" i="4"/>
  <c r="AR15" i="4" s="1"/>
  <c r="AU15" i="4"/>
  <c r="AY15" i="4"/>
  <c r="AZ15" i="4"/>
  <c r="AP16" i="4"/>
  <c r="AR16" i="4" s="1"/>
  <c r="AU16" i="4"/>
  <c r="AY16" i="4"/>
  <c r="AZ16" i="4"/>
  <c r="AF17" i="4"/>
  <c r="AP17" i="4"/>
  <c r="AT17" i="4" s="1"/>
  <c r="AU17" i="4"/>
  <c r="AY17" i="4"/>
  <c r="AZ17" i="4"/>
  <c r="AF18" i="4"/>
  <c r="AP18" i="4"/>
  <c r="AR18" i="4" s="1"/>
  <c r="AU18" i="4"/>
  <c r="AY18" i="4"/>
  <c r="AZ18" i="4"/>
  <c r="AF19" i="4"/>
  <c r="AP19" i="4"/>
  <c r="AR19" i="4" s="1"/>
  <c r="AU19" i="4"/>
  <c r="AY19" i="4"/>
  <c r="AZ19" i="4"/>
  <c r="AP20" i="4"/>
  <c r="AT20" i="4" s="1"/>
  <c r="AU20" i="4"/>
  <c r="AY20" i="4"/>
  <c r="AZ20" i="4"/>
  <c r="AF21" i="4"/>
  <c r="AP21" i="4"/>
  <c r="AU21" i="4"/>
  <c r="AY21" i="4"/>
  <c r="AZ21" i="4"/>
  <c r="AP22" i="4"/>
  <c r="AR22" i="4" s="1"/>
  <c r="AU22" i="4"/>
  <c r="AY22" i="4"/>
  <c r="AZ22" i="4"/>
  <c r="AF23" i="4"/>
  <c r="AP23" i="4"/>
  <c r="AU23" i="4"/>
  <c r="AY23" i="4"/>
  <c r="AZ23" i="4"/>
  <c r="AF24" i="4"/>
  <c r="AP24" i="4"/>
  <c r="AU24" i="4"/>
  <c r="AY24" i="4"/>
  <c r="AZ24" i="4"/>
  <c r="AF25" i="4"/>
  <c r="AP25" i="4"/>
  <c r="AR25" i="4" s="1"/>
  <c r="AU25" i="4"/>
  <c r="AY25" i="4"/>
  <c r="AZ25" i="4"/>
  <c r="AF26" i="4"/>
  <c r="AP26" i="4"/>
  <c r="AR26" i="4" s="1"/>
  <c r="AU26" i="4"/>
  <c r="AY26" i="4"/>
  <c r="AZ26" i="4"/>
  <c r="AF27" i="4"/>
  <c r="AP27" i="4"/>
  <c r="AR27" i="4" s="1"/>
  <c r="AU27" i="4"/>
  <c r="AY27" i="4"/>
  <c r="AZ27" i="4"/>
  <c r="AF28" i="4"/>
  <c r="AP28" i="4"/>
  <c r="AR28" i="4" s="1"/>
  <c r="AU28" i="4"/>
  <c r="AY28" i="4"/>
  <c r="AZ28" i="4"/>
  <c r="AF29" i="4"/>
  <c r="AP29" i="4"/>
  <c r="AR29" i="4" s="1"/>
  <c r="AU29" i="4"/>
  <c r="AY29" i="4"/>
  <c r="AZ29" i="4"/>
  <c r="AF30" i="4"/>
  <c r="AP30" i="4"/>
  <c r="AT30" i="4" s="1"/>
  <c r="AU30" i="4"/>
  <c r="AY30" i="4"/>
  <c r="AZ30" i="4"/>
  <c r="AF31" i="4"/>
  <c r="AP31" i="4"/>
  <c r="AR31" i="4" s="1"/>
  <c r="AU31" i="4"/>
  <c r="AY31" i="4"/>
  <c r="AZ31" i="4"/>
  <c r="AF32" i="4"/>
  <c r="AP32" i="4"/>
  <c r="AR32" i="4" s="1"/>
  <c r="AU32" i="4"/>
  <c r="AY32" i="4"/>
  <c r="AZ32" i="4"/>
  <c r="AF33" i="4"/>
  <c r="AP33" i="4"/>
  <c r="AT33" i="4" s="1"/>
  <c r="AU33" i="4"/>
  <c r="AY33" i="4"/>
  <c r="AZ33" i="4"/>
  <c r="AF34" i="4"/>
  <c r="AP34" i="4"/>
  <c r="AU34" i="4"/>
  <c r="AY34" i="4"/>
  <c r="AZ34" i="4"/>
  <c r="AF35" i="4"/>
  <c r="AP35" i="4"/>
  <c r="AR35" i="4" s="1"/>
  <c r="AU35" i="4"/>
  <c r="AY35" i="4"/>
  <c r="AZ35" i="4"/>
  <c r="AF36" i="4"/>
  <c r="AP36" i="4"/>
  <c r="AU36" i="4"/>
  <c r="AY36" i="4"/>
  <c r="AZ36" i="4"/>
  <c r="AF37" i="4"/>
  <c r="AP37" i="4"/>
  <c r="AU37" i="4"/>
  <c r="AY37" i="4"/>
  <c r="AZ37" i="4"/>
  <c r="AF38" i="4"/>
  <c r="AP38" i="4"/>
  <c r="AU38" i="4"/>
  <c r="AY38" i="4"/>
  <c r="AZ38" i="4"/>
  <c r="AF39" i="4"/>
  <c r="AP39" i="4"/>
  <c r="AU39" i="4"/>
  <c r="AY39" i="4"/>
  <c r="AZ39" i="4"/>
  <c r="AF40" i="4"/>
  <c r="AP40" i="4"/>
  <c r="AU40" i="4"/>
  <c r="AY40" i="4"/>
  <c r="AZ40" i="4"/>
  <c r="AF41" i="4"/>
  <c r="AP41" i="4"/>
  <c r="AR41" i="4" s="1"/>
  <c r="AU41" i="4"/>
  <c r="AY41" i="4"/>
  <c r="AZ41" i="4"/>
  <c r="AF42" i="4"/>
  <c r="AP42" i="4"/>
  <c r="AU42" i="4"/>
  <c r="AY42" i="4"/>
  <c r="AZ42" i="4"/>
  <c r="AF43" i="4"/>
  <c r="AP43" i="4"/>
  <c r="AU43" i="4"/>
  <c r="AY43" i="4"/>
  <c r="AZ43" i="4"/>
  <c r="AF44" i="4"/>
  <c r="AP44" i="4"/>
  <c r="AT44" i="4" s="1"/>
  <c r="AU44" i="4"/>
  <c r="AY44" i="4"/>
  <c r="AZ44" i="4"/>
  <c r="AF45" i="4"/>
  <c r="AP45" i="4"/>
  <c r="AU45" i="4"/>
  <c r="AY45" i="4"/>
  <c r="AZ45" i="4"/>
  <c r="AF46" i="4"/>
  <c r="AP46" i="4"/>
  <c r="AR46" i="4" s="1"/>
  <c r="AU46" i="4"/>
  <c r="AY46" i="4"/>
  <c r="AZ46" i="4"/>
  <c r="AF47" i="4"/>
  <c r="AP47" i="4"/>
  <c r="AR47" i="4" s="1"/>
  <c r="AU47" i="4"/>
  <c r="AY47" i="4"/>
  <c r="AZ47" i="4"/>
  <c r="AF48" i="4"/>
  <c r="AP48" i="4"/>
  <c r="AU48" i="4"/>
  <c r="AY48" i="4"/>
  <c r="AZ48" i="4"/>
  <c r="AF49" i="4"/>
  <c r="AP49" i="4"/>
  <c r="AT49" i="4" s="1"/>
  <c r="AU49" i="4"/>
  <c r="AY49" i="4"/>
  <c r="AZ49" i="4"/>
  <c r="AF50" i="4"/>
  <c r="AP50" i="4"/>
  <c r="AU50" i="4"/>
  <c r="AY50" i="4"/>
  <c r="AZ50" i="4"/>
  <c r="AF51" i="4"/>
  <c r="AP51" i="4"/>
  <c r="AT51" i="4" s="1"/>
  <c r="AU51" i="4"/>
  <c r="AY51" i="4"/>
  <c r="AZ51" i="4"/>
  <c r="AF52" i="4"/>
  <c r="AP52" i="4"/>
  <c r="AT52" i="4" s="1"/>
  <c r="AU52" i="4"/>
  <c r="AY52" i="4"/>
  <c r="AZ52" i="4"/>
  <c r="AF53" i="4"/>
  <c r="AP53" i="4"/>
  <c r="AU53" i="4"/>
  <c r="AY53" i="4"/>
  <c r="AZ53" i="4"/>
  <c r="AF54" i="4"/>
  <c r="AP54" i="4"/>
  <c r="AR54" i="4" s="1"/>
  <c r="AU54" i="4"/>
  <c r="AY54" i="4"/>
  <c r="AZ54" i="4"/>
  <c r="AF55" i="4"/>
  <c r="AP55" i="4"/>
  <c r="AU55" i="4"/>
  <c r="AY55" i="4"/>
  <c r="AZ55" i="4"/>
  <c r="AF56" i="4"/>
  <c r="AP56" i="4"/>
  <c r="AR56" i="4" s="1"/>
  <c r="AU56" i="4"/>
  <c r="AY56" i="4"/>
  <c r="AZ56" i="4"/>
  <c r="AF57" i="4"/>
  <c r="AP57" i="4"/>
  <c r="AU57" i="4"/>
  <c r="AY57" i="4"/>
  <c r="AZ57" i="4"/>
  <c r="AF58" i="4"/>
  <c r="AP58" i="4"/>
  <c r="AR58" i="4" s="1"/>
  <c r="AU58" i="4"/>
  <c r="AY58" i="4"/>
  <c r="AZ58" i="4"/>
  <c r="AF59" i="4"/>
  <c r="AP59" i="4"/>
  <c r="AT59" i="4" s="1"/>
  <c r="AU59" i="4"/>
  <c r="AY59" i="4"/>
  <c r="AZ59" i="4"/>
  <c r="AF60" i="4"/>
  <c r="AP60" i="4"/>
  <c r="AR60" i="4" s="1"/>
  <c r="AU60" i="4"/>
  <c r="AY60" i="4"/>
  <c r="AZ60" i="4"/>
  <c r="AF61" i="4"/>
  <c r="AP61" i="4"/>
  <c r="AR61" i="4" s="1"/>
  <c r="AU61" i="4"/>
  <c r="AY61" i="4"/>
  <c r="AZ61" i="4"/>
  <c r="AF62" i="4"/>
  <c r="AP62" i="4"/>
  <c r="AU62" i="4"/>
  <c r="AY62" i="4"/>
  <c r="AZ62" i="4"/>
  <c r="AF63" i="4"/>
  <c r="AP63" i="4"/>
  <c r="AU63" i="4"/>
  <c r="AY63" i="4"/>
  <c r="AZ63" i="4"/>
  <c r="AF64" i="4"/>
  <c r="AP64" i="4"/>
  <c r="AU64" i="4"/>
  <c r="AY64" i="4"/>
  <c r="AZ64" i="4"/>
  <c r="AF65" i="4"/>
  <c r="AP65" i="4"/>
  <c r="AU65" i="4"/>
  <c r="AY65" i="4"/>
  <c r="AZ65" i="4"/>
  <c r="AF66" i="4"/>
  <c r="AP66" i="4"/>
  <c r="AR66" i="4" s="1"/>
  <c r="AU66" i="4"/>
  <c r="AY66" i="4"/>
  <c r="AZ66" i="4"/>
  <c r="AF67" i="4"/>
  <c r="AP67" i="4"/>
  <c r="AT67" i="4" s="1"/>
  <c r="AU67" i="4"/>
  <c r="AY67" i="4"/>
  <c r="AZ67" i="4"/>
  <c r="AF68" i="4"/>
  <c r="AP68" i="4"/>
  <c r="AT68" i="4" s="1"/>
  <c r="AU68" i="4"/>
  <c r="AY68" i="4"/>
  <c r="AZ68" i="4"/>
  <c r="AF69" i="4"/>
  <c r="AP69" i="4"/>
  <c r="AU69" i="4"/>
  <c r="AY69" i="4"/>
  <c r="AZ69" i="4"/>
  <c r="AF70" i="4"/>
  <c r="AP70" i="4"/>
  <c r="AR70" i="4" s="1"/>
  <c r="AU70" i="4"/>
  <c r="AY70" i="4"/>
  <c r="AZ70" i="4"/>
  <c r="AF71" i="4"/>
  <c r="AP71" i="4"/>
  <c r="AR71" i="4" s="1"/>
  <c r="AU71" i="4"/>
  <c r="AY71" i="4"/>
  <c r="AZ71" i="4"/>
  <c r="AF72" i="4"/>
  <c r="AP72" i="4"/>
  <c r="AU72" i="4"/>
  <c r="AY72" i="4"/>
  <c r="AZ72" i="4"/>
  <c r="AF73" i="4"/>
  <c r="AP73" i="4"/>
  <c r="AT73" i="4" s="1"/>
  <c r="AU73" i="4"/>
  <c r="AY73" i="4"/>
  <c r="AZ73" i="4"/>
  <c r="AF74" i="4"/>
  <c r="AP74" i="4"/>
  <c r="AU74" i="4"/>
  <c r="AY74" i="4"/>
  <c r="AZ74" i="4"/>
  <c r="AF75" i="4"/>
  <c r="AP75" i="4"/>
  <c r="AR75" i="4" s="1"/>
  <c r="AU75" i="4"/>
  <c r="AY75" i="4"/>
  <c r="AZ75" i="4"/>
  <c r="AF76" i="4"/>
  <c r="AP76" i="4"/>
  <c r="AT76" i="4" s="1"/>
  <c r="AU76" i="4"/>
  <c r="AY76" i="4"/>
  <c r="AZ76" i="4"/>
  <c r="AF77" i="4"/>
  <c r="AP77" i="4"/>
  <c r="AR77" i="4" s="1"/>
  <c r="AU77" i="4"/>
  <c r="AY77" i="4"/>
  <c r="AZ77" i="4"/>
  <c r="AF78" i="4"/>
  <c r="AP78" i="4"/>
  <c r="AR78" i="4" s="1"/>
  <c r="AU78" i="4"/>
  <c r="AY78" i="4"/>
  <c r="AZ78" i="4"/>
  <c r="AF79" i="4"/>
  <c r="AP79" i="4"/>
  <c r="AR79" i="4" s="1"/>
  <c r="AU79" i="4"/>
  <c r="AY79" i="4"/>
  <c r="AZ79" i="4"/>
  <c r="AF80" i="4"/>
  <c r="AP80" i="4"/>
  <c r="AR80" i="4" s="1"/>
  <c r="AU80" i="4"/>
  <c r="AY80" i="4"/>
  <c r="AZ80" i="4"/>
  <c r="AF81" i="4"/>
  <c r="AP81" i="4"/>
  <c r="AR81" i="4" s="1"/>
  <c r="AU81" i="4"/>
  <c r="AY81" i="4"/>
  <c r="AZ81" i="4"/>
  <c r="AF82" i="4"/>
  <c r="AP82" i="4"/>
  <c r="AR82" i="4" s="1"/>
  <c r="AU82" i="4"/>
  <c r="AY82" i="4"/>
  <c r="AZ82" i="4"/>
  <c r="AF83" i="4"/>
  <c r="AP83" i="4"/>
  <c r="AU83" i="4"/>
  <c r="AY83" i="4"/>
  <c r="AZ83" i="4"/>
  <c r="AF84" i="4"/>
  <c r="AP84" i="4"/>
  <c r="AR84" i="4" s="1"/>
  <c r="AU84" i="4"/>
  <c r="AY84" i="4"/>
  <c r="AZ84" i="4"/>
  <c r="AF85" i="4"/>
  <c r="AP85" i="4"/>
  <c r="AU85" i="4"/>
  <c r="AY85" i="4"/>
  <c r="AZ85" i="4"/>
  <c r="AF86" i="4"/>
  <c r="AP86" i="4"/>
  <c r="AT86" i="4" s="1"/>
  <c r="AU86" i="4"/>
  <c r="AY86" i="4"/>
  <c r="AZ86" i="4"/>
  <c r="AF87" i="4"/>
  <c r="AP87" i="4"/>
  <c r="AR87" i="4" s="1"/>
  <c r="AU87" i="4"/>
  <c r="AY87" i="4"/>
  <c r="AZ87" i="4"/>
  <c r="AF88" i="4"/>
  <c r="AP88" i="4"/>
  <c r="AU88" i="4"/>
  <c r="AY88" i="4"/>
  <c r="AZ88" i="4"/>
  <c r="AF89" i="4"/>
  <c r="AP89" i="4"/>
  <c r="AU89" i="4"/>
  <c r="AY89" i="4"/>
  <c r="AZ89" i="4"/>
  <c r="AF90" i="4"/>
  <c r="AP90" i="4"/>
  <c r="AR90" i="4" s="1"/>
  <c r="AU90" i="4"/>
  <c r="AY90" i="4"/>
  <c r="AZ90" i="4"/>
  <c r="AF91" i="4"/>
  <c r="AP91" i="4"/>
  <c r="AT91" i="4" s="1"/>
  <c r="AU91" i="4"/>
  <c r="AY91" i="4"/>
  <c r="AZ91" i="4"/>
  <c r="AF92" i="4"/>
  <c r="AP92" i="4"/>
  <c r="AR92" i="4" s="1"/>
  <c r="AU92" i="4"/>
  <c r="AY92" i="4"/>
  <c r="AZ92" i="4"/>
  <c r="AF93" i="4"/>
  <c r="AP93" i="4"/>
  <c r="AR93" i="4" s="1"/>
  <c r="AU93" i="4"/>
  <c r="AY93" i="4"/>
  <c r="AZ93" i="4"/>
  <c r="AF94" i="4"/>
  <c r="AP94" i="4"/>
  <c r="AU94" i="4"/>
  <c r="AY94" i="4"/>
  <c r="AZ94" i="4"/>
  <c r="AF95" i="4"/>
  <c r="AP95" i="4"/>
  <c r="AR95" i="4" s="1"/>
  <c r="AU95" i="4"/>
  <c r="AY95" i="4"/>
  <c r="AZ95" i="4"/>
  <c r="AF96" i="4"/>
  <c r="AP96" i="4"/>
  <c r="AU96" i="4"/>
  <c r="AY96" i="4"/>
  <c r="AZ96" i="4"/>
  <c r="AF97" i="4"/>
  <c r="AP97" i="4"/>
  <c r="AU97" i="4"/>
  <c r="AY97" i="4"/>
  <c r="AZ97" i="4"/>
  <c r="AF98" i="4"/>
  <c r="AP98" i="4"/>
  <c r="AU98" i="4"/>
  <c r="AY98" i="4"/>
  <c r="AZ98" i="4"/>
  <c r="AF99" i="4"/>
  <c r="AP99" i="4"/>
  <c r="AR99" i="4" s="1"/>
  <c r="AU99" i="4"/>
  <c r="AY99" i="4"/>
  <c r="AZ99" i="4"/>
  <c r="AF100" i="4"/>
  <c r="AP100" i="4"/>
  <c r="AU100" i="4"/>
  <c r="AY100" i="4"/>
  <c r="AZ100" i="4"/>
  <c r="AF101" i="4"/>
  <c r="AP101" i="4"/>
  <c r="AR101" i="4" s="1"/>
  <c r="AU101" i="4"/>
  <c r="AY101" i="4"/>
  <c r="AZ101" i="4"/>
  <c r="AF102" i="4"/>
  <c r="AP102" i="4"/>
  <c r="AR102" i="4" s="1"/>
  <c r="AU102" i="4"/>
  <c r="AY102" i="4"/>
  <c r="AZ102" i="4"/>
  <c r="AF103" i="4"/>
  <c r="AP103" i="4"/>
  <c r="AU103" i="4"/>
  <c r="AY103" i="4"/>
  <c r="AZ103" i="4"/>
  <c r="AF104" i="4"/>
  <c r="AP104" i="4"/>
  <c r="AR104" i="4" s="1"/>
  <c r="AU104" i="4"/>
  <c r="AY104" i="4"/>
  <c r="AZ104" i="4"/>
  <c r="AF105" i="4"/>
  <c r="AP105" i="4"/>
  <c r="AR105" i="4" s="1"/>
  <c r="AU105" i="4"/>
  <c r="AY105" i="4"/>
  <c r="AZ105" i="4"/>
  <c r="AF106" i="4"/>
  <c r="AP106" i="4"/>
  <c r="AR106" i="4" s="1"/>
  <c r="AU106" i="4"/>
  <c r="AY106" i="4"/>
  <c r="AZ106" i="4"/>
  <c r="AF107" i="4"/>
  <c r="AP107" i="4"/>
  <c r="AU107" i="4"/>
  <c r="AY107" i="4"/>
  <c r="AZ107" i="4"/>
  <c r="AF108" i="4"/>
  <c r="AP108" i="4"/>
  <c r="AU108" i="4"/>
  <c r="AY108" i="4"/>
  <c r="AZ108" i="4"/>
  <c r="AF109" i="4"/>
  <c r="AP109" i="4"/>
  <c r="AR109" i="4" s="1"/>
  <c r="AU109" i="4"/>
  <c r="AY109" i="4"/>
  <c r="AZ109" i="4"/>
  <c r="AF110" i="4"/>
  <c r="AP110" i="4"/>
  <c r="AU110" i="4"/>
  <c r="AY110" i="4"/>
  <c r="AZ110" i="4"/>
  <c r="AF111" i="4"/>
  <c r="AP111" i="4"/>
  <c r="AU111" i="4"/>
  <c r="AY111" i="4"/>
  <c r="AZ111" i="4"/>
  <c r="AF112" i="4"/>
  <c r="AP112" i="4"/>
  <c r="AU112" i="4"/>
  <c r="AY112" i="4"/>
  <c r="AZ112" i="4"/>
  <c r="AF113" i="4"/>
  <c r="AP113" i="4"/>
  <c r="AR113" i="4" s="1"/>
  <c r="AU113" i="4"/>
  <c r="AY113" i="4"/>
  <c r="AZ113" i="4"/>
  <c r="AF114" i="4"/>
  <c r="AP114" i="4"/>
  <c r="AU114" i="4"/>
  <c r="AY114" i="4"/>
  <c r="AZ114" i="4"/>
  <c r="AF115" i="4"/>
  <c r="AP115" i="4"/>
  <c r="AU115" i="4"/>
  <c r="AY115" i="4"/>
  <c r="AZ115" i="4"/>
  <c r="AF116" i="4"/>
  <c r="AP116" i="4"/>
  <c r="AR116" i="4" s="1"/>
  <c r="AU116" i="4"/>
  <c r="AY116" i="4"/>
  <c r="AZ116" i="4"/>
  <c r="AF117" i="4"/>
  <c r="AP117" i="4"/>
  <c r="AU117" i="4"/>
  <c r="AY117" i="4"/>
  <c r="AZ117" i="4"/>
  <c r="AF118" i="4"/>
  <c r="AP118" i="4"/>
  <c r="AU118" i="4"/>
  <c r="AY118" i="4"/>
  <c r="AZ118" i="4"/>
  <c r="AF119" i="4"/>
  <c r="AP119" i="4"/>
  <c r="AR119" i="4" s="1"/>
  <c r="AU119" i="4"/>
  <c r="AY119" i="4"/>
  <c r="AZ119" i="4"/>
  <c r="AF120" i="4"/>
  <c r="AP120" i="4"/>
  <c r="AU120" i="4"/>
  <c r="AY120" i="4"/>
  <c r="AZ120" i="4"/>
  <c r="AF121" i="4"/>
  <c r="AP121" i="4"/>
  <c r="AT121" i="4" s="1"/>
  <c r="AU121" i="4"/>
  <c r="AY121" i="4"/>
  <c r="AZ121" i="4"/>
  <c r="AF122" i="4"/>
  <c r="AP122" i="4"/>
  <c r="AR122" i="4" s="1"/>
  <c r="AU122" i="4"/>
  <c r="AY122" i="4"/>
  <c r="AZ122" i="4"/>
  <c r="AF123" i="4"/>
  <c r="AP123" i="4"/>
  <c r="AR123" i="4" s="1"/>
  <c r="AU123" i="4"/>
  <c r="AY123" i="4"/>
  <c r="AZ123" i="4"/>
  <c r="AF124" i="4"/>
  <c r="AP124" i="4"/>
  <c r="AT124" i="4" s="1"/>
  <c r="AU124" i="4"/>
  <c r="AY124" i="4"/>
  <c r="AZ124" i="4"/>
  <c r="AF125" i="4"/>
  <c r="AP125" i="4"/>
  <c r="AR125" i="4" s="1"/>
  <c r="AU125" i="4"/>
  <c r="AY125" i="4"/>
  <c r="AZ125" i="4"/>
  <c r="AF126" i="4"/>
  <c r="AP126" i="4"/>
  <c r="AU126" i="4"/>
  <c r="AY126" i="4"/>
  <c r="AZ126" i="4"/>
  <c r="AF127" i="4"/>
  <c r="AP127" i="4"/>
  <c r="AR127" i="4" s="1"/>
  <c r="AU127" i="4"/>
  <c r="AY127" i="4"/>
  <c r="AZ127" i="4"/>
  <c r="AF128" i="4"/>
  <c r="AP128" i="4"/>
  <c r="AU128" i="4"/>
  <c r="AY128" i="4"/>
  <c r="AZ128" i="4"/>
  <c r="AF153" i="4"/>
  <c r="AP153" i="4"/>
  <c r="AT153" i="4" s="1"/>
  <c r="AU153" i="4"/>
  <c r="AY153" i="4"/>
  <c r="AZ153" i="4"/>
  <c r="AF154" i="4"/>
  <c r="AP154" i="4"/>
  <c r="AU154" i="4"/>
  <c r="AY154" i="4"/>
  <c r="AZ154" i="4"/>
  <c r="AF155" i="4"/>
  <c r="AP155" i="4"/>
  <c r="AT155" i="4" s="1"/>
  <c r="AU155" i="4"/>
  <c r="AY155" i="4"/>
  <c r="AZ155" i="4"/>
  <c r="AF156" i="4"/>
  <c r="AP156" i="4"/>
  <c r="AT156" i="4" s="1"/>
  <c r="AU156" i="4"/>
  <c r="AY156" i="4"/>
  <c r="AZ156" i="4"/>
  <c r="AF157" i="4"/>
  <c r="AP157" i="4"/>
  <c r="AR157" i="4" s="1"/>
  <c r="AU157" i="4"/>
  <c r="AY157" i="4"/>
  <c r="AZ157" i="4"/>
  <c r="AF158" i="4"/>
  <c r="AP158" i="4"/>
  <c r="AT158" i="4" s="1"/>
  <c r="AU158" i="4"/>
  <c r="AY158" i="4"/>
  <c r="AZ158" i="4"/>
  <c r="AF159" i="4"/>
  <c r="AP159" i="4"/>
  <c r="AU159" i="4"/>
  <c r="AY159" i="4"/>
  <c r="AZ159" i="4"/>
  <c r="AF160" i="4"/>
  <c r="AP160" i="4"/>
  <c r="AU160" i="4"/>
  <c r="AY160" i="4"/>
  <c r="AZ160" i="4"/>
  <c r="AF161" i="4"/>
  <c r="AP161" i="4"/>
  <c r="AU161" i="4"/>
  <c r="AY161" i="4"/>
  <c r="AZ161" i="4"/>
  <c r="AF162" i="4"/>
  <c r="AP162" i="4"/>
  <c r="AU162" i="4"/>
  <c r="AY162" i="4"/>
  <c r="AZ162" i="4"/>
  <c r="AF163" i="4"/>
  <c r="AP163" i="4"/>
  <c r="AR163" i="4" s="1"/>
  <c r="AU163" i="4"/>
  <c r="AY163" i="4"/>
  <c r="AZ163" i="4"/>
  <c r="AF164" i="4"/>
  <c r="AP164" i="4"/>
  <c r="AR164" i="4" s="1"/>
  <c r="AU164" i="4"/>
  <c r="AY164" i="4"/>
  <c r="AZ164" i="4"/>
  <c r="AF165" i="4"/>
  <c r="AP165" i="4"/>
  <c r="AU165" i="4"/>
  <c r="AY165" i="4"/>
  <c r="AZ165" i="4"/>
  <c r="AF166" i="4"/>
  <c r="AP166" i="4"/>
  <c r="AR166" i="4" s="1"/>
  <c r="AU166" i="4"/>
  <c r="AY166" i="4"/>
  <c r="AZ166" i="4"/>
  <c r="AF167" i="4"/>
  <c r="AP167" i="4"/>
  <c r="AU167" i="4"/>
  <c r="AY167" i="4"/>
  <c r="AZ167" i="4"/>
  <c r="AF168" i="4"/>
  <c r="AP168" i="4"/>
  <c r="AU168" i="4"/>
  <c r="AY168" i="4"/>
  <c r="AZ168" i="4"/>
  <c r="AF169" i="4"/>
  <c r="AP169" i="4"/>
  <c r="AU169" i="4"/>
  <c r="AY169" i="4"/>
  <c r="AZ169" i="4"/>
  <c r="AF170" i="4"/>
  <c r="AP170" i="4"/>
  <c r="AR170" i="4" s="1"/>
  <c r="AU170" i="4"/>
  <c r="AY170" i="4"/>
  <c r="AZ170" i="4"/>
  <c r="AF171" i="4"/>
  <c r="AP171" i="4"/>
  <c r="AR171" i="4" s="1"/>
  <c r="AU171" i="4"/>
  <c r="AY171" i="4"/>
  <c r="AZ171" i="4"/>
  <c r="AF172" i="4"/>
  <c r="AP172" i="4"/>
  <c r="AU172" i="4"/>
  <c r="AY172" i="4"/>
  <c r="AZ172" i="4"/>
  <c r="AF173" i="4"/>
  <c r="AP173" i="4"/>
  <c r="AU173" i="4"/>
  <c r="AY173" i="4"/>
  <c r="AZ173" i="4"/>
  <c r="AF174" i="4"/>
  <c r="AP174" i="4"/>
  <c r="AR174" i="4" s="1"/>
  <c r="AU174" i="4"/>
  <c r="AY174" i="4"/>
  <c r="AZ174" i="4"/>
  <c r="AF175" i="4"/>
  <c r="AP175" i="4"/>
  <c r="AU175" i="4"/>
  <c r="AY175" i="4"/>
  <c r="AZ175" i="4"/>
  <c r="AF176" i="4"/>
  <c r="AP176" i="4"/>
  <c r="AU176" i="4"/>
  <c r="AY176" i="4"/>
  <c r="AZ176" i="4"/>
  <c r="AF177" i="4"/>
  <c r="AP177" i="4"/>
  <c r="AR177" i="4" s="1"/>
  <c r="AU177" i="4"/>
  <c r="AY177" i="4"/>
  <c r="AZ177" i="4"/>
  <c r="AF178" i="4"/>
  <c r="AP178" i="4"/>
  <c r="AU178" i="4"/>
  <c r="AY178" i="4"/>
  <c r="AZ178" i="4"/>
  <c r="AF179" i="4"/>
  <c r="AP179" i="4"/>
  <c r="AT179" i="4" s="1"/>
  <c r="AU179" i="4"/>
  <c r="AY179" i="4"/>
  <c r="AZ179" i="4"/>
  <c r="AF180" i="4"/>
  <c r="AP180" i="4"/>
  <c r="AR180" i="4" s="1"/>
  <c r="AU180" i="4"/>
  <c r="AY180" i="4"/>
  <c r="AZ180" i="4"/>
  <c r="AF181" i="4"/>
  <c r="AP181" i="4"/>
  <c r="AU181" i="4"/>
  <c r="AY181" i="4"/>
  <c r="AZ181" i="4"/>
  <c r="AF182" i="4"/>
  <c r="AP182" i="4"/>
  <c r="AT182" i="4" s="1"/>
  <c r="AU182" i="4"/>
  <c r="AY182" i="4"/>
  <c r="AZ182" i="4"/>
  <c r="AF183" i="4"/>
  <c r="AP183" i="4"/>
  <c r="AU183" i="4"/>
  <c r="AY183" i="4"/>
  <c r="AZ183" i="4"/>
  <c r="AF184" i="4"/>
  <c r="AP184" i="4"/>
  <c r="AR184" i="4" s="1"/>
  <c r="AU184" i="4"/>
  <c r="AY184" i="4"/>
  <c r="AZ184" i="4"/>
  <c r="AF185" i="4"/>
  <c r="AP185" i="4"/>
  <c r="AT185" i="4" s="1"/>
  <c r="AU185" i="4"/>
  <c r="AY185" i="4"/>
  <c r="AZ185" i="4"/>
  <c r="AF186" i="4"/>
  <c r="AP186" i="4"/>
  <c r="AU186" i="4"/>
  <c r="AY186" i="4"/>
  <c r="AZ186" i="4"/>
  <c r="AF187" i="4"/>
  <c r="AP187" i="4"/>
  <c r="AR187" i="4" s="1"/>
  <c r="AU187" i="4"/>
  <c r="AY187" i="4"/>
  <c r="AZ187" i="4"/>
  <c r="AF188" i="4"/>
  <c r="AP188" i="4"/>
  <c r="AR188" i="4" s="1"/>
  <c r="AU188" i="4"/>
  <c r="AY188" i="4"/>
  <c r="AZ188" i="4"/>
  <c r="AF189" i="4"/>
  <c r="AP189" i="4"/>
  <c r="AT189" i="4" s="1"/>
  <c r="AU189" i="4"/>
  <c r="AY189" i="4"/>
  <c r="AZ189" i="4"/>
  <c r="AF190" i="4"/>
  <c r="AP190" i="4"/>
  <c r="AT190" i="4" s="1"/>
  <c r="AU190" i="4"/>
  <c r="AY190" i="4"/>
  <c r="AZ190" i="4"/>
  <c r="AF191" i="4"/>
  <c r="AP191" i="4"/>
  <c r="AR191" i="4" s="1"/>
  <c r="AU191" i="4"/>
  <c r="AY191" i="4"/>
  <c r="AZ191" i="4"/>
  <c r="AF192" i="4"/>
  <c r="AP192" i="4"/>
  <c r="AR192" i="4" s="1"/>
  <c r="AU192" i="4"/>
  <c r="AY192" i="4"/>
  <c r="AZ192" i="4"/>
  <c r="AF193" i="4"/>
  <c r="AP193" i="4"/>
  <c r="AT193" i="4" s="1"/>
  <c r="AU193" i="4"/>
  <c r="AY193" i="4"/>
  <c r="AZ193" i="4"/>
  <c r="AF194" i="4"/>
  <c r="AP194" i="4"/>
  <c r="AR194" i="4" s="1"/>
  <c r="AU194" i="4"/>
  <c r="AY194" i="4"/>
  <c r="AZ194" i="4"/>
  <c r="AF195" i="4"/>
  <c r="AP195" i="4"/>
  <c r="AR195" i="4" s="1"/>
  <c r="AU195" i="4"/>
  <c r="AY195" i="4"/>
  <c r="AZ195" i="4"/>
  <c r="AF196" i="4"/>
  <c r="AP196" i="4"/>
  <c r="AT196" i="4" s="1"/>
  <c r="AU196" i="4"/>
  <c r="AY196" i="4"/>
  <c r="AZ196" i="4"/>
  <c r="AF197" i="4"/>
  <c r="AP197" i="4"/>
  <c r="AU197" i="4"/>
  <c r="AY197" i="4"/>
  <c r="AZ197" i="4"/>
  <c r="AF198" i="4"/>
  <c r="AP198" i="4"/>
  <c r="AR198" i="4" s="1"/>
  <c r="AU198" i="4"/>
  <c r="AY198" i="4"/>
  <c r="AZ198" i="4"/>
  <c r="AF199" i="4"/>
  <c r="AP199" i="4"/>
  <c r="AU199" i="4"/>
  <c r="AY199" i="4"/>
  <c r="AZ199" i="4"/>
  <c r="AF200" i="4"/>
  <c r="AP200" i="4"/>
  <c r="AR200" i="4" s="1"/>
  <c r="AU200" i="4"/>
  <c r="AY200" i="4"/>
  <c r="AZ200" i="4"/>
  <c r="AF201" i="4"/>
  <c r="AP201" i="4"/>
  <c r="AR201" i="4" s="1"/>
  <c r="AU201" i="4"/>
  <c r="AY201" i="4"/>
  <c r="AZ201" i="4"/>
  <c r="AF202" i="4"/>
  <c r="AP202" i="4"/>
  <c r="AR202" i="4" s="1"/>
  <c r="AU202" i="4"/>
  <c r="AY202" i="4"/>
  <c r="AZ202" i="4"/>
  <c r="AF203" i="4"/>
  <c r="AP203" i="4"/>
  <c r="AU203" i="4"/>
  <c r="AY203" i="4"/>
  <c r="AZ203" i="4"/>
  <c r="AF204" i="4"/>
  <c r="AP204" i="4"/>
  <c r="AR204" i="4" s="1"/>
  <c r="AU204" i="4"/>
  <c r="AY204" i="4"/>
  <c r="AZ204" i="4"/>
  <c r="AF205" i="4"/>
  <c r="AP205" i="4"/>
  <c r="AR205" i="4" s="1"/>
  <c r="AU205" i="4"/>
  <c r="AY205" i="4"/>
  <c r="AZ205" i="4"/>
  <c r="AF206" i="4"/>
  <c r="AP206" i="4"/>
  <c r="AU206" i="4"/>
  <c r="AY206" i="4"/>
  <c r="AZ206" i="4"/>
  <c r="AF207" i="4"/>
  <c r="AP207" i="4"/>
  <c r="AU207" i="4"/>
  <c r="AY207" i="4"/>
  <c r="AZ207" i="4"/>
  <c r="AF208" i="4"/>
  <c r="AP208" i="4"/>
  <c r="AU208" i="4"/>
  <c r="AY208" i="4"/>
  <c r="AZ208" i="4"/>
  <c r="AF209" i="4"/>
  <c r="AP209" i="4"/>
  <c r="AU209" i="4"/>
  <c r="AY209" i="4"/>
  <c r="AZ209" i="4"/>
  <c r="AF210" i="4"/>
  <c r="AP210" i="4"/>
  <c r="AU210" i="4"/>
  <c r="AY210" i="4"/>
  <c r="AZ210" i="4"/>
  <c r="AF211" i="4"/>
  <c r="AP211" i="4"/>
  <c r="AR211" i="4" s="1"/>
  <c r="AU211" i="4"/>
  <c r="AY211" i="4"/>
  <c r="AZ211" i="4"/>
  <c r="AF212" i="4"/>
  <c r="AP212" i="4"/>
  <c r="AR212" i="4" s="1"/>
  <c r="AU212" i="4"/>
  <c r="AY212" i="4"/>
  <c r="AZ212" i="4"/>
  <c r="AF213" i="4"/>
  <c r="AP213" i="4"/>
  <c r="AU213" i="4"/>
  <c r="AY213" i="4"/>
  <c r="AZ213" i="4"/>
  <c r="AF214" i="4"/>
  <c r="AP214" i="4"/>
  <c r="AR214" i="4" s="1"/>
  <c r="AU214" i="4"/>
  <c r="AY214" i="4"/>
  <c r="AZ214" i="4"/>
  <c r="AF215" i="4"/>
  <c r="AP215" i="4"/>
  <c r="AU215" i="4"/>
  <c r="AY215" i="4"/>
  <c r="AZ215" i="4"/>
  <c r="AF216" i="4"/>
  <c r="AP216" i="4"/>
  <c r="AU216" i="4"/>
  <c r="AY216" i="4"/>
  <c r="AZ216" i="4"/>
  <c r="AQ10" i="8"/>
  <c r="B97" i="12"/>
  <c r="B98" i="12"/>
  <c r="B233" i="12" s="1"/>
  <c r="B368" i="12" s="1"/>
  <c r="B503" i="12" s="1"/>
  <c r="B638" i="12" s="1"/>
  <c r="B773" i="12" s="1"/>
  <c r="B908" i="12" s="1"/>
  <c r="B99" i="12"/>
  <c r="B234" i="12" s="1"/>
  <c r="B369" i="12" s="1"/>
  <c r="B504" i="12" s="1"/>
  <c r="B639" i="12" s="1"/>
  <c r="B774" i="12" s="1"/>
  <c r="B909" i="12" s="1"/>
  <c r="B1044" i="12" s="1"/>
  <c r="B1179" i="12" s="1"/>
  <c r="B1314" i="12" s="1"/>
  <c r="B1449" i="12" s="1"/>
  <c r="B1584" i="12" s="1"/>
  <c r="B1719" i="12" s="1"/>
  <c r="B1854" i="12" s="1"/>
  <c r="B100" i="12"/>
  <c r="B235" i="12" s="1"/>
  <c r="B370" i="12" s="1"/>
  <c r="B505" i="12" s="1"/>
  <c r="B640" i="12" s="1"/>
  <c r="B101" i="12"/>
  <c r="B102" i="12"/>
  <c r="B237" i="12" s="1"/>
  <c r="B372" i="12" s="1"/>
  <c r="B507" i="12" s="1"/>
  <c r="B642" i="12" s="1"/>
  <c r="B777" i="12" s="1"/>
  <c r="B912" i="12" s="1"/>
  <c r="B1047" i="12" s="1"/>
  <c r="B1182" i="12" s="1"/>
  <c r="B1317" i="12" s="1"/>
  <c r="B103" i="12"/>
  <c r="B104" i="12"/>
  <c r="B239" i="12" s="1"/>
  <c r="B374" i="12" s="1"/>
  <c r="B509" i="12" s="1"/>
  <c r="B644" i="12" s="1"/>
  <c r="B779" i="12" s="1"/>
  <c r="B914" i="12" s="1"/>
  <c r="B1049" i="12" s="1"/>
  <c r="B1184" i="12" s="1"/>
  <c r="B105" i="12"/>
  <c r="B240" i="12" s="1"/>
  <c r="B106" i="12"/>
  <c r="B107" i="12"/>
  <c r="B242" i="12" s="1"/>
  <c r="B108" i="12"/>
  <c r="B243" i="12" s="1"/>
  <c r="B378" i="12" s="1"/>
  <c r="B513" i="12" s="1"/>
  <c r="B648" i="12" s="1"/>
  <c r="B783" i="12" s="1"/>
  <c r="B918" i="12" s="1"/>
  <c r="B1053" i="12" s="1"/>
  <c r="B1188" i="12" s="1"/>
  <c r="B1323" i="12" s="1"/>
  <c r="B1458" i="12" s="1"/>
  <c r="B109" i="12"/>
  <c r="B244" i="12" s="1"/>
  <c r="B379" i="12" s="1"/>
  <c r="B514" i="12" s="1"/>
  <c r="B649" i="12" s="1"/>
  <c r="B784" i="12" s="1"/>
  <c r="B919" i="12" s="1"/>
  <c r="B110" i="12"/>
  <c r="B245" i="12" s="1"/>
  <c r="B111" i="12"/>
  <c r="B246" i="12" s="1"/>
  <c r="B381" i="12"/>
  <c r="B516" i="12" s="1"/>
  <c r="B651" i="12" s="1"/>
  <c r="B786" i="12" s="1"/>
  <c r="B112" i="12"/>
  <c r="B247" i="12" s="1"/>
  <c r="B113" i="12"/>
  <c r="B248" i="12" s="1"/>
  <c r="B383" i="12" s="1"/>
  <c r="B518" i="12" s="1"/>
  <c r="B653" i="12" s="1"/>
  <c r="B114" i="12"/>
  <c r="B249" i="12" s="1"/>
  <c r="B115" i="12"/>
  <c r="B250" i="12" s="1"/>
  <c r="B385" i="12" s="1"/>
  <c r="B520" i="12" s="1"/>
  <c r="B655" i="12" s="1"/>
  <c r="B790" i="12" s="1"/>
  <c r="B116" i="12"/>
  <c r="B251" i="12" s="1"/>
  <c r="B386" i="12" s="1"/>
  <c r="B521" i="12" s="1"/>
  <c r="B656" i="12" s="1"/>
  <c r="B791" i="12" s="1"/>
  <c r="B117" i="12"/>
  <c r="B252" i="12" s="1"/>
  <c r="B118" i="12"/>
  <c r="B81" i="12"/>
  <c r="B216" i="12" s="1"/>
  <c r="B351" i="12" s="1"/>
  <c r="B486" i="12" s="1"/>
  <c r="B621" i="12" s="1"/>
  <c r="B756" i="12" s="1"/>
  <c r="B82" i="12"/>
  <c r="B217" i="12" s="1"/>
  <c r="B83" i="12"/>
  <c r="B218" i="12" s="1"/>
  <c r="B84" i="12"/>
  <c r="B85" i="12"/>
  <c r="B220" i="12" s="1"/>
  <c r="B355" i="12" s="1"/>
  <c r="B490" i="12" s="1"/>
  <c r="B625" i="12" s="1"/>
  <c r="B760" i="12" s="1"/>
  <c r="B895" i="12" s="1"/>
  <c r="B1030" i="12" s="1"/>
  <c r="B86" i="12"/>
  <c r="B87" i="12"/>
  <c r="B222" i="12" s="1"/>
  <c r="B357" i="12" s="1"/>
  <c r="B492" i="12" s="1"/>
  <c r="B627" i="12" s="1"/>
  <c r="B762" i="12" s="1"/>
  <c r="B88" i="12"/>
  <c r="B223" i="12" s="1"/>
  <c r="B89" i="12"/>
  <c r="B224" i="12"/>
  <c r="B359" i="12" s="1"/>
  <c r="B494" i="12" s="1"/>
  <c r="B629" i="12" s="1"/>
  <c r="B764" i="12" s="1"/>
  <c r="B899" i="12" s="1"/>
  <c r="B1034" i="12" s="1"/>
  <c r="B1169" i="12" s="1"/>
  <c r="B1304" i="12" s="1"/>
  <c r="B1439" i="12" s="1"/>
  <c r="B1574" i="12" s="1"/>
  <c r="B90" i="12"/>
  <c r="B225" i="12" s="1"/>
  <c r="B360" i="12" s="1"/>
  <c r="B495" i="12" s="1"/>
  <c r="B91" i="12"/>
  <c r="B92" i="12"/>
  <c r="B227" i="12" s="1"/>
  <c r="B362" i="12" s="1"/>
  <c r="B93" i="12"/>
  <c r="B228" i="12" s="1"/>
  <c r="B94" i="12"/>
  <c r="B229" i="12" s="1"/>
  <c r="B364" i="12" s="1"/>
  <c r="B499" i="12" s="1"/>
  <c r="B95" i="12"/>
  <c r="B96" i="12"/>
  <c r="B231" i="12" s="1"/>
  <c r="B366" i="12" s="1"/>
  <c r="B501" i="12" s="1"/>
  <c r="B636" i="12" s="1"/>
  <c r="B771" i="12" s="1"/>
  <c r="B906" i="12" s="1"/>
  <c r="B3" i="12"/>
  <c r="B138" i="12" s="1"/>
  <c r="B273" i="12" s="1"/>
  <c r="B4" i="12"/>
  <c r="B5" i="12"/>
  <c r="B140" i="12" s="1"/>
  <c r="B275" i="12" s="1"/>
  <c r="B410" i="12" s="1"/>
  <c r="B545" i="12" s="1"/>
  <c r="B680" i="12" s="1"/>
  <c r="B815" i="12" s="1"/>
  <c r="B950" i="12" s="1"/>
  <c r="B1085" i="12" s="1"/>
  <c r="B1220" i="12" s="1"/>
  <c r="B6" i="12"/>
  <c r="B141" i="12" s="1"/>
  <c r="B7" i="12"/>
  <c r="B142" i="12" s="1"/>
  <c r="B277" i="12" s="1"/>
  <c r="B412" i="12" s="1"/>
  <c r="B8" i="12"/>
  <c r="B143" i="12" s="1"/>
  <c r="B9" i="12"/>
  <c r="B144" i="12" s="1"/>
  <c r="B279" i="12" s="1"/>
  <c r="B414" i="12" s="1"/>
  <c r="B10" i="12"/>
  <c r="B145" i="12" s="1"/>
  <c r="B280" i="12" s="1"/>
  <c r="B415" i="12" s="1"/>
  <c r="B11" i="12"/>
  <c r="B12" i="12"/>
  <c r="B147" i="12" s="1"/>
  <c r="B282" i="12" s="1"/>
  <c r="B417" i="12" s="1"/>
  <c r="B552" i="12" s="1"/>
  <c r="B687" i="12" s="1"/>
  <c r="B822" i="12" s="1"/>
  <c r="B13" i="12"/>
  <c r="B148" i="12" s="1"/>
  <c r="B283" i="12" s="1"/>
  <c r="B418" i="12" s="1"/>
  <c r="B553" i="12" s="1"/>
  <c r="B14" i="12"/>
  <c r="B149" i="12" s="1"/>
  <c r="B15" i="12"/>
  <c r="B150" i="12" s="1"/>
  <c r="B285" i="12" s="1"/>
  <c r="B420" i="12" s="1"/>
  <c r="B555" i="12" s="1"/>
  <c r="B690" i="12" s="1"/>
  <c r="B825" i="12" s="1"/>
  <c r="B960" i="12" s="1"/>
  <c r="B16" i="12"/>
  <c r="B17" i="12"/>
  <c r="B18" i="12"/>
  <c r="B153" i="12" s="1"/>
  <c r="B288" i="12" s="1"/>
  <c r="B423" i="12" s="1"/>
  <c r="B558" i="12" s="1"/>
  <c r="B693" i="12" s="1"/>
  <c r="B828" i="12" s="1"/>
  <c r="B963" i="12" s="1"/>
  <c r="B19" i="12"/>
  <c r="B20" i="12"/>
  <c r="B155" i="12" s="1"/>
  <c r="B290" i="12" s="1"/>
  <c r="B425" i="12" s="1"/>
  <c r="B560" i="12" s="1"/>
  <c r="B695" i="12" s="1"/>
  <c r="B21" i="12"/>
  <c r="B22" i="12"/>
  <c r="B157" i="12" s="1"/>
  <c r="B292" i="12" s="1"/>
  <c r="B427" i="12" s="1"/>
  <c r="B562" i="12" s="1"/>
  <c r="B697" i="12" s="1"/>
  <c r="B23" i="12"/>
  <c r="B24" i="12"/>
  <c r="B159" i="12" s="1"/>
  <c r="B294" i="12" s="1"/>
  <c r="B25" i="12"/>
  <c r="B160" i="12" s="1"/>
  <c r="B295" i="12" s="1"/>
  <c r="B26" i="12"/>
  <c r="B161" i="12" s="1"/>
  <c r="B27" i="12"/>
  <c r="B162" i="12" s="1"/>
  <c r="B297" i="12" s="1"/>
  <c r="B432" i="12" s="1"/>
  <c r="B567" i="12" s="1"/>
  <c r="B28" i="12"/>
  <c r="B163" i="12" s="1"/>
  <c r="B298" i="12" s="1"/>
  <c r="B433" i="12" s="1"/>
  <c r="B29" i="12"/>
  <c r="B164" i="12" s="1"/>
  <c r="B299" i="12" s="1"/>
  <c r="B30" i="12"/>
  <c r="B31" i="12"/>
  <c r="B32" i="12"/>
  <c r="B33" i="12"/>
  <c r="B168" i="12" s="1"/>
  <c r="B34" i="12"/>
  <c r="B169" i="12" s="1"/>
  <c r="B304" i="12" s="1"/>
  <c r="B35" i="12"/>
  <c r="B170" i="12" s="1"/>
  <c r="B305" i="12" s="1"/>
  <c r="B440" i="12" s="1"/>
  <c r="B36" i="12"/>
  <c r="B37" i="12"/>
  <c r="B38" i="12"/>
  <c r="B173" i="12" s="1"/>
  <c r="B308" i="12" s="1"/>
  <c r="B443" i="12" s="1"/>
  <c r="B39" i="12"/>
  <c r="B40" i="12"/>
  <c r="B41" i="12"/>
  <c r="B176" i="12" s="1"/>
  <c r="B42" i="12"/>
  <c r="B43" i="12"/>
  <c r="B178" i="12" s="1"/>
  <c r="B313" i="12" s="1"/>
  <c r="B44" i="12"/>
  <c r="B45" i="12"/>
  <c r="B46" i="12"/>
  <c r="B181" i="12" s="1"/>
  <c r="B47" i="12"/>
  <c r="B182" i="12" s="1"/>
  <c r="B48" i="12"/>
  <c r="B49" i="12"/>
  <c r="B184" i="12" s="1"/>
  <c r="B319" i="12" s="1"/>
  <c r="B454" i="12" s="1"/>
  <c r="B589" i="12" s="1"/>
  <c r="B50" i="12"/>
  <c r="B51" i="12"/>
  <c r="B186" i="12" s="1"/>
  <c r="B321" i="12" s="1"/>
  <c r="B456" i="12" s="1"/>
  <c r="B591" i="12" s="1"/>
  <c r="B726" i="12" s="1"/>
  <c r="B52" i="12"/>
  <c r="B187" i="12" s="1"/>
  <c r="B322" i="12" s="1"/>
  <c r="B457" i="12" s="1"/>
  <c r="B592" i="12" s="1"/>
  <c r="B727" i="12" s="1"/>
  <c r="B862" i="12" s="1"/>
  <c r="B53" i="12"/>
  <c r="B188" i="12" s="1"/>
  <c r="B323" i="12" s="1"/>
  <c r="B458" i="12" s="1"/>
  <c r="B593" i="12" s="1"/>
  <c r="B728" i="12" s="1"/>
  <c r="B863" i="12" s="1"/>
  <c r="B998" i="12" s="1"/>
  <c r="B54" i="12"/>
  <c r="B189" i="12" s="1"/>
  <c r="B324" i="12" s="1"/>
  <c r="B459" i="12" s="1"/>
  <c r="B594" i="12" s="1"/>
  <c r="B55" i="12"/>
  <c r="B190" i="12" s="1"/>
  <c r="B56" i="12"/>
  <c r="B191" i="12" s="1"/>
  <c r="B57" i="12"/>
  <c r="B192" i="12" s="1"/>
  <c r="B327" i="12" s="1"/>
  <c r="B58" i="12"/>
  <c r="B193" i="12" s="1"/>
  <c r="B59" i="12"/>
  <c r="B194" i="12" s="1"/>
  <c r="B60" i="12"/>
  <c r="B195" i="12" s="1"/>
  <c r="B61" i="12"/>
  <c r="B196" i="12" s="1"/>
  <c r="B331" i="12" s="1"/>
  <c r="B62" i="12"/>
  <c r="B197" i="12" s="1"/>
  <c r="B332" i="12" s="1"/>
  <c r="B63" i="12"/>
  <c r="B198" i="12" s="1"/>
  <c r="B333" i="12" s="1"/>
  <c r="B64" i="12"/>
  <c r="B199" i="12" s="1"/>
  <c r="B334" i="12"/>
  <c r="B65" i="12"/>
  <c r="B200" i="12" s="1"/>
  <c r="B66" i="12"/>
  <c r="B201" i="12" s="1"/>
  <c r="B336" i="12"/>
  <c r="B67" i="12"/>
  <c r="B68" i="12"/>
  <c r="B203" i="12" s="1"/>
  <c r="B69" i="12"/>
  <c r="B204" i="12" s="1"/>
  <c r="B70" i="12"/>
  <c r="B71" i="12"/>
  <c r="B72" i="12"/>
  <c r="B207" i="12" s="1"/>
  <c r="B73" i="12"/>
  <c r="B208" i="12" s="1"/>
  <c r="B343" i="12" s="1"/>
  <c r="B478" i="12" s="1"/>
  <c r="B613" i="12" s="1"/>
  <c r="B748" i="12" s="1"/>
  <c r="B74" i="12"/>
  <c r="B209" i="12" s="1"/>
  <c r="B344" i="12" s="1"/>
  <c r="B75" i="12"/>
  <c r="B210" i="12" s="1"/>
  <c r="B76" i="12"/>
  <c r="B211" i="12" s="1"/>
  <c r="B77" i="12"/>
  <c r="B78" i="12"/>
  <c r="B79" i="12"/>
  <c r="B214" i="12" s="1"/>
  <c r="B80" i="12"/>
  <c r="B630" i="12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 s="1"/>
  <c r="AJ38" i="8" s="1"/>
  <c r="AF39" i="8"/>
  <c r="AD39" i="8" s="1"/>
  <c r="AJ39" i="8" s="1"/>
  <c r="AF40" i="8"/>
  <c r="AD40" i="8" s="1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J34" i="8"/>
  <c r="X34" i="8"/>
  <c r="AF34" i="8"/>
  <c r="AD34" i="8" s="1"/>
  <c r="AJ34" i="8" s="1"/>
  <c r="AK34" i="8" s="1"/>
  <c r="AM34" i="8"/>
  <c r="AQ34" i="8"/>
  <c r="AF2" i="8"/>
  <c r="AD2" i="8" s="1"/>
  <c r="AJ2" i="8" s="1"/>
  <c r="AF3" i="8"/>
  <c r="AD3" i="8" s="1"/>
  <c r="AJ3" i="8" s="1"/>
  <c r="AF4" i="8"/>
  <c r="AD4" i="8" s="1"/>
  <c r="AJ4" i="8" s="1"/>
  <c r="AF5" i="8"/>
  <c r="AD5" i="8" s="1"/>
  <c r="AJ5" i="8" s="1"/>
  <c r="AK5" i="8" s="1"/>
  <c r="AF6" i="8"/>
  <c r="AD6" i="8" s="1"/>
  <c r="AJ6" i="8" s="1"/>
  <c r="AF7" i="8"/>
  <c r="AD7" i="8" s="1"/>
  <c r="AJ7" i="8" s="1"/>
  <c r="AF8" i="8"/>
  <c r="AD8" i="8" s="1"/>
  <c r="AJ8" i="8" s="1"/>
  <c r="AK8" i="8" s="1"/>
  <c r="AF33" i="8"/>
  <c r="AD33" i="8" s="1"/>
  <c r="AJ33" i="8" s="1"/>
  <c r="AF35" i="8"/>
  <c r="AD35" i="8" s="1"/>
  <c r="AJ35" i="8" s="1"/>
  <c r="AF36" i="8"/>
  <c r="AD36" i="8" s="1"/>
  <c r="AJ36" i="8" s="1"/>
  <c r="AF10" i="8"/>
  <c r="AD10" i="8" s="1"/>
  <c r="AJ10" i="8" s="1"/>
  <c r="AF12" i="8"/>
  <c r="AD12" i="8" s="1"/>
  <c r="AJ12" i="8" s="1"/>
  <c r="AF14" i="8"/>
  <c r="AD14" i="8" s="1"/>
  <c r="AJ14" i="8" s="1"/>
  <c r="AF15" i="8"/>
  <c r="AD15" i="8" s="1"/>
  <c r="AJ15" i="8" s="1"/>
  <c r="AF16" i="8"/>
  <c r="AD16" i="8" s="1"/>
  <c r="AJ16" i="8" s="1"/>
  <c r="AF21" i="8"/>
  <c r="AD21" i="8" s="1"/>
  <c r="AJ21" i="8" s="1"/>
  <c r="AF22" i="8"/>
  <c r="AD22" i="8" s="1"/>
  <c r="AJ22" i="8" s="1"/>
  <c r="AK22" i="8" s="1"/>
  <c r="AF23" i="8"/>
  <c r="AD23" i="8" s="1"/>
  <c r="AJ23" i="8" s="1"/>
  <c r="AF24" i="8"/>
  <c r="AD24" i="8" s="1"/>
  <c r="AJ24" i="8" s="1"/>
  <c r="AF25" i="8"/>
  <c r="AD25" i="8" s="1"/>
  <c r="AJ25" i="8" s="1"/>
  <c r="AF26" i="8"/>
  <c r="AD26" i="8" s="1"/>
  <c r="AJ26" i="8" s="1"/>
  <c r="AF27" i="8"/>
  <c r="AD27" i="8" s="1"/>
  <c r="AJ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 s="1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M47" i="40" s="1"/>
  <c r="D47" i="40"/>
  <c r="N47" i="40" s="1"/>
  <c r="E47" i="40"/>
  <c r="F47" i="40"/>
  <c r="F46" i="40"/>
  <c r="E46" i="40"/>
  <c r="O46" i="40" s="1"/>
  <c r="C46" i="40"/>
  <c r="M46" i="40" s="1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X19" i="33"/>
  <c r="X20" i="33"/>
  <c r="Y20" i="33"/>
  <c r="Z17" i="33"/>
  <c r="Z20" i="33"/>
  <c r="AA17" i="33"/>
  <c r="AA18" i="33"/>
  <c r="AA19" i="33"/>
  <c r="AB20" i="33"/>
  <c r="Z18" i="33"/>
  <c r="Z19" i="33"/>
  <c r="AA20" i="33"/>
  <c r="AB18" i="33"/>
  <c r="X18" i="33"/>
  <c r="X17" i="33"/>
  <c r="AB17" i="33"/>
  <c r="Y19" i="33"/>
  <c r="W18" i="33"/>
  <c r="W19" i="33"/>
  <c r="W17" i="33"/>
  <c r="J36" i="8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D216" i="28"/>
  <c r="B216" i="28" s="1"/>
  <c r="U216" i="28"/>
  <c r="D217" i="28"/>
  <c r="B217" i="28" s="1"/>
  <c r="U217" i="28"/>
  <c r="D19" i="28"/>
  <c r="B19" i="28" s="1"/>
  <c r="S19" i="28"/>
  <c r="Y19" i="28" s="1"/>
  <c r="U19" i="28"/>
  <c r="D20" i="28"/>
  <c r="B20" i="28" s="1"/>
  <c r="S20" i="28"/>
  <c r="U20" i="28"/>
  <c r="D18" i="28"/>
  <c r="B18" i="28" s="1"/>
  <c r="S18" i="28"/>
  <c r="Y18" i="28" s="1"/>
  <c r="U18" i="28"/>
  <c r="D17" i="28"/>
  <c r="B17" i="28" s="1"/>
  <c r="S17" i="28"/>
  <c r="Y17" i="28" s="1"/>
  <c r="U17" i="28"/>
  <c r="J2" i="8"/>
  <c r="X32" i="8"/>
  <c r="AQ32" i="8"/>
  <c r="AM32" i="8"/>
  <c r="O32" i="8"/>
  <c r="J32" i="8"/>
  <c r="D7" i="34"/>
  <c r="D18" i="34"/>
  <c r="E7" i="34"/>
  <c r="E18" i="34" s="1"/>
  <c r="F7" i="34"/>
  <c r="F18" i="34" s="1"/>
  <c r="G7" i="34"/>
  <c r="G18" i="34" s="1"/>
  <c r="H7" i="34"/>
  <c r="H18" i="34" s="1"/>
  <c r="I7" i="34"/>
  <c r="I18" i="34"/>
  <c r="J7" i="34"/>
  <c r="J18" i="34" s="1"/>
  <c r="K7" i="34"/>
  <c r="K18" i="34" s="1"/>
  <c r="L7" i="34"/>
  <c r="L18" i="34" s="1"/>
  <c r="M7" i="34"/>
  <c r="M18" i="34" s="1"/>
  <c r="N7" i="34"/>
  <c r="N18" i="34" s="1"/>
  <c r="O7" i="34"/>
  <c r="O18" i="34" s="1"/>
  <c r="P7" i="34"/>
  <c r="P18" i="34" s="1"/>
  <c r="Q7" i="34"/>
  <c r="Q18" i="34" s="1"/>
  <c r="R7" i="34"/>
  <c r="R18" i="34"/>
  <c r="S7" i="34"/>
  <c r="S18" i="34" s="1"/>
  <c r="T7" i="34"/>
  <c r="T18" i="34" s="1"/>
  <c r="U7" i="34"/>
  <c r="U18" i="34" s="1"/>
  <c r="V7" i="34"/>
  <c r="V18" i="34" s="1"/>
  <c r="W7" i="34"/>
  <c r="W18" i="34" s="1"/>
  <c r="X7" i="34"/>
  <c r="X18" i="34" s="1"/>
  <c r="Y7" i="34"/>
  <c r="Y18" i="34" s="1"/>
  <c r="Z7" i="34"/>
  <c r="Z18" i="34" s="1"/>
  <c r="AA7" i="34"/>
  <c r="AA18" i="34" s="1"/>
  <c r="AB7" i="34"/>
  <c r="AB18" i="34" s="1"/>
  <c r="AC7" i="34"/>
  <c r="AC18" i="34" s="1"/>
  <c r="AD7" i="34"/>
  <c r="AD18" i="34" s="1"/>
  <c r="AE7" i="34"/>
  <c r="AE18" i="34" s="1"/>
  <c r="AF7" i="34"/>
  <c r="AG7" i="34"/>
  <c r="AG18" i="34" s="1"/>
  <c r="AH7" i="34"/>
  <c r="AH18" i="34" s="1"/>
  <c r="AI7" i="34"/>
  <c r="AI18" i="34" s="1"/>
  <c r="AJ7" i="34"/>
  <c r="AJ18" i="34" s="1"/>
  <c r="AK7" i="34"/>
  <c r="AK18" i="34" s="1"/>
  <c r="AL7" i="34"/>
  <c r="AL18" i="34" s="1"/>
  <c r="AM7" i="34"/>
  <c r="AM18" i="34" s="1"/>
  <c r="AN7" i="34"/>
  <c r="AN18" i="34" s="1"/>
  <c r="AO7" i="34"/>
  <c r="AO18" i="34" s="1"/>
  <c r="C7" i="34"/>
  <c r="C18" i="34" s="1"/>
  <c r="U172" i="28"/>
  <c r="D172" i="28"/>
  <c r="B172" i="28" s="1"/>
  <c r="U171" i="28"/>
  <c r="D171" i="28"/>
  <c r="B171" i="28" s="1"/>
  <c r="U240" i="28"/>
  <c r="D240" i="28"/>
  <c r="B240" i="28" s="1"/>
  <c r="U239" i="28"/>
  <c r="D239" i="28"/>
  <c r="B239" i="28" s="1"/>
  <c r="U252" i="28"/>
  <c r="D252" i="28"/>
  <c r="B252" i="28" s="1"/>
  <c r="U255" i="28"/>
  <c r="D255" i="28"/>
  <c r="B255" i="28" s="1"/>
  <c r="U246" i="28"/>
  <c r="D246" i="28"/>
  <c r="B246" i="28" s="1"/>
  <c r="U249" i="28"/>
  <c r="D249" i="28"/>
  <c r="B249" i="28" s="1"/>
  <c r="U243" i="28"/>
  <c r="D243" i="28"/>
  <c r="B243" i="28" s="1"/>
  <c r="U251" i="28"/>
  <c r="D251" i="28"/>
  <c r="B251" i="28"/>
  <c r="U254" i="28"/>
  <c r="D254" i="28"/>
  <c r="B254" i="28" s="1"/>
  <c r="U245" i="28"/>
  <c r="D245" i="28"/>
  <c r="B245" i="28" s="1"/>
  <c r="U248" i="28"/>
  <c r="D248" i="28"/>
  <c r="B248" i="28"/>
  <c r="U242" i="28"/>
  <c r="D242" i="28"/>
  <c r="B242" i="28" s="1"/>
  <c r="U250" i="28"/>
  <c r="D250" i="28"/>
  <c r="B250" i="28" s="1"/>
  <c r="U253" i="28"/>
  <c r="D253" i="28"/>
  <c r="B253" i="28" s="1"/>
  <c r="U244" i="28"/>
  <c r="D244" i="28"/>
  <c r="B244" i="28" s="1"/>
  <c r="U247" i="28"/>
  <c r="D247" i="28"/>
  <c r="B247" i="28" s="1"/>
  <c r="U241" i="28"/>
  <c r="D241" i="28"/>
  <c r="B241" i="28" s="1"/>
  <c r="U238" i="28"/>
  <c r="D238" i="28"/>
  <c r="B238" i="28" s="1"/>
  <c r="U235" i="28"/>
  <c r="D235" i="28"/>
  <c r="B235" i="28" s="1"/>
  <c r="U232" i="28"/>
  <c r="D232" i="28"/>
  <c r="B232" i="28" s="1"/>
  <c r="U237" i="28"/>
  <c r="D237" i="28"/>
  <c r="B237" i="28" s="1"/>
  <c r="U234" i="28"/>
  <c r="D234" i="28"/>
  <c r="B234" i="28" s="1"/>
  <c r="U231" i="28"/>
  <c r="D231" i="28"/>
  <c r="B231" i="28"/>
  <c r="U236" i="28"/>
  <c r="D236" i="28"/>
  <c r="B236" i="28" s="1"/>
  <c r="U233" i="28"/>
  <c r="D233" i="28"/>
  <c r="B233" i="28" s="1"/>
  <c r="U230" i="28"/>
  <c r="D230" i="28"/>
  <c r="B230" i="28" s="1"/>
  <c r="U229" i="28"/>
  <c r="D229" i="28"/>
  <c r="B229" i="28" s="1"/>
  <c r="U225" i="28"/>
  <c r="D225" i="28"/>
  <c r="B225" i="28" s="1"/>
  <c r="U221" i="28"/>
  <c r="D221" i="28"/>
  <c r="B221" i="28" s="1"/>
  <c r="U228" i="28"/>
  <c r="D228" i="28"/>
  <c r="B228" i="28" s="1"/>
  <c r="U224" i="28"/>
  <c r="D224" i="28"/>
  <c r="B224" i="28" s="1"/>
  <c r="U220" i="28"/>
  <c r="D220" i="28"/>
  <c r="B220" i="28" s="1"/>
  <c r="U227" i="28"/>
  <c r="D227" i="28"/>
  <c r="B227" i="28" s="1"/>
  <c r="U223" i="28"/>
  <c r="D223" i="28"/>
  <c r="B223" i="28" s="1"/>
  <c r="U219" i="28"/>
  <c r="D219" i="28"/>
  <c r="B219" i="28" s="1"/>
  <c r="U226" i="28"/>
  <c r="D226" i="28"/>
  <c r="B226" i="28" s="1"/>
  <c r="U222" i="28"/>
  <c r="D222" i="28"/>
  <c r="B222" i="28" s="1"/>
  <c r="U218" i="28"/>
  <c r="D218" i="28"/>
  <c r="B218" i="28" s="1"/>
  <c r="U214" i="28"/>
  <c r="D214" i="28"/>
  <c r="B214" i="28" s="1"/>
  <c r="U211" i="28"/>
  <c r="D211" i="28"/>
  <c r="B211" i="28" s="1"/>
  <c r="U208" i="28"/>
  <c r="D208" i="28"/>
  <c r="B208" i="28" s="1"/>
  <c r="U213" i="28"/>
  <c r="D213" i="28"/>
  <c r="B213" i="28" s="1"/>
  <c r="U210" i="28"/>
  <c r="D210" i="28"/>
  <c r="B210" i="28" s="1"/>
  <c r="U207" i="28"/>
  <c r="D207" i="28"/>
  <c r="B207" i="28" s="1"/>
  <c r="U212" i="28"/>
  <c r="D212" i="28"/>
  <c r="B212" i="28" s="1"/>
  <c r="U209" i="28"/>
  <c r="D209" i="28"/>
  <c r="B209" i="28" s="1"/>
  <c r="U206" i="28"/>
  <c r="D206" i="28"/>
  <c r="B206" i="28" s="1"/>
  <c r="U202" i="28"/>
  <c r="D202" i="28"/>
  <c r="B202" i="28" s="1"/>
  <c r="U205" i="28"/>
  <c r="D205" i="28"/>
  <c r="B205" i="28" s="1"/>
  <c r="U196" i="28"/>
  <c r="D196" i="28"/>
  <c r="B196" i="28" s="1"/>
  <c r="U199" i="28"/>
  <c r="D199" i="28"/>
  <c r="B199" i="28" s="1"/>
  <c r="U193" i="28"/>
  <c r="D193" i="28"/>
  <c r="B193" i="28" s="1"/>
  <c r="U201" i="28"/>
  <c r="D201" i="28"/>
  <c r="B201" i="28" s="1"/>
  <c r="U204" i="28"/>
  <c r="D204" i="28"/>
  <c r="B204" i="28" s="1"/>
  <c r="U195" i="28"/>
  <c r="D195" i="28"/>
  <c r="B195" i="28" s="1"/>
  <c r="U198" i="28"/>
  <c r="D198" i="28"/>
  <c r="B198" i="28" s="1"/>
  <c r="U192" i="28"/>
  <c r="D192" i="28"/>
  <c r="B192" i="28" s="1"/>
  <c r="U200" i="28"/>
  <c r="D200" i="28"/>
  <c r="B200" i="28" s="1"/>
  <c r="U203" i="28"/>
  <c r="D203" i="28"/>
  <c r="B203" i="28" s="1"/>
  <c r="U194" i="28"/>
  <c r="D194" i="28"/>
  <c r="B194" i="28"/>
  <c r="U197" i="28"/>
  <c r="D197" i="28"/>
  <c r="B197" i="28" s="1"/>
  <c r="U191" i="28"/>
  <c r="D191" i="28"/>
  <c r="B191" i="28" s="1"/>
  <c r="U190" i="28"/>
  <c r="D190" i="28"/>
  <c r="B190" i="28" s="1"/>
  <c r="U184" i="28"/>
  <c r="D184" i="28"/>
  <c r="B184" i="28" s="1"/>
  <c r="U178" i="28"/>
  <c r="D178" i="28"/>
  <c r="B178" i="28" s="1"/>
  <c r="U189" i="28"/>
  <c r="D189" i="28"/>
  <c r="B189" i="28" s="1"/>
  <c r="U183" i="28"/>
  <c r="D183" i="28"/>
  <c r="B183" i="28" s="1"/>
  <c r="U177" i="28"/>
  <c r="D177" i="28"/>
  <c r="B177" i="28" s="1"/>
  <c r="U188" i="28"/>
  <c r="D188" i="28"/>
  <c r="B188" i="28" s="1"/>
  <c r="U182" i="28"/>
  <c r="D182" i="28"/>
  <c r="B182" i="28" s="1"/>
  <c r="U176" i="28"/>
  <c r="D176" i="28"/>
  <c r="B176" i="28" s="1"/>
  <c r="U187" i="28"/>
  <c r="D187" i="28"/>
  <c r="B187" i="28" s="1"/>
  <c r="U181" i="28"/>
  <c r="D181" i="28"/>
  <c r="B181" i="28" s="1"/>
  <c r="U175" i="28"/>
  <c r="D175" i="28"/>
  <c r="B175" i="28" s="1"/>
  <c r="U186" i="28"/>
  <c r="D186" i="28"/>
  <c r="B186" i="28" s="1"/>
  <c r="U180" i="28"/>
  <c r="D180" i="28"/>
  <c r="B180" i="28" s="1"/>
  <c r="U174" i="28"/>
  <c r="D174" i="28"/>
  <c r="B174" i="28" s="1"/>
  <c r="U185" i="28"/>
  <c r="D185" i="28"/>
  <c r="B185" i="28" s="1"/>
  <c r="U179" i="28"/>
  <c r="D179" i="28"/>
  <c r="B179" i="28" s="1"/>
  <c r="U173" i="28"/>
  <c r="D173" i="28"/>
  <c r="B173" i="28" s="1"/>
  <c r="U166" i="28"/>
  <c r="D166" i="28"/>
  <c r="B166" i="28" s="1"/>
  <c r="U170" i="28"/>
  <c r="D170" i="28"/>
  <c r="B170" i="28" s="1"/>
  <c r="U162" i="28"/>
  <c r="D162" i="28"/>
  <c r="B162" i="28" s="1"/>
  <c r="U158" i="28"/>
  <c r="D158" i="28"/>
  <c r="B158" i="28" s="1"/>
  <c r="U165" i="28"/>
  <c r="D165" i="28"/>
  <c r="B165" i="28" s="1"/>
  <c r="U169" i="28"/>
  <c r="D169" i="28"/>
  <c r="B169" i="28" s="1"/>
  <c r="U161" i="28"/>
  <c r="D161" i="28"/>
  <c r="B161" i="28" s="1"/>
  <c r="U157" i="28"/>
  <c r="D157" i="28"/>
  <c r="B157" i="28" s="1"/>
  <c r="U164" i="28"/>
  <c r="D164" i="28"/>
  <c r="B164" i="28"/>
  <c r="U168" i="28"/>
  <c r="D168" i="28"/>
  <c r="B168" i="28" s="1"/>
  <c r="U160" i="28"/>
  <c r="D160" i="28"/>
  <c r="B160" i="28" s="1"/>
  <c r="U156" i="28"/>
  <c r="D156" i="28"/>
  <c r="B156" i="28" s="1"/>
  <c r="U163" i="28"/>
  <c r="D163" i="28"/>
  <c r="B163" i="28" s="1"/>
  <c r="U167" i="28"/>
  <c r="D167" i="28"/>
  <c r="B167" i="28" s="1"/>
  <c r="U159" i="28"/>
  <c r="D159" i="28"/>
  <c r="B159" i="28" s="1"/>
  <c r="U155" i="28"/>
  <c r="D155" i="28"/>
  <c r="B155" i="28" s="1"/>
  <c r="U154" i="28"/>
  <c r="D154" i="28"/>
  <c r="B154" i="28" s="1"/>
  <c r="U149" i="28"/>
  <c r="D149" i="28"/>
  <c r="B149" i="28" s="1"/>
  <c r="U144" i="28"/>
  <c r="D144" i="28"/>
  <c r="B144" i="28" s="1"/>
  <c r="U139" i="28"/>
  <c r="D139" i="28"/>
  <c r="B139" i="28"/>
  <c r="U153" i="28"/>
  <c r="D153" i="28"/>
  <c r="B153" i="28" s="1"/>
  <c r="U148" i="28"/>
  <c r="D148" i="28"/>
  <c r="B148" i="28" s="1"/>
  <c r="U143" i="28"/>
  <c r="D143" i="28"/>
  <c r="B143" i="28" s="1"/>
  <c r="U138" i="28"/>
  <c r="D138" i="28"/>
  <c r="B138" i="28" s="1"/>
  <c r="U152" i="28"/>
  <c r="D152" i="28"/>
  <c r="B152" i="28" s="1"/>
  <c r="U147" i="28"/>
  <c r="D147" i="28"/>
  <c r="B147" i="28" s="1"/>
  <c r="U142" i="28"/>
  <c r="D142" i="28"/>
  <c r="B142" i="28" s="1"/>
  <c r="U137" i="28"/>
  <c r="D137" i="28"/>
  <c r="B137" i="28" s="1"/>
  <c r="U151" i="28"/>
  <c r="D151" i="28"/>
  <c r="B151" i="28" s="1"/>
  <c r="U146" i="28"/>
  <c r="D146" i="28"/>
  <c r="B146" i="28" s="1"/>
  <c r="U141" i="28"/>
  <c r="D141" i="28"/>
  <c r="B141" i="28" s="1"/>
  <c r="U136" i="28"/>
  <c r="D136" i="28"/>
  <c r="B136" i="28" s="1"/>
  <c r="U150" i="28"/>
  <c r="D150" i="28"/>
  <c r="B150" i="28" s="1"/>
  <c r="U145" i="28"/>
  <c r="D145" i="28"/>
  <c r="B145" i="28" s="1"/>
  <c r="U140" i="28"/>
  <c r="D140" i="28"/>
  <c r="B140" i="28" s="1"/>
  <c r="U135" i="28"/>
  <c r="D135" i="28"/>
  <c r="B135" i="28" s="1"/>
  <c r="U124" i="28"/>
  <c r="D124" i="28"/>
  <c r="B124" i="28" s="1"/>
  <c r="U130" i="28"/>
  <c r="D130" i="28"/>
  <c r="B130" i="28" s="1"/>
  <c r="U118" i="28"/>
  <c r="D118" i="28"/>
  <c r="B118" i="28" s="1"/>
  <c r="U123" i="28"/>
  <c r="D123" i="28"/>
  <c r="B123" i="28"/>
  <c r="U129" i="28"/>
  <c r="D129" i="28"/>
  <c r="B129" i="28"/>
  <c r="U117" i="28"/>
  <c r="D117" i="28"/>
  <c r="B117" i="28" s="1"/>
  <c r="U134" i="28"/>
  <c r="D134" i="28"/>
  <c r="B134" i="28" s="1"/>
  <c r="U122" i="28"/>
  <c r="D122" i="28"/>
  <c r="B122" i="28" s="1"/>
  <c r="U128" i="28"/>
  <c r="D128" i="28"/>
  <c r="B128" i="28" s="1"/>
  <c r="U116" i="28"/>
  <c r="D116" i="28"/>
  <c r="B116" i="28" s="1"/>
  <c r="U133" i="28"/>
  <c r="D133" i="28"/>
  <c r="B133" i="28" s="1"/>
  <c r="U121" i="28"/>
  <c r="D121" i="28"/>
  <c r="B121" i="28" s="1"/>
  <c r="U127" i="28"/>
  <c r="D127" i="28"/>
  <c r="B127" i="28" s="1"/>
  <c r="U115" i="28"/>
  <c r="D115" i="28"/>
  <c r="B115" i="28" s="1"/>
  <c r="U132" i="28"/>
  <c r="D132" i="28"/>
  <c r="B132" i="28" s="1"/>
  <c r="U120" i="28"/>
  <c r="D120" i="28"/>
  <c r="B120" i="28"/>
  <c r="U126" i="28"/>
  <c r="D126" i="28"/>
  <c r="B126" i="28" s="1"/>
  <c r="U114" i="28"/>
  <c r="D114" i="28"/>
  <c r="B114" i="28" s="1"/>
  <c r="U131" i="28"/>
  <c r="D131" i="28"/>
  <c r="B131" i="28" s="1"/>
  <c r="U119" i="28"/>
  <c r="D119" i="28"/>
  <c r="B119" i="28" s="1"/>
  <c r="U125" i="28"/>
  <c r="D125" i="28"/>
  <c r="B125" i="28" s="1"/>
  <c r="U113" i="28"/>
  <c r="D113" i="28"/>
  <c r="B113" i="28" s="1"/>
  <c r="U29" i="28"/>
  <c r="D29" i="28"/>
  <c r="B29" i="28" s="1"/>
  <c r="U26" i="28"/>
  <c r="D26" i="28"/>
  <c r="B26" i="28" s="1"/>
  <c r="U23" i="28"/>
  <c r="D23" i="28"/>
  <c r="B23" i="28" s="1"/>
  <c r="U16" i="28"/>
  <c r="D16" i="28"/>
  <c r="B16" i="28" s="1"/>
  <c r="U28" i="28"/>
  <c r="D28" i="28"/>
  <c r="B28" i="28" s="1"/>
  <c r="U25" i="28"/>
  <c r="D25" i="28"/>
  <c r="B25" i="28" s="1"/>
  <c r="U22" i="28"/>
  <c r="D22" i="28"/>
  <c r="B22" i="28" s="1"/>
  <c r="U15" i="28"/>
  <c r="D15" i="28"/>
  <c r="B15" i="28" s="1"/>
  <c r="U27" i="28"/>
  <c r="D27" i="28"/>
  <c r="B27" i="28" s="1"/>
  <c r="U24" i="28"/>
  <c r="D24" i="28"/>
  <c r="B24" i="28" s="1"/>
  <c r="U21" i="28"/>
  <c r="D21" i="28"/>
  <c r="B21" i="28" s="1"/>
  <c r="U14" i="28"/>
  <c r="D14" i="28"/>
  <c r="B14" i="28" s="1"/>
  <c r="U13" i="28"/>
  <c r="D13" i="28"/>
  <c r="B13" i="28" s="1"/>
  <c r="U9" i="28"/>
  <c r="D9" i="28"/>
  <c r="B9" i="28" s="1"/>
  <c r="U5" i="28"/>
  <c r="D5" i="28"/>
  <c r="B5" i="28" s="1"/>
  <c r="U12" i="28"/>
  <c r="D12" i="28"/>
  <c r="B12" i="28" s="1"/>
  <c r="U8" i="28"/>
  <c r="D8" i="28"/>
  <c r="B8" i="28" s="1"/>
  <c r="U3" i="28"/>
  <c r="D3" i="28"/>
  <c r="B3" i="28" s="1"/>
  <c r="U11" i="28"/>
  <c r="D11" i="28"/>
  <c r="B11" i="28" s="1"/>
  <c r="U7" i="28"/>
  <c r="D7" i="28"/>
  <c r="B7" i="28" s="1"/>
  <c r="U4" i="28"/>
  <c r="D4" i="28"/>
  <c r="B4" i="28" s="1"/>
  <c r="U10" i="28"/>
  <c r="D10" i="28"/>
  <c r="B10" i="28" s="1"/>
  <c r="U6" i="28"/>
  <c r="D6" i="28"/>
  <c r="B6" i="28" s="1"/>
  <c r="U2" i="28"/>
  <c r="D2" i="28"/>
  <c r="B2" i="28" s="1"/>
  <c r="S172" i="28"/>
  <c r="Y172" i="28" s="1"/>
  <c r="S171" i="28"/>
  <c r="S240" i="28"/>
  <c r="Y240" i="28" s="1"/>
  <c r="S239" i="28"/>
  <c r="Y239" i="28" s="1"/>
  <c r="S252" i="28"/>
  <c r="Y252" i="28" s="1"/>
  <c r="S255" i="28"/>
  <c r="Y255" i="28" s="1"/>
  <c r="S246" i="28"/>
  <c r="S249" i="28"/>
  <c r="S243" i="28"/>
  <c r="S251" i="28"/>
  <c r="S254" i="28"/>
  <c r="S245" i="28"/>
  <c r="S248" i="28"/>
  <c r="S242" i="28"/>
  <c r="T242" i="28" s="1"/>
  <c r="S250" i="28"/>
  <c r="T250" i="28" s="1"/>
  <c r="S253" i="28"/>
  <c r="S244" i="28"/>
  <c r="S247" i="28"/>
  <c r="S241" i="28"/>
  <c r="Y241" i="28" s="1"/>
  <c r="S238" i="28"/>
  <c r="Y238" i="28"/>
  <c r="S235" i="28"/>
  <c r="T235" i="28" s="1"/>
  <c r="S232" i="28"/>
  <c r="Y232" i="28" s="1"/>
  <c r="S237" i="28"/>
  <c r="S234" i="28"/>
  <c r="S231" i="28"/>
  <c r="S236" i="28"/>
  <c r="Y236" i="28" s="1"/>
  <c r="S233" i="28"/>
  <c r="S230" i="28"/>
  <c r="S229" i="28"/>
  <c r="S225" i="28"/>
  <c r="S221" i="28"/>
  <c r="S228" i="28"/>
  <c r="S224" i="28"/>
  <c r="S220" i="28"/>
  <c r="Y220" i="28" s="1"/>
  <c r="S227" i="28"/>
  <c r="S223" i="28"/>
  <c r="T223" i="28" s="1"/>
  <c r="V223" i="28" s="1"/>
  <c r="X223" i="28" s="1"/>
  <c r="S219" i="28"/>
  <c r="S226" i="28"/>
  <c r="S222" i="28"/>
  <c r="S211" i="28"/>
  <c r="Y211" i="28" s="1"/>
  <c r="S208" i="28"/>
  <c r="S210" i="28"/>
  <c r="S207" i="28"/>
  <c r="Y207" i="28" s="1"/>
  <c r="S209" i="28"/>
  <c r="T209" i="28" s="1"/>
  <c r="S206" i="28"/>
  <c r="Y206" i="28" s="1"/>
  <c r="S202" i="28"/>
  <c r="T202" i="28" s="1"/>
  <c r="V202" i="28" s="1"/>
  <c r="S205" i="28"/>
  <c r="S196" i="28"/>
  <c r="S199" i="28"/>
  <c r="S193" i="28"/>
  <c r="Y193" i="28" s="1"/>
  <c r="S201" i="28"/>
  <c r="S204" i="28"/>
  <c r="Y204" i="28" s="1"/>
  <c r="S195" i="28"/>
  <c r="S198" i="28"/>
  <c r="S192" i="28"/>
  <c r="S200" i="28"/>
  <c r="Y200" i="28" s="1"/>
  <c r="S203" i="28"/>
  <c r="S194" i="28"/>
  <c r="S197" i="28"/>
  <c r="S191" i="28"/>
  <c r="S184" i="28"/>
  <c r="T184" i="28" s="1"/>
  <c r="V184" i="28" s="1"/>
  <c r="X184" i="28" s="1"/>
  <c r="S178" i="28"/>
  <c r="S189" i="28"/>
  <c r="Y189" i="28" s="1"/>
  <c r="S183" i="28"/>
  <c r="S177" i="28"/>
  <c r="Y177" i="28" s="1"/>
  <c r="S188" i="28"/>
  <c r="S182" i="28"/>
  <c r="S176" i="28"/>
  <c r="S187" i="28"/>
  <c r="Y187" i="28" s="1"/>
  <c r="S181" i="28"/>
  <c r="S175" i="28"/>
  <c r="Y175" i="28" s="1"/>
  <c r="S186" i="28"/>
  <c r="S180" i="28"/>
  <c r="Y180" i="28" s="1"/>
  <c r="S174" i="28"/>
  <c r="Y174" i="28" s="1"/>
  <c r="S185" i="28"/>
  <c r="Y185" i="28" s="1"/>
  <c r="S179" i="28"/>
  <c r="S173" i="28"/>
  <c r="S166" i="28"/>
  <c r="Y166" i="28" s="1"/>
  <c r="S170" i="28"/>
  <c r="Y170" i="28" s="1"/>
  <c r="S162" i="28"/>
  <c r="Y162" i="28" s="1"/>
  <c r="S158" i="28"/>
  <c r="Y158" i="28" s="1"/>
  <c r="S165" i="28"/>
  <c r="S169" i="28"/>
  <c r="Y169" i="28" s="1"/>
  <c r="S161" i="28"/>
  <c r="S157" i="28"/>
  <c r="S164" i="28"/>
  <c r="S168" i="28"/>
  <c r="S160" i="28"/>
  <c r="S156" i="28"/>
  <c r="S163" i="28"/>
  <c r="S167" i="28"/>
  <c r="S159" i="28"/>
  <c r="S155" i="28"/>
  <c r="S154" i="28"/>
  <c r="Y154" i="28" s="1"/>
  <c r="S149" i="28"/>
  <c r="S144" i="28"/>
  <c r="Y144" i="28" s="1"/>
  <c r="S139" i="28"/>
  <c r="Y139" i="28" s="1"/>
  <c r="S153" i="28"/>
  <c r="S148" i="28"/>
  <c r="T148" i="28" s="1"/>
  <c r="S143" i="28"/>
  <c r="S138" i="28"/>
  <c r="Y138" i="28" s="1"/>
  <c r="S152" i="28"/>
  <c r="S147" i="28"/>
  <c r="S142" i="28"/>
  <c r="S137" i="28"/>
  <c r="S151" i="28"/>
  <c r="S146" i="28"/>
  <c r="T146" i="28" s="1"/>
  <c r="S141" i="28"/>
  <c r="T141" i="28" s="1"/>
  <c r="S136" i="28"/>
  <c r="S150" i="28"/>
  <c r="Y150" i="28" s="1"/>
  <c r="S145" i="28"/>
  <c r="S140" i="28"/>
  <c r="Y140" i="28" s="1"/>
  <c r="S135" i="28"/>
  <c r="S124" i="28"/>
  <c r="S130" i="28"/>
  <c r="S118" i="28"/>
  <c r="S123" i="28"/>
  <c r="S129" i="28"/>
  <c r="Y129" i="28" s="1"/>
  <c r="S117" i="28"/>
  <c r="S134" i="28"/>
  <c r="Y134" i="28"/>
  <c r="S122" i="28"/>
  <c r="S128" i="28"/>
  <c r="T128" i="28" s="1"/>
  <c r="V128" i="28" s="1"/>
  <c r="X128" i="28" s="1"/>
  <c r="S116" i="28"/>
  <c r="S133" i="28"/>
  <c r="S121" i="28"/>
  <c r="S127" i="28"/>
  <c r="Y127" i="28" s="1"/>
  <c r="S115" i="28"/>
  <c r="S132" i="28"/>
  <c r="S120" i="28"/>
  <c r="S126" i="28"/>
  <c r="S114" i="28"/>
  <c r="Y114" i="28" s="1"/>
  <c r="S131" i="28"/>
  <c r="S119" i="28"/>
  <c r="S125" i="28"/>
  <c r="S113" i="28"/>
  <c r="S29" i="28"/>
  <c r="S26" i="28"/>
  <c r="T26" i="28" s="1"/>
  <c r="V26" i="28" s="1"/>
  <c r="S23" i="28"/>
  <c r="Y23" i="28" s="1"/>
  <c r="S16" i="28"/>
  <c r="T16" i="28" s="1"/>
  <c r="S28" i="28"/>
  <c r="S25" i="28"/>
  <c r="S22" i="28"/>
  <c r="S15" i="28"/>
  <c r="S27" i="28"/>
  <c r="S24" i="28"/>
  <c r="S21" i="28"/>
  <c r="S14" i="28"/>
  <c r="Y14" i="28" s="1"/>
  <c r="S13" i="28"/>
  <c r="Y13" i="28" s="1"/>
  <c r="S9" i="28"/>
  <c r="S5" i="28"/>
  <c r="Y5" i="28" s="1"/>
  <c r="S12" i="28"/>
  <c r="Y12" i="28"/>
  <c r="S8" i="28"/>
  <c r="S3" i="28"/>
  <c r="S11" i="28"/>
  <c r="S7" i="28"/>
  <c r="S4" i="28"/>
  <c r="Y4" i="28" s="1"/>
  <c r="S10" i="28"/>
  <c r="Y10" i="28" s="1"/>
  <c r="S6" i="28"/>
  <c r="Y6" i="28" s="1"/>
  <c r="Y123" i="28"/>
  <c r="P118" i="5"/>
  <c r="P117" i="5"/>
  <c r="P116" i="5"/>
  <c r="P115" i="5"/>
  <c r="P114" i="5"/>
  <c r="P113" i="5"/>
  <c r="W21" i="33"/>
  <c r="W23" i="33"/>
  <c r="W24" i="33"/>
  <c r="W25" i="33"/>
  <c r="W28" i="33"/>
  <c r="W29" i="33"/>
  <c r="W32" i="33"/>
  <c r="W34" i="33"/>
  <c r="W35" i="33"/>
  <c r="W36" i="33"/>
  <c r="W40" i="33"/>
  <c r="X21" i="33"/>
  <c r="X22" i="33"/>
  <c r="X24" i="33"/>
  <c r="X25" i="33"/>
  <c r="X26" i="33"/>
  <c r="X27" i="33"/>
  <c r="X28" i="33"/>
  <c r="X30" i="33"/>
  <c r="X31" i="33"/>
  <c r="X33" i="33"/>
  <c r="X37" i="33"/>
  <c r="X38" i="33"/>
  <c r="X39" i="33"/>
  <c r="Y21" i="33"/>
  <c r="Y24" i="33"/>
  <c r="Y26" i="33"/>
  <c r="Y27" i="33"/>
  <c r="Y28" i="33"/>
  <c r="Y29" i="33"/>
  <c r="Y30" i="33"/>
  <c r="Y31" i="33"/>
  <c r="Y32" i="33"/>
  <c r="Y33" i="33"/>
  <c r="Y34" i="33"/>
  <c r="Y35" i="33"/>
  <c r="Y36" i="33"/>
  <c r="Y37" i="33"/>
  <c r="Y39" i="33"/>
  <c r="Y40" i="33"/>
  <c r="Z22" i="33"/>
  <c r="Z23" i="33"/>
  <c r="Z25" i="33"/>
  <c r="Z26" i="33"/>
  <c r="Z27" i="33"/>
  <c r="Z28" i="33"/>
  <c r="Z29" i="33"/>
  <c r="Z30" i="33"/>
  <c r="Z31" i="33"/>
  <c r="Z32" i="33"/>
  <c r="Z33" i="33"/>
  <c r="Z34" i="33"/>
  <c r="Z35" i="33"/>
  <c r="Z36" i="33"/>
  <c r="Z37" i="33"/>
  <c r="Z38" i="33"/>
  <c r="Z39" i="33"/>
  <c r="Z40" i="33"/>
  <c r="AA21" i="33"/>
  <c r="AA22" i="33"/>
  <c r="AA23" i="33"/>
  <c r="AA24" i="33"/>
  <c r="AA25" i="33"/>
  <c r="AA26" i="33"/>
  <c r="AA27" i="33"/>
  <c r="AA28" i="33"/>
  <c r="AA29" i="33"/>
  <c r="AA30" i="33"/>
  <c r="AA31" i="33"/>
  <c r="AA32" i="33"/>
  <c r="AA33" i="33"/>
  <c r="AA34" i="33"/>
  <c r="AA35" i="33"/>
  <c r="AA36" i="33"/>
  <c r="AA37" i="33"/>
  <c r="AA38" i="33"/>
  <c r="AA39" i="33"/>
  <c r="AA40" i="33"/>
  <c r="AB21" i="33"/>
  <c r="AB22" i="33"/>
  <c r="AB23" i="33"/>
  <c r="AB24" i="33"/>
  <c r="AB25" i="33"/>
  <c r="AB26" i="33"/>
  <c r="AB27" i="33"/>
  <c r="AB28" i="33"/>
  <c r="AB29" i="33"/>
  <c r="AB30" i="33"/>
  <c r="AB31" i="33"/>
  <c r="AB32" i="33"/>
  <c r="AB33" i="33"/>
  <c r="AB34" i="33"/>
  <c r="AB35" i="33"/>
  <c r="AB37" i="33"/>
  <c r="AB38" i="33"/>
  <c r="AB39" i="33"/>
  <c r="AB40" i="33"/>
  <c r="AM7" i="8"/>
  <c r="H40" i="31" s="1"/>
  <c r="X7" i="8"/>
  <c r="N40" i="31" s="1"/>
  <c r="O7" i="8"/>
  <c r="J7" i="8"/>
  <c r="AM5" i="8"/>
  <c r="H28" i="31" s="1"/>
  <c r="X5" i="8"/>
  <c r="N28" i="31" s="1"/>
  <c r="AM4" i="8"/>
  <c r="X4" i="8"/>
  <c r="O5" i="8"/>
  <c r="J5" i="8"/>
  <c r="O4" i="8"/>
  <c r="J4" i="8"/>
  <c r="J6" i="8"/>
  <c r="O6" i="8"/>
  <c r="X6" i="8"/>
  <c r="N26" i="31" s="1"/>
  <c r="AM6" i="8"/>
  <c r="H26" i="31" s="1"/>
  <c r="AQ6" i="8"/>
  <c r="AM8" i="8"/>
  <c r="H27" i="31" s="1"/>
  <c r="X8" i="8"/>
  <c r="N27" i="31" s="1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 s="1"/>
  <c r="AM22" i="8"/>
  <c r="X22" i="8"/>
  <c r="AM21" i="8"/>
  <c r="X21" i="8"/>
  <c r="AM16" i="8"/>
  <c r="X16" i="8"/>
  <c r="AM15" i="8"/>
  <c r="X15" i="8"/>
  <c r="AM14" i="8"/>
  <c r="H37" i="31" s="1"/>
  <c r="X14" i="8"/>
  <c r="N37" i="31" s="1"/>
  <c r="AM12" i="8"/>
  <c r="H34" i="31" s="1"/>
  <c r="X12" i="8"/>
  <c r="N34" i="31" s="1"/>
  <c r="AM10" i="8"/>
  <c r="H32" i="31" s="1"/>
  <c r="X10" i="8"/>
  <c r="N32" i="31" s="1"/>
  <c r="AM36" i="8"/>
  <c r="X36" i="8"/>
  <c r="AM3" i="8"/>
  <c r="H12" i="31" s="1"/>
  <c r="X3" i="8"/>
  <c r="N12" i="31" s="1"/>
  <c r="AM2" i="8"/>
  <c r="H11" i="31" s="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N17" i="15"/>
  <c r="O17" i="15"/>
  <c r="P17" i="15"/>
  <c r="W17" i="15"/>
  <c r="X17" i="15"/>
  <c r="AN17" i="15"/>
  <c r="AF17" i="15"/>
  <c r="V17" i="15"/>
  <c r="AJ17" i="15"/>
  <c r="AL17" i="15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AF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A42" i="14"/>
  <c r="A43" i="14"/>
  <c r="A82" i="14" s="1"/>
  <c r="A121" i="14" s="1"/>
  <c r="A160" i="14" s="1"/>
  <c r="A44" i="14"/>
  <c r="A45" i="14"/>
  <c r="A46" i="14"/>
  <c r="A47" i="14"/>
  <c r="A48" i="14"/>
  <c r="A49" i="14"/>
  <c r="A50" i="14"/>
  <c r="A51" i="14"/>
  <c r="A52" i="14"/>
  <c r="A91" i="14" s="1"/>
  <c r="A53" i="14"/>
  <c r="A92" i="14" s="1"/>
  <c r="A131" i="14" s="1"/>
  <c r="A54" i="14"/>
  <c r="A55" i="14"/>
  <c r="A56" i="14"/>
  <c r="A57" i="14"/>
  <c r="A58" i="14"/>
  <c r="A59" i="14"/>
  <c r="A98" i="14" s="1"/>
  <c r="A60" i="14"/>
  <c r="A61" i="14"/>
  <c r="A62" i="14"/>
  <c r="A101" i="14" s="1"/>
  <c r="A63" i="14"/>
  <c r="A102" i="14" s="1"/>
  <c r="A64" i="14"/>
  <c r="A65" i="14"/>
  <c r="A104" i="14" s="1"/>
  <c r="A66" i="14"/>
  <c r="A67" i="14"/>
  <c r="A68" i="14"/>
  <c r="A69" i="14"/>
  <c r="A70" i="14"/>
  <c r="A71" i="14"/>
  <c r="A72" i="14"/>
  <c r="A73" i="14"/>
  <c r="A74" i="14"/>
  <c r="A75" i="14"/>
  <c r="A76" i="14"/>
  <c r="A115" i="14" s="1"/>
  <c r="A154" i="14" s="1"/>
  <c r="A193" i="14" s="1"/>
  <c r="A77" i="14"/>
  <c r="A78" i="14"/>
  <c r="A79" i="14"/>
  <c r="A118" i="14" s="1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N22" i="31" s="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A80" i="14" s="1"/>
  <c r="B42" i="14"/>
  <c r="B81" i="14" s="1"/>
  <c r="B120" i="14" s="1"/>
  <c r="B159" i="14" s="1"/>
  <c r="B198" i="14" s="1"/>
  <c r="B237" i="14" s="1"/>
  <c r="B43" i="14"/>
  <c r="B82" i="14" s="1"/>
  <c r="B121" i="14" s="1"/>
  <c r="B160" i="14" s="1"/>
  <c r="B199" i="14" s="1"/>
  <c r="B238" i="14" s="1"/>
  <c r="B44" i="14"/>
  <c r="B45" i="14"/>
  <c r="B46" i="14"/>
  <c r="B85" i="14" s="1"/>
  <c r="B124" i="14" s="1"/>
  <c r="B163" i="14" s="1"/>
  <c r="B202" i="14" s="1"/>
  <c r="B241" i="14" s="1"/>
  <c r="B47" i="14"/>
  <c r="B48" i="14"/>
  <c r="B49" i="14"/>
  <c r="B50" i="14"/>
  <c r="G50" i="14" s="1"/>
  <c r="B51" i="14"/>
  <c r="B90" i="14" s="1"/>
  <c r="B129" i="14" s="1"/>
  <c r="B168" i="14" s="1"/>
  <c r="B207" i="14" s="1"/>
  <c r="B246" i="14" s="1"/>
  <c r="B52" i="14"/>
  <c r="B53" i="14"/>
  <c r="B92" i="14" s="1"/>
  <c r="B131" i="14" s="1"/>
  <c r="B54" i="14"/>
  <c r="B55" i="14"/>
  <c r="B94" i="14" s="1"/>
  <c r="B133" i="14" s="1"/>
  <c r="B172" i="14" s="1"/>
  <c r="B211" i="14" s="1"/>
  <c r="B250" i="14" s="1"/>
  <c r="B56" i="14"/>
  <c r="B57" i="14"/>
  <c r="B58" i="14"/>
  <c r="H58" i="14" s="1"/>
  <c r="B59" i="14"/>
  <c r="B98" i="14" s="1"/>
  <c r="B137" i="14" s="1"/>
  <c r="B176" i="14" s="1"/>
  <c r="B215" i="14" s="1"/>
  <c r="B254" i="14" s="1"/>
  <c r="B60" i="14"/>
  <c r="B61" i="14"/>
  <c r="B62" i="14"/>
  <c r="B63" i="14"/>
  <c r="I63" i="14" s="1"/>
  <c r="B64" i="14"/>
  <c r="B65" i="14"/>
  <c r="B104" i="14" s="1"/>
  <c r="B143" i="14" s="1"/>
  <c r="B182" i="14" s="1"/>
  <c r="B221" i="14" s="1"/>
  <c r="B260" i="14" s="1"/>
  <c r="B66" i="14"/>
  <c r="B105" i="14" s="1"/>
  <c r="B144" i="14" s="1"/>
  <c r="B183" i="14" s="1"/>
  <c r="B222" i="14" s="1"/>
  <c r="B261" i="14" s="1"/>
  <c r="B67" i="14"/>
  <c r="B68" i="14"/>
  <c r="B69" i="14"/>
  <c r="I69" i="14" s="1"/>
  <c r="B70" i="14"/>
  <c r="B71" i="14"/>
  <c r="B72" i="14"/>
  <c r="B73" i="14"/>
  <c r="B74" i="14"/>
  <c r="B113" i="14" s="1"/>
  <c r="B152" i="14" s="1"/>
  <c r="B191" i="14" s="1"/>
  <c r="B230" i="14" s="1"/>
  <c r="B269" i="14" s="1"/>
  <c r="B75" i="14"/>
  <c r="B114" i="14" s="1"/>
  <c r="B153" i="14" s="1"/>
  <c r="B192" i="14" s="1"/>
  <c r="B231" i="14" s="1"/>
  <c r="B270" i="14" s="1"/>
  <c r="B76" i="14"/>
  <c r="B77" i="14"/>
  <c r="B116" i="14" s="1"/>
  <c r="B155" i="14" s="1"/>
  <c r="B78" i="14"/>
  <c r="B79" i="14"/>
  <c r="B118" i="14" s="1"/>
  <c r="B157" i="14" s="1"/>
  <c r="B196" i="14" s="1"/>
  <c r="B235" i="14" s="1"/>
  <c r="B274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D2" i="14" s="1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18" i="31"/>
  <c r="H19" i="31"/>
  <c r="I110" i="5"/>
  <c r="I109" i="5"/>
  <c r="I108" i="5"/>
  <c r="I107" i="5"/>
  <c r="I106" i="5"/>
  <c r="I105" i="5"/>
  <c r="I104" i="5"/>
  <c r="I103" i="5"/>
  <c r="J102" i="5"/>
  <c r="J104" i="5" s="1"/>
  <c r="J91" i="5"/>
  <c r="I91" i="5"/>
  <c r="I88" i="5"/>
  <c r="I87" i="5"/>
  <c r="I86" i="5"/>
  <c r="I85" i="5"/>
  <c r="I84" i="5"/>
  <c r="I83" i="5"/>
  <c r="I82" i="5"/>
  <c r="I81" i="5"/>
  <c r="K80" i="5"/>
  <c r="J80" i="5"/>
  <c r="J82" i="5" s="1"/>
  <c r="I77" i="5"/>
  <c r="I76" i="5"/>
  <c r="I75" i="5"/>
  <c r="I74" i="5"/>
  <c r="I73" i="5"/>
  <c r="I72" i="5"/>
  <c r="I71" i="5"/>
  <c r="I70" i="5"/>
  <c r="K69" i="5"/>
  <c r="K77" i="5" s="1"/>
  <c r="J69" i="5"/>
  <c r="J73" i="5" s="1"/>
  <c r="J58" i="5"/>
  <c r="J65" i="5" s="1"/>
  <c r="I58" i="5"/>
  <c r="I55" i="5"/>
  <c r="I54" i="5"/>
  <c r="I53" i="5"/>
  <c r="I52" i="5"/>
  <c r="I51" i="5"/>
  <c r="I50" i="5"/>
  <c r="I49" i="5"/>
  <c r="I48" i="5"/>
  <c r="M47" i="5"/>
  <c r="M55" i="5" s="1"/>
  <c r="L47" i="5"/>
  <c r="K47" i="5"/>
  <c r="K49" i="5" s="1"/>
  <c r="J47" i="5"/>
  <c r="I44" i="5"/>
  <c r="I43" i="5"/>
  <c r="I42" i="5"/>
  <c r="I41" i="5"/>
  <c r="I40" i="5"/>
  <c r="I39" i="5"/>
  <c r="I38" i="5"/>
  <c r="I37" i="5"/>
  <c r="S36" i="5"/>
  <c r="R36" i="5"/>
  <c r="Q36" i="5"/>
  <c r="P36" i="5"/>
  <c r="P39" i="5" s="1"/>
  <c r="O36" i="5"/>
  <c r="N36" i="5"/>
  <c r="N37" i="5" s="1"/>
  <c r="M36" i="5"/>
  <c r="M41" i="5" s="1"/>
  <c r="L36" i="5"/>
  <c r="K36" i="5"/>
  <c r="K40" i="5" s="1"/>
  <c r="J36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M14" i="5"/>
  <c r="L14" i="5"/>
  <c r="K14" i="5"/>
  <c r="J14" i="5"/>
  <c r="J22" i="5" s="1"/>
  <c r="I14" i="5"/>
  <c r="U2" i="5"/>
  <c r="U5" i="5" s="1"/>
  <c r="T2" i="5"/>
  <c r="T5" i="5" s="1"/>
  <c r="S2" i="5"/>
  <c r="R2" i="5"/>
  <c r="S115" i="5" s="1"/>
  <c r="Q2" i="5"/>
  <c r="Q4" i="5" s="1"/>
  <c r="P2" i="5"/>
  <c r="K2" i="5"/>
  <c r="K3" i="5" s="1"/>
  <c r="J2" i="5"/>
  <c r="J6" i="5" s="1"/>
  <c r="I2" i="5"/>
  <c r="I6" i="5" s="1"/>
  <c r="K32" i="5"/>
  <c r="J107" i="5"/>
  <c r="J108" i="5"/>
  <c r="AJ143" i="4"/>
  <c r="AP143" i="4" s="1"/>
  <c r="AR143" i="4" s="1"/>
  <c r="AJ131" i="4"/>
  <c r="AP131" i="4" s="1"/>
  <c r="AT131" i="4" s="1"/>
  <c r="AJ138" i="4"/>
  <c r="AP138" i="4" s="1"/>
  <c r="AR138" i="4" s="1"/>
  <c r="AJ139" i="4"/>
  <c r="AP139" i="4" s="1"/>
  <c r="AJ141" i="4"/>
  <c r="AP141" i="4" s="1"/>
  <c r="AT141" i="4" s="1"/>
  <c r="AJ130" i="4"/>
  <c r="AP130" i="4" s="1"/>
  <c r="AJ144" i="4"/>
  <c r="AP144" i="4" s="1"/>
  <c r="AT144" i="4" s="1"/>
  <c r="AJ140" i="4"/>
  <c r="AP140" i="4" s="1"/>
  <c r="AJ134" i="4"/>
  <c r="AP134" i="4" s="1"/>
  <c r="AR134" i="4" s="1"/>
  <c r="AJ132" i="4"/>
  <c r="AP132" i="4" s="1"/>
  <c r="AR132" i="4" s="1"/>
  <c r="AJ133" i="4"/>
  <c r="AP133" i="4" s="1"/>
  <c r="AJ137" i="4"/>
  <c r="AP137" i="4" s="1"/>
  <c r="AJ136" i="4"/>
  <c r="AP136" i="4" s="1"/>
  <c r="AJ145" i="4"/>
  <c r="AP145" i="4" s="1"/>
  <c r="AJ135" i="4"/>
  <c r="AP135" i="4" s="1"/>
  <c r="AR135" i="4" s="1"/>
  <c r="AJ142" i="4"/>
  <c r="AP142" i="4" s="1"/>
  <c r="AQ13" i="8"/>
  <c r="AQ9" i="8"/>
  <c r="J98" i="5"/>
  <c r="T15" i="28"/>
  <c r="AS23" i="4"/>
  <c r="AS103" i="4"/>
  <c r="AS12" i="4"/>
  <c r="AS38" i="4"/>
  <c r="AS197" i="4"/>
  <c r="AS98" i="4"/>
  <c r="A97" i="14"/>
  <c r="T189" i="28"/>
  <c r="T200" i="28"/>
  <c r="AS162" i="4"/>
  <c r="AS95" i="4"/>
  <c r="AS157" i="4"/>
  <c r="AS84" i="4"/>
  <c r="AS54" i="4"/>
  <c r="AS172" i="4"/>
  <c r="AS86" i="4"/>
  <c r="AS112" i="4"/>
  <c r="AS97" i="4"/>
  <c r="AS121" i="4"/>
  <c r="AS72" i="4"/>
  <c r="AS126" i="4"/>
  <c r="AS17" i="4"/>
  <c r="AS111" i="4"/>
  <c r="AS45" i="4"/>
  <c r="AS77" i="4"/>
  <c r="AS75" i="4"/>
  <c r="AS195" i="4"/>
  <c r="AS163" i="4"/>
  <c r="AS41" i="4"/>
  <c r="T246" i="28"/>
  <c r="AS187" i="4"/>
  <c r="AS212" i="4"/>
  <c r="AS39" i="4"/>
  <c r="AS161" i="4"/>
  <c r="AS175" i="4"/>
  <c r="AS170" i="4"/>
  <c r="AS153" i="4"/>
  <c r="AS20" i="4"/>
  <c r="AS182" i="4"/>
  <c r="AS27" i="4"/>
  <c r="T204" i="28"/>
  <c r="J74" i="5"/>
  <c r="T12" i="28"/>
  <c r="V12" i="28" s="1"/>
  <c r="X12" i="28" s="1"/>
  <c r="T18" i="28"/>
  <c r="AS180" i="4"/>
  <c r="C187" i="12"/>
  <c r="C12" i="12"/>
  <c r="C130" i="12"/>
  <c r="C94" i="12"/>
  <c r="C55" i="12"/>
  <c r="C123" i="12"/>
  <c r="C131" i="12"/>
  <c r="C29" i="12"/>
  <c r="C52" i="12"/>
  <c r="A313" i="12"/>
  <c r="A448" i="12" s="1"/>
  <c r="A583" i="12" s="1"/>
  <c r="A718" i="12" s="1"/>
  <c r="A853" i="12" s="1"/>
  <c r="A988" i="12" s="1"/>
  <c r="A1123" i="12" s="1"/>
  <c r="A1258" i="12" s="1"/>
  <c r="A1393" i="12" s="1"/>
  <c r="A1528" i="12" s="1"/>
  <c r="A1663" i="12" s="1"/>
  <c r="A1798" i="12" s="1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P42" i="5"/>
  <c r="P43" i="5"/>
  <c r="P40" i="5"/>
  <c r="I64" i="5"/>
  <c r="T162" i="28"/>
  <c r="B259" i="12"/>
  <c r="C259" i="12" s="1"/>
  <c r="C15" i="12"/>
  <c r="Y168" i="28"/>
  <c r="T168" i="28"/>
  <c r="A505" i="12"/>
  <c r="A640" i="12" s="1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T4" i="5"/>
  <c r="J76" i="5"/>
  <c r="A113" i="14"/>
  <c r="B219" i="12"/>
  <c r="B354" i="12" s="1"/>
  <c r="C354" i="12" s="1"/>
  <c r="A280" i="12"/>
  <c r="T196" i="28"/>
  <c r="Y196" i="28"/>
  <c r="B349" i="12"/>
  <c r="B484" i="12" s="1"/>
  <c r="B206" i="12"/>
  <c r="B326" i="12"/>
  <c r="B177" i="12"/>
  <c r="B312" i="12" s="1"/>
  <c r="B447" i="12" s="1"/>
  <c r="B226" i="12"/>
  <c r="B361" i="12"/>
  <c r="B496" i="12" s="1"/>
  <c r="B631" i="12" s="1"/>
  <c r="B766" i="12" s="1"/>
  <c r="C91" i="12"/>
  <c r="B547" i="12"/>
  <c r="B682" i="12" s="1"/>
  <c r="B817" i="12" s="1"/>
  <c r="C7" i="12"/>
  <c r="M20" i="5"/>
  <c r="T6" i="5"/>
  <c r="B921" i="12"/>
  <c r="B1056" i="12"/>
  <c r="B1191" i="12" s="1"/>
  <c r="AS8" i="4"/>
  <c r="AS92" i="4"/>
  <c r="T129" i="28"/>
  <c r="V129" i="28" s="1"/>
  <c r="B375" i="12"/>
  <c r="B510" i="12" s="1"/>
  <c r="Y16" i="28"/>
  <c r="T127" i="28"/>
  <c r="V127" i="28" s="1"/>
  <c r="W127" i="28" s="1"/>
  <c r="B335" i="12"/>
  <c r="O47" i="40"/>
  <c r="AS24" i="4"/>
  <c r="AS99" i="4"/>
  <c r="AS169" i="4"/>
  <c r="AS59" i="4"/>
  <c r="AS66" i="4"/>
  <c r="AS71" i="4"/>
  <c r="AS176" i="4"/>
  <c r="AS34" i="4"/>
  <c r="AS115" i="4"/>
  <c r="AS11" i="4"/>
  <c r="AS186" i="4"/>
  <c r="AS5" i="4"/>
  <c r="AS70" i="4"/>
  <c r="AS216" i="4"/>
  <c r="AS158" i="4"/>
  <c r="AS51" i="4"/>
  <c r="AS207" i="4"/>
  <c r="AS184" i="4"/>
  <c r="AS206" i="4"/>
  <c r="AS69" i="4"/>
  <c r="AS35" i="4"/>
  <c r="AS33" i="4"/>
  <c r="AS127" i="4"/>
  <c r="AS183" i="4"/>
  <c r="AS104" i="4"/>
  <c r="AS193" i="4"/>
  <c r="AS125" i="4"/>
  <c r="AS73" i="4"/>
  <c r="AS67" i="4"/>
  <c r="AS168" i="4"/>
  <c r="AS26" i="4"/>
  <c r="AS213" i="4"/>
  <c r="AS63" i="4"/>
  <c r="AS119" i="4"/>
  <c r="AS60" i="4"/>
  <c r="AS198" i="4"/>
  <c r="AS87" i="4"/>
  <c r="AS82" i="4"/>
  <c r="AS40" i="4"/>
  <c r="AS166" i="4"/>
  <c r="AS179" i="4"/>
  <c r="AS164" i="4"/>
  <c r="AS57" i="4"/>
  <c r="AS10" i="4"/>
  <c r="AS211" i="4"/>
  <c r="AS173" i="4"/>
  <c r="AS30" i="4"/>
  <c r="AS199" i="4"/>
  <c r="AS74" i="4"/>
  <c r="AS159" i="4"/>
  <c r="AS3" i="4"/>
  <c r="AS42" i="4"/>
  <c r="AS49" i="4"/>
  <c r="AS107" i="4"/>
  <c r="AS4" i="4"/>
  <c r="AS101" i="4"/>
  <c r="AS15" i="4"/>
  <c r="AS114" i="4"/>
  <c r="AS29" i="4"/>
  <c r="AS32" i="4"/>
  <c r="AS116" i="4"/>
  <c r="AS196" i="4"/>
  <c r="AS167" i="4"/>
  <c r="AS56" i="4"/>
  <c r="AS2" i="4"/>
  <c r="AS91" i="4"/>
  <c r="AS155" i="4"/>
  <c r="AS31" i="4"/>
  <c r="AS21" i="4"/>
  <c r="AS106" i="4"/>
  <c r="AS53" i="4"/>
  <c r="AS102" i="4"/>
  <c r="AS90" i="4"/>
  <c r="AS128" i="4"/>
  <c r="AS64" i="4"/>
  <c r="AS16" i="4"/>
  <c r="AS178" i="4"/>
  <c r="AS190" i="4"/>
  <c r="AS204" i="4"/>
  <c r="AS43" i="4"/>
  <c r="AS52" i="4"/>
  <c r="AS181" i="4"/>
  <c r="AS145" i="4"/>
  <c r="AS129" i="4"/>
  <c r="U24" i="15"/>
  <c r="Z24" i="15"/>
  <c r="AT75" i="4"/>
  <c r="B634" i="12"/>
  <c r="B769" i="12" s="1"/>
  <c r="B904" i="12" s="1"/>
  <c r="Y209" i="28"/>
  <c r="B358" i="12"/>
  <c r="B493" i="12" s="1"/>
  <c r="B673" i="12"/>
  <c r="B808" i="12" s="1"/>
  <c r="B938" i="12"/>
  <c r="B1073" i="12" s="1"/>
  <c r="B1208" i="12" s="1"/>
  <c r="B1343" i="12" s="1"/>
  <c r="B1478" i="12" s="1"/>
  <c r="B1613" i="12" s="1"/>
  <c r="B1748" i="12" s="1"/>
  <c r="B1883" i="12" s="1"/>
  <c r="B256" i="12"/>
  <c r="A2420" i="12"/>
  <c r="A2555" i="12" s="1"/>
  <c r="A2690" i="12" s="1"/>
  <c r="Y234" i="28"/>
  <c r="T234" i="28"/>
  <c r="V234" i="28" s="1"/>
  <c r="I61" i="5"/>
  <c r="H70" i="14"/>
  <c r="T5" i="28"/>
  <c r="T185" i="28"/>
  <c r="Y230" i="28"/>
  <c r="T230" i="28"/>
  <c r="A1794" i="12"/>
  <c r="A1929" i="12" s="1"/>
  <c r="A2064" i="12" s="1"/>
  <c r="A2199" i="12" s="1"/>
  <c r="A2334" i="12" s="1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P6" i="5"/>
  <c r="Y160" i="28"/>
  <c r="B439" i="12"/>
  <c r="B574" i="12" s="1"/>
  <c r="I8" i="5"/>
  <c r="A1117" i="12"/>
  <c r="R114" i="5"/>
  <c r="I93" i="5"/>
  <c r="G70" i="14"/>
  <c r="R38" i="5"/>
  <c r="S113" i="5"/>
  <c r="M42" i="5"/>
  <c r="M37" i="5"/>
  <c r="S37" i="5"/>
  <c r="I65" i="5"/>
  <c r="M44" i="5"/>
  <c r="P3" i="5"/>
  <c r="J54" i="5"/>
  <c r="T116" i="28"/>
  <c r="Y116" i="28"/>
  <c r="K28" i="5"/>
  <c r="M22" i="5"/>
  <c r="T43" i="28"/>
  <c r="V43" i="28" s="1"/>
  <c r="X43" i="28" s="1"/>
  <c r="L43" i="5"/>
  <c r="K27" i="5"/>
  <c r="I74" i="14"/>
  <c r="H77" i="14"/>
  <c r="Y222" i="28"/>
  <c r="T175" i="28"/>
  <c r="T267" i="28"/>
  <c r="V267" i="28" s="1"/>
  <c r="W267" i="28" s="1"/>
  <c r="T55" i="28"/>
  <c r="T291" i="28"/>
  <c r="V291" i="28" s="1"/>
  <c r="W291" i="28" s="1"/>
  <c r="T307" i="28"/>
  <c r="V307" i="28" s="1"/>
  <c r="X307" i="28" s="1"/>
  <c r="T96" i="28"/>
  <c r="V96" i="28" s="1"/>
  <c r="X96" i="28" s="1"/>
  <c r="T282" i="28"/>
  <c r="V282" i="28" s="1"/>
  <c r="W282" i="28" s="1"/>
  <c r="T88" i="28"/>
  <c r="V88" i="28" s="1"/>
  <c r="T262" i="28"/>
  <c r="T98" i="28"/>
  <c r="V98" i="28" s="1"/>
  <c r="X98" i="28" s="1"/>
  <c r="T216" i="28"/>
  <c r="T70" i="28"/>
  <c r="T105" i="28"/>
  <c r="V105" i="28" s="1"/>
  <c r="T274" i="28"/>
  <c r="V274" i="28" s="1"/>
  <c r="T36" i="28"/>
  <c r="T84" i="28"/>
  <c r="V84" i="28" s="1"/>
  <c r="W84" i="28" s="1"/>
  <c r="T19" i="28"/>
  <c r="T239" i="28"/>
  <c r="T14" i="28"/>
  <c r="V14" i="28" s="1"/>
  <c r="T259" i="28"/>
  <c r="V259" i="28" s="1"/>
  <c r="W259" i="28" s="1"/>
  <c r="T17" i="28"/>
  <c r="V17" i="28" s="1"/>
  <c r="W17" i="28" s="1"/>
  <c r="T174" i="28"/>
  <c r="V174" i="28" s="1"/>
  <c r="W174" i="28" s="1"/>
  <c r="T144" i="28"/>
  <c r="V144" i="28" s="1"/>
  <c r="X144" i="28" s="1"/>
  <c r="AS147" i="4"/>
  <c r="AS146" i="4"/>
  <c r="AS143" i="4"/>
  <c r="AS140" i="4"/>
  <c r="AS132" i="4"/>
  <c r="AS151" i="4"/>
  <c r="AS150" i="4"/>
  <c r="AS148" i="4"/>
  <c r="AS152" i="4"/>
  <c r="AS149" i="4"/>
  <c r="AS138" i="4"/>
  <c r="AS141" i="4"/>
  <c r="AS142" i="4"/>
  <c r="AS135" i="4"/>
  <c r="A90" i="14"/>
  <c r="T150" i="28"/>
  <c r="Y142" i="28"/>
  <c r="H79" i="14"/>
  <c r="A112" i="14"/>
  <c r="X23" i="33"/>
  <c r="Y201" i="28"/>
  <c r="Y244" i="28"/>
  <c r="T80" i="28"/>
  <c r="V80" i="28" s="1"/>
  <c r="W80" i="28" s="1"/>
  <c r="T114" i="28"/>
  <c r="V114" i="28" s="1"/>
  <c r="X114" i="28" s="1"/>
  <c r="T207" i="28"/>
  <c r="V207" i="28" s="1"/>
  <c r="X207" i="28" s="1"/>
  <c r="AM84" i="17"/>
  <c r="C266" i="12"/>
  <c r="Y223" i="28"/>
  <c r="T13" i="28"/>
  <c r="V13" i="28" s="1"/>
  <c r="T252" i="28"/>
  <c r="V252" i="28" s="1"/>
  <c r="W252" i="28" s="1"/>
  <c r="T190" i="28"/>
  <c r="T166" i="28"/>
  <c r="V166" i="28" s="1"/>
  <c r="T169" i="28"/>
  <c r="T294" i="28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Y101" i="28"/>
  <c r="T10" i="28"/>
  <c r="V10" i="28" s="1"/>
  <c r="T23" i="28"/>
  <c r="V23" i="28" s="1"/>
  <c r="Y269" i="28"/>
  <c r="T269" i="28"/>
  <c r="V269" i="28" s="1"/>
  <c r="T298" i="28"/>
  <c r="V298" i="28" s="1"/>
  <c r="N1257" i="7"/>
  <c r="I1247" i="7"/>
  <c r="I341" i="7"/>
  <c r="I1026" i="7"/>
  <c r="I1255" i="7"/>
  <c r="I1603" i="7"/>
  <c r="I1607" i="7"/>
  <c r="I256" i="7"/>
  <c r="I807" i="7"/>
  <c r="I1029" i="7"/>
  <c r="I1095" i="7"/>
  <c r="I1100" i="7"/>
  <c r="I1172" i="7"/>
  <c r="I1252" i="7"/>
  <c r="I1265" i="7"/>
  <c r="I1269" i="7"/>
  <c r="I1277" i="7"/>
  <c r="I1595" i="7"/>
  <c r="N454" i="7"/>
  <c r="N612" i="7"/>
  <c r="N809" i="7"/>
  <c r="N920" i="7"/>
  <c r="N1031" i="7"/>
  <c r="N1250" i="7"/>
  <c r="N1254" i="7"/>
  <c r="N1267" i="7"/>
  <c r="N1271" i="7"/>
  <c r="N1275" i="7"/>
  <c r="N1593" i="7"/>
  <c r="I1266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N258" i="7"/>
  <c r="N1121" i="7"/>
  <c r="N1607" i="7"/>
  <c r="I1253" i="7"/>
  <c r="N1247" i="7"/>
  <c r="N1152" i="7"/>
  <c r="N1258" i="7"/>
  <c r="N1262" i="7"/>
  <c r="N1606" i="7"/>
  <c r="N293" i="7"/>
  <c r="N808" i="7"/>
  <c r="N1030" i="7"/>
  <c r="N1096" i="7"/>
  <c r="N1120" i="7"/>
  <c r="N1266" i="7"/>
  <c r="N1270" i="7"/>
  <c r="N1274" i="7"/>
  <c r="N1278" i="7"/>
  <c r="A48" i="6"/>
  <c r="A49" i="6" s="1"/>
  <c r="B48" i="6"/>
  <c r="B49" i="6" s="1"/>
  <c r="B20" i="6"/>
  <c r="AR178" i="4"/>
  <c r="AT164" i="4"/>
  <c r="AR167" i="4"/>
  <c r="Q47" i="4"/>
  <c r="Q63" i="4"/>
  <c r="S55" i="4"/>
  <c r="Q212" i="4"/>
  <c r="Q83" i="4"/>
  <c r="Z156" i="4"/>
  <c r="Q39" i="4"/>
  <c r="J70" i="5"/>
  <c r="L38" i="5"/>
  <c r="S8" i="5"/>
  <c r="J71" i="5"/>
  <c r="R116" i="5"/>
  <c r="C54" i="14"/>
  <c r="B93" i="14"/>
  <c r="B132" i="14" s="1"/>
  <c r="Y117" i="28"/>
  <c r="T117" i="28"/>
  <c r="V117" i="28" s="1"/>
  <c r="W117" i="28" s="1"/>
  <c r="B205" i="12"/>
  <c r="Y210" i="28"/>
  <c r="J10" i="5"/>
  <c r="J5" i="5"/>
  <c r="J9" i="5"/>
  <c r="K30" i="5"/>
  <c r="K29" i="5"/>
  <c r="C459" i="12"/>
  <c r="C432" i="12"/>
  <c r="A110" i="14"/>
  <c r="A95" i="14"/>
  <c r="T131" i="28"/>
  <c r="V131" i="28" s="1"/>
  <c r="X131" i="28" s="1"/>
  <c r="Y131" i="28"/>
  <c r="Y121" i="28"/>
  <c r="Y146" i="28"/>
  <c r="Y157" i="28"/>
  <c r="T157" i="28"/>
  <c r="T231" i="28"/>
  <c r="Y231" i="28"/>
  <c r="Y250" i="28"/>
  <c r="B469" i="12"/>
  <c r="A3208" i="12"/>
  <c r="A3343" i="12" s="1"/>
  <c r="A3478" i="12" s="1"/>
  <c r="A3613" i="12" s="1"/>
  <c r="A3748" i="12" s="1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A596" i="12"/>
  <c r="A731" i="12" s="1"/>
  <c r="A866" i="12" s="1"/>
  <c r="A1001" i="12" s="1"/>
  <c r="A1136" i="12" s="1"/>
  <c r="A1271" i="12" s="1"/>
  <c r="A1406" i="12" s="1"/>
  <c r="A1541" i="12" s="1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435" i="12"/>
  <c r="A570" i="12" s="1"/>
  <c r="O41" i="5"/>
  <c r="S3" i="5"/>
  <c r="R43" i="5"/>
  <c r="L37" i="5"/>
  <c r="I15" i="5"/>
  <c r="K5" i="5"/>
  <c r="M25" i="5"/>
  <c r="U116" i="5"/>
  <c r="T113" i="5"/>
  <c r="L44" i="5"/>
  <c r="P44" i="5"/>
  <c r="I66" i="5"/>
  <c r="I60" i="5"/>
  <c r="C364" i="12"/>
  <c r="B99" i="14"/>
  <c r="A94" i="14"/>
  <c r="A86" i="14"/>
  <c r="X36" i="33"/>
  <c r="W26" i="33"/>
  <c r="A1298" i="12"/>
  <c r="A1433" i="12" s="1"/>
  <c r="A1568" i="12" s="1"/>
  <c r="A1703" i="12" s="1"/>
  <c r="A1838" i="12" s="1"/>
  <c r="A1973" i="12" s="1"/>
  <c r="A2108" i="12" s="1"/>
  <c r="A2243" i="12" s="1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S4" i="5"/>
  <c r="S6" i="5"/>
  <c r="O40" i="5"/>
  <c r="O44" i="5"/>
  <c r="I5" i="5"/>
  <c r="I95" i="5"/>
  <c r="T154" i="28"/>
  <c r="V154" i="28" s="1"/>
  <c r="X154" i="28" s="1"/>
  <c r="Y156" i="28"/>
  <c r="T187" i="28"/>
  <c r="J72" i="5"/>
  <c r="J75" i="5"/>
  <c r="L69" i="5"/>
  <c r="K41" i="5"/>
  <c r="S5" i="5"/>
  <c r="R118" i="5"/>
  <c r="S10" i="5"/>
  <c r="R42" i="5"/>
  <c r="K39" i="5"/>
  <c r="S7" i="5"/>
  <c r="K72" i="5"/>
  <c r="M48" i="5"/>
  <c r="C495" i="12"/>
  <c r="H54" i="14"/>
  <c r="G118" i="14"/>
  <c r="I118" i="14"/>
  <c r="Y137" i="28"/>
  <c r="C229" i="12"/>
  <c r="I48" i="14"/>
  <c r="B87" i="14"/>
  <c r="G48" i="14"/>
  <c r="B80" i="14"/>
  <c r="I62" i="14"/>
  <c r="I54" i="14"/>
  <c r="T6" i="28"/>
  <c r="V6" i="28" s="1"/>
  <c r="W6" i="28" s="1"/>
  <c r="Y21" i="28"/>
  <c r="T21" i="28"/>
  <c r="V21" i="28" s="1"/>
  <c r="T181" i="28"/>
  <c r="V181" i="28" s="1"/>
  <c r="W181" i="28" s="1"/>
  <c r="Y181" i="28"/>
  <c r="T249" i="28"/>
  <c r="Y249" i="28"/>
  <c r="B106" i="14"/>
  <c r="B84" i="14"/>
  <c r="H22" i="31"/>
  <c r="G22" i="31"/>
  <c r="D22" i="31"/>
  <c r="I22" i="31"/>
  <c r="E22" i="31"/>
  <c r="Y15" i="28"/>
  <c r="Y195" i="28"/>
  <c r="T195" i="28"/>
  <c r="F84" i="17"/>
  <c r="AJ84" i="17"/>
  <c r="L84" i="17"/>
  <c r="AH84" i="17"/>
  <c r="Z84" i="17"/>
  <c r="R84" i="17"/>
  <c r="J84" i="17"/>
  <c r="C133" i="12"/>
  <c r="C244" i="12"/>
  <c r="C379" i="12"/>
  <c r="C148" i="12"/>
  <c r="C298" i="12"/>
  <c r="C507" i="12"/>
  <c r="C541" i="12"/>
  <c r="C262" i="12"/>
  <c r="C235" i="12"/>
  <c r="C216" i="12"/>
  <c r="C372" i="12"/>
  <c r="C159" i="12"/>
  <c r="C509" i="12"/>
  <c r="C322" i="12"/>
  <c r="C297" i="12"/>
  <c r="C516" i="12"/>
  <c r="C136" i="12"/>
  <c r="C268" i="12"/>
  <c r="C536" i="12"/>
  <c r="C225" i="12"/>
  <c r="C243" i="12"/>
  <c r="C201" i="12"/>
  <c r="C359" i="12"/>
  <c r="C321" i="12"/>
  <c r="C282" i="12"/>
  <c r="C323" i="12"/>
  <c r="C237" i="12"/>
  <c r="C192" i="12"/>
  <c r="C157" i="12"/>
  <c r="C351" i="12"/>
  <c r="C160" i="12"/>
  <c r="G58" i="14"/>
  <c r="B97" i="14"/>
  <c r="C97" i="14" s="1"/>
  <c r="A105" i="14"/>
  <c r="A89" i="14"/>
  <c r="H50" i="14"/>
  <c r="Y113" i="28"/>
  <c r="T113" i="28"/>
  <c r="V113" i="28" s="1"/>
  <c r="T194" i="28"/>
  <c r="V194" i="28" s="1"/>
  <c r="W194" i="28" s="1"/>
  <c r="Y194" i="28"/>
  <c r="Y226" i="28"/>
  <c r="T226" i="28"/>
  <c r="V226" i="28" s="1"/>
  <c r="Y224" i="28"/>
  <c r="T224" i="28"/>
  <c r="AK84" i="17"/>
  <c r="U84" i="17"/>
  <c r="M84" i="17"/>
  <c r="AI84" i="17"/>
  <c r="AA84" i="17"/>
  <c r="Y84" i="17"/>
  <c r="Q84" i="17"/>
  <c r="B788" i="12"/>
  <c r="B923" i="12" s="1"/>
  <c r="B497" i="12"/>
  <c r="B632" i="12" s="1"/>
  <c r="C362" i="12"/>
  <c r="B897" i="12"/>
  <c r="I65" i="14"/>
  <c r="A96" i="14"/>
  <c r="A135" i="14" s="1"/>
  <c r="G57" i="14"/>
  <c r="Y22" i="28"/>
  <c r="T22" i="28"/>
  <c r="V22" i="28" s="1"/>
  <c r="T115" i="28"/>
  <c r="Y115" i="28"/>
  <c r="Y203" i="28"/>
  <c r="B3093" i="12"/>
  <c r="B3228" i="12" s="1"/>
  <c r="B926" i="12"/>
  <c r="B1061" i="12" s="1"/>
  <c r="B1196" i="12" s="1"/>
  <c r="B408" i="12"/>
  <c r="C408" i="12" s="1"/>
  <c r="C273" i="12"/>
  <c r="B550" i="12"/>
  <c r="A103" i="14"/>
  <c r="W38" i="33"/>
  <c r="W22" i="33"/>
  <c r="Y26" i="28"/>
  <c r="Y25" i="28"/>
  <c r="T25" i="28"/>
  <c r="V25" i="28" s="1"/>
  <c r="T147" i="28"/>
  <c r="Y147" i="28"/>
  <c r="AD17" i="15"/>
  <c r="H74" i="14"/>
  <c r="A107" i="14"/>
  <c r="A100" i="14"/>
  <c r="H61" i="14"/>
  <c r="A93" i="14"/>
  <c r="H93" i="14" s="1"/>
  <c r="G54" i="14"/>
  <c r="Y128" i="28"/>
  <c r="Y164" i="28"/>
  <c r="Y126" i="28"/>
  <c r="T126" i="28"/>
  <c r="V126" i="28" s="1"/>
  <c r="W126" i="28" s="1"/>
  <c r="T138" i="28"/>
  <c r="V138" i="28" s="1"/>
  <c r="W138" i="28" s="1"/>
  <c r="Y208" i="28"/>
  <c r="T208" i="28"/>
  <c r="V208" i="28" s="1"/>
  <c r="X208" i="28" s="1"/>
  <c r="Y199" i="28"/>
  <c r="T232" i="28"/>
  <c r="I41" i="14"/>
  <c r="Y118" i="28"/>
  <c r="T118" i="28"/>
  <c r="V118" i="28" s="1"/>
  <c r="W118" i="28" s="1"/>
  <c r="T158" i="28"/>
  <c r="Y248" i="28"/>
  <c r="H84" i="17"/>
  <c r="Y17" i="33"/>
  <c r="P46" i="40"/>
  <c r="AT4" i="4"/>
  <c r="W27" i="33"/>
  <c r="Y7" i="28"/>
  <c r="Y246" i="28"/>
  <c r="Y141" i="28"/>
  <c r="AF84" i="17"/>
  <c r="P84" i="17"/>
  <c r="V84" i="17"/>
  <c r="N84" i="17"/>
  <c r="AT116" i="4"/>
  <c r="AS192" i="4"/>
  <c r="AS174" i="4"/>
  <c r="AS94" i="4"/>
  <c r="AS62" i="4"/>
  <c r="AS47" i="4"/>
  <c r="AS189" i="4"/>
  <c r="S46" i="4"/>
  <c r="Z195" i="4"/>
  <c r="Y2" i="28"/>
  <c r="T2" i="28"/>
  <c r="T87" i="28"/>
  <c r="T257" i="28"/>
  <c r="V257" i="28" s="1"/>
  <c r="X257" i="28" s="1"/>
  <c r="T61" i="28"/>
  <c r="V61" i="28" s="1"/>
  <c r="X61" i="28" s="1"/>
  <c r="T286" i="28"/>
  <c r="V286" i="28" s="1"/>
  <c r="T35" i="28"/>
  <c r="V35" i="28" s="1"/>
  <c r="W35" i="28" s="1"/>
  <c r="T304" i="28"/>
  <c r="AS36" i="4"/>
  <c r="AS209" i="4"/>
  <c r="AS28" i="4"/>
  <c r="AS37" i="4"/>
  <c r="AS122" i="4"/>
  <c r="AS165" i="4"/>
  <c r="AS7" i="4"/>
  <c r="AT101" i="4"/>
  <c r="T301" i="28"/>
  <c r="V301" i="28" s="1"/>
  <c r="W301" i="28" s="1"/>
  <c r="T263" i="28"/>
  <c r="V263" i="28" s="1"/>
  <c r="T44" i="28"/>
  <c r="T74" i="28"/>
  <c r="T300" i="28"/>
  <c r="V300" i="28" s="1"/>
  <c r="T57" i="28"/>
  <c r="T82" i="28"/>
  <c r="AT191" i="4"/>
  <c r="T42" i="28"/>
  <c r="V42" i="28" s="1"/>
  <c r="T311" i="28"/>
  <c r="V311" i="28" s="1"/>
  <c r="X311" i="28" s="1"/>
  <c r="T95" i="28"/>
  <c r="V95" i="28" s="1"/>
  <c r="W95" i="28" s="1"/>
  <c r="T58" i="28"/>
  <c r="V58" i="28" s="1"/>
  <c r="W58" i="28" s="1"/>
  <c r="T107" i="28"/>
  <c r="V107" i="28" s="1"/>
  <c r="X107" i="28" s="1"/>
  <c r="T68" i="28"/>
  <c r="V68" i="28" s="1"/>
  <c r="X68" i="28" s="1"/>
  <c r="T53" i="28"/>
  <c r="V53" i="28" s="1"/>
  <c r="T30" i="28"/>
  <c r="V30" i="28" s="1"/>
  <c r="W30" i="28" s="1"/>
  <c r="T266" i="28"/>
  <c r="V266" i="28" s="1"/>
  <c r="T309" i="28"/>
  <c r="V309" i="28" s="1"/>
  <c r="X309" i="28" s="1"/>
  <c r="T281" i="28"/>
  <c r="V281" i="28" s="1"/>
  <c r="W281" i="28" s="1"/>
  <c r="T38" i="28"/>
  <c r="V38" i="28" s="1"/>
  <c r="T89" i="28"/>
  <c r="V89" i="28" s="1"/>
  <c r="X89" i="28" s="1"/>
  <c r="T73" i="28"/>
  <c r="V73" i="28" s="1"/>
  <c r="T62" i="28"/>
  <c r="V62" i="28" s="1"/>
  <c r="T318" i="28"/>
  <c r="T45" i="28"/>
  <c r="V45" i="28" s="1"/>
  <c r="X45" i="28" s="1"/>
  <c r="T69" i="28"/>
  <c r="V69" i="28" s="1"/>
  <c r="W69" i="28" s="1"/>
  <c r="T46" i="28"/>
  <c r="V46" i="28" s="1"/>
  <c r="T33" i="28"/>
  <c r="V33" i="28" s="1"/>
  <c r="W33" i="28" s="1"/>
  <c r="T31" i="28"/>
  <c r="V31" i="28" s="1"/>
  <c r="T51" i="28"/>
  <c r="V51" i="28" s="1"/>
  <c r="W51" i="28" s="1"/>
  <c r="T54" i="28"/>
  <c r="V54" i="28" s="1"/>
  <c r="T32" i="28"/>
  <c r="V32" i="28" s="1"/>
  <c r="T306" i="28"/>
  <c r="V306" i="28" s="1"/>
  <c r="T110" i="28"/>
  <c r="T260" i="28"/>
  <c r="V260" i="28" s="1"/>
  <c r="T40" i="28"/>
  <c r="T314" i="28"/>
  <c r="V314" i="28" s="1"/>
  <c r="W314" i="28" s="1"/>
  <c r="T261" i="28"/>
  <c r="V261" i="28" s="1"/>
  <c r="T109" i="28"/>
  <c r="T63" i="28"/>
  <c r="V63" i="28" s="1"/>
  <c r="W63" i="28" s="1"/>
  <c r="T111" i="28"/>
  <c r="V111" i="28" s="1"/>
  <c r="T313" i="28"/>
  <c r="V313" i="28" s="1"/>
  <c r="X313" i="28" s="1"/>
  <c r="T290" i="28"/>
  <c r="V290" i="28" s="1"/>
  <c r="W290" i="28" s="1"/>
  <c r="T102" i="28"/>
  <c r="V102" i="28" s="1"/>
  <c r="X102" i="28" s="1"/>
  <c r="T310" i="28"/>
  <c r="V310" i="28" s="1"/>
  <c r="X310" i="28" s="1"/>
  <c r="T93" i="28"/>
  <c r="V93" i="28" s="1"/>
  <c r="W93" i="28" s="1"/>
  <c r="T86" i="28"/>
  <c r="V86" i="28" s="1"/>
  <c r="W86" i="28" s="1"/>
  <c r="T85" i="28"/>
  <c r="T104" i="28"/>
  <c r="V104" i="28" s="1"/>
  <c r="T81" i="28"/>
  <c r="V81" i="28" s="1"/>
  <c r="X81" i="28" s="1"/>
  <c r="T41" i="28"/>
  <c r="V41" i="28" s="1"/>
  <c r="T34" i="28"/>
  <c r="V34" i="28" s="1"/>
  <c r="T39" i="28"/>
  <c r="V39" i="28" s="1"/>
  <c r="T272" i="28"/>
  <c r="V272" i="28" s="1"/>
  <c r="X272" i="28" s="1"/>
  <c r="T65" i="28"/>
  <c r="T66" i="28"/>
  <c r="V66" i="28" s="1"/>
  <c r="X66" i="28" s="1"/>
  <c r="T103" i="28"/>
  <c r="V103" i="28" s="1"/>
  <c r="T217" i="28"/>
  <c r="V217" i="28" s="1"/>
  <c r="T308" i="28"/>
  <c r="T100" i="28"/>
  <c r="T317" i="28"/>
  <c r="V317" i="28" s="1"/>
  <c r="W317" i="28" s="1"/>
  <c r="T92" i="28"/>
  <c r="T52" i="28"/>
  <c r="T283" i="28"/>
  <c r="T256" i="28"/>
  <c r="V256" i="28" s="1"/>
  <c r="W256" i="28" s="1"/>
  <c r="T67" i="28"/>
  <c r="V67" i="28" s="1"/>
  <c r="T79" i="28"/>
  <c r="V79" i="28" s="1"/>
  <c r="W79" i="28" s="1"/>
  <c r="T49" i="28"/>
  <c r="V49" i="28" s="1"/>
  <c r="W49" i="28" s="1"/>
  <c r="T75" i="28"/>
  <c r="V75" i="28" s="1"/>
  <c r="T288" i="28"/>
  <c r="V288" i="28" s="1"/>
  <c r="X288" i="28" s="1"/>
  <c r="T270" i="28"/>
  <c r="T303" i="28"/>
  <c r="AT127" i="4"/>
  <c r="T293" i="28"/>
  <c r="V293" i="28" s="1"/>
  <c r="X293" i="28" s="1"/>
  <c r="T90" i="28"/>
  <c r="V90" i="28" s="1"/>
  <c r="T287" i="28"/>
  <c r="T299" i="28"/>
  <c r="V299" i="28" s="1"/>
  <c r="T279" i="28"/>
  <c r="T268" i="28"/>
  <c r="V268" i="28" s="1"/>
  <c r="W268" i="28" s="1"/>
  <c r="T72" i="28"/>
  <c r="V72" i="28" s="1"/>
  <c r="X72" i="28" s="1"/>
  <c r="T71" i="28"/>
  <c r="V71" i="28" s="1"/>
  <c r="T59" i="28"/>
  <c r="V59" i="28" s="1"/>
  <c r="W59" i="28" s="1"/>
  <c r="T218" i="28"/>
  <c r="V218" i="28" s="1"/>
  <c r="AS19" i="4"/>
  <c r="AS200" i="4"/>
  <c r="AS76" i="4"/>
  <c r="AS18" i="4"/>
  <c r="N1028" i="7"/>
  <c r="N1601" i="7"/>
  <c r="N1605" i="7"/>
  <c r="D49" i="16"/>
  <c r="S152" i="4"/>
  <c r="S146" i="4"/>
  <c r="S100" i="4"/>
  <c r="S116" i="4"/>
  <c r="X184" i="4"/>
  <c r="AT199" i="4"/>
  <c r="AR199" i="4"/>
  <c r="X22" i="4"/>
  <c r="Q86" i="4"/>
  <c r="S140" i="4"/>
  <c r="Z216" i="4"/>
  <c r="X216" i="4"/>
  <c r="AR6" i="4"/>
  <c r="S128" i="4"/>
  <c r="Q128" i="4"/>
  <c r="S200" i="4"/>
  <c r="Q200" i="4"/>
  <c r="AT35" i="4"/>
  <c r="X36" i="4"/>
  <c r="S204" i="4"/>
  <c r="AT16" i="4"/>
  <c r="AT119" i="4"/>
  <c r="X11" i="4"/>
  <c r="AR88" i="4"/>
  <c r="AT77" i="4"/>
  <c r="AT95" i="4"/>
  <c r="X144" i="4"/>
  <c r="Q89" i="4"/>
  <c r="Z200" i="4"/>
  <c r="Q133" i="4"/>
  <c r="S98" i="4"/>
  <c r="S196" i="4"/>
  <c r="AR183" i="4"/>
  <c r="Z211" i="4"/>
  <c r="AR111" i="4"/>
  <c r="AT111" i="4"/>
  <c r="AR24" i="4"/>
  <c r="X103" i="4"/>
  <c r="S104" i="4"/>
  <c r="Q104" i="4"/>
  <c r="AR68" i="4"/>
  <c r="AT175" i="4"/>
  <c r="AR175" i="4"/>
  <c r="S88" i="4"/>
  <c r="Q88" i="4"/>
  <c r="AT84" i="4"/>
  <c r="Q46" i="4"/>
  <c r="AR186" i="4"/>
  <c r="X119" i="4"/>
  <c r="Z119" i="4"/>
  <c r="AR11" i="4"/>
  <c r="S172" i="4"/>
  <c r="Q148" i="4"/>
  <c r="C142" i="12"/>
  <c r="C412" i="12"/>
  <c r="C191" i="12"/>
  <c r="B925" i="12"/>
  <c r="B1060" i="12" s="1"/>
  <c r="I18" i="31"/>
  <c r="I43" i="31"/>
  <c r="I19" i="31"/>
  <c r="C505" i="12"/>
  <c r="C312" i="12"/>
  <c r="A415" i="12"/>
  <c r="A550" i="12" s="1"/>
  <c r="C280" i="12"/>
  <c r="B489" i="12"/>
  <c r="C226" i="12"/>
  <c r="C177" i="12"/>
  <c r="B1039" i="12"/>
  <c r="B1174" i="12" s="1"/>
  <c r="B1309" i="12" s="1"/>
  <c r="C223" i="12"/>
  <c r="A1252" i="12"/>
  <c r="A1387" i="12" s="1"/>
  <c r="A1522" i="12" s="1"/>
  <c r="A1657" i="12" s="1"/>
  <c r="A1792" i="12" s="1"/>
  <c r="A1927" i="12" s="1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B138" i="14"/>
  <c r="B177" i="14" s="1"/>
  <c r="B216" i="14" s="1"/>
  <c r="B255" i="14" s="1"/>
  <c r="B194" i="14"/>
  <c r="B233" i="14" s="1"/>
  <c r="B272" i="14" s="1"/>
  <c r="A146" i="14"/>
  <c r="A125" i="14"/>
  <c r="A164" i="14" s="1"/>
  <c r="A203" i="14" s="1"/>
  <c r="G104" i="14"/>
  <c r="C105" i="14"/>
  <c r="B145" i="14"/>
  <c r="B184" i="14" s="1"/>
  <c r="B223" i="14" s="1"/>
  <c r="B262" i="14" s="1"/>
  <c r="B340" i="12"/>
  <c r="B475" i="12" s="1"/>
  <c r="B610" i="12" s="1"/>
  <c r="B1989" i="12"/>
  <c r="B2124" i="12" s="1"/>
  <c r="B2259" i="12" s="1"/>
  <c r="B2394" i="12" s="1"/>
  <c r="B2529" i="12" s="1"/>
  <c r="B2664" i="12" s="1"/>
  <c r="B2799" i="12" s="1"/>
  <c r="A142" i="14"/>
  <c r="B685" i="12"/>
  <c r="B820" i="12" s="1"/>
  <c r="B604" i="12"/>
  <c r="B739" i="12" s="1"/>
  <c r="B874" i="12" s="1"/>
  <c r="C469" i="12"/>
  <c r="A139" i="14"/>
  <c r="B709" i="12"/>
  <c r="A1251" i="12"/>
  <c r="A1386" i="12" s="1"/>
  <c r="A1521" i="12" s="1"/>
  <c r="A1656" i="12" s="1"/>
  <c r="A1791" i="12" s="1"/>
  <c r="A1926" i="12" s="1"/>
  <c r="A2061" i="12" s="1"/>
  <c r="A2196" i="12" s="1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705" i="12"/>
  <c r="A840" i="12" s="1"/>
  <c r="A975" i="12" s="1"/>
  <c r="B1195" i="12"/>
  <c r="B1330" i="12" s="1"/>
  <c r="B1465" i="12" s="1"/>
  <c r="C340" i="12"/>
  <c r="A2825" i="12"/>
  <c r="A2960" i="12" s="1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2086" i="12"/>
  <c r="A2221" i="12" s="1"/>
  <c r="A2356" i="12" s="1"/>
  <c r="A2491" i="12" s="1"/>
  <c r="A3047" i="12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A3389" i="12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A2641" i="12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A2626" i="12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F7" i="14"/>
  <c r="F57" i="14"/>
  <c r="C224" i="12" l="1"/>
  <c r="C592" i="12"/>
  <c r="C1047" i="12"/>
  <c r="C591" i="12"/>
  <c r="F16" i="14"/>
  <c r="F56" i="14"/>
  <c r="H68" i="14"/>
  <c r="I104" i="14"/>
  <c r="I60" i="14"/>
  <c r="I98" i="14"/>
  <c r="H51" i="14"/>
  <c r="I44" i="14"/>
  <c r="AD84" i="17"/>
  <c r="C84" i="17"/>
  <c r="N46" i="40"/>
  <c r="Z36" i="4"/>
  <c r="Z184" i="4"/>
  <c r="I459" i="7"/>
  <c r="I1256" i="7"/>
  <c r="I1260" i="7"/>
  <c r="I1263" i="7"/>
  <c r="I1604" i="7"/>
  <c r="I1608" i="7"/>
  <c r="N341" i="7"/>
  <c r="N1025" i="7"/>
  <c r="N1259" i="7"/>
  <c r="N1602" i="7"/>
  <c r="N1603" i="7"/>
  <c r="I293" i="7"/>
  <c r="I460" i="7"/>
  <c r="I595" i="7"/>
  <c r="I808" i="7"/>
  <c r="I918" i="7"/>
  <c r="I1030" i="7"/>
  <c r="I1119" i="7"/>
  <c r="I1120" i="7"/>
  <c r="I1173" i="7"/>
  <c r="I1248" i="7"/>
  <c r="I1249" i="7"/>
  <c r="I1273" i="7"/>
  <c r="I1274" i="7"/>
  <c r="I1591" i="7"/>
  <c r="I1592" i="7"/>
  <c r="I1596" i="7"/>
  <c r="I1599" i="7"/>
  <c r="N458" i="7"/>
  <c r="N695" i="7"/>
  <c r="N810" i="7"/>
  <c r="N1094" i="7"/>
  <c r="N1098" i="7"/>
  <c r="N1102" i="7"/>
  <c r="N1103" i="7"/>
  <c r="N1153" i="7"/>
  <c r="N1183" i="7"/>
  <c r="N1251" i="7"/>
  <c r="N1264" i="7"/>
  <c r="N1276" i="7"/>
  <c r="N1279" i="7"/>
  <c r="N1594" i="7"/>
  <c r="N1597" i="7"/>
  <c r="N1598" i="7"/>
  <c r="Z152" i="4"/>
  <c r="V249" i="28"/>
  <c r="W249" i="28" s="1"/>
  <c r="V262" i="28"/>
  <c r="W262" i="28" s="1"/>
  <c r="V141" i="28"/>
  <c r="X141" i="28" s="1"/>
  <c r="V100" i="28"/>
  <c r="X100" i="28" s="1"/>
  <c r="V74" i="28"/>
  <c r="V304" i="28"/>
  <c r="X304" i="28" s="1"/>
  <c r="V270" i="28"/>
  <c r="X270" i="28" s="1"/>
  <c r="V52" i="28"/>
  <c r="V308" i="28"/>
  <c r="X308" i="28" s="1"/>
  <c r="V65" i="28"/>
  <c r="W65" i="28" s="1"/>
  <c r="V82" i="28"/>
  <c r="W82" i="28" s="1"/>
  <c r="V70" i="28"/>
  <c r="V40" i="28"/>
  <c r="X40" i="28" s="1"/>
  <c r="V92" i="28"/>
  <c r="X92" i="28" s="1"/>
  <c r="V110" i="28"/>
  <c r="V57" i="28"/>
  <c r="X57" i="28" s="1"/>
  <c r="V158" i="28"/>
  <c r="W158" i="28" s="1"/>
  <c r="V187" i="28"/>
  <c r="V157" i="28"/>
  <c r="V36" i="28"/>
  <c r="W36" i="28" s="1"/>
  <c r="V116" i="28"/>
  <c r="X116" i="28" s="1"/>
  <c r="V250" i="28"/>
  <c r="A648" i="12"/>
  <c r="A783" i="12" s="1"/>
  <c r="A918" i="12" s="1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C513" i="12"/>
  <c r="H43" i="14"/>
  <c r="V246" i="28"/>
  <c r="W246" i="28" s="1"/>
  <c r="G51" i="14"/>
  <c r="T60" i="28"/>
  <c r="V60" i="28" s="1"/>
  <c r="X60" i="28" s="1"/>
  <c r="Y60" i="28"/>
  <c r="Y316" i="28"/>
  <c r="T316" i="28"/>
  <c r="V316" i="28" s="1"/>
  <c r="W316" i="28" s="1"/>
  <c r="D105" i="14"/>
  <c r="V318" i="28"/>
  <c r="G65" i="14"/>
  <c r="T275" i="28"/>
  <c r="F61" i="14"/>
  <c r="F53" i="14"/>
  <c r="F18" i="14"/>
  <c r="F10" i="14"/>
  <c r="F47" i="14"/>
  <c r="C121" i="14"/>
  <c r="G105" i="14"/>
  <c r="C173" i="12"/>
  <c r="C277" i="12"/>
  <c r="Q53" i="4"/>
  <c r="AT200" i="4"/>
  <c r="AV200" i="4" s="1"/>
  <c r="AX200" i="4" s="1"/>
  <c r="V287" i="28"/>
  <c r="X287" i="28" s="1"/>
  <c r="T50" i="28"/>
  <c r="V50" i="28" s="1"/>
  <c r="X50" i="28" s="1"/>
  <c r="V109" i="28"/>
  <c r="AS85" i="4"/>
  <c r="C676" i="12"/>
  <c r="I66" i="14"/>
  <c r="C478" i="12"/>
  <c r="C239" i="12"/>
  <c r="C209" i="12"/>
  <c r="C381" i="12"/>
  <c r="C456" i="12"/>
  <c r="C1323" i="12"/>
  <c r="K75" i="5"/>
  <c r="C2148" i="12"/>
  <c r="I10" i="5"/>
  <c r="D82" i="14"/>
  <c r="Q44" i="4"/>
  <c r="V55" i="28"/>
  <c r="W55" i="28" s="1"/>
  <c r="T7" i="5"/>
  <c r="H53" i="14"/>
  <c r="K6" i="5"/>
  <c r="AS194" i="4"/>
  <c r="C43" i="14"/>
  <c r="B394" i="12"/>
  <c r="T10" i="5"/>
  <c r="T116" i="5"/>
  <c r="S9" i="5"/>
  <c r="S116" i="5"/>
  <c r="K31" i="5"/>
  <c r="K26" i="5"/>
  <c r="C117" i="12"/>
  <c r="C22" i="12"/>
  <c r="C120" i="12"/>
  <c r="C127" i="12"/>
  <c r="C68" i="12"/>
  <c r="C406" i="12"/>
  <c r="C163" i="12"/>
  <c r="C265" i="12"/>
  <c r="C184" i="12"/>
  <c r="C946" i="12"/>
  <c r="T225" i="28"/>
  <c r="Y225" i="28"/>
  <c r="AC84" i="17"/>
  <c r="T220" i="28"/>
  <c r="V220" i="28" s="1"/>
  <c r="X220" i="28" s="1"/>
  <c r="T172" i="28"/>
  <c r="V172" i="28" s="1"/>
  <c r="X172" i="28" s="1"/>
  <c r="T140" i="28"/>
  <c r="T211" i="28"/>
  <c r="V211" i="28" s="1"/>
  <c r="W211" i="28" s="1"/>
  <c r="T106" i="28"/>
  <c r="V106" i="28" s="1"/>
  <c r="W106" i="28" s="1"/>
  <c r="T94" i="28"/>
  <c r="V94" i="28" s="1"/>
  <c r="T170" i="28"/>
  <c r="V170" i="28" s="1"/>
  <c r="X170" i="28" s="1"/>
  <c r="T241" i="28"/>
  <c r="V241" i="28" s="1"/>
  <c r="X241" i="28" s="1"/>
  <c r="T210" i="28"/>
  <c r="V210" i="28" s="1"/>
  <c r="X210" i="28" s="1"/>
  <c r="T271" i="28"/>
  <c r="V271" i="28" s="1"/>
  <c r="W271" i="28" s="1"/>
  <c r="T91" i="28"/>
  <c r="V91" i="28" s="1"/>
  <c r="X91" i="28" s="1"/>
  <c r="T180" i="28"/>
  <c r="V180" i="28" s="1"/>
  <c r="W180" i="28" s="1"/>
  <c r="T121" i="28"/>
  <c r="V121" i="28" s="1"/>
  <c r="T156" i="28"/>
  <c r="V156" i="28" s="1"/>
  <c r="T248" i="28"/>
  <c r="V248" i="28" s="1"/>
  <c r="X248" i="28" s="1"/>
  <c r="T315" i="28"/>
  <c r="V315" i="28" s="1"/>
  <c r="W315" i="28" s="1"/>
  <c r="T265" i="28"/>
  <c r="V265" i="28" s="1"/>
  <c r="X265" i="28" s="1"/>
  <c r="T77" i="28"/>
  <c r="V77" i="28" s="1"/>
  <c r="X77" i="28" s="1"/>
  <c r="T212" i="28"/>
  <c r="V212" i="28" s="1"/>
  <c r="X212" i="28" s="1"/>
  <c r="AS136" i="4"/>
  <c r="AS137" i="4"/>
  <c r="AS131" i="4"/>
  <c r="AS134" i="4"/>
  <c r="AS133" i="4"/>
  <c r="AS130" i="4"/>
  <c r="AS144" i="4"/>
  <c r="AS139" i="4"/>
  <c r="Y37" i="28"/>
  <c r="T37" i="28"/>
  <c r="V37" i="28" s="1"/>
  <c r="W37" i="28" s="1"/>
  <c r="A440" i="12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C305" i="12"/>
  <c r="C1068" i="12"/>
  <c r="Y295" i="28"/>
  <c r="T295" i="28"/>
  <c r="V295" i="28" s="1"/>
  <c r="X295" i="28" s="1"/>
  <c r="F55" i="14"/>
  <c r="V232" i="28"/>
  <c r="I43" i="14"/>
  <c r="V169" i="28"/>
  <c r="W169" i="28" s="1"/>
  <c r="Y273" i="28"/>
  <c r="T273" i="28"/>
  <c r="V273" i="28" s="1"/>
  <c r="W273" i="28" s="1"/>
  <c r="F13" i="14"/>
  <c r="C497" i="12"/>
  <c r="C1748" i="12"/>
  <c r="T112" i="28"/>
  <c r="V112" i="28" s="1"/>
  <c r="X112" i="28" s="1"/>
  <c r="AS61" i="4"/>
  <c r="V115" i="28"/>
  <c r="W115" i="28" s="1"/>
  <c r="H66" i="14"/>
  <c r="C528" i="12"/>
  <c r="C2013" i="12"/>
  <c r="C374" i="12"/>
  <c r="C283" i="12"/>
  <c r="I9" i="5"/>
  <c r="G60" i="14"/>
  <c r="V231" i="28"/>
  <c r="X231" i="28" s="1"/>
  <c r="K10" i="5"/>
  <c r="H82" i="14"/>
  <c r="S65" i="4"/>
  <c r="V150" i="28"/>
  <c r="X150" i="28" s="1"/>
  <c r="T277" i="28"/>
  <c r="V277" i="28" s="1"/>
  <c r="X277" i="28" s="1"/>
  <c r="S117" i="5"/>
  <c r="U117" i="5"/>
  <c r="T9" i="5"/>
  <c r="T3" i="5"/>
  <c r="K91" i="5"/>
  <c r="I92" i="5"/>
  <c r="I97" i="5"/>
  <c r="Y3" i="28"/>
  <c r="T3" i="28"/>
  <c r="Y148" i="28"/>
  <c r="Y159" i="28"/>
  <c r="T159" i="28"/>
  <c r="V159" i="28" s="1"/>
  <c r="X159" i="28" s="1"/>
  <c r="Y219" i="28"/>
  <c r="T219" i="28"/>
  <c r="V219" i="28" s="1"/>
  <c r="W219" i="28" s="1"/>
  <c r="Y235" i="28"/>
  <c r="B260" i="12"/>
  <c r="B395" i="12" s="1"/>
  <c r="B530" i="12" s="1"/>
  <c r="C125" i="12"/>
  <c r="B267" i="12"/>
  <c r="B402" i="12" s="1"/>
  <c r="C132" i="12"/>
  <c r="Y48" i="28"/>
  <c r="T48" i="28"/>
  <c r="V48" i="28" s="1"/>
  <c r="X48" i="28" s="1"/>
  <c r="C1188" i="12"/>
  <c r="B269" i="12"/>
  <c r="B404" i="12" s="1"/>
  <c r="C134" i="12"/>
  <c r="V224" i="28"/>
  <c r="W224" i="28" s="1"/>
  <c r="G43" i="14"/>
  <c r="V294" i="28"/>
  <c r="W294" i="28" s="1"/>
  <c r="V185" i="28"/>
  <c r="W185" i="28" s="1"/>
  <c r="C104" i="14"/>
  <c r="F23" i="14"/>
  <c r="C938" i="12"/>
  <c r="AT143" i="4"/>
  <c r="AV143" i="4" s="1"/>
  <c r="AW143" i="4" s="1"/>
  <c r="G66" i="14"/>
  <c r="C418" i="12"/>
  <c r="C219" i="12"/>
  <c r="C648" i="12"/>
  <c r="C343" i="12"/>
  <c r="C263" i="12"/>
  <c r="G82" i="14"/>
  <c r="K8" i="5"/>
  <c r="V162" i="28"/>
  <c r="W162" i="28" s="1"/>
  <c r="C108" i="12"/>
  <c r="V200" i="28"/>
  <c r="I7" i="5"/>
  <c r="I4" i="5"/>
  <c r="I3" i="5"/>
  <c r="U7" i="5"/>
  <c r="U9" i="5"/>
  <c r="O42" i="5"/>
  <c r="O43" i="5"/>
  <c r="O38" i="5"/>
  <c r="M51" i="5"/>
  <c r="M52" i="5"/>
  <c r="M53" i="5"/>
  <c r="M50" i="5"/>
  <c r="J94" i="5"/>
  <c r="J93" i="5"/>
  <c r="B108" i="14"/>
  <c r="B147" i="14" s="1"/>
  <c r="B186" i="14" s="1"/>
  <c r="B225" i="14" s="1"/>
  <c r="B264" i="14" s="1"/>
  <c r="T122" i="28"/>
  <c r="V122" i="28" s="1"/>
  <c r="W122" i="28" s="1"/>
  <c r="Y122" i="28"/>
  <c r="V148" i="28"/>
  <c r="X148" i="28" s="1"/>
  <c r="Y182" i="28"/>
  <c r="T182" i="28"/>
  <c r="V182" i="28" s="1"/>
  <c r="X182" i="28" s="1"/>
  <c r="Y197" i="28"/>
  <c r="T197" i="28"/>
  <c r="V197" i="28" s="1"/>
  <c r="W197" i="28" s="1"/>
  <c r="V235" i="28"/>
  <c r="X235" i="28" s="1"/>
  <c r="V242" i="28"/>
  <c r="X242" i="28" s="1"/>
  <c r="I84" i="17"/>
  <c r="AT165" i="4"/>
  <c r="AS108" i="4"/>
  <c r="AT180" i="4"/>
  <c r="A504" i="12"/>
  <c r="A639" i="12" s="1"/>
  <c r="C369" i="12"/>
  <c r="H104" i="14"/>
  <c r="T280" i="28"/>
  <c r="V280" i="28" s="1"/>
  <c r="T305" i="28"/>
  <c r="T297" i="28"/>
  <c r="V297" i="28" s="1"/>
  <c r="X297" i="28" s="1"/>
  <c r="V147" i="28"/>
  <c r="W147" i="28" s="1"/>
  <c r="C777" i="12"/>
  <c r="V195" i="28"/>
  <c r="X195" i="28" s="1"/>
  <c r="K9" i="5"/>
  <c r="C82" i="14"/>
  <c r="T214" i="28"/>
  <c r="V214" i="28" s="1"/>
  <c r="X214" i="28" s="1"/>
  <c r="K4" i="5"/>
  <c r="I62" i="5"/>
  <c r="I63" i="5"/>
  <c r="I59" i="5"/>
  <c r="B202" i="12"/>
  <c r="B337" i="12" s="1"/>
  <c r="B472" i="12" s="1"/>
  <c r="B607" i="12" s="1"/>
  <c r="B742" i="12" s="1"/>
  <c r="C742" i="12" s="1"/>
  <c r="C67" i="12"/>
  <c r="AS205" i="4"/>
  <c r="AS208" i="4"/>
  <c r="AS88" i="4"/>
  <c r="I251" i="7"/>
  <c r="I1027" i="7"/>
  <c r="I1600" i="7"/>
  <c r="N1026" i="7"/>
  <c r="N1255" i="7"/>
  <c r="N1263" i="7"/>
  <c r="I919" i="7"/>
  <c r="I1096" i="7"/>
  <c r="I1101" i="7"/>
  <c r="I1270" i="7"/>
  <c r="I1278" i="7"/>
  <c r="N253" i="7"/>
  <c r="N964" i="7"/>
  <c r="N1099" i="7"/>
  <c r="N1268" i="7"/>
  <c r="N1272" i="7"/>
  <c r="N1590" i="7"/>
  <c r="Y83" i="28"/>
  <c r="T83" i="28"/>
  <c r="V83" i="28" s="1"/>
  <c r="W83" i="28" s="1"/>
  <c r="T101" i="28"/>
  <c r="V101" i="28" s="1"/>
  <c r="X101" i="28" s="1"/>
  <c r="B84" i="17"/>
  <c r="K84" i="17"/>
  <c r="AG84" i="17"/>
  <c r="E84" i="17"/>
  <c r="S84" i="17"/>
  <c r="AL27" i="8"/>
  <c r="AN27" i="8" s="1"/>
  <c r="AP27" i="8" s="1"/>
  <c r="B575" i="12"/>
  <c r="C575" i="12" s="1"/>
  <c r="C114" i="12"/>
  <c r="AT140" i="4"/>
  <c r="AV140" i="4" s="1"/>
  <c r="AX140" i="4" s="1"/>
  <c r="T135" i="28"/>
  <c r="V135" i="28" s="1"/>
  <c r="X135" i="28" s="1"/>
  <c r="T137" i="28"/>
  <c r="T163" i="28"/>
  <c r="Y165" i="28"/>
  <c r="T165" i="28"/>
  <c r="V165" i="28" s="1"/>
  <c r="X165" i="28" s="1"/>
  <c r="T201" i="28"/>
  <c r="V201" i="28" s="1"/>
  <c r="X201" i="28" s="1"/>
  <c r="T312" i="28"/>
  <c r="V312" i="28" s="1"/>
  <c r="W312" i="28" s="1"/>
  <c r="Y312" i="28"/>
  <c r="AT145" i="4"/>
  <c r="AV145" i="4" s="1"/>
  <c r="AW145" i="4" s="1"/>
  <c r="AT130" i="4"/>
  <c r="AV130" i="4" s="1"/>
  <c r="AX130" i="4" s="1"/>
  <c r="G68" i="14"/>
  <c r="T134" i="28"/>
  <c r="V134" i="28" s="1"/>
  <c r="X134" i="28" s="1"/>
  <c r="T142" i="28"/>
  <c r="V142" i="28" s="1"/>
  <c r="W142" i="28" s="1"/>
  <c r="T203" i="28"/>
  <c r="V203" i="28" s="1"/>
  <c r="W203" i="28" s="1"/>
  <c r="T238" i="28"/>
  <c r="V238" i="28" s="1"/>
  <c r="W238" i="28" s="1"/>
  <c r="T160" i="28"/>
  <c r="V160" i="28" s="1"/>
  <c r="W160" i="28" s="1"/>
  <c r="T199" i="28"/>
  <c r="V199" i="28" s="1"/>
  <c r="X199" i="28" s="1"/>
  <c r="AT36" i="4"/>
  <c r="AV36" i="4" s="1"/>
  <c r="AW36" i="4" s="1"/>
  <c r="AH24" i="15"/>
  <c r="G79" i="14"/>
  <c r="H73" i="14"/>
  <c r="C70" i="14"/>
  <c r="T171" i="28"/>
  <c r="V171" i="28" s="1"/>
  <c r="W171" i="28" s="1"/>
  <c r="T7" i="28"/>
  <c r="V7" i="28" s="1"/>
  <c r="W7" i="28" s="1"/>
  <c r="T123" i="28"/>
  <c r="V123" i="28" s="1"/>
  <c r="W123" i="28" s="1"/>
  <c r="T164" i="28"/>
  <c r="V164" i="28" s="1"/>
  <c r="W164" i="28" s="1"/>
  <c r="T222" i="28"/>
  <c r="V222" i="28" s="1"/>
  <c r="X222" i="28" s="1"/>
  <c r="T237" i="28"/>
  <c r="V237" i="28" s="1"/>
  <c r="W237" i="28" s="1"/>
  <c r="T244" i="28"/>
  <c r="V244" i="28" s="1"/>
  <c r="X244" i="28" s="1"/>
  <c r="AL35" i="8"/>
  <c r="AN35" i="8" s="1"/>
  <c r="AP35" i="8" s="1"/>
  <c r="AR165" i="4"/>
  <c r="Z28" i="4"/>
  <c r="Z97" i="4"/>
  <c r="S181" i="4"/>
  <c r="Z84" i="4"/>
  <c r="AT134" i="4"/>
  <c r="AV134" i="4" s="1"/>
  <c r="AX134" i="4" s="1"/>
  <c r="AT198" i="4"/>
  <c r="AV198" i="4" s="1"/>
  <c r="AX198" i="4" s="1"/>
  <c r="S77" i="4"/>
  <c r="Q195" i="4"/>
  <c r="Z125" i="4"/>
  <c r="Z20" i="4"/>
  <c r="S151" i="4"/>
  <c r="S149" i="4"/>
  <c r="S36" i="4"/>
  <c r="S101" i="4"/>
  <c r="Q193" i="4"/>
  <c r="AR190" i="4"/>
  <c r="AT54" i="4"/>
  <c r="Q5" i="4"/>
  <c r="Q59" i="4"/>
  <c r="S29" i="4"/>
  <c r="AT188" i="4"/>
  <c r="AV188" i="4" s="1"/>
  <c r="AW188" i="4" s="1"/>
  <c r="Q111" i="4"/>
  <c r="AT27" i="4"/>
  <c r="AV27" i="4" s="1"/>
  <c r="AW27" i="4" s="1"/>
  <c r="Z29" i="4"/>
  <c r="S158" i="4"/>
  <c r="Z161" i="4"/>
  <c r="AT204" i="4"/>
  <c r="AV204" i="4" s="1"/>
  <c r="AW204" i="4" s="1"/>
  <c r="AR76" i="4"/>
  <c r="Z8" i="4"/>
  <c r="AR30" i="4"/>
  <c r="Q177" i="4"/>
  <c r="AR59" i="4"/>
  <c r="Q137" i="4"/>
  <c r="Z136" i="4"/>
  <c r="Z141" i="4"/>
  <c r="AR91" i="4"/>
  <c r="AR155" i="4"/>
  <c r="S150" i="4"/>
  <c r="AT60" i="4"/>
  <c r="AV60" i="4" s="1"/>
  <c r="AX60" i="4" s="1"/>
  <c r="Q37" i="4"/>
  <c r="X97" i="4"/>
  <c r="S25" i="4"/>
  <c r="Z13" i="4"/>
  <c r="Q169" i="4"/>
  <c r="AT92" i="4"/>
  <c r="AV92" i="4" s="1"/>
  <c r="AX92" i="4" s="1"/>
  <c r="Z100" i="4"/>
  <c r="S8" i="4"/>
  <c r="Z89" i="4"/>
  <c r="Q13" i="4"/>
  <c r="AR17" i="4"/>
  <c r="Y23" i="33"/>
  <c r="Y132" i="28"/>
  <c r="T132" i="28"/>
  <c r="V132" i="28" s="1"/>
  <c r="X132" i="28" s="1"/>
  <c r="C562" i="12"/>
  <c r="G113" i="14"/>
  <c r="I113" i="14"/>
  <c r="A152" i="14"/>
  <c r="B529" i="12"/>
  <c r="B664" i="12" s="1"/>
  <c r="C394" i="12"/>
  <c r="T8" i="28"/>
  <c r="V8" i="28" s="1"/>
  <c r="X8" i="28" s="1"/>
  <c r="Y8" i="28"/>
  <c r="Y24" i="28"/>
  <c r="T24" i="28"/>
  <c r="V24" i="28" s="1"/>
  <c r="X24" i="28" s="1"/>
  <c r="T120" i="28"/>
  <c r="V120" i="28" s="1"/>
  <c r="W120" i="28" s="1"/>
  <c r="Y120" i="28"/>
  <c r="Y124" i="28"/>
  <c r="T124" i="28"/>
  <c r="V124" i="28" s="1"/>
  <c r="W124" i="28" s="1"/>
  <c r="Y151" i="28"/>
  <c r="T151" i="28"/>
  <c r="V151" i="28" s="1"/>
  <c r="X151" i="28" s="1"/>
  <c r="Y167" i="28"/>
  <c r="T167" i="28"/>
  <c r="V167" i="28" s="1"/>
  <c r="X167" i="28" s="1"/>
  <c r="Y242" i="28"/>
  <c r="AR59" i="8"/>
  <c r="AQ59" i="8" s="1"/>
  <c r="AF59" i="8"/>
  <c r="AD59" i="8" s="1"/>
  <c r="AJ59" i="8" s="1"/>
  <c r="AK59" i="8" s="1"/>
  <c r="G59" i="14"/>
  <c r="I59" i="14"/>
  <c r="B1593" i="12"/>
  <c r="C1458" i="12"/>
  <c r="A134" i="14"/>
  <c r="J17" i="5"/>
  <c r="J20" i="5"/>
  <c r="J15" i="5"/>
  <c r="N14" i="5"/>
  <c r="J16" i="5"/>
  <c r="J19" i="5"/>
  <c r="Q40" i="5"/>
  <c r="Q41" i="5"/>
  <c r="Q37" i="5"/>
  <c r="Q38" i="5"/>
  <c r="Q43" i="5"/>
  <c r="Q44" i="5"/>
  <c r="B137" i="12"/>
  <c r="B272" i="12" s="1"/>
  <c r="B407" i="12" s="1"/>
  <c r="C2" i="12"/>
  <c r="G76" i="14"/>
  <c r="I76" i="14"/>
  <c r="I64" i="14"/>
  <c r="H64" i="14"/>
  <c r="D64" i="14"/>
  <c r="C64" i="14"/>
  <c r="B95" i="14"/>
  <c r="F95" i="14" s="1"/>
  <c r="D56" i="14"/>
  <c r="I56" i="14"/>
  <c r="C56" i="14"/>
  <c r="G56" i="14"/>
  <c r="D41" i="14"/>
  <c r="H41" i="14"/>
  <c r="G41" i="14"/>
  <c r="Y264" i="28"/>
  <c r="T264" i="28"/>
  <c r="V264" i="28" s="1"/>
  <c r="W264" i="28" s="1"/>
  <c r="T276" i="28"/>
  <c r="V276" i="28" s="1"/>
  <c r="W276" i="28" s="1"/>
  <c r="Y276" i="28"/>
  <c r="A410" i="12"/>
  <c r="A545" i="12" s="1"/>
  <c r="A680" i="12" s="1"/>
  <c r="A815" i="12" s="1"/>
  <c r="A950" i="12" s="1"/>
  <c r="A1085" i="12" s="1"/>
  <c r="C275" i="12"/>
  <c r="A396" i="12"/>
  <c r="A531" i="12" s="1"/>
  <c r="A666" i="12" s="1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C261" i="12"/>
  <c r="B578" i="12"/>
  <c r="C578" i="12" s="1"/>
  <c r="C443" i="12"/>
  <c r="C640" i="12"/>
  <c r="B775" i="12"/>
  <c r="H45" i="14"/>
  <c r="A84" i="14"/>
  <c r="F45" i="14"/>
  <c r="T27" i="28"/>
  <c r="V27" i="28" s="1"/>
  <c r="W27" i="28" s="1"/>
  <c r="Y27" i="28"/>
  <c r="T153" i="28"/>
  <c r="V153" i="28" s="1"/>
  <c r="X153" i="28" s="1"/>
  <c r="Y153" i="28"/>
  <c r="B624" i="12"/>
  <c r="C489" i="12"/>
  <c r="P8" i="5"/>
  <c r="P10" i="5"/>
  <c r="R113" i="5"/>
  <c r="P4" i="5"/>
  <c r="P5" i="5"/>
  <c r="U113" i="5"/>
  <c r="P7" i="5"/>
  <c r="K18" i="5"/>
  <c r="K15" i="5"/>
  <c r="J44" i="5"/>
  <c r="J40" i="5"/>
  <c r="J39" i="5"/>
  <c r="J43" i="5"/>
  <c r="J37" i="5"/>
  <c r="J42" i="5"/>
  <c r="J41" i="5"/>
  <c r="C638" i="12"/>
  <c r="C627" i="12"/>
  <c r="C1743" i="12"/>
  <c r="C2418" i="12"/>
  <c r="C1613" i="12"/>
  <c r="C805" i="12"/>
  <c r="C607" i="12"/>
  <c r="C547" i="12"/>
  <c r="C668" i="12"/>
  <c r="C552" i="12"/>
  <c r="C904" i="12"/>
  <c r="C1053" i="12"/>
  <c r="C1486" i="12"/>
  <c r="C2823" i="12"/>
  <c r="C773" i="12"/>
  <c r="C783" i="12"/>
  <c r="C1343" i="12"/>
  <c r="C3093" i="12"/>
  <c r="C642" i="12"/>
  <c r="C625" i="12"/>
  <c r="C634" i="12"/>
  <c r="F9" i="14"/>
  <c r="F51" i="14"/>
  <c r="F48" i="14"/>
  <c r="F15" i="14"/>
  <c r="F17" i="14"/>
  <c r="F104" i="14"/>
  <c r="F14" i="14"/>
  <c r="D35" i="14"/>
  <c r="D32" i="14"/>
  <c r="D22" i="14"/>
  <c r="D7" i="14"/>
  <c r="D40" i="14"/>
  <c r="B102" i="14"/>
  <c r="E102" i="14" s="1"/>
  <c r="H63" i="14"/>
  <c r="B86" i="14"/>
  <c r="E86" i="14" s="1"/>
  <c r="H47" i="14"/>
  <c r="B238" i="12"/>
  <c r="C103" i="12"/>
  <c r="Y56" i="28"/>
  <c r="T56" i="28"/>
  <c r="V56" i="28" s="1"/>
  <c r="X56" i="28" s="1"/>
  <c r="Y99" i="28"/>
  <c r="T99" i="28"/>
  <c r="V99" i="28" s="1"/>
  <c r="W99" i="28" s="1"/>
  <c r="AB36" i="33"/>
  <c r="A119" i="14"/>
  <c r="A158" i="14" s="1"/>
  <c r="A197" i="14" s="1"/>
  <c r="A236" i="14" s="1"/>
  <c r="G80" i="14"/>
  <c r="D65" i="14"/>
  <c r="J38" i="5"/>
  <c r="C593" i="12"/>
  <c r="T255" i="28"/>
  <c r="V255" i="28" s="1"/>
  <c r="W255" i="28" s="1"/>
  <c r="F66" i="14"/>
  <c r="B276" i="12"/>
  <c r="B411" i="12" s="1"/>
  <c r="C141" i="12"/>
  <c r="B380" i="12"/>
  <c r="C245" i="12"/>
  <c r="T47" i="28"/>
  <c r="V47" i="28" s="1"/>
  <c r="X47" i="28" s="1"/>
  <c r="Y47" i="28"/>
  <c r="T76" i="28"/>
  <c r="V76" i="28" s="1"/>
  <c r="X76" i="28" s="1"/>
  <c r="Y76" i="28"/>
  <c r="T233" i="28"/>
  <c r="V233" i="28" s="1"/>
  <c r="X233" i="28" s="1"/>
  <c r="Y233" i="28"/>
  <c r="B844" i="12"/>
  <c r="C844" i="12" s="1"/>
  <c r="C709" i="12"/>
  <c r="D10" i="14"/>
  <c r="B103" i="14"/>
  <c r="D102" i="14"/>
  <c r="A141" i="14"/>
  <c r="G102" i="14"/>
  <c r="T227" i="28"/>
  <c r="V227" i="28" s="1"/>
  <c r="X227" i="28" s="1"/>
  <c r="Y227" i="28"/>
  <c r="G63" i="14"/>
  <c r="C1049" i="12"/>
  <c r="F73" i="14"/>
  <c r="F50" i="14"/>
  <c r="F49" i="14"/>
  <c r="C397" i="12"/>
  <c r="C162" i="12"/>
  <c r="I96" i="5"/>
  <c r="F74" i="14"/>
  <c r="C492" i="12"/>
  <c r="C401" i="12"/>
  <c r="C70" i="12"/>
  <c r="I99" i="5"/>
  <c r="T236" i="28"/>
  <c r="V236" i="28" s="1"/>
  <c r="X236" i="28" s="1"/>
  <c r="C110" i="12"/>
  <c r="C90" i="12"/>
  <c r="C47" i="12"/>
  <c r="G47" i="14"/>
  <c r="Y184" i="28"/>
  <c r="T130" i="28"/>
  <c r="V130" i="28" s="1"/>
  <c r="W130" i="28" s="1"/>
  <c r="Y130" i="28"/>
  <c r="Y161" i="28"/>
  <c r="T161" i="28"/>
  <c r="V161" i="28" s="1"/>
  <c r="X161" i="28" s="1"/>
  <c r="AL84" i="17"/>
  <c r="Y108" i="28"/>
  <c r="T108" i="28"/>
  <c r="V108" i="28" s="1"/>
  <c r="X108" i="28" s="1"/>
  <c r="A521" i="12"/>
  <c r="C386" i="12"/>
  <c r="L16" i="5"/>
  <c r="L17" i="5"/>
  <c r="L22" i="5"/>
  <c r="L20" i="5"/>
  <c r="F29" i="14"/>
  <c r="F30" i="14"/>
  <c r="B107" i="14"/>
  <c r="D107" i="14" s="1"/>
  <c r="C68" i="14"/>
  <c r="I68" i="14"/>
  <c r="W31" i="33"/>
  <c r="B215" i="12"/>
  <c r="C80" i="12"/>
  <c r="A383" i="12"/>
  <c r="C248" i="12"/>
  <c r="C921" i="12"/>
  <c r="T193" i="28"/>
  <c r="V193" i="28" s="1"/>
  <c r="X193" i="28" s="1"/>
  <c r="M21" i="5"/>
  <c r="M15" i="5"/>
  <c r="M16" i="5"/>
  <c r="M19" i="5"/>
  <c r="Y145" i="28"/>
  <c r="T145" i="28"/>
  <c r="V145" i="28" s="1"/>
  <c r="X145" i="28" s="1"/>
  <c r="Y186" i="28"/>
  <c r="T186" i="28"/>
  <c r="V186" i="28" s="1"/>
  <c r="X186" i="28" s="1"/>
  <c r="T183" i="28"/>
  <c r="V183" i="28" s="1"/>
  <c r="W183" i="28" s="1"/>
  <c r="Y183" i="28"/>
  <c r="B236" i="12"/>
  <c r="C101" i="12"/>
  <c r="Y296" i="28"/>
  <c r="T296" i="28"/>
  <c r="V296" i="28" s="1"/>
  <c r="X296" i="28" s="1"/>
  <c r="A375" i="12"/>
  <c r="C240" i="12"/>
  <c r="C604" i="12"/>
  <c r="D93" i="14"/>
  <c r="C1169" i="12"/>
  <c r="C292" i="12"/>
  <c r="C138" i="12"/>
  <c r="C1216" i="12"/>
  <c r="C22" i="31"/>
  <c r="T177" i="28"/>
  <c r="V177" i="28" s="1"/>
  <c r="X177" i="28" s="1"/>
  <c r="C490" i="12"/>
  <c r="O37" i="5"/>
  <c r="C629" i="12"/>
  <c r="O39" i="5"/>
  <c r="C670" i="12"/>
  <c r="C251" i="12"/>
  <c r="Y202" i="28"/>
  <c r="A109" i="14"/>
  <c r="A148" i="14" s="1"/>
  <c r="M18" i="5"/>
  <c r="C112" i="12"/>
  <c r="C25" i="12"/>
  <c r="M40" i="5"/>
  <c r="M38" i="5"/>
  <c r="M43" i="5"/>
  <c r="M39" i="5"/>
  <c r="K84" i="5"/>
  <c r="K86" i="5"/>
  <c r="T9" i="28"/>
  <c r="V9" i="28" s="1"/>
  <c r="W9" i="28" s="1"/>
  <c r="Y9" i="28"/>
  <c r="Y119" i="28"/>
  <c r="T119" i="28"/>
  <c r="V119" i="28" s="1"/>
  <c r="W119" i="28" s="1"/>
  <c r="T254" i="28"/>
  <c r="V254" i="28" s="1"/>
  <c r="W254" i="28" s="1"/>
  <c r="Y254" i="28"/>
  <c r="B146" i="12"/>
  <c r="B281" i="12" s="1"/>
  <c r="B416" i="12" s="1"/>
  <c r="B551" i="12" s="1"/>
  <c r="C11" i="12"/>
  <c r="Y289" i="28"/>
  <c r="T289" i="28"/>
  <c r="V289" i="28" s="1"/>
  <c r="W289" i="28" s="1"/>
  <c r="C739" i="12"/>
  <c r="V2" i="28"/>
  <c r="X2" i="28" s="1"/>
  <c r="B136" i="14"/>
  <c r="B175" i="14" s="1"/>
  <c r="L19" i="5"/>
  <c r="C574" i="12"/>
  <c r="L15" i="5"/>
  <c r="V175" i="28"/>
  <c r="W175" i="28" s="1"/>
  <c r="M17" i="5"/>
  <c r="I98" i="5"/>
  <c r="I94" i="5"/>
  <c r="C54" i="12"/>
  <c r="C26" i="12"/>
  <c r="C126" i="12"/>
  <c r="C18" i="12"/>
  <c r="C81" i="12"/>
  <c r="C100" i="12"/>
  <c r="C38" i="12"/>
  <c r="C27" i="12"/>
  <c r="C96" i="12"/>
  <c r="C76" i="12"/>
  <c r="C63" i="12"/>
  <c r="C98" i="12"/>
  <c r="C87" i="12"/>
  <c r="C84" i="12"/>
  <c r="C56" i="12"/>
  <c r="C34" i="12"/>
  <c r="C83" i="12"/>
  <c r="C107" i="12"/>
  <c r="C69" i="12"/>
  <c r="C113" i="12"/>
  <c r="C65" i="12"/>
  <c r="C99" i="12"/>
  <c r="C92" i="12"/>
  <c r="C116" i="12"/>
  <c r="C155" i="12"/>
  <c r="C169" i="12"/>
  <c r="C128" i="12"/>
  <c r="C13" i="12"/>
  <c r="C395" i="12"/>
  <c r="C651" i="12"/>
  <c r="C124" i="12"/>
  <c r="F22" i="31"/>
  <c r="B329" i="12"/>
  <c r="C194" i="12"/>
  <c r="B172" i="12"/>
  <c r="B307" i="12" s="1"/>
  <c r="C37" i="12"/>
  <c r="AR203" i="4"/>
  <c r="AT203" i="4"/>
  <c r="AV203" i="4" s="1"/>
  <c r="AW203" i="4" s="1"/>
  <c r="Y285" i="28"/>
  <c r="T285" i="28"/>
  <c r="V285" i="28" s="1"/>
  <c r="W285" i="28" s="1"/>
  <c r="V283" i="28"/>
  <c r="X283" i="28" s="1"/>
  <c r="V44" i="28"/>
  <c r="W44" i="28" s="1"/>
  <c r="L18" i="5"/>
  <c r="L21" i="5"/>
  <c r="J99" i="5"/>
  <c r="J96" i="5"/>
  <c r="J92" i="5"/>
  <c r="J97" i="5"/>
  <c r="J95" i="5"/>
  <c r="I77" i="14"/>
  <c r="G77" i="14"/>
  <c r="A87" i="14"/>
  <c r="A126" i="14" s="1"/>
  <c r="A165" i="14" s="1"/>
  <c r="A204" i="14" s="1"/>
  <c r="C48" i="14"/>
  <c r="Y11" i="28"/>
  <c r="T11" i="28"/>
  <c r="V11" i="28" s="1"/>
  <c r="X11" i="28" s="1"/>
  <c r="T143" i="28"/>
  <c r="V143" i="28" s="1"/>
  <c r="W143" i="28" s="1"/>
  <c r="Y143" i="28"/>
  <c r="Y155" i="28"/>
  <c r="T155" i="28"/>
  <c r="V155" i="28" s="1"/>
  <c r="W155" i="28" s="1"/>
  <c r="Y173" i="28"/>
  <c r="T173" i="28"/>
  <c r="V173" i="28" s="1"/>
  <c r="W173" i="28" s="1"/>
  <c r="AE84" i="17"/>
  <c r="W84" i="17"/>
  <c r="O84" i="17"/>
  <c r="G84" i="17"/>
  <c r="B171" i="12"/>
  <c r="C36" i="12"/>
  <c r="B165" i="12"/>
  <c r="C30" i="12"/>
  <c r="C23" i="12"/>
  <c r="AT206" i="4"/>
  <c r="AV206" i="4" s="1"/>
  <c r="AW206" i="4" s="1"/>
  <c r="AR206" i="4"/>
  <c r="AR62" i="4"/>
  <c r="AT62" i="4"/>
  <c r="AV62" i="4" s="1"/>
  <c r="AX62" i="4" s="1"/>
  <c r="S74" i="4"/>
  <c r="Q74" i="4"/>
  <c r="Z74" i="4"/>
  <c r="Z144" i="4"/>
  <c r="Y258" i="28"/>
  <c r="T258" i="28"/>
  <c r="V258" i="28" s="1"/>
  <c r="W258" i="28" s="1"/>
  <c r="A784" i="12"/>
  <c r="C649" i="12"/>
  <c r="A366" i="12"/>
  <c r="C231" i="12"/>
  <c r="V239" i="28"/>
  <c r="X239" i="28" s="1"/>
  <c r="AS44" i="4"/>
  <c r="AS65" i="4"/>
  <c r="AS58" i="4"/>
  <c r="AS105" i="4"/>
  <c r="AS89" i="4"/>
  <c r="AS109" i="4"/>
  <c r="AS154" i="4"/>
  <c r="AS123" i="4"/>
  <c r="AS6" i="4"/>
  <c r="AS93" i="4"/>
  <c r="AS156" i="4"/>
  <c r="AS203" i="4"/>
  <c r="AS160" i="4"/>
  <c r="AS48" i="4"/>
  <c r="AS124" i="4"/>
  <c r="AS215" i="4"/>
  <c r="AS118" i="4"/>
  <c r="AS68" i="4"/>
  <c r="AS188" i="4"/>
  <c r="AS96" i="4"/>
  <c r="AS25" i="4"/>
  <c r="AS78" i="4"/>
  <c r="AS100" i="4"/>
  <c r="AS13" i="4"/>
  <c r="AS22" i="4"/>
  <c r="AS201" i="4"/>
  <c r="V137" i="28"/>
  <c r="W137" i="28" s="1"/>
  <c r="Z126" i="4"/>
  <c r="C146" i="12"/>
  <c r="F60" i="14"/>
  <c r="F52" i="14"/>
  <c r="F44" i="14"/>
  <c r="C90" i="14"/>
  <c r="V216" i="28"/>
  <c r="X216" i="28" s="1"/>
  <c r="T4" i="28"/>
  <c r="V4" i="28" s="1"/>
  <c r="W4" i="28" s="1"/>
  <c r="V225" i="28"/>
  <c r="W225" i="28" s="1"/>
  <c r="V18" i="28"/>
  <c r="W18" i="28" s="1"/>
  <c r="AS81" i="4"/>
  <c r="AS202" i="4"/>
  <c r="V230" i="28"/>
  <c r="W230" i="28" s="1"/>
  <c r="Y135" i="28"/>
  <c r="K33" i="5"/>
  <c r="J77" i="5"/>
  <c r="V163" i="28"/>
  <c r="W163" i="28" s="1"/>
  <c r="Y171" i="28"/>
  <c r="AD100" i="18"/>
  <c r="AD46" i="16"/>
  <c r="N100" i="18"/>
  <c r="N46" i="16"/>
  <c r="V140" i="28"/>
  <c r="X140" i="28" s="1"/>
  <c r="I82" i="14"/>
  <c r="AS110" i="4"/>
  <c r="AS171" i="4"/>
  <c r="AS50" i="4"/>
  <c r="B13" i="18"/>
  <c r="F97" i="14"/>
  <c r="F62" i="14"/>
  <c r="F54" i="14"/>
  <c r="F46" i="14"/>
  <c r="F27" i="14"/>
  <c r="F11" i="14"/>
  <c r="F94" i="14"/>
  <c r="F59" i="14"/>
  <c r="F8" i="14"/>
  <c r="AA13" i="18"/>
  <c r="K13" i="18"/>
  <c r="C72" i="12"/>
  <c r="AT215" i="4"/>
  <c r="AV215" i="4" s="1"/>
  <c r="AW215" i="4" s="1"/>
  <c r="AT183" i="4"/>
  <c r="AV183" i="4" s="1"/>
  <c r="AX183" i="4" s="1"/>
  <c r="AT167" i="4"/>
  <c r="AV167" i="4" s="1"/>
  <c r="AW167" i="4" s="1"/>
  <c r="AT103" i="4"/>
  <c r="AV103" i="4" s="1"/>
  <c r="AX103" i="4" s="1"/>
  <c r="AT63" i="4"/>
  <c r="AV63" i="4" s="1"/>
  <c r="AX63" i="4" s="1"/>
  <c r="AT55" i="4"/>
  <c r="AV55" i="4" s="1"/>
  <c r="AW55" i="4" s="1"/>
  <c r="AT39" i="4"/>
  <c r="AV39" i="4" s="1"/>
  <c r="AW39" i="4" s="1"/>
  <c r="AT9" i="4"/>
  <c r="AV9" i="4" s="1"/>
  <c r="AW9" i="4" s="1"/>
  <c r="I255" i="7"/>
  <c r="I965" i="7"/>
  <c r="I1028" i="7"/>
  <c r="I1257" i="7"/>
  <c r="I1261" i="7"/>
  <c r="I1605" i="7"/>
  <c r="N251" i="7"/>
  <c r="N459" i="7"/>
  <c r="N1027" i="7"/>
  <c r="N1256" i="7"/>
  <c r="N1260" i="7"/>
  <c r="N1600" i="7"/>
  <c r="N1604" i="7"/>
  <c r="N1608" i="7"/>
  <c r="I454" i="7"/>
  <c r="I612" i="7"/>
  <c r="I809" i="7"/>
  <c r="I920" i="7"/>
  <c r="I1098" i="7"/>
  <c r="I1102" i="7"/>
  <c r="I1183" i="7"/>
  <c r="I1250" i="7"/>
  <c r="I1254" i="7"/>
  <c r="I1267" i="7"/>
  <c r="I1271" i="7"/>
  <c r="I1275" i="7"/>
  <c r="I1279" i="7"/>
  <c r="I1593" i="7"/>
  <c r="I1597" i="7"/>
  <c r="N256" i="7"/>
  <c r="N460" i="7"/>
  <c r="N807" i="7"/>
  <c r="N918" i="7"/>
  <c r="N1029" i="7"/>
  <c r="N1119" i="7"/>
  <c r="N1248" i="7"/>
  <c r="N1252" i="7"/>
  <c r="N1265" i="7"/>
  <c r="N1269" i="7"/>
  <c r="N1273" i="7"/>
  <c r="N1591" i="7"/>
  <c r="N1595" i="7"/>
  <c r="N1599" i="7"/>
  <c r="D13" i="18"/>
  <c r="C13" i="18"/>
  <c r="AT186" i="4"/>
  <c r="AV186" i="4" s="1"/>
  <c r="AW186" i="4" s="1"/>
  <c r="AT178" i="4"/>
  <c r="AV178" i="4" s="1"/>
  <c r="AX178" i="4" s="1"/>
  <c r="AT162" i="4"/>
  <c r="AV162" i="4" s="1"/>
  <c r="AX162" i="4" s="1"/>
  <c r="AT74" i="4"/>
  <c r="AV74" i="4" s="1"/>
  <c r="AX74" i="4" s="1"/>
  <c r="AT50" i="4"/>
  <c r="AV50" i="4" s="1"/>
  <c r="AW50" i="4" s="1"/>
  <c r="AT42" i="4"/>
  <c r="AV42" i="4" s="1"/>
  <c r="AX42" i="4" s="1"/>
  <c r="AT34" i="4"/>
  <c r="AV34" i="4" s="1"/>
  <c r="AW34" i="4" s="1"/>
  <c r="AT21" i="4"/>
  <c r="AV21" i="4" s="1"/>
  <c r="AX21" i="4" s="1"/>
  <c r="F2" i="14"/>
  <c r="F92" i="14"/>
  <c r="AT213" i="4"/>
  <c r="AV213" i="4" s="1"/>
  <c r="AX213" i="4" s="1"/>
  <c r="AT197" i="4"/>
  <c r="AV197" i="4" s="1"/>
  <c r="AW197" i="4" s="1"/>
  <c r="AT173" i="4"/>
  <c r="AV173" i="4" s="1"/>
  <c r="AW173" i="4" s="1"/>
  <c r="AT157" i="4"/>
  <c r="AV157" i="4" s="1"/>
  <c r="AX157" i="4" s="1"/>
  <c r="AT117" i="4"/>
  <c r="AV117" i="4" s="1"/>
  <c r="AX117" i="4" s="1"/>
  <c r="AT85" i="4"/>
  <c r="AV85" i="4" s="1"/>
  <c r="AW85" i="4" s="1"/>
  <c r="AT69" i="4"/>
  <c r="AV69" i="4" s="1"/>
  <c r="AX69" i="4" s="1"/>
  <c r="AT37" i="4"/>
  <c r="AV37" i="4" s="1"/>
  <c r="AW37" i="4" s="1"/>
  <c r="S157" i="4"/>
  <c r="AL43" i="8"/>
  <c r="AN43" i="8" s="1"/>
  <c r="AL42" i="8"/>
  <c r="AN42" i="8" s="1"/>
  <c r="AL47" i="8"/>
  <c r="AN47" i="8" s="1"/>
  <c r="AL49" i="8"/>
  <c r="AN49" i="8" s="1"/>
  <c r="AL41" i="8"/>
  <c r="AN41" i="8" s="1"/>
  <c r="AL48" i="8"/>
  <c r="AN48" i="8" s="1"/>
  <c r="AL44" i="8"/>
  <c r="AN44" i="8" s="1"/>
  <c r="AL45" i="8"/>
  <c r="AN45" i="8" s="1"/>
  <c r="AL46" i="8"/>
  <c r="AN46" i="8" s="1"/>
  <c r="AL51" i="8"/>
  <c r="AN51" i="8" s="1"/>
  <c r="AL52" i="8"/>
  <c r="AN52" i="8" s="1"/>
  <c r="AL50" i="8"/>
  <c r="AN50" i="8" s="1"/>
  <c r="Z100" i="18"/>
  <c r="AT176" i="4"/>
  <c r="AV176" i="4" s="1"/>
  <c r="AX176" i="4" s="1"/>
  <c r="AT168" i="4"/>
  <c r="AV168" i="4" s="1"/>
  <c r="AW168" i="4" s="1"/>
  <c r="AT160" i="4"/>
  <c r="AV160" i="4" s="1"/>
  <c r="AX160" i="4" s="1"/>
  <c r="AT128" i="4"/>
  <c r="AV128" i="4" s="1"/>
  <c r="AX128" i="4" s="1"/>
  <c r="AT80" i="4"/>
  <c r="AV80" i="4" s="1"/>
  <c r="AX80" i="4" s="1"/>
  <c r="AT72" i="4"/>
  <c r="AV72" i="4" s="1"/>
  <c r="AX72" i="4" s="1"/>
  <c r="AT24" i="4"/>
  <c r="AV24" i="4" s="1"/>
  <c r="AW24" i="4" s="1"/>
  <c r="AT10" i="4"/>
  <c r="AV10" i="4" s="1"/>
  <c r="AX10" i="4" s="1"/>
  <c r="AT2" i="4"/>
  <c r="AV2" i="4" s="1"/>
  <c r="AW2" i="4" s="1"/>
  <c r="E2" i="14"/>
  <c r="F36" i="14"/>
  <c r="F12" i="14"/>
  <c r="AE13" i="18"/>
  <c r="D17" i="16"/>
  <c r="F131" i="14"/>
  <c r="B1600" i="12"/>
  <c r="B1735" i="12" s="1"/>
  <c r="B745" i="12"/>
  <c r="B880" i="12" s="1"/>
  <c r="C880" i="12" s="1"/>
  <c r="C610" i="12"/>
  <c r="C550" i="12"/>
  <c r="A685" i="12"/>
  <c r="C685" i="12" s="1"/>
  <c r="A199" i="14"/>
  <c r="I160" i="14"/>
  <c r="G160" i="14"/>
  <c r="C160" i="14"/>
  <c r="D160" i="14"/>
  <c r="F90" i="14"/>
  <c r="C415" i="12"/>
  <c r="I90" i="14"/>
  <c r="A129" i="14"/>
  <c r="C129" i="14" s="1"/>
  <c r="C631" i="12"/>
  <c r="X126" i="4"/>
  <c r="AT81" i="4"/>
  <c r="AV81" i="4" s="1"/>
  <c r="AW81" i="4" s="1"/>
  <c r="V146" i="28"/>
  <c r="W146" i="28" s="1"/>
  <c r="H86" i="14"/>
  <c r="C2" i="16"/>
  <c r="C49" i="16"/>
  <c r="Z8" i="16"/>
  <c r="Z49" i="16"/>
  <c r="AL7" i="16"/>
  <c r="AL49" i="16"/>
  <c r="N7" i="16"/>
  <c r="N49" i="16"/>
  <c r="AD13" i="18"/>
  <c r="N13" i="18"/>
  <c r="Y13" i="18"/>
  <c r="Y6" i="16"/>
  <c r="Y17" i="16" s="1"/>
  <c r="Q6" i="16"/>
  <c r="Q17" i="16" s="1"/>
  <c r="I6" i="16"/>
  <c r="I17" i="16" s="1"/>
  <c r="AG6" i="16"/>
  <c r="AG17" i="16" s="1"/>
  <c r="A1110" i="12"/>
  <c r="B543" i="12"/>
  <c r="C543" i="12" s="1"/>
  <c r="F152" i="14"/>
  <c r="D152" i="14"/>
  <c r="C358" i="12"/>
  <c r="Z122" i="4"/>
  <c r="AD49" i="16"/>
  <c r="V85" i="28"/>
  <c r="X85" i="28" s="1"/>
  <c r="T292" i="28"/>
  <c r="V292" i="28" s="1"/>
  <c r="W292" i="28" s="1"/>
  <c r="AT105" i="4"/>
  <c r="AV105" i="4" s="1"/>
  <c r="AX105" i="4" s="1"/>
  <c r="T206" i="28"/>
  <c r="V206" i="28" s="1"/>
  <c r="W206" i="28" s="1"/>
  <c r="T240" i="28"/>
  <c r="V240" i="28" s="1"/>
  <c r="W240" i="28" s="1"/>
  <c r="A136" i="14"/>
  <c r="A175" i="14" s="1"/>
  <c r="I97" i="14"/>
  <c r="G97" i="14"/>
  <c r="H97" i="14"/>
  <c r="Q78" i="4"/>
  <c r="S78" i="4"/>
  <c r="Q82" i="4"/>
  <c r="S82" i="4"/>
  <c r="Z86" i="4"/>
  <c r="S86" i="4"/>
  <c r="S194" i="4"/>
  <c r="Q194" i="4"/>
  <c r="Y278" i="28"/>
  <c r="T278" i="28"/>
  <c r="V278" i="28" s="1"/>
  <c r="W278" i="28" s="1"/>
  <c r="B1615" i="12"/>
  <c r="C1480" i="12"/>
  <c r="AT209" i="4"/>
  <c r="AV209" i="4" s="1"/>
  <c r="AX209" i="4" s="1"/>
  <c r="AR209" i="4"/>
  <c r="AT161" i="4"/>
  <c r="AV161" i="4" s="1"/>
  <c r="AX161" i="4" s="1"/>
  <c r="AR161" i="4"/>
  <c r="AR97" i="4"/>
  <c r="AT97" i="4"/>
  <c r="AV97" i="4" s="1"/>
  <c r="AW97" i="4" s="1"/>
  <c r="AT65" i="4"/>
  <c r="AV65" i="4" s="1"/>
  <c r="AX65" i="4" s="1"/>
  <c r="AR65" i="4"/>
  <c r="AT57" i="4"/>
  <c r="AV57" i="4" s="1"/>
  <c r="AW57" i="4" s="1"/>
  <c r="AR57" i="4"/>
  <c r="Q26" i="4"/>
  <c r="S26" i="4"/>
  <c r="Z26" i="4"/>
  <c r="Q141" i="4"/>
  <c r="S141" i="4"/>
  <c r="B666" i="12"/>
  <c r="C531" i="12"/>
  <c r="Y64" i="28"/>
  <c r="T64" i="28"/>
  <c r="V64" i="28" s="1"/>
  <c r="W64" i="28" s="1"/>
  <c r="H90" i="14"/>
  <c r="D90" i="14"/>
  <c r="B1032" i="12"/>
  <c r="C897" i="12"/>
  <c r="Y237" i="28"/>
  <c r="W37" i="33"/>
  <c r="Y152" i="28"/>
  <c r="T152" i="28"/>
  <c r="V152" i="28" s="1"/>
  <c r="X152" i="28" s="1"/>
  <c r="B270" i="12"/>
  <c r="C135" i="12"/>
  <c r="A520" i="12"/>
  <c r="C385" i="12"/>
  <c r="A285" i="12"/>
  <c r="C150" i="12"/>
  <c r="T2" i="16"/>
  <c r="F20" i="14" s="1"/>
  <c r="T49" i="16"/>
  <c r="Z13" i="18"/>
  <c r="AK13" i="18"/>
  <c r="M6" i="16"/>
  <c r="M17" i="16" s="1"/>
  <c r="AC6" i="16"/>
  <c r="AC17" i="16" s="1"/>
  <c r="C1039" i="12"/>
  <c r="D121" i="14"/>
  <c r="G93" i="14"/>
  <c r="C361" i="12"/>
  <c r="AR73" i="4"/>
  <c r="B391" i="12"/>
  <c r="C256" i="12"/>
  <c r="C113" i="14"/>
  <c r="D113" i="14"/>
  <c r="H113" i="14"/>
  <c r="F113" i="14"/>
  <c r="B83" i="14"/>
  <c r="B122" i="14" s="1"/>
  <c r="B161" i="14" s="1"/>
  <c r="B200" i="14" s="1"/>
  <c r="B239" i="14" s="1"/>
  <c r="G44" i="14"/>
  <c r="C44" i="14"/>
  <c r="F118" i="14"/>
  <c r="C118" i="14"/>
  <c r="H118" i="14"/>
  <c r="D118" i="14"/>
  <c r="A157" i="14"/>
  <c r="J13" i="18"/>
  <c r="G6" i="16"/>
  <c r="G17" i="16" s="1"/>
  <c r="U6" i="16"/>
  <c r="U17" i="16" s="1"/>
  <c r="AK6" i="16"/>
  <c r="AK17" i="16" s="1"/>
  <c r="C475" i="12"/>
  <c r="F93" i="14"/>
  <c r="C1174" i="12"/>
  <c r="A132" i="14"/>
  <c r="D97" i="14"/>
  <c r="C496" i="12"/>
  <c r="T139" i="28"/>
  <c r="V139" i="28" s="1"/>
  <c r="X139" i="28" s="1"/>
  <c r="C76" i="14"/>
  <c r="B115" i="14"/>
  <c r="G115" i="14" s="1"/>
  <c r="D76" i="14"/>
  <c r="H76" i="14"/>
  <c r="F76" i="14"/>
  <c r="B174" i="12"/>
  <c r="B309" i="12" s="1"/>
  <c r="C39" i="12"/>
  <c r="B957" i="12"/>
  <c r="C957" i="12" s="1"/>
  <c r="C822" i="12"/>
  <c r="B278" i="12"/>
  <c r="C143" i="12"/>
  <c r="B363" i="12"/>
  <c r="C228" i="12"/>
  <c r="AR169" i="4"/>
  <c r="AT169" i="4"/>
  <c r="AV169" i="4" s="1"/>
  <c r="AX169" i="4" s="1"/>
  <c r="Q10" i="4"/>
  <c r="S10" i="4"/>
  <c r="X102" i="4"/>
  <c r="Z102" i="4"/>
  <c r="X178" i="4"/>
  <c r="Z178" i="4"/>
  <c r="Y78" i="28"/>
  <c r="T78" i="28"/>
  <c r="V78" i="28" s="1"/>
  <c r="W78" i="28" s="1"/>
  <c r="Q143" i="4"/>
  <c r="G121" i="14"/>
  <c r="I121" i="14"/>
  <c r="X40" i="33"/>
  <c r="Y221" i="28"/>
  <c r="T221" i="28"/>
  <c r="V221" i="28" s="1"/>
  <c r="X221" i="28" s="1"/>
  <c r="A416" i="12"/>
  <c r="C281" i="12"/>
  <c r="A681" i="12"/>
  <c r="C308" i="12"/>
  <c r="H121" i="14"/>
  <c r="C93" i="14"/>
  <c r="G90" i="14"/>
  <c r="C1056" i="12"/>
  <c r="C276" i="12"/>
  <c r="B170" i="14"/>
  <c r="B209" i="14" s="1"/>
  <c r="B248" i="14" s="1"/>
  <c r="G131" i="14"/>
  <c r="T176" i="28"/>
  <c r="V176" i="28" s="1"/>
  <c r="W176" i="28" s="1"/>
  <c r="Y176" i="28"/>
  <c r="B139" i="12"/>
  <c r="C4" i="12"/>
  <c r="Y215" i="28"/>
  <c r="T215" i="28"/>
  <c r="V215" i="28" s="1"/>
  <c r="X215" i="28" s="1"/>
  <c r="A335" i="12"/>
  <c r="A470" i="12" s="1"/>
  <c r="A605" i="12" s="1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C200" i="12"/>
  <c r="F121" i="14"/>
  <c r="B126" i="14"/>
  <c r="I93" i="14"/>
  <c r="Q6" i="4"/>
  <c r="B49" i="16"/>
  <c r="Q3" i="5"/>
  <c r="Q10" i="5"/>
  <c r="U114" i="5"/>
  <c r="S114" i="5"/>
  <c r="Q6" i="5"/>
  <c r="V2" i="5"/>
  <c r="Q9" i="5"/>
  <c r="T114" i="5"/>
  <c r="Q7" i="5"/>
  <c r="Q5" i="5"/>
  <c r="Q8" i="5"/>
  <c r="K19" i="5"/>
  <c r="K20" i="5"/>
  <c r="K17" i="5"/>
  <c r="K21" i="5"/>
  <c r="K22" i="5"/>
  <c r="K16" i="5"/>
  <c r="N39" i="5"/>
  <c r="N40" i="5"/>
  <c r="L54" i="5"/>
  <c r="L55" i="5"/>
  <c r="L48" i="5"/>
  <c r="L53" i="5"/>
  <c r="L51" i="5"/>
  <c r="L50" i="5"/>
  <c r="L49" i="5"/>
  <c r="L52" i="5"/>
  <c r="K88" i="5"/>
  <c r="K81" i="5"/>
  <c r="K82" i="5"/>
  <c r="K83" i="5"/>
  <c r="K87" i="5"/>
  <c r="K85" i="5"/>
  <c r="C1473" i="12"/>
  <c r="C1182" i="12"/>
  <c r="C918" i="12"/>
  <c r="C1439" i="12"/>
  <c r="C762" i="12"/>
  <c r="C1073" i="12"/>
  <c r="C764" i="12"/>
  <c r="C1081" i="12"/>
  <c r="C863" i="12"/>
  <c r="C1608" i="12"/>
  <c r="C779" i="12"/>
  <c r="C1351" i="12"/>
  <c r="C2958" i="12"/>
  <c r="C682" i="12"/>
  <c r="C1478" i="12"/>
  <c r="C769" i="12"/>
  <c r="C760" i="12"/>
  <c r="C798" i="12"/>
  <c r="C1208" i="12"/>
  <c r="F32" i="14"/>
  <c r="F24" i="14"/>
  <c r="F40" i="14"/>
  <c r="F34" i="14"/>
  <c r="F22" i="14"/>
  <c r="F6" i="14"/>
  <c r="F70" i="14"/>
  <c r="F38" i="14"/>
  <c r="F4" i="14"/>
  <c r="F31" i="14"/>
  <c r="F82" i="14"/>
  <c r="F5" i="14"/>
  <c r="F19" i="14"/>
  <c r="F26" i="14"/>
  <c r="F68" i="14"/>
  <c r="F35" i="14"/>
  <c r="F71" i="14"/>
  <c r="F41" i="14"/>
  <c r="F102" i="14"/>
  <c r="F25" i="14"/>
  <c r="F77" i="14"/>
  <c r="F79" i="14"/>
  <c r="F39" i="14"/>
  <c r="F28" i="14"/>
  <c r="F64" i="14"/>
  <c r="F69" i="14"/>
  <c r="F37" i="14"/>
  <c r="F33" i="14"/>
  <c r="F21" i="14"/>
  <c r="F63" i="14"/>
  <c r="F43" i="14"/>
  <c r="D24" i="14"/>
  <c r="D37" i="14"/>
  <c r="D4" i="14"/>
  <c r="D6" i="14"/>
  <c r="D5" i="14"/>
  <c r="D9" i="14"/>
  <c r="D30" i="14"/>
  <c r="D38" i="14"/>
  <c r="D54" i="14"/>
  <c r="D31" i="14"/>
  <c r="D14" i="14"/>
  <c r="D20" i="14"/>
  <c r="D59" i="14"/>
  <c r="D62" i="14"/>
  <c r="D16" i="14"/>
  <c r="D23" i="14"/>
  <c r="D36" i="14"/>
  <c r="D33" i="14"/>
  <c r="D12" i="14"/>
  <c r="D25" i="14"/>
  <c r="D39" i="14"/>
  <c r="D34" i="14"/>
  <c r="D18" i="14"/>
  <c r="D26" i="14"/>
  <c r="D57" i="14"/>
  <c r="D13" i="14"/>
  <c r="D70" i="14"/>
  <c r="D8" i="14"/>
  <c r="D63" i="14"/>
  <c r="D51" i="14"/>
  <c r="D73" i="14"/>
  <c r="D68" i="14"/>
  <c r="D104" i="14"/>
  <c r="D29" i="14"/>
  <c r="D48" i="14"/>
  <c r="D60" i="14"/>
  <c r="D43" i="14"/>
  <c r="D28" i="14"/>
  <c r="D21" i="14"/>
  <c r="D47" i="14"/>
  <c r="D77" i="14"/>
  <c r="D103" i="14"/>
  <c r="D3" i="14"/>
  <c r="D27" i="14"/>
  <c r="D17" i="14"/>
  <c r="AB19" i="33"/>
  <c r="B479" i="12"/>
  <c r="C344" i="12"/>
  <c r="B328" i="12"/>
  <c r="C193" i="12"/>
  <c r="V305" i="28"/>
  <c r="W305" i="28" s="1"/>
  <c r="V87" i="28"/>
  <c r="X87" i="28" s="1"/>
  <c r="V190" i="28"/>
  <c r="X190" i="28" s="1"/>
  <c r="U115" i="5"/>
  <c r="R5" i="5"/>
  <c r="R7" i="5"/>
  <c r="R8" i="5"/>
  <c r="R10" i="5"/>
  <c r="R6" i="5"/>
  <c r="R9" i="5"/>
  <c r="T115" i="5"/>
  <c r="Y133" i="28"/>
  <c r="T133" i="28"/>
  <c r="V133" i="28" s="1"/>
  <c r="X133" i="28" s="1"/>
  <c r="Y253" i="28"/>
  <c r="T253" i="28"/>
  <c r="V253" i="28" s="1"/>
  <c r="W253" i="28" s="1"/>
  <c r="B311" i="12"/>
  <c r="C176" i="12"/>
  <c r="B221" i="12"/>
  <c r="C86" i="12"/>
  <c r="B241" i="12"/>
  <c r="C106" i="12"/>
  <c r="C1345" i="12"/>
  <c r="AR172" i="4"/>
  <c r="AT172" i="4"/>
  <c r="AV172" i="4" s="1"/>
  <c r="AW172" i="4" s="1"/>
  <c r="AT108" i="4"/>
  <c r="AV108" i="4" s="1"/>
  <c r="AW108" i="4" s="1"/>
  <c r="AR108" i="4"/>
  <c r="Y97" i="28"/>
  <c r="T97" i="28"/>
  <c r="V97" i="28" s="1"/>
  <c r="X97" i="28" s="1"/>
  <c r="AJ13" i="18"/>
  <c r="AB13" i="18"/>
  <c r="T13" i="18"/>
  <c r="O13" i="18"/>
  <c r="W6" i="16"/>
  <c r="W17" i="16" s="1"/>
  <c r="O6" i="16"/>
  <c r="O17" i="16" s="1"/>
  <c r="AM6" i="16"/>
  <c r="AM17" i="16" s="1"/>
  <c r="AE6" i="16"/>
  <c r="AE17" i="16" s="1"/>
  <c r="R115" i="5"/>
  <c r="T36" i="5"/>
  <c r="K43" i="5"/>
  <c r="K38" i="5"/>
  <c r="K42" i="5"/>
  <c r="R41" i="5"/>
  <c r="R37" i="5"/>
  <c r="R44" i="5"/>
  <c r="R39" i="5"/>
  <c r="R40" i="5"/>
  <c r="C246" i="12"/>
  <c r="C233" i="12"/>
  <c r="C199" i="12"/>
  <c r="C147" i="12"/>
  <c r="C499" i="12"/>
  <c r="C538" i="12"/>
  <c r="C319" i="12"/>
  <c r="C503" i="12"/>
  <c r="C400" i="12"/>
  <c r="C457" i="12"/>
  <c r="C535" i="12"/>
  <c r="C198" i="12"/>
  <c r="C258" i="12"/>
  <c r="C727" i="12"/>
  <c r="C940" i="12"/>
  <c r="C378" i="12"/>
  <c r="C393" i="12"/>
  <c r="C357" i="12"/>
  <c r="C427" i="12"/>
  <c r="C2283" i="12"/>
  <c r="C2553" i="12"/>
  <c r="C220" i="12"/>
  <c r="C368" i="12"/>
  <c r="C644" i="12"/>
  <c r="C912" i="12"/>
  <c r="C403" i="12"/>
  <c r="C355" i="12"/>
  <c r="C417" i="12"/>
  <c r="C170" i="12"/>
  <c r="C1338" i="12"/>
  <c r="C533" i="12"/>
  <c r="C673" i="12"/>
  <c r="C454" i="12"/>
  <c r="C2688" i="12"/>
  <c r="C728" i="12"/>
  <c r="C1034" i="12"/>
  <c r="C811" i="12"/>
  <c r="C663" i="12"/>
  <c r="C197" i="12"/>
  <c r="C514" i="12"/>
  <c r="C914" i="12"/>
  <c r="C188" i="12"/>
  <c r="C933" i="12"/>
  <c r="C196" i="12"/>
  <c r="C1304" i="12"/>
  <c r="C1203" i="12"/>
  <c r="C1878" i="12"/>
  <c r="C803" i="12"/>
  <c r="C304" i="12"/>
  <c r="C494" i="12"/>
  <c r="C250" i="12"/>
  <c r="C899" i="12"/>
  <c r="C360" i="12"/>
  <c r="C186" i="12"/>
  <c r="C370" i="12"/>
  <c r="C214" i="12"/>
  <c r="C895" i="12"/>
  <c r="C222" i="12"/>
  <c r="C271" i="12"/>
  <c r="C687" i="12"/>
  <c r="C486" i="12"/>
  <c r="C458" i="12"/>
  <c r="C208" i="12"/>
  <c r="C398" i="12"/>
  <c r="C144" i="12"/>
  <c r="B112" i="14"/>
  <c r="H112" i="14" s="1"/>
  <c r="C73" i="14"/>
  <c r="G73" i="14"/>
  <c r="B100" i="14"/>
  <c r="G61" i="14"/>
  <c r="C45" i="14"/>
  <c r="I45" i="14"/>
  <c r="G45" i="14"/>
  <c r="D45" i="14"/>
  <c r="AN84" i="17"/>
  <c r="AB84" i="17"/>
  <c r="T84" i="17"/>
  <c r="D84" i="17"/>
  <c r="B765" i="12"/>
  <c r="B900" i="12" s="1"/>
  <c r="C630" i="12"/>
  <c r="B180" i="12"/>
  <c r="C45" i="12"/>
  <c r="Y213" i="28"/>
  <c r="T213" i="28"/>
  <c r="V213" i="28" s="1"/>
  <c r="W213" i="28" s="1"/>
  <c r="V279" i="28"/>
  <c r="X279" i="28" s="1"/>
  <c r="V303" i="28"/>
  <c r="X303" i="28" s="1"/>
  <c r="U10" i="5"/>
  <c r="U4" i="5"/>
  <c r="U6" i="5"/>
  <c r="S118" i="5"/>
  <c r="T118" i="5"/>
  <c r="U8" i="5"/>
  <c r="U118" i="5"/>
  <c r="U3" i="5"/>
  <c r="C74" i="14"/>
  <c r="D74" i="14"/>
  <c r="G74" i="14"/>
  <c r="C66" i="14"/>
  <c r="D66" i="14"/>
  <c r="I58" i="14"/>
  <c r="F58" i="14"/>
  <c r="D58" i="14"/>
  <c r="C51" i="14"/>
  <c r="I51" i="14"/>
  <c r="A83" i="14"/>
  <c r="D44" i="14"/>
  <c r="H44" i="14"/>
  <c r="X34" i="33"/>
  <c r="B471" i="12"/>
  <c r="C336" i="12"/>
  <c r="B462" i="12"/>
  <c r="C327" i="12"/>
  <c r="B429" i="12"/>
  <c r="C294" i="12"/>
  <c r="B352" i="12"/>
  <c r="C217" i="12"/>
  <c r="B384" i="12"/>
  <c r="C249" i="12"/>
  <c r="I17" i="5"/>
  <c r="I16" i="5"/>
  <c r="I22" i="5"/>
  <c r="I18" i="5"/>
  <c r="I19" i="5"/>
  <c r="I20" i="5"/>
  <c r="I21" i="5"/>
  <c r="J50" i="5"/>
  <c r="J49" i="5"/>
  <c r="J51" i="5"/>
  <c r="J48" i="5"/>
  <c r="K70" i="5"/>
  <c r="K71" i="5"/>
  <c r="K74" i="5"/>
  <c r="G53" i="14"/>
  <c r="C53" i="14"/>
  <c r="D53" i="14"/>
  <c r="I53" i="14"/>
  <c r="T302" i="28"/>
  <c r="V302" i="28" s="1"/>
  <c r="W302" i="28" s="1"/>
  <c r="Y302" i="28"/>
  <c r="A748" i="12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C613" i="12"/>
  <c r="V3" i="28"/>
  <c r="X3" i="28" s="1"/>
  <c r="L39" i="5"/>
  <c r="L40" i="5"/>
  <c r="C47" i="14"/>
  <c r="I47" i="14"/>
  <c r="X84" i="17"/>
  <c r="B338" i="12"/>
  <c r="C203" i="12"/>
  <c r="B303" i="12"/>
  <c r="C168" i="12"/>
  <c r="B257" i="12"/>
  <c r="C122" i="12"/>
  <c r="B806" i="12"/>
  <c r="C671" i="12"/>
  <c r="X13" i="18"/>
  <c r="H13" i="18"/>
  <c r="X6" i="16"/>
  <c r="X17" i="16" s="1"/>
  <c r="P6" i="16"/>
  <c r="P17" i="16" s="1"/>
  <c r="AN6" i="16"/>
  <c r="AN17" i="16" s="1"/>
  <c r="AF6" i="16"/>
  <c r="AF17" i="16" s="1"/>
  <c r="V5" i="28"/>
  <c r="W5" i="28" s="1"/>
  <c r="I73" i="14"/>
  <c r="F65" i="14"/>
  <c r="C50" i="14"/>
  <c r="B466" i="12"/>
  <c r="B601" i="12" s="1"/>
  <c r="C331" i="12"/>
  <c r="B158" i="12"/>
  <c r="B264" i="12"/>
  <c r="C129" i="12"/>
  <c r="A425" i="12"/>
  <c r="C290" i="12"/>
  <c r="C439" i="12"/>
  <c r="P41" i="5"/>
  <c r="P37" i="5"/>
  <c r="C79" i="14"/>
  <c r="I79" i="14"/>
  <c r="D79" i="14"/>
  <c r="G64" i="14"/>
  <c r="H56" i="14"/>
  <c r="B325" i="12"/>
  <c r="C190" i="12"/>
  <c r="A1754" i="12"/>
  <c r="A1889" i="12" s="1"/>
  <c r="A756" i="12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C621" i="12"/>
  <c r="C178" i="12"/>
  <c r="C205" i="12"/>
  <c r="V15" i="28"/>
  <c r="X15" i="28" s="1"/>
  <c r="B101" i="14"/>
  <c r="F101" i="14" s="1"/>
  <c r="C62" i="14"/>
  <c r="C334" i="12"/>
  <c r="B568" i="12"/>
  <c r="C433" i="12"/>
  <c r="B1756" i="12"/>
  <c r="C1621" i="12"/>
  <c r="V275" i="28"/>
  <c r="X275" i="28" s="1"/>
  <c r="V19" i="28"/>
  <c r="W19" i="28" s="1"/>
  <c r="Q42" i="5"/>
  <c r="K7" i="5"/>
  <c r="C145" i="12"/>
  <c r="Q39" i="5"/>
  <c r="C5" i="12"/>
  <c r="C53" i="12"/>
  <c r="C3" i="12"/>
  <c r="C49" i="12"/>
  <c r="C10" i="12"/>
  <c r="V209" i="28"/>
  <c r="X209" i="28" s="1"/>
  <c r="C234" i="12"/>
  <c r="C63" i="14"/>
  <c r="C58" i="14"/>
  <c r="N1095" i="7"/>
  <c r="H100" i="18"/>
  <c r="H46" i="16"/>
  <c r="H49" i="16" s="1"/>
  <c r="C41" i="14"/>
  <c r="P47" i="40"/>
  <c r="L13" i="18"/>
  <c r="AT94" i="4"/>
  <c r="AV94" i="4" s="1"/>
  <c r="AW94" i="4" s="1"/>
  <c r="B17" i="16"/>
  <c r="J160" i="3"/>
  <c r="AL100" i="18"/>
  <c r="V6" i="16"/>
  <c r="V17" i="16" s="1"/>
  <c r="N6" i="16"/>
  <c r="AL6" i="16"/>
  <c r="AL17" i="16" s="1"/>
  <c r="AD6" i="16"/>
  <c r="AD17" i="16" s="1"/>
  <c r="AL63" i="8"/>
  <c r="AN63" i="8" s="1"/>
  <c r="AL64" i="8"/>
  <c r="AN64" i="8" s="1"/>
  <c r="Z151" i="4"/>
  <c r="H6" i="16"/>
  <c r="H17" i="16" s="1"/>
  <c r="T6" i="16"/>
  <c r="L6" i="16"/>
  <c r="L17" i="16" s="1"/>
  <c r="AJ6" i="16"/>
  <c r="AJ17" i="16" s="1"/>
  <c r="AB6" i="16"/>
  <c r="AB17" i="16" s="1"/>
  <c r="AT88" i="4"/>
  <c r="AV88" i="4" s="1"/>
  <c r="AW88" i="4" s="1"/>
  <c r="Z88" i="4"/>
  <c r="F17" i="16"/>
  <c r="AA6" i="16"/>
  <c r="AA17" i="16" s="1"/>
  <c r="S6" i="16"/>
  <c r="S17" i="16" s="1"/>
  <c r="K6" i="16"/>
  <c r="K17" i="16" s="1"/>
  <c r="AI6" i="16"/>
  <c r="AI17" i="16" s="1"/>
  <c r="F46" i="16"/>
  <c r="F49" i="16" s="1"/>
  <c r="E17" i="16"/>
  <c r="Z6" i="16"/>
  <c r="R6" i="16"/>
  <c r="R17" i="16" s="1"/>
  <c r="J6" i="16"/>
  <c r="J17" i="16" s="1"/>
  <c r="AH6" i="16"/>
  <c r="AH17" i="16" s="1"/>
  <c r="C1309" i="12"/>
  <c r="B1444" i="12"/>
  <c r="B1043" i="12"/>
  <c r="C908" i="12"/>
  <c r="A484" i="12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C349" i="12"/>
  <c r="A548" i="12"/>
  <c r="B389" i="12"/>
  <c r="C254" i="12"/>
  <c r="A288" i="12"/>
  <c r="C153" i="12"/>
  <c r="Q147" i="4"/>
  <c r="S147" i="4"/>
  <c r="U100" i="18"/>
  <c r="U46" i="16"/>
  <c r="U49" i="16" s="1"/>
  <c r="B2934" i="12"/>
  <c r="B952" i="12"/>
  <c r="C817" i="12"/>
  <c r="B1326" i="12"/>
  <c r="C1191" i="12"/>
  <c r="AC100" i="18"/>
  <c r="AC46" i="16"/>
  <c r="AC49" i="16" s="1"/>
  <c r="M100" i="18"/>
  <c r="M46" i="16"/>
  <c r="M49" i="16" s="1"/>
  <c r="AK100" i="18"/>
  <c r="AK46" i="16"/>
  <c r="AK49" i="16" s="1"/>
  <c r="B1009" i="12"/>
  <c r="C874" i="12"/>
  <c r="G199" i="14"/>
  <c r="C199" i="14"/>
  <c r="B767" i="12"/>
  <c r="C632" i="12"/>
  <c r="J81" i="5"/>
  <c r="J87" i="5"/>
  <c r="L80" i="5"/>
  <c r="J85" i="5"/>
  <c r="J86" i="5"/>
  <c r="J88" i="5"/>
  <c r="J83" i="5"/>
  <c r="J84" i="5"/>
  <c r="G78" i="14"/>
  <c r="B117" i="14"/>
  <c r="B156" i="14" s="1"/>
  <c r="B195" i="14" s="1"/>
  <c r="B234" i="14" s="1"/>
  <c r="B273" i="14" s="1"/>
  <c r="F78" i="14"/>
  <c r="D78" i="14"/>
  <c r="B111" i="14"/>
  <c r="B150" i="14" s="1"/>
  <c r="B189" i="14" s="1"/>
  <c r="B228" i="14" s="1"/>
  <c r="B267" i="14" s="1"/>
  <c r="D72" i="14"/>
  <c r="G72" i="14"/>
  <c r="F72" i="14"/>
  <c r="B678" i="12"/>
  <c r="B1331" i="12"/>
  <c r="H98" i="14"/>
  <c r="A137" i="14"/>
  <c r="D98" i="14"/>
  <c r="C98" i="14"/>
  <c r="G98" i="14"/>
  <c r="F98" i="14"/>
  <c r="B582" i="12"/>
  <c r="C447" i="12"/>
  <c r="F115" i="14"/>
  <c r="B154" i="14"/>
  <c r="E154" i="14" s="1"/>
  <c r="I115" i="14"/>
  <c r="C115" i="14"/>
  <c r="B91" i="14"/>
  <c r="I91" i="14" s="1"/>
  <c r="D52" i="14"/>
  <c r="G52" i="14"/>
  <c r="I52" i="14"/>
  <c r="C52" i="14"/>
  <c r="H52" i="14"/>
  <c r="A185" i="14"/>
  <c r="C3228" i="12"/>
  <c r="B3363" i="12"/>
  <c r="B119" i="14"/>
  <c r="F80" i="14"/>
  <c r="C80" i="14"/>
  <c r="D80" i="14"/>
  <c r="H80" i="14"/>
  <c r="I80" i="14"/>
  <c r="B166" i="12"/>
  <c r="C31" i="12"/>
  <c r="B955" i="12"/>
  <c r="G94" i="14"/>
  <c r="D94" i="14"/>
  <c r="A133" i="14"/>
  <c r="H94" i="14"/>
  <c r="I94" i="14"/>
  <c r="C94" i="14"/>
  <c r="A149" i="14"/>
  <c r="B341" i="12"/>
  <c r="C206" i="12"/>
  <c r="A178" i="14"/>
  <c r="B1058" i="12"/>
  <c r="C55" i="14"/>
  <c r="I55" i="14"/>
  <c r="H55" i="14"/>
  <c r="G55" i="14"/>
  <c r="D55" i="14"/>
  <c r="C42" i="14"/>
  <c r="G42" i="14"/>
  <c r="D42" i="14"/>
  <c r="H42" i="14"/>
  <c r="F42" i="14"/>
  <c r="I42" i="14"/>
  <c r="Z21" i="33"/>
  <c r="Y22" i="33"/>
  <c r="X29" i="33"/>
  <c r="W30" i="33"/>
  <c r="T136" i="28"/>
  <c r="V136" i="28" s="1"/>
  <c r="W136" i="28" s="1"/>
  <c r="Y136" i="28"/>
  <c r="Y179" i="28"/>
  <c r="T179" i="28"/>
  <c r="V179" i="28" s="1"/>
  <c r="W179" i="28" s="1"/>
  <c r="Y178" i="28"/>
  <c r="T178" i="28"/>
  <c r="V178" i="28" s="1"/>
  <c r="X178" i="28" s="1"/>
  <c r="Y198" i="28"/>
  <c r="T198" i="28"/>
  <c r="V198" i="28" s="1"/>
  <c r="W198" i="28" s="1"/>
  <c r="T205" i="28"/>
  <c r="V205" i="28" s="1"/>
  <c r="X205" i="28" s="1"/>
  <c r="Y205" i="28"/>
  <c r="Y228" i="28"/>
  <c r="T228" i="28"/>
  <c r="V228" i="28" s="1"/>
  <c r="X228" i="28" s="1"/>
  <c r="T20" i="28"/>
  <c r="V20" i="28" s="1"/>
  <c r="W20" i="28" s="1"/>
  <c r="Y20" i="28"/>
  <c r="W20" i="33"/>
  <c r="B724" i="12"/>
  <c r="C589" i="12"/>
  <c r="B434" i="12"/>
  <c r="C299" i="12"/>
  <c r="A242" i="14"/>
  <c r="A232" i="14"/>
  <c r="A128" i="14"/>
  <c r="Y163" i="28"/>
  <c r="A140" i="14"/>
  <c r="D131" i="14"/>
  <c r="A170" i="14"/>
  <c r="H131" i="14"/>
  <c r="C131" i="14"/>
  <c r="I131" i="14"/>
  <c r="B883" i="12"/>
  <c r="C998" i="12"/>
  <c r="B1133" i="12"/>
  <c r="B688" i="12"/>
  <c r="C553" i="12"/>
  <c r="B549" i="12"/>
  <c r="C414" i="12"/>
  <c r="A174" i="14"/>
  <c r="H103" i="14"/>
  <c r="F103" i="14"/>
  <c r="G103" i="14"/>
  <c r="C103" i="14"/>
  <c r="I84" i="14"/>
  <c r="F84" i="14"/>
  <c r="H84" i="14"/>
  <c r="B123" i="14"/>
  <c r="C84" i="14"/>
  <c r="X35" i="33"/>
  <c r="B628" i="12"/>
  <c r="C493" i="12"/>
  <c r="B430" i="12"/>
  <c r="C295" i="12"/>
  <c r="B253" i="12"/>
  <c r="C118" i="12"/>
  <c r="A181" i="14"/>
  <c r="B2018" i="12"/>
  <c r="C1883" i="12"/>
  <c r="D49" i="14"/>
  <c r="B88" i="14"/>
  <c r="B127" i="14" s="1"/>
  <c r="B166" i="14" s="1"/>
  <c r="B205" i="14" s="1"/>
  <c r="B244" i="14" s="1"/>
  <c r="G49" i="14"/>
  <c r="A81" i="14"/>
  <c r="E81" i="14" s="1"/>
  <c r="A114" i="14"/>
  <c r="H75" i="14"/>
  <c r="I75" i="14"/>
  <c r="D75" i="14"/>
  <c r="F75" i="14"/>
  <c r="G75" i="14"/>
  <c r="C75" i="14"/>
  <c r="I67" i="14"/>
  <c r="F67" i="14"/>
  <c r="A106" i="14"/>
  <c r="E106" i="14" s="1"/>
  <c r="C67" i="14"/>
  <c r="D67" i="14"/>
  <c r="H67" i="14"/>
  <c r="G67" i="14"/>
  <c r="A130" i="14"/>
  <c r="H91" i="14"/>
  <c r="I46" i="14"/>
  <c r="H46" i="14"/>
  <c r="A85" i="14"/>
  <c r="E85" i="14" s="1"/>
  <c r="C46" i="14"/>
  <c r="D46" i="14"/>
  <c r="G46" i="14"/>
  <c r="Z24" i="33"/>
  <c r="Y38" i="33"/>
  <c r="Y25" i="33"/>
  <c r="X32" i="33"/>
  <c r="W39" i="33"/>
  <c r="W33" i="33"/>
  <c r="Y125" i="28"/>
  <c r="T125" i="28"/>
  <c r="V125" i="28" s="1"/>
  <c r="W125" i="28" s="1"/>
  <c r="Y188" i="28"/>
  <c r="T188" i="28"/>
  <c r="V188" i="28" s="1"/>
  <c r="W188" i="28" s="1"/>
  <c r="T229" i="28"/>
  <c r="V229" i="28" s="1"/>
  <c r="X229" i="28" s="1"/>
  <c r="Y229" i="28"/>
  <c r="T251" i="28"/>
  <c r="V251" i="28" s="1"/>
  <c r="X251" i="28" s="1"/>
  <c r="Y251" i="28"/>
  <c r="Y18" i="33"/>
  <c r="B339" i="12"/>
  <c r="C204" i="12"/>
  <c r="B997" i="12"/>
  <c r="C862" i="12"/>
  <c r="A820" i="12"/>
  <c r="A955" i="12" s="1"/>
  <c r="A1090" i="12" s="1"/>
  <c r="A1225" i="12" s="1"/>
  <c r="A1360" i="12" s="1"/>
  <c r="A1495" i="12" s="1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H105" i="14"/>
  <c r="F105" i="14"/>
  <c r="A144" i="14"/>
  <c r="E144" i="14" s="1"/>
  <c r="I105" i="14"/>
  <c r="B171" i="14"/>
  <c r="A214" i="14"/>
  <c r="B470" i="12"/>
  <c r="C335" i="12"/>
  <c r="B464" i="12"/>
  <c r="C329" i="12"/>
  <c r="B861" i="12"/>
  <c r="C726" i="12"/>
  <c r="B151" i="12"/>
  <c r="C16" i="12"/>
  <c r="B686" i="12"/>
  <c r="B943" i="12"/>
  <c r="C808" i="12"/>
  <c r="B110" i="14"/>
  <c r="C110" i="14" s="1"/>
  <c r="I71" i="14"/>
  <c r="H71" i="14"/>
  <c r="D71" i="14"/>
  <c r="G71" i="14"/>
  <c r="C71" i="14"/>
  <c r="I72" i="14"/>
  <c r="B614" i="12"/>
  <c r="C479" i="12"/>
  <c r="B296" i="12"/>
  <c r="C161" i="12"/>
  <c r="B830" i="12"/>
  <c r="B284" i="12"/>
  <c r="C149" i="12"/>
  <c r="X47" i="4"/>
  <c r="Z47" i="4"/>
  <c r="Q71" i="4"/>
  <c r="S71" i="4"/>
  <c r="B667" i="12"/>
  <c r="C532" i="12"/>
  <c r="F160" i="14"/>
  <c r="C132" i="14"/>
  <c r="A143" i="14"/>
  <c r="E143" i="14" s="1"/>
  <c r="B645" i="12"/>
  <c r="B346" i="12"/>
  <c r="C211" i="12"/>
  <c r="B468" i="12"/>
  <c r="C333" i="12"/>
  <c r="B353" i="12"/>
  <c r="C218" i="12"/>
  <c r="B387" i="12"/>
  <c r="C252" i="12"/>
  <c r="B232" i="12"/>
  <c r="C97" i="12"/>
  <c r="AT64" i="4"/>
  <c r="AV64" i="4" s="1"/>
  <c r="AW64" i="4" s="1"/>
  <c r="AR64" i="4"/>
  <c r="AT48" i="4"/>
  <c r="AV48" i="4" s="1"/>
  <c r="AW48" i="4" s="1"/>
  <c r="AR48" i="4"/>
  <c r="H160" i="14"/>
  <c r="J59" i="5"/>
  <c r="J61" i="5"/>
  <c r="J64" i="5"/>
  <c r="J66" i="5"/>
  <c r="J60" i="5"/>
  <c r="J63" i="5"/>
  <c r="J62" i="5"/>
  <c r="A108" i="14"/>
  <c r="E108" i="14" s="1"/>
  <c r="H69" i="14"/>
  <c r="G69" i="14"/>
  <c r="D69" i="14"/>
  <c r="C69" i="14"/>
  <c r="C61" i="14"/>
  <c r="I61" i="14"/>
  <c r="D61" i="14"/>
  <c r="C92" i="14"/>
  <c r="D92" i="14"/>
  <c r="G92" i="14"/>
  <c r="I92" i="14"/>
  <c r="H92" i="14"/>
  <c r="Y29" i="28"/>
  <c r="T29" i="28"/>
  <c r="V29" i="28" s="1"/>
  <c r="X29" i="28" s="1"/>
  <c r="Y149" i="28"/>
  <c r="T149" i="28"/>
  <c r="V149" i="28" s="1"/>
  <c r="X149" i="28" s="1"/>
  <c r="Y191" i="28"/>
  <c r="T191" i="28"/>
  <c r="V191" i="28" s="1"/>
  <c r="W191" i="28" s="1"/>
  <c r="T247" i="28"/>
  <c r="V247" i="28" s="1"/>
  <c r="W247" i="28" s="1"/>
  <c r="Y247" i="28"/>
  <c r="T245" i="28"/>
  <c r="V245" i="28" s="1"/>
  <c r="X245" i="28" s="1"/>
  <c r="Y245" i="28"/>
  <c r="B891" i="12"/>
  <c r="B342" i="12"/>
  <c r="C207" i="12"/>
  <c r="B729" i="12"/>
  <c r="C594" i="12"/>
  <c r="C50" i="12"/>
  <c r="B185" i="12"/>
  <c r="B317" i="12"/>
  <c r="C182" i="12"/>
  <c r="B448" i="12"/>
  <c r="C313" i="12"/>
  <c r="B702" i="12"/>
  <c r="C567" i="12"/>
  <c r="B154" i="12"/>
  <c r="C19" i="12"/>
  <c r="B1355" i="12"/>
  <c r="C242" i="12"/>
  <c r="B377" i="12"/>
  <c r="B1452" i="12"/>
  <c r="C1317" i="12"/>
  <c r="B901" i="12"/>
  <c r="C766" i="12"/>
  <c r="C326" i="12"/>
  <c r="B461" i="12"/>
  <c r="S42" i="5"/>
  <c r="S44" i="5"/>
  <c r="S39" i="5"/>
  <c r="S43" i="5"/>
  <c r="S40" i="5"/>
  <c r="S41" i="5"/>
  <c r="S38" i="5"/>
  <c r="B345" i="12"/>
  <c r="C210" i="12"/>
  <c r="B467" i="12"/>
  <c r="C332" i="12"/>
  <c r="B832" i="12"/>
  <c r="C697" i="12"/>
  <c r="B1098" i="12"/>
  <c r="B1041" i="12"/>
  <c r="B1165" i="12"/>
  <c r="C1030" i="12"/>
  <c r="A151" i="14"/>
  <c r="K58" i="5"/>
  <c r="C255" i="12"/>
  <c r="B390" i="12"/>
  <c r="B526" i="12"/>
  <c r="C391" i="12"/>
  <c r="B619" i="12"/>
  <c r="C484" i="12"/>
  <c r="J4" i="5"/>
  <c r="J7" i="5"/>
  <c r="L2" i="5"/>
  <c r="J8" i="5"/>
  <c r="J3" i="5"/>
  <c r="N43" i="5"/>
  <c r="N38" i="5"/>
  <c r="N44" i="5"/>
  <c r="N42" i="5"/>
  <c r="N41" i="5"/>
  <c r="K50" i="5"/>
  <c r="K48" i="5"/>
  <c r="K54" i="5"/>
  <c r="K55" i="5"/>
  <c r="K53" i="5"/>
  <c r="K52" i="5"/>
  <c r="K51" i="5"/>
  <c r="N47" i="5"/>
  <c r="C765" i="12"/>
  <c r="B1095" i="12"/>
  <c r="C247" i="12"/>
  <c r="B382" i="12"/>
  <c r="B1319" i="12"/>
  <c r="C1184" i="12"/>
  <c r="B665" i="12"/>
  <c r="C530" i="12"/>
  <c r="K76" i="5"/>
  <c r="K73" i="5"/>
  <c r="I70" i="14"/>
  <c r="B109" i="14"/>
  <c r="H109" i="14" s="1"/>
  <c r="B89" i="14"/>
  <c r="H89" i="14" s="1"/>
  <c r="I50" i="14"/>
  <c r="D50" i="14"/>
  <c r="A99" i="14"/>
  <c r="C60" i="14"/>
  <c r="B179" i="12"/>
  <c r="C44" i="12"/>
  <c r="B156" i="12"/>
  <c r="C21" i="12"/>
  <c r="B1054" i="12"/>
  <c r="A1890" i="12"/>
  <c r="L41" i="5"/>
  <c r="M49" i="5"/>
  <c r="M54" i="5"/>
  <c r="T243" i="28"/>
  <c r="V243" i="28" s="1"/>
  <c r="X243" i="28" s="1"/>
  <c r="Y243" i="28"/>
  <c r="C324" i="12"/>
  <c r="L42" i="5"/>
  <c r="K44" i="5"/>
  <c r="K37" i="5"/>
  <c r="H65" i="14"/>
  <c r="C65" i="14"/>
  <c r="C57" i="14"/>
  <c r="T28" i="28"/>
  <c r="V28" i="28" s="1"/>
  <c r="X28" i="28" s="1"/>
  <c r="Y28" i="28"/>
  <c r="C71" i="12"/>
  <c r="B175" i="12"/>
  <c r="C40" i="12"/>
  <c r="B152" i="12"/>
  <c r="C17" i="12"/>
  <c r="B230" i="12"/>
  <c r="C95" i="12"/>
  <c r="Q199" i="4"/>
  <c r="S199" i="4"/>
  <c r="D19" i="14"/>
  <c r="D15" i="14"/>
  <c r="D11" i="14"/>
  <c r="H57" i="14"/>
  <c r="B96" i="14"/>
  <c r="E96" i="14" s="1"/>
  <c r="H78" i="14"/>
  <c r="A117" i="14"/>
  <c r="I78" i="14"/>
  <c r="C78" i="14"/>
  <c r="H72" i="14"/>
  <c r="A111" i="14"/>
  <c r="I49" i="14"/>
  <c r="H49" i="14"/>
  <c r="A88" i="14"/>
  <c r="C49" i="14"/>
  <c r="T192" i="28"/>
  <c r="V192" i="28" s="1"/>
  <c r="W192" i="28" s="1"/>
  <c r="Y192" i="28"/>
  <c r="C77" i="12"/>
  <c r="B212" i="12"/>
  <c r="B183" i="12"/>
  <c r="C48" i="12"/>
  <c r="B167" i="12"/>
  <c r="C32" i="12"/>
  <c r="C72" i="14"/>
  <c r="J21" i="5"/>
  <c r="J18" i="5"/>
  <c r="J55" i="5"/>
  <c r="J53" i="5"/>
  <c r="J52" i="5"/>
  <c r="J109" i="5"/>
  <c r="K102" i="5"/>
  <c r="J103" i="5"/>
  <c r="J110" i="5"/>
  <c r="J106" i="5"/>
  <c r="J105" i="5"/>
  <c r="C104" i="12"/>
  <c r="C89" i="12"/>
  <c r="C93" i="12"/>
  <c r="C62" i="12"/>
  <c r="C58" i="12"/>
  <c r="C24" i="12"/>
  <c r="C260" i="12"/>
  <c r="C61" i="12"/>
  <c r="C82" i="12"/>
  <c r="C74" i="12"/>
  <c r="C102" i="12"/>
  <c r="C109" i="12"/>
  <c r="C9" i="12"/>
  <c r="C79" i="12"/>
  <c r="C88" i="12"/>
  <c r="C57" i="12"/>
  <c r="C119" i="12"/>
  <c r="C269" i="12"/>
  <c r="C1210" i="12"/>
  <c r="C66" i="12"/>
  <c r="C105" i="12"/>
  <c r="C46" i="12"/>
  <c r="C189" i="12"/>
  <c r="C59" i="12"/>
  <c r="C33" i="12"/>
  <c r="C64" i="12"/>
  <c r="C60" i="12"/>
  <c r="C41" i="12"/>
  <c r="C164" i="12"/>
  <c r="C73" i="12"/>
  <c r="C43" i="12"/>
  <c r="C42" i="12"/>
  <c r="C6" i="12"/>
  <c r="C121" i="12"/>
  <c r="C28" i="12"/>
  <c r="C51" i="12"/>
  <c r="C279" i="12"/>
  <c r="C1075" i="12"/>
  <c r="C140" i="12"/>
  <c r="C85" i="12"/>
  <c r="C75" i="12"/>
  <c r="C35" i="12"/>
  <c r="C227" i="12"/>
  <c r="C14" i="12"/>
  <c r="C115" i="12"/>
  <c r="C111" i="12"/>
  <c r="C20" i="12"/>
  <c r="C8" i="12"/>
  <c r="C786" i="12"/>
  <c r="H60" i="14"/>
  <c r="C77" i="14"/>
  <c r="A116" i="14"/>
  <c r="E116" i="14" s="1"/>
  <c r="H62" i="14"/>
  <c r="G62" i="14"/>
  <c r="C78" i="12"/>
  <c r="B213" i="12"/>
  <c r="C195" i="12"/>
  <c r="B330" i="12"/>
  <c r="B316" i="12"/>
  <c r="C181" i="12"/>
  <c r="B1709" i="12"/>
  <c r="C1574" i="12"/>
  <c r="V189" i="28"/>
  <c r="X189" i="28" s="1"/>
  <c r="C59" i="14"/>
  <c r="R117" i="5"/>
  <c r="P9" i="5"/>
  <c r="P38" i="5"/>
  <c r="H48" i="14"/>
  <c r="T117" i="5"/>
  <c r="V16" i="28"/>
  <c r="X16" i="28" s="1"/>
  <c r="V196" i="28"/>
  <c r="W196" i="28" s="1"/>
  <c r="H59" i="14"/>
  <c r="T8" i="5"/>
  <c r="R3" i="5"/>
  <c r="R4" i="5"/>
  <c r="V168" i="28"/>
  <c r="W168" i="28" s="1"/>
  <c r="V204" i="28"/>
  <c r="X204" i="28" s="1"/>
  <c r="I57" i="14"/>
  <c r="S139" i="4"/>
  <c r="Q139" i="4"/>
  <c r="T284" i="28"/>
  <c r="V284" i="28" s="1"/>
  <c r="W284" i="28" s="1"/>
  <c r="AT45" i="4"/>
  <c r="AV45" i="4" s="1"/>
  <c r="AX45" i="4" s="1"/>
  <c r="AR45" i="4"/>
  <c r="Z43" i="4"/>
  <c r="Q102" i="4"/>
  <c r="Z173" i="4"/>
  <c r="Z196" i="4"/>
  <c r="Z76" i="4"/>
  <c r="Z174" i="4"/>
  <c r="Z62" i="4"/>
  <c r="Z107" i="4"/>
  <c r="Z155" i="4"/>
  <c r="Z175" i="4"/>
  <c r="Z201" i="4"/>
  <c r="T100" i="18"/>
  <c r="AJ46" i="16"/>
  <c r="AJ49" i="16" s="1"/>
  <c r="Q46" i="16"/>
  <c r="Q49" i="16" s="1"/>
  <c r="Q100" i="18"/>
  <c r="AB100" i="18"/>
  <c r="AB46" i="16"/>
  <c r="AB49" i="16" s="1"/>
  <c r="L46" i="16"/>
  <c r="L49" i="16" s="1"/>
  <c r="L100" i="18"/>
  <c r="X46" i="16"/>
  <c r="X49" i="16" s="1"/>
  <c r="AI46" i="16"/>
  <c r="AI49" i="16" s="1"/>
  <c r="AI100" i="18"/>
  <c r="S46" i="16"/>
  <c r="S49" i="16" s="1"/>
  <c r="S100" i="18"/>
  <c r="K46" i="16"/>
  <c r="K49" i="16" s="1"/>
  <c r="K100" i="18"/>
  <c r="AA46" i="16"/>
  <c r="AA49" i="16" s="1"/>
  <c r="AA100" i="18"/>
  <c r="AL56" i="8"/>
  <c r="AN56" i="8" s="1"/>
  <c r="AO56" i="8" s="1"/>
  <c r="AH46" i="16"/>
  <c r="AH49" i="16" s="1"/>
  <c r="AH100" i="18"/>
  <c r="R46" i="16"/>
  <c r="R49" i="16" s="1"/>
  <c r="R100" i="18"/>
  <c r="J46" i="16"/>
  <c r="J49" i="16" s="1"/>
  <c r="J100" i="18"/>
  <c r="AN100" i="18"/>
  <c r="AN46" i="16"/>
  <c r="AN49" i="16" s="1"/>
  <c r="AF100" i="18"/>
  <c r="AF46" i="16"/>
  <c r="AF49" i="16" s="1"/>
  <c r="P100" i="18"/>
  <c r="P46" i="16"/>
  <c r="P49" i="16" s="1"/>
  <c r="E100" i="18"/>
  <c r="E46" i="16"/>
  <c r="E49" i="16" s="1"/>
  <c r="Y46" i="16"/>
  <c r="Y49" i="16" s="1"/>
  <c r="Y100" i="18"/>
  <c r="AM13" i="18"/>
  <c r="W13" i="18"/>
  <c r="G13" i="18"/>
  <c r="AT147" i="4"/>
  <c r="AV147" i="4" s="1"/>
  <c r="AW147" i="4" s="1"/>
  <c r="AM46" i="16"/>
  <c r="AM49" i="16" s="1"/>
  <c r="AM100" i="18"/>
  <c r="AE46" i="16"/>
  <c r="AE49" i="16" s="1"/>
  <c r="AE100" i="18"/>
  <c r="W46" i="16"/>
  <c r="W49" i="16" s="1"/>
  <c r="W100" i="18"/>
  <c r="O46" i="16"/>
  <c r="O49" i="16" s="1"/>
  <c r="O100" i="18"/>
  <c r="G46" i="16"/>
  <c r="G49" i="16" s="1"/>
  <c r="G100" i="18"/>
  <c r="V46" i="16"/>
  <c r="V49" i="16" s="1"/>
  <c r="I46" i="16"/>
  <c r="I49" i="16" s="1"/>
  <c r="I100" i="18"/>
  <c r="AH13" i="18"/>
  <c r="R13" i="18"/>
  <c r="AC13" i="18"/>
  <c r="U13" i="18"/>
  <c r="M13" i="18"/>
  <c r="AG46" i="16"/>
  <c r="AG49" i="16" s="1"/>
  <c r="AG100" i="18"/>
  <c r="E13" i="18"/>
  <c r="AN13" i="18"/>
  <c r="AF13" i="18"/>
  <c r="P13" i="18"/>
  <c r="AI13" i="18"/>
  <c r="S13" i="18"/>
  <c r="AL13" i="18"/>
  <c r="V13" i="18"/>
  <c r="F13" i="18"/>
  <c r="AG13" i="18"/>
  <c r="Q13" i="18"/>
  <c r="I13" i="18"/>
  <c r="Z147" i="4"/>
  <c r="Z150" i="4"/>
  <c r="AT152" i="4"/>
  <c r="AV152" i="4" s="1"/>
  <c r="AW152" i="4" s="1"/>
  <c r="AR168" i="4"/>
  <c r="Z83" i="4"/>
  <c r="AT26" i="4"/>
  <c r="AV26" i="4" s="1"/>
  <c r="AX26" i="4" s="1"/>
  <c r="S131" i="4"/>
  <c r="AR72" i="4"/>
  <c r="Z167" i="4"/>
  <c r="Z198" i="4"/>
  <c r="Z131" i="4"/>
  <c r="Z134" i="4"/>
  <c r="AR39" i="4"/>
  <c r="Q43" i="4"/>
  <c r="AT113" i="4"/>
  <c r="AV113" i="4" s="1"/>
  <c r="AW113" i="4" s="1"/>
  <c r="S38" i="4"/>
  <c r="Q179" i="4"/>
  <c r="Q191" i="4"/>
  <c r="Q69" i="4"/>
  <c r="AR193" i="4"/>
  <c r="AR85" i="4"/>
  <c r="AR213" i="4"/>
  <c r="AR42" i="4"/>
  <c r="Z143" i="4"/>
  <c r="Q211" i="4"/>
  <c r="S11" i="4"/>
  <c r="S35" i="4"/>
  <c r="Q73" i="4"/>
  <c r="Q114" i="4"/>
  <c r="AT184" i="4"/>
  <c r="AV184" i="4" s="1"/>
  <c r="AW184" i="4" s="1"/>
  <c r="AR189" i="4"/>
  <c r="Z73" i="4"/>
  <c r="Z138" i="4"/>
  <c r="S144" i="4"/>
  <c r="Z145" i="4"/>
  <c r="Q188" i="4"/>
  <c r="AR130" i="4"/>
  <c r="Q61" i="4"/>
  <c r="Q184" i="4"/>
  <c r="AT58" i="4"/>
  <c r="AV58" i="4" s="1"/>
  <c r="AW58" i="4" s="1"/>
  <c r="Z61" i="4"/>
  <c r="S43" i="4"/>
  <c r="S156" i="4"/>
  <c r="S198" i="4"/>
  <c r="Z46" i="4"/>
  <c r="Q206" i="4"/>
  <c r="Q31" i="4"/>
  <c r="Q87" i="4"/>
  <c r="AT187" i="4"/>
  <c r="AV187" i="4" s="1"/>
  <c r="AX187" i="4" s="1"/>
  <c r="S215" i="4"/>
  <c r="AT31" i="4"/>
  <c r="AV31" i="4" s="1"/>
  <c r="AW31" i="4" s="1"/>
  <c r="AR153" i="4"/>
  <c r="AT56" i="4"/>
  <c r="AV56" i="4" s="1"/>
  <c r="AX56" i="4" s="1"/>
  <c r="S56" i="4"/>
  <c r="AR9" i="4"/>
  <c r="AV199" i="4"/>
  <c r="AX199" i="4" s="1"/>
  <c r="Q113" i="4"/>
  <c r="AR37" i="4"/>
  <c r="S214" i="4"/>
  <c r="Q50" i="4"/>
  <c r="AT123" i="4"/>
  <c r="AV123" i="4" s="1"/>
  <c r="AX123" i="4" s="1"/>
  <c r="AR94" i="4"/>
  <c r="Z91" i="4"/>
  <c r="Z68" i="4"/>
  <c r="Q117" i="4"/>
  <c r="Z55" i="4"/>
  <c r="AR21" i="4"/>
  <c r="AT61" i="4"/>
  <c r="AV61" i="4" s="1"/>
  <c r="AX61" i="4" s="1"/>
  <c r="Z207" i="4"/>
  <c r="AT99" i="4"/>
  <c r="AV99" i="4" s="1"/>
  <c r="AX99" i="4" s="1"/>
  <c r="S175" i="4"/>
  <c r="AT32" i="4"/>
  <c r="AV32" i="4" s="1"/>
  <c r="AW32" i="4" s="1"/>
  <c r="S125" i="4"/>
  <c r="Z10" i="4"/>
  <c r="Z64" i="4"/>
  <c r="AT205" i="4"/>
  <c r="AV205" i="4" s="1"/>
  <c r="AX205" i="4" s="1"/>
  <c r="Q159" i="4"/>
  <c r="AT106" i="4"/>
  <c r="AV106" i="4" s="1"/>
  <c r="AW106" i="4" s="1"/>
  <c r="S64" i="4"/>
  <c r="S135" i="4"/>
  <c r="Z204" i="4"/>
  <c r="Z212" i="4"/>
  <c r="X150" i="4"/>
  <c r="S168" i="4"/>
  <c r="Q84" i="4"/>
  <c r="AV141" i="4"/>
  <c r="AX141" i="4" s="1"/>
  <c r="AV121" i="4"/>
  <c r="AW121" i="4" s="1"/>
  <c r="AV86" i="4"/>
  <c r="AX86" i="4" s="1"/>
  <c r="AR196" i="4"/>
  <c r="Q91" i="4"/>
  <c r="AR141" i="4"/>
  <c r="AT78" i="4"/>
  <c r="AV78" i="4" s="1"/>
  <c r="AX78" i="4" s="1"/>
  <c r="Z203" i="4"/>
  <c r="AT201" i="4"/>
  <c r="AV201" i="4" s="1"/>
  <c r="AX201" i="4" s="1"/>
  <c r="Q203" i="4"/>
  <c r="AR145" i="4"/>
  <c r="Z215" i="4"/>
  <c r="Q95" i="4"/>
  <c r="Q134" i="4"/>
  <c r="Z116" i="4"/>
  <c r="Z128" i="4"/>
  <c r="Z213" i="4"/>
  <c r="Z109" i="4"/>
  <c r="Z153" i="4"/>
  <c r="AR185" i="4"/>
  <c r="AT132" i="4"/>
  <c r="AV132" i="4" s="1"/>
  <c r="AW132" i="4" s="1"/>
  <c r="AT125" i="4"/>
  <c r="AV125" i="4" s="1"/>
  <c r="AW125" i="4" s="1"/>
  <c r="S70" i="4"/>
  <c r="Q132" i="4"/>
  <c r="AT211" i="4"/>
  <c r="AV211" i="4" s="1"/>
  <c r="AX211" i="4" s="1"/>
  <c r="X204" i="4"/>
  <c r="Z135" i="4"/>
  <c r="Z56" i="4"/>
  <c r="Q52" i="4"/>
  <c r="AR74" i="4"/>
  <c r="Z52" i="4"/>
  <c r="AR51" i="4"/>
  <c r="Q182" i="4"/>
  <c r="AR44" i="4"/>
  <c r="Z199" i="4"/>
  <c r="Q166" i="4"/>
  <c r="Z67" i="4"/>
  <c r="AT194" i="4"/>
  <c r="AV194" i="4" s="1"/>
  <c r="AW194" i="4" s="1"/>
  <c r="S213" i="4"/>
  <c r="X212" i="4"/>
  <c r="X167" i="4"/>
  <c r="Q23" i="4"/>
  <c r="Z140" i="4"/>
  <c r="S67" i="4"/>
  <c r="Z48" i="4"/>
  <c r="Z69" i="4"/>
  <c r="Z72" i="4"/>
  <c r="Z159" i="4"/>
  <c r="Z166" i="4"/>
  <c r="S81" i="4"/>
  <c r="Q213" i="4"/>
  <c r="Z177" i="4"/>
  <c r="S4" i="4"/>
  <c r="Z16" i="4"/>
  <c r="Z4" i="4"/>
  <c r="Z160" i="4"/>
  <c r="Z170" i="4"/>
  <c r="Z191" i="4"/>
  <c r="Q210" i="4"/>
  <c r="AT202" i="4"/>
  <c r="AV202" i="4" s="1"/>
  <c r="AW202" i="4" s="1"/>
  <c r="Z87" i="4"/>
  <c r="AT122" i="4"/>
  <c r="AV122" i="4" s="1"/>
  <c r="AW122" i="4" s="1"/>
  <c r="Z206" i="4"/>
  <c r="AT22" i="4"/>
  <c r="AV22" i="4" s="1"/>
  <c r="AW22" i="4" s="1"/>
  <c r="Z11" i="4"/>
  <c r="S19" i="4"/>
  <c r="Z44" i="4"/>
  <c r="Q70" i="4"/>
  <c r="Q120" i="4"/>
  <c r="S160" i="4"/>
  <c r="S185" i="4"/>
  <c r="Z59" i="4"/>
  <c r="Q9" i="4"/>
  <c r="Z31" i="4"/>
  <c r="Z19" i="4"/>
  <c r="AT79" i="4"/>
  <c r="AV79" i="4" s="1"/>
  <c r="AW79" i="4" s="1"/>
  <c r="AR63" i="4"/>
  <c r="X116" i="4"/>
  <c r="AR103" i="4"/>
  <c r="Z210" i="4"/>
  <c r="Q85" i="4"/>
  <c r="AT41" i="4"/>
  <c r="AV41" i="4" s="1"/>
  <c r="AW41" i="4" s="1"/>
  <c r="AT109" i="4"/>
  <c r="AV109" i="4" s="1"/>
  <c r="AW109" i="4" s="1"/>
  <c r="AR129" i="4"/>
  <c r="S109" i="4"/>
  <c r="AT138" i="4"/>
  <c r="AV138" i="4" s="1"/>
  <c r="AX138" i="4" s="1"/>
  <c r="Q49" i="4"/>
  <c r="Z6" i="4"/>
  <c r="Z9" i="4"/>
  <c r="Z117" i="4"/>
  <c r="Z120" i="4"/>
  <c r="Z168" i="4"/>
  <c r="Z171" i="4"/>
  <c r="Z189" i="4"/>
  <c r="Z129" i="4"/>
  <c r="Q2" i="4"/>
  <c r="Q14" i="4"/>
  <c r="Q180" i="4"/>
  <c r="AR197" i="4"/>
  <c r="Z194" i="4"/>
  <c r="X83" i="4"/>
  <c r="Q216" i="4"/>
  <c r="Q174" i="4"/>
  <c r="Q92" i="4"/>
  <c r="S119" i="4"/>
  <c r="Z193" i="4"/>
  <c r="Z104" i="4"/>
  <c r="Z98" i="4"/>
  <c r="AR33" i="4"/>
  <c r="Q153" i="4"/>
  <c r="Q122" i="4"/>
  <c r="AT82" i="4"/>
  <c r="AV82" i="4" s="1"/>
  <c r="AW82" i="4" s="1"/>
  <c r="Z103" i="4"/>
  <c r="Z214" i="4"/>
  <c r="AT71" i="4"/>
  <c r="AV71" i="4" s="1"/>
  <c r="AW71" i="4" s="1"/>
  <c r="AR3" i="4"/>
  <c r="Z25" i="4"/>
  <c r="Q97" i="4"/>
  <c r="AT7" i="4"/>
  <c r="AV7" i="4" s="1"/>
  <c r="AX7" i="4" s="1"/>
  <c r="AT174" i="4"/>
  <c r="AV174" i="4" s="1"/>
  <c r="AW174" i="4" s="1"/>
  <c r="S18" i="4"/>
  <c r="Z181" i="4"/>
  <c r="AR36" i="4"/>
  <c r="AR156" i="4"/>
  <c r="AR117" i="4"/>
  <c r="AT70" i="4"/>
  <c r="AV70" i="4" s="1"/>
  <c r="AW70" i="4" s="1"/>
  <c r="AT171" i="4"/>
  <c r="AV171" i="4" s="1"/>
  <c r="AX171" i="4" s="1"/>
  <c r="Z79" i="4"/>
  <c r="Z114" i="4"/>
  <c r="AV35" i="4"/>
  <c r="AX35" i="4" s="1"/>
  <c r="AV49" i="4"/>
  <c r="AX49" i="4" s="1"/>
  <c r="AV30" i="4"/>
  <c r="AW30" i="4" s="1"/>
  <c r="AV111" i="4"/>
  <c r="AW111" i="4" s="1"/>
  <c r="AV54" i="4"/>
  <c r="AX54" i="4" s="1"/>
  <c r="AV158" i="4"/>
  <c r="AX158" i="4" s="1"/>
  <c r="AV144" i="4"/>
  <c r="AX144" i="4" s="1"/>
  <c r="AV101" i="4"/>
  <c r="AW101" i="4" s="1"/>
  <c r="AV95" i="4"/>
  <c r="AW95" i="4" s="1"/>
  <c r="AV182" i="4"/>
  <c r="AW182" i="4" s="1"/>
  <c r="AV175" i="4"/>
  <c r="AX175" i="4" s="1"/>
  <c r="AV185" i="4"/>
  <c r="AX185" i="4" s="1"/>
  <c r="AV16" i="4"/>
  <c r="AX16" i="4" s="1"/>
  <c r="AR142" i="4"/>
  <c r="AT142" i="4"/>
  <c r="AV142" i="4" s="1"/>
  <c r="AW142" i="4" s="1"/>
  <c r="AT133" i="4"/>
  <c r="AV133" i="4" s="1"/>
  <c r="AW133" i="4" s="1"/>
  <c r="AR133" i="4"/>
  <c r="AT139" i="4"/>
  <c r="AV139" i="4" s="1"/>
  <c r="AX139" i="4" s="1"/>
  <c r="AR139" i="4"/>
  <c r="X113" i="4"/>
  <c r="Z113" i="4"/>
  <c r="Z124" i="4"/>
  <c r="S124" i="4"/>
  <c r="Q162" i="4"/>
  <c r="Z162" i="4"/>
  <c r="Q186" i="4"/>
  <c r="S186" i="4"/>
  <c r="Q48" i="4"/>
  <c r="AT212" i="4"/>
  <c r="AV212" i="4" s="1"/>
  <c r="AX212" i="4" s="1"/>
  <c r="Z133" i="4"/>
  <c r="S173" i="4"/>
  <c r="S45" i="4"/>
  <c r="AV127" i="4"/>
  <c r="AX127" i="4" s="1"/>
  <c r="AR69" i="4"/>
  <c r="AV165" i="4"/>
  <c r="AW165" i="4" s="1"/>
  <c r="Z15" i="4"/>
  <c r="AT115" i="4"/>
  <c r="AV115" i="4" s="1"/>
  <c r="AW115" i="4" s="1"/>
  <c r="AR115" i="4"/>
  <c r="AT107" i="4"/>
  <c r="AV107" i="4" s="1"/>
  <c r="AX107" i="4" s="1"/>
  <c r="AR107" i="4"/>
  <c r="AR96" i="4"/>
  <c r="AT96" i="4"/>
  <c r="AV96" i="4" s="1"/>
  <c r="AW96" i="4" s="1"/>
  <c r="AR38" i="4"/>
  <c r="AT38" i="4"/>
  <c r="AV38" i="4" s="1"/>
  <c r="AW38" i="4" s="1"/>
  <c r="AT12" i="4"/>
  <c r="AV12" i="4" s="1"/>
  <c r="AW12" i="4" s="1"/>
  <c r="AR12" i="4"/>
  <c r="X50" i="4"/>
  <c r="Z50" i="4"/>
  <c r="S57" i="4"/>
  <c r="Z57" i="4"/>
  <c r="Z75" i="4"/>
  <c r="S75" i="4"/>
  <c r="Q99" i="4"/>
  <c r="S99" i="4"/>
  <c r="Q127" i="4"/>
  <c r="S127" i="4"/>
  <c r="Q155" i="4"/>
  <c r="S155" i="4"/>
  <c r="S209" i="4"/>
  <c r="Q209" i="4"/>
  <c r="Z209" i="4"/>
  <c r="X149" i="4"/>
  <c r="Z149" i="4"/>
  <c r="S48" i="4"/>
  <c r="AR182" i="4"/>
  <c r="Q129" i="4"/>
  <c r="Z34" i="4"/>
  <c r="Z2" i="4"/>
  <c r="S163" i="4"/>
  <c r="Z14" i="4"/>
  <c r="Z182" i="4"/>
  <c r="Z71" i="4"/>
  <c r="Q175" i="4"/>
  <c r="Z108" i="4"/>
  <c r="S162" i="4"/>
  <c r="AR86" i="4"/>
  <c r="AR34" i="4"/>
  <c r="AT126" i="4"/>
  <c r="AV126" i="4" s="1"/>
  <c r="AW126" i="4" s="1"/>
  <c r="AR126" i="4"/>
  <c r="AT118" i="4"/>
  <c r="AV118" i="4" s="1"/>
  <c r="AX118" i="4" s="1"/>
  <c r="AR118" i="4"/>
  <c r="AR110" i="4"/>
  <c r="AT110" i="4"/>
  <c r="AV110" i="4" s="1"/>
  <c r="AX110" i="4" s="1"/>
  <c r="AV33" i="4"/>
  <c r="AX33" i="4" s="1"/>
  <c r="AT5" i="4"/>
  <c r="AV5" i="4" s="1"/>
  <c r="AR5" i="4"/>
  <c r="Q15" i="4"/>
  <c r="S15" i="4"/>
  <c r="X44" i="4"/>
  <c r="S72" i="4"/>
  <c r="Q72" i="4"/>
  <c r="S79" i="4"/>
  <c r="S93" i="4"/>
  <c r="Z93" i="4"/>
  <c r="Q136" i="4"/>
  <c r="S136" i="4"/>
  <c r="Q138" i="4"/>
  <c r="S138" i="4"/>
  <c r="Q142" i="4"/>
  <c r="X155" i="4"/>
  <c r="X158" i="4"/>
  <c r="Z158" i="4"/>
  <c r="X185" i="4"/>
  <c r="Z185" i="4"/>
  <c r="Z202" i="4"/>
  <c r="Q202" i="4"/>
  <c r="Z12" i="4"/>
  <c r="X12" i="4"/>
  <c r="Z33" i="4"/>
  <c r="X33" i="4"/>
  <c r="X37" i="4"/>
  <c r="Z37" i="4"/>
  <c r="Q94" i="4"/>
  <c r="S94" i="4"/>
  <c r="Z142" i="4"/>
  <c r="Z169" i="4"/>
  <c r="X169" i="4"/>
  <c r="S190" i="4"/>
  <c r="Z190" i="4"/>
  <c r="Q190" i="4"/>
  <c r="Z172" i="4"/>
  <c r="AT154" i="4"/>
  <c r="AV154" i="4" s="1"/>
  <c r="AW154" i="4" s="1"/>
  <c r="AR154" i="4"/>
  <c r="Q20" i="4"/>
  <c r="S20" i="4"/>
  <c r="Q42" i="4"/>
  <c r="S42" i="4"/>
  <c r="Q107" i="4"/>
  <c r="S107" i="4"/>
  <c r="Q130" i="4"/>
  <c r="S130" i="4"/>
  <c r="Z130" i="4"/>
  <c r="S170" i="4"/>
  <c r="Q170" i="4"/>
  <c r="Z66" i="4"/>
  <c r="X166" i="4"/>
  <c r="Q62" i="4"/>
  <c r="Z45" i="4"/>
  <c r="Z176" i="4"/>
  <c r="AR173" i="4"/>
  <c r="Z22" i="4"/>
  <c r="AR162" i="4"/>
  <c r="S121" i="4"/>
  <c r="AT47" i="4"/>
  <c r="AV47" i="4" s="1"/>
  <c r="AW47" i="4" s="1"/>
  <c r="Z205" i="4"/>
  <c r="AT18" i="4"/>
  <c r="AV18" i="4" s="1"/>
  <c r="AW18" i="4" s="1"/>
  <c r="Q183" i="4"/>
  <c r="AT177" i="4"/>
  <c r="AV177" i="4" s="1"/>
  <c r="AT114" i="4"/>
  <c r="AV114" i="4" s="1"/>
  <c r="AW114" i="4" s="1"/>
  <c r="AR114" i="4"/>
  <c r="AT87" i="4"/>
  <c r="AV87" i="4" s="1"/>
  <c r="AW87" i="4" s="1"/>
  <c r="AV67" i="4"/>
  <c r="AX67" i="4" s="1"/>
  <c r="S7" i="4"/>
  <c r="Z7" i="4"/>
  <c r="Q7" i="4"/>
  <c r="S17" i="4"/>
  <c r="Q17" i="4"/>
  <c r="Q28" i="4"/>
  <c r="S28" i="4"/>
  <c r="Z38" i="4"/>
  <c r="S115" i="4"/>
  <c r="X118" i="4"/>
  <c r="Z118" i="4"/>
  <c r="Q167" i="4"/>
  <c r="S167" i="4"/>
  <c r="Z197" i="4"/>
  <c r="Q197" i="4"/>
  <c r="Q176" i="4"/>
  <c r="X145" i="4"/>
  <c r="AV124" i="4"/>
  <c r="AW124" i="4" s="1"/>
  <c r="AR83" i="4"/>
  <c r="AT83" i="4"/>
  <c r="AV83" i="4" s="1"/>
  <c r="AX83" i="4" s="1"/>
  <c r="Q124" i="4"/>
  <c r="Q79" i="4"/>
  <c r="AR100" i="4"/>
  <c r="AT100" i="4"/>
  <c r="AV100" i="4" s="1"/>
  <c r="AW100" i="4" s="1"/>
  <c r="AR23" i="4"/>
  <c r="AT23" i="4"/>
  <c r="AV23" i="4" s="1"/>
  <c r="AX23" i="4" s="1"/>
  <c r="Z148" i="4"/>
  <c r="Q76" i="4"/>
  <c r="S66" i="4"/>
  <c r="S62" i="4"/>
  <c r="Q16" i="4"/>
  <c r="Z180" i="4"/>
  <c r="Q118" i="4"/>
  <c r="S22" i="4"/>
  <c r="Z81" i="4"/>
  <c r="X142" i="4"/>
  <c r="AT28" i="4"/>
  <c r="AV28" i="4" s="1"/>
  <c r="AX28" i="4" s="1"/>
  <c r="AV116" i="4"/>
  <c r="AX116" i="4" s="1"/>
  <c r="AT66" i="4"/>
  <c r="AV66" i="4" s="1"/>
  <c r="AX66" i="4" s="1"/>
  <c r="Z94" i="4"/>
  <c r="Z110" i="4"/>
  <c r="Q40" i="4"/>
  <c r="AT98" i="4"/>
  <c r="AV98" i="4" s="1"/>
  <c r="AX98" i="4" s="1"/>
  <c r="AR98" i="4"/>
  <c r="AR40" i="4"/>
  <c r="AT40" i="4"/>
  <c r="AV40" i="4" s="1"/>
  <c r="AX40" i="4" s="1"/>
  <c r="Q21" i="4"/>
  <c r="S21" i="4"/>
  <c r="X49" i="4"/>
  <c r="Z49" i="4"/>
  <c r="S60" i="4"/>
  <c r="Q60" i="4"/>
  <c r="Q154" i="4"/>
  <c r="S154" i="4"/>
  <c r="S30" i="4"/>
  <c r="Q30" i="4"/>
  <c r="Z30" i="4"/>
  <c r="S41" i="4"/>
  <c r="Q41" i="4"/>
  <c r="Q12" i="4"/>
  <c r="AR121" i="4"/>
  <c r="AR152" i="4"/>
  <c r="Z65" i="4"/>
  <c r="AT136" i="4"/>
  <c r="AV136" i="4" s="1"/>
  <c r="AX136" i="4" s="1"/>
  <c r="AR136" i="4"/>
  <c r="AT89" i="4"/>
  <c r="AV89" i="4" s="1"/>
  <c r="AW89" i="4" s="1"/>
  <c r="AR89" i="4"/>
  <c r="Q33" i="4"/>
  <c r="Z23" i="4"/>
  <c r="AV75" i="4"/>
  <c r="AX75" i="4" s="1"/>
  <c r="AT53" i="4"/>
  <c r="AV53" i="4" s="1"/>
  <c r="AR53" i="4"/>
  <c r="S76" i="4"/>
  <c r="AV84" i="4"/>
  <c r="AX84" i="4" s="1"/>
  <c r="Z40" i="4"/>
  <c r="Q173" i="4"/>
  <c r="X114" i="4"/>
  <c r="X6" i="4"/>
  <c r="X171" i="4"/>
  <c r="AR50" i="4"/>
  <c r="Z18" i="4"/>
  <c r="X138" i="4"/>
  <c r="Z139" i="4"/>
  <c r="Z132" i="4"/>
  <c r="AT15" i="4"/>
  <c r="AV15" i="4" s="1"/>
  <c r="AW15" i="4" s="1"/>
  <c r="AT216" i="4"/>
  <c r="AV216" i="4" s="1"/>
  <c r="AW216" i="4" s="1"/>
  <c r="AR216" i="4"/>
  <c r="AR208" i="4"/>
  <c r="AT208" i="4"/>
  <c r="AV208" i="4" s="1"/>
  <c r="AX208" i="4" s="1"/>
  <c r="AT120" i="4"/>
  <c r="AV120" i="4" s="1"/>
  <c r="AW120" i="4" s="1"/>
  <c r="AR120" i="4"/>
  <c r="AT112" i="4"/>
  <c r="AV112" i="4" s="1"/>
  <c r="AW112" i="4" s="1"/>
  <c r="AR112" i="4"/>
  <c r="AT43" i="4"/>
  <c r="AV43" i="4" s="1"/>
  <c r="AW43" i="4" s="1"/>
  <c r="AR43" i="4"/>
  <c r="AR14" i="4"/>
  <c r="AT14" i="4"/>
  <c r="AV14" i="4" s="1"/>
  <c r="AX14" i="4" s="1"/>
  <c r="Z53" i="4"/>
  <c r="Q57" i="4"/>
  <c r="X101" i="4"/>
  <c r="Z101" i="4"/>
  <c r="Q161" i="4"/>
  <c r="S192" i="4"/>
  <c r="Z192" i="4"/>
  <c r="S205" i="4"/>
  <c r="AV189" i="4"/>
  <c r="AW189" i="4" s="1"/>
  <c r="AV52" i="4"/>
  <c r="AW52" i="4" s="1"/>
  <c r="Z17" i="4"/>
  <c r="Z154" i="4"/>
  <c r="AR128" i="4"/>
  <c r="Z54" i="4"/>
  <c r="Z85" i="4"/>
  <c r="Z112" i="4"/>
  <c r="Z183" i="4"/>
  <c r="AV77" i="4"/>
  <c r="AX77" i="4" s="1"/>
  <c r="AV191" i="4"/>
  <c r="AX191" i="4" s="1"/>
  <c r="AV4" i="4"/>
  <c r="AW4" i="4" s="1"/>
  <c r="AV51" i="4"/>
  <c r="AX51" i="4" s="1"/>
  <c r="AV11" i="4"/>
  <c r="AX11" i="4" s="1"/>
  <c r="S68" i="4"/>
  <c r="X168" i="4"/>
  <c r="S171" i="4"/>
  <c r="AV129" i="4"/>
  <c r="AX129" i="4" s="1"/>
  <c r="AV179" i="4"/>
  <c r="AX179" i="4" s="1"/>
  <c r="AT137" i="4"/>
  <c r="AV137" i="4" s="1"/>
  <c r="AX137" i="4" s="1"/>
  <c r="AR137" i="4"/>
  <c r="AT150" i="4"/>
  <c r="AV150" i="4" s="1"/>
  <c r="AX150" i="4" s="1"/>
  <c r="Z115" i="4"/>
  <c r="Z27" i="4"/>
  <c r="X201" i="4"/>
  <c r="AR215" i="4"/>
  <c r="S24" i="4"/>
  <c r="Z92" i="4"/>
  <c r="AV44" i="4"/>
  <c r="AX44" i="4" s="1"/>
  <c r="AR67" i="4"/>
  <c r="Z123" i="4"/>
  <c r="S174" i="4"/>
  <c r="X154" i="4"/>
  <c r="X38" i="4"/>
  <c r="AR147" i="4"/>
  <c r="AT93" i="4"/>
  <c r="AV93" i="4" s="1"/>
  <c r="AW93" i="4" s="1"/>
  <c r="Q187" i="4"/>
  <c r="AT8" i="4"/>
  <c r="AV8" i="4" s="1"/>
  <c r="AX8" i="4" s="1"/>
  <c r="AV131" i="4"/>
  <c r="AX131" i="4" s="1"/>
  <c r="Z24" i="4"/>
  <c r="AR55" i="4"/>
  <c r="Z63" i="4"/>
  <c r="Z137" i="4"/>
  <c r="AR158" i="4"/>
  <c r="Z80" i="4"/>
  <c r="Z186" i="4"/>
  <c r="AT192" i="4"/>
  <c r="AV192" i="4" s="1"/>
  <c r="AX192" i="4" s="1"/>
  <c r="AT104" i="4"/>
  <c r="AV104" i="4" s="1"/>
  <c r="AW104" i="4" s="1"/>
  <c r="Z121" i="4"/>
  <c r="AV180" i="4"/>
  <c r="AX180" i="4" s="1"/>
  <c r="Z187" i="4"/>
  <c r="Z42" i="4"/>
  <c r="Q189" i="4"/>
  <c r="Z165" i="4"/>
  <c r="Z77" i="4"/>
  <c r="AV59" i="4"/>
  <c r="AW59" i="4" s="1"/>
  <c r="AR179" i="4"/>
  <c r="AT90" i="4"/>
  <c r="AV90" i="4" s="1"/>
  <c r="AW90" i="4" s="1"/>
  <c r="AR49" i="4"/>
  <c r="AT46" i="4"/>
  <c r="AV46" i="4" s="1"/>
  <c r="AW46" i="4" s="1"/>
  <c r="AR2" i="4"/>
  <c r="S3" i="4"/>
  <c r="X29" i="4"/>
  <c r="Q75" i="4"/>
  <c r="X117" i="4"/>
  <c r="X159" i="4"/>
  <c r="X189" i="4"/>
  <c r="S51" i="4"/>
  <c r="AV91" i="4"/>
  <c r="AX91" i="4" s="1"/>
  <c r="AT151" i="4"/>
  <c r="AV151" i="4" s="1"/>
  <c r="AW151" i="4" s="1"/>
  <c r="Z51" i="4"/>
  <c r="X183" i="4"/>
  <c r="AR144" i="4"/>
  <c r="AT146" i="4"/>
  <c r="AV146" i="4" s="1"/>
  <c r="AW146" i="4" s="1"/>
  <c r="AT214" i="4"/>
  <c r="AV214" i="4" s="1"/>
  <c r="AX214" i="4" s="1"/>
  <c r="Q145" i="4"/>
  <c r="Q54" i="4"/>
  <c r="AT148" i="4"/>
  <c r="AV148" i="4" s="1"/>
  <c r="AW148" i="4" s="1"/>
  <c r="AT149" i="4"/>
  <c r="AV149" i="4" s="1"/>
  <c r="AX149" i="4" s="1"/>
  <c r="AT19" i="4"/>
  <c r="AV19" i="4" s="1"/>
  <c r="AW19" i="4" s="1"/>
  <c r="Z106" i="4"/>
  <c r="X85" i="4"/>
  <c r="Z105" i="4"/>
  <c r="Z157" i="4"/>
  <c r="Z3" i="4"/>
  <c r="Z32" i="4"/>
  <c r="Z96" i="4"/>
  <c r="AT135" i="4"/>
  <c r="AV135" i="4" s="1"/>
  <c r="AW135" i="4" s="1"/>
  <c r="Z164" i="4"/>
  <c r="AT170" i="4"/>
  <c r="AV170" i="4" s="1"/>
  <c r="AX170" i="4" s="1"/>
  <c r="AT29" i="4"/>
  <c r="AV29" i="4" s="1"/>
  <c r="AX29" i="4" s="1"/>
  <c r="X112" i="4"/>
  <c r="AT102" i="4"/>
  <c r="AV102" i="4" s="1"/>
  <c r="AX102" i="4" s="1"/>
  <c r="S123" i="4"/>
  <c r="S108" i="4"/>
  <c r="AR124" i="4"/>
  <c r="AT163" i="4"/>
  <c r="AV163" i="4" s="1"/>
  <c r="AX163" i="4" s="1"/>
  <c r="Q27" i="4"/>
  <c r="AV196" i="4"/>
  <c r="AX196" i="4" s="1"/>
  <c r="AR159" i="4"/>
  <c r="AT159" i="4"/>
  <c r="AV159" i="4" s="1"/>
  <c r="AX159" i="4" s="1"/>
  <c r="AV153" i="4"/>
  <c r="AX153" i="4" s="1"/>
  <c r="AV68" i="4"/>
  <c r="AX68" i="4" s="1"/>
  <c r="AV17" i="4"/>
  <c r="AW17" i="4" s="1"/>
  <c r="S58" i="4"/>
  <c r="Z58" i="4"/>
  <c r="S110" i="4"/>
  <c r="Q110" i="4"/>
  <c r="AR13" i="4"/>
  <c r="AT13" i="4"/>
  <c r="AV13" i="4" s="1"/>
  <c r="AX13" i="4" s="1"/>
  <c r="X17" i="4"/>
  <c r="Q165" i="4"/>
  <c r="AT207" i="4"/>
  <c r="AV207" i="4" s="1"/>
  <c r="AX207" i="4" s="1"/>
  <c r="AR207" i="4"/>
  <c r="AV3" i="4"/>
  <c r="AW3" i="4" s="1"/>
  <c r="Q112" i="4"/>
  <c r="S112" i="4"/>
  <c r="S106" i="4"/>
  <c r="Z39" i="4"/>
  <c r="AR210" i="4"/>
  <c r="AT210" i="4"/>
  <c r="AV210" i="4" s="1"/>
  <c r="AX210" i="4" s="1"/>
  <c r="AV156" i="4"/>
  <c r="AW156" i="4" s="1"/>
  <c r="Z146" i="4"/>
  <c r="Z127" i="4"/>
  <c r="AR140" i="4"/>
  <c r="Z179" i="4"/>
  <c r="Q103" i="4"/>
  <c r="Z208" i="4"/>
  <c r="Z21" i="4"/>
  <c r="AT195" i="4"/>
  <c r="AV195" i="4" s="1"/>
  <c r="AW195" i="4" s="1"/>
  <c r="X198" i="4"/>
  <c r="AR176" i="4"/>
  <c r="S207" i="4"/>
  <c r="AR131" i="4"/>
  <c r="S126" i="4"/>
  <c r="AV119" i="4"/>
  <c r="AW119" i="4" s="1"/>
  <c r="AV193" i="4"/>
  <c r="AW193" i="4" s="1"/>
  <c r="Z90" i="4"/>
  <c r="AR52" i="4"/>
  <c r="Q164" i="4"/>
  <c r="Z111" i="4"/>
  <c r="Q201" i="4"/>
  <c r="Q178" i="4"/>
  <c r="S80" i="4"/>
  <c r="Z35" i="4"/>
  <c r="Q34" i="4"/>
  <c r="AV164" i="4"/>
  <c r="AW164" i="4" s="1"/>
  <c r="AT166" i="4"/>
  <c r="AV166" i="4" s="1"/>
  <c r="AW166" i="4" s="1"/>
  <c r="Q96" i="4"/>
  <c r="Q192" i="4"/>
  <c r="AR20" i="4"/>
  <c r="Z163" i="4"/>
  <c r="X163" i="4"/>
  <c r="AV6" i="4"/>
  <c r="AW6" i="4" s="1"/>
  <c r="Z95" i="4"/>
  <c r="Q32" i="4"/>
  <c r="AV190" i="4"/>
  <c r="AW190" i="4" s="1"/>
  <c r="Z41" i="4"/>
  <c r="AT25" i="4"/>
  <c r="AV25" i="4" s="1"/>
  <c r="AX25" i="4" s="1"/>
  <c r="Z5" i="4"/>
  <c r="S90" i="4"/>
  <c r="Z60" i="4"/>
  <c r="Q208" i="4"/>
  <c r="Q105" i="4"/>
  <c r="Z82" i="4"/>
  <c r="AR181" i="4"/>
  <c r="AT181" i="4"/>
  <c r="AV181" i="4" s="1"/>
  <c r="AX181" i="4" s="1"/>
  <c r="AR160" i="4"/>
  <c r="AV20" i="4"/>
  <c r="AX20" i="4" s="1"/>
  <c r="X188" i="4"/>
  <c r="Z188" i="4"/>
  <c r="AV155" i="4"/>
  <c r="AW155" i="4" s="1"/>
  <c r="AV76" i="4"/>
  <c r="AW76" i="4" s="1"/>
  <c r="AV73" i="4"/>
  <c r="AW73" i="4" s="1"/>
  <c r="E121" i="14"/>
  <c r="E43" i="14"/>
  <c r="E37" i="14"/>
  <c r="E3" i="14"/>
  <c r="E160" i="14"/>
  <c r="E80" i="14"/>
  <c r="E41" i="14"/>
  <c r="E42" i="14"/>
  <c r="E4" i="14"/>
  <c r="E82" i="14"/>
  <c r="E24" i="14"/>
  <c r="E17" i="14"/>
  <c r="E18" i="14"/>
  <c r="E54" i="14"/>
  <c r="E113" i="14"/>
  <c r="E63" i="14"/>
  <c r="E25" i="14"/>
  <c r="E46" i="14"/>
  <c r="E22" i="14"/>
  <c r="E88" i="14"/>
  <c r="E16" i="14"/>
  <c r="E64" i="14"/>
  <c r="AI20" i="33"/>
  <c r="E59" i="14"/>
  <c r="E60" i="14"/>
  <c r="E132" i="14"/>
  <c r="E79" i="14"/>
  <c r="E77" i="14"/>
  <c r="E19" i="14"/>
  <c r="E40" i="14"/>
  <c r="E27" i="14"/>
  <c r="E58" i="14"/>
  <c r="E99" i="14"/>
  <c r="E35" i="14"/>
  <c r="E39" i="14"/>
  <c r="E61" i="14"/>
  <c r="E49" i="14"/>
  <c r="E65" i="14"/>
  <c r="E91" i="14"/>
  <c r="E84" i="14"/>
  <c r="E92" i="14"/>
  <c r="E9" i="14"/>
  <c r="E53" i="14"/>
  <c r="E13" i="14"/>
  <c r="E93" i="14"/>
  <c r="E73" i="14"/>
  <c r="E170" i="14"/>
  <c r="E100" i="14"/>
  <c r="E68" i="14"/>
  <c r="E66" i="14"/>
  <c r="E10" i="14"/>
  <c r="E75" i="14"/>
  <c r="E48" i="14"/>
  <c r="E83" i="14"/>
  <c r="E78" i="14"/>
  <c r="E5" i="14"/>
  <c r="E97" i="14"/>
  <c r="E47" i="14"/>
  <c r="E55" i="14"/>
  <c r="E152" i="14"/>
  <c r="E76" i="14"/>
  <c r="E57" i="14"/>
  <c r="E62" i="14"/>
  <c r="E33" i="14"/>
  <c r="E11" i="14"/>
  <c r="E21" i="14"/>
  <c r="E12" i="14"/>
  <c r="E45" i="14"/>
  <c r="E74" i="14"/>
  <c r="E8" i="14"/>
  <c r="E38" i="14"/>
  <c r="E29" i="14"/>
  <c r="E28" i="14"/>
  <c r="E44" i="14"/>
  <c r="E72" i="14"/>
  <c r="E15" i="14"/>
  <c r="E14" i="14"/>
  <c r="E104" i="14"/>
  <c r="E56" i="14"/>
  <c r="E34" i="14"/>
  <c r="E98" i="14"/>
  <c r="E94" i="14"/>
  <c r="E7" i="14"/>
  <c r="E118" i="14"/>
  <c r="E50" i="14"/>
  <c r="E131" i="14"/>
  <c r="E23" i="14"/>
  <c r="E6" i="14"/>
  <c r="E36" i="14"/>
  <c r="E31" i="14"/>
  <c r="E71" i="14"/>
  <c r="E51" i="14"/>
  <c r="E20" i="14"/>
  <c r="E90" i="14"/>
  <c r="E26" i="14"/>
  <c r="E69" i="14"/>
  <c r="E67" i="14"/>
  <c r="E52" i="14"/>
  <c r="E105" i="14"/>
  <c r="E30" i="14"/>
  <c r="E103" i="14"/>
  <c r="E70" i="14"/>
  <c r="E32" i="14"/>
  <c r="AL28" i="8"/>
  <c r="AN28" i="8" s="1"/>
  <c r="AP28" i="8" s="1"/>
  <c r="AK28" i="8"/>
  <c r="AK62" i="8"/>
  <c r="AL62" i="8"/>
  <c r="AN62" i="8" s="1"/>
  <c r="AP62" i="8" s="1"/>
  <c r="AL3" i="8"/>
  <c r="AN3" i="8" s="1"/>
  <c r="AP3" i="8" s="1"/>
  <c r="AK3" i="8"/>
  <c r="AL12" i="8"/>
  <c r="AN12" i="8" s="1"/>
  <c r="AO12" i="8" s="1"/>
  <c r="AK12" i="8"/>
  <c r="AL20" i="8"/>
  <c r="AN20" i="8" s="1"/>
  <c r="AP20" i="8" s="1"/>
  <c r="AK20" i="8"/>
  <c r="AL18" i="8"/>
  <c r="AN18" i="8" s="1"/>
  <c r="AO18" i="8" s="1"/>
  <c r="AK18" i="8"/>
  <c r="AK9" i="8"/>
  <c r="AL9" i="8"/>
  <c r="AN9" i="8" s="1"/>
  <c r="AO9" i="8" s="1"/>
  <c r="AK25" i="8"/>
  <c r="AL25" i="8"/>
  <c r="AN25" i="8" s="1"/>
  <c r="AP25" i="8" s="1"/>
  <c r="AL15" i="8"/>
  <c r="AN15" i="8" s="1"/>
  <c r="AP15" i="8" s="1"/>
  <c r="AK15" i="8"/>
  <c r="AK11" i="8"/>
  <c r="AL11" i="8"/>
  <c r="AN11" i="8" s="1"/>
  <c r="I33" i="31" s="1"/>
  <c r="AL8" i="8"/>
  <c r="AN8" i="8" s="1"/>
  <c r="I27" i="31" s="1"/>
  <c r="AL16" i="8"/>
  <c r="AN16" i="8" s="1"/>
  <c r="AO16" i="8" s="1"/>
  <c r="AK16" i="8"/>
  <c r="AL37" i="8"/>
  <c r="AN37" i="8" s="1"/>
  <c r="AP37" i="8" s="1"/>
  <c r="AK37" i="8"/>
  <c r="AK32" i="8"/>
  <c r="AL32" i="8"/>
  <c r="AN32" i="8" s="1"/>
  <c r="AO32" i="8" s="1"/>
  <c r="AK24" i="8"/>
  <c r="AL24" i="8"/>
  <c r="AN24" i="8" s="1"/>
  <c r="AP24" i="8" s="1"/>
  <c r="AL10" i="8"/>
  <c r="AN10" i="8" s="1"/>
  <c r="AO10" i="8" s="1"/>
  <c r="AK10" i="8"/>
  <c r="AK53" i="8"/>
  <c r="AL53" i="8"/>
  <c r="AN53" i="8" s="1"/>
  <c r="AO53" i="8" s="1"/>
  <c r="AL26" i="8"/>
  <c r="AN26" i="8" s="1"/>
  <c r="AO26" i="8" s="1"/>
  <c r="AK26" i="8"/>
  <c r="AK14" i="8"/>
  <c r="AL14" i="8"/>
  <c r="AN14" i="8" s="1"/>
  <c r="I37" i="31" s="1"/>
  <c r="AL39" i="8"/>
  <c r="AN39" i="8" s="1"/>
  <c r="AO39" i="8" s="1"/>
  <c r="AK39" i="8"/>
  <c r="AK31" i="8"/>
  <c r="AL31" i="8"/>
  <c r="AN31" i="8" s="1"/>
  <c r="AP31" i="8" s="1"/>
  <c r="AL61" i="8"/>
  <c r="AN61" i="8" s="1"/>
  <c r="AO61" i="8" s="1"/>
  <c r="AK61" i="8"/>
  <c r="AK21" i="8"/>
  <c r="AL21" i="8"/>
  <c r="AN21" i="8" s="1"/>
  <c r="AP21" i="8" s="1"/>
  <c r="AK33" i="8"/>
  <c r="AL33" i="8"/>
  <c r="AN33" i="8" s="1"/>
  <c r="AP33" i="8" s="1"/>
  <c r="AK4" i="8"/>
  <c r="AL4" i="8"/>
  <c r="AN4" i="8" s="1"/>
  <c r="AO4" i="8" s="1"/>
  <c r="AL38" i="8"/>
  <c r="AN38" i="8" s="1"/>
  <c r="AO38" i="8" s="1"/>
  <c r="AK38" i="8"/>
  <c r="AK17" i="8"/>
  <c r="AL17" i="8"/>
  <c r="AN17" i="8" s="1"/>
  <c r="AO17" i="8" s="1"/>
  <c r="AL60" i="8"/>
  <c r="AN60" i="8" s="1"/>
  <c r="AO60" i="8" s="1"/>
  <c r="AK60" i="8"/>
  <c r="AK36" i="8"/>
  <c r="AL36" i="8"/>
  <c r="AN36" i="8" s="1"/>
  <c r="AP36" i="8" s="1"/>
  <c r="AL7" i="8"/>
  <c r="AN7" i="8" s="1"/>
  <c r="AP7" i="8" s="1"/>
  <c r="AK7" i="8"/>
  <c r="AL54" i="8"/>
  <c r="AN54" i="8" s="1"/>
  <c r="AO54" i="8" s="1"/>
  <c r="AK54" i="8"/>
  <c r="AK19" i="8"/>
  <c r="AL19" i="8"/>
  <c r="AN19" i="8" s="1"/>
  <c r="AP19" i="8" s="1"/>
  <c r="AL57" i="8"/>
  <c r="AN57" i="8" s="1"/>
  <c r="AO57" i="8" s="1"/>
  <c r="AK57" i="8"/>
  <c r="AL6" i="8"/>
  <c r="AN6" i="8" s="1"/>
  <c r="I26" i="31" s="1"/>
  <c r="AK6" i="8"/>
  <c r="AK40" i="8"/>
  <c r="AL40" i="8"/>
  <c r="AN40" i="8" s="1"/>
  <c r="AO40" i="8" s="1"/>
  <c r="AL29" i="8"/>
  <c r="AN29" i="8" s="1"/>
  <c r="AP29" i="8" s="1"/>
  <c r="AK29" i="8"/>
  <c r="AL23" i="8"/>
  <c r="AN23" i="8" s="1"/>
  <c r="I13" i="31" s="1"/>
  <c r="AK23" i="8"/>
  <c r="AL2" i="8"/>
  <c r="AN2" i="8" s="1"/>
  <c r="AP2" i="8" s="1"/>
  <c r="AK2" i="8"/>
  <c r="AL55" i="8"/>
  <c r="AN55" i="8" s="1"/>
  <c r="AP55" i="8" s="1"/>
  <c r="AV55" i="8" s="1"/>
  <c r="AK55" i="8"/>
  <c r="AK58" i="8"/>
  <c r="AL58" i="8"/>
  <c r="AN58" i="8" s="1"/>
  <c r="AP58" i="8" s="1"/>
  <c r="AL13" i="8"/>
  <c r="AN13" i="8" s="1"/>
  <c r="I31" i="31" s="1"/>
  <c r="AL22" i="8"/>
  <c r="AN22" i="8" s="1"/>
  <c r="AO22" i="8" s="1"/>
  <c r="AK27" i="8"/>
  <c r="AK56" i="8"/>
  <c r="AK35" i="8"/>
  <c r="AL5" i="8"/>
  <c r="AN5" i="8" s="1"/>
  <c r="I28" i="31" s="1"/>
  <c r="AL34" i="8"/>
  <c r="AN34" i="8" s="1"/>
  <c r="AP34" i="8" s="1"/>
  <c r="AL30" i="8"/>
  <c r="AN30" i="8" s="1"/>
  <c r="AP30" i="8" s="1"/>
  <c r="X86" i="28"/>
  <c r="W311" i="28"/>
  <c r="X317" i="28"/>
  <c r="X138" i="28"/>
  <c r="W89" i="28"/>
  <c r="X95" i="28"/>
  <c r="W131" i="28"/>
  <c r="W184" i="28"/>
  <c r="X17" i="28"/>
  <c r="X36" i="28"/>
  <c r="X252" i="28"/>
  <c r="W114" i="28"/>
  <c r="X238" i="28"/>
  <c r="W293" i="28"/>
  <c r="W72" i="28"/>
  <c r="W61" i="28"/>
  <c r="W101" i="28"/>
  <c r="X156" i="28"/>
  <c r="W156" i="28"/>
  <c r="W288" i="28"/>
  <c r="X268" i="28"/>
  <c r="X82" i="28"/>
  <c r="W57" i="28"/>
  <c r="W91" i="28"/>
  <c r="W70" i="28"/>
  <c r="X70" i="28"/>
  <c r="W298" i="28"/>
  <c r="X298" i="28"/>
  <c r="W270" i="28"/>
  <c r="X259" i="28"/>
  <c r="W12" i="28"/>
  <c r="W45" i="28"/>
  <c r="X256" i="28"/>
  <c r="W148" i="28"/>
  <c r="X174" i="28"/>
  <c r="X160" i="28"/>
  <c r="X41" i="28"/>
  <c r="W41" i="28"/>
  <c r="X103" i="28"/>
  <c r="W103" i="28"/>
  <c r="W182" i="28"/>
  <c r="X67" i="28"/>
  <c r="W67" i="28"/>
  <c r="X147" i="28"/>
  <c r="W304" i="28"/>
  <c r="W307" i="28"/>
  <c r="W313" i="28"/>
  <c r="W128" i="28"/>
  <c r="W116" i="28"/>
  <c r="W309" i="28"/>
  <c r="X281" i="28"/>
  <c r="W141" i="28"/>
  <c r="X314" i="28"/>
  <c r="X118" i="28"/>
  <c r="X117" i="28"/>
  <c r="X30" i="28"/>
  <c r="W92" i="28"/>
  <c r="W102" i="28"/>
  <c r="X35" i="28"/>
  <c r="W154" i="28"/>
  <c r="X249" i="28"/>
  <c r="W208" i="28"/>
  <c r="X65" i="28"/>
  <c r="W40" i="28"/>
  <c r="X106" i="28"/>
  <c r="W121" i="28"/>
  <c r="X121" i="28"/>
  <c r="X261" i="28"/>
  <c r="W261" i="28"/>
  <c r="W94" i="28"/>
  <c r="X94" i="28"/>
  <c r="X171" i="28"/>
  <c r="W34" i="28"/>
  <c r="X34" i="28"/>
  <c r="W170" i="28"/>
  <c r="W75" i="28"/>
  <c r="X75" i="28"/>
  <c r="X306" i="28"/>
  <c r="W306" i="28"/>
  <c r="W248" i="28"/>
  <c r="W200" i="28"/>
  <c r="X200" i="28"/>
  <c r="W107" i="28"/>
  <c r="W257" i="28"/>
  <c r="W144" i="28"/>
  <c r="X291" i="28"/>
  <c r="X58" i="28"/>
  <c r="W100" i="28"/>
  <c r="X158" i="28"/>
  <c r="W81" i="28"/>
  <c r="W43" i="28"/>
  <c r="W66" i="28"/>
  <c r="X181" i="28"/>
  <c r="X126" i="28"/>
  <c r="X63" i="28"/>
  <c r="W272" i="28"/>
  <c r="X194" i="28"/>
  <c r="X80" i="28"/>
  <c r="X6" i="28"/>
  <c r="W260" i="28"/>
  <c r="X260" i="28"/>
  <c r="X22" i="28"/>
  <c r="W22" i="28"/>
  <c r="X187" i="28"/>
  <c r="W187" i="28"/>
  <c r="W250" i="28"/>
  <c r="X250" i="28"/>
  <c r="W202" i="28"/>
  <c r="X202" i="28"/>
  <c r="X218" i="28"/>
  <c r="W218" i="28"/>
  <c r="W207" i="28"/>
  <c r="X105" i="28"/>
  <c r="W105" i="28"/>
  <c r="X280" i="28"/>
  <c r="W280" i="28"/>
  <c r="X32" i="28"/>
  <c r="W32" i="28"/>
  <c r="W318" i="28"/>
  <c r="X318" i="28"/>
  <c r="W25" i="28"/>
  <c r="X25" i="28"/>
  <c r="X13" i="28"/>
  <c r="W13" i="28"/>
  <c r="W157" i="28"/>
  <c r="X157" i="28"/>
  <c r="W308" i="28"/>
  <c r="W21" i="28"/>
  <c r="X21" i="28"/>
  <c r="X262" i="28"/>
  <c r="W23" i="28"/>
  <c r="X23" i="28"/>
  <c r="X234" i="28"/>
  <c r="W234" i="28"/>
  <c r="X300" i="28"/>
  <c r="W300" i="28"/>
  <c r="X10" i="28"/>
  <c r="W10" i="28"/>
  <c r="X301" i="28"/>
  <c r="X290" i="28"/>
  <c r="X37" i="28"/>
  <c r="X282" i="28"/>
  <c r="W269" i="28"/>
  <c r="X269" i="28"/>
  <c r="X26" i="28"/>
  <c r="W26" i="28"/>
  <c r="X33" i="28"/>
  <c r="X113" i="28"/>
  <c r="W113" i="28"/>
  <c r="X127" i="28"/>
  <c r="W74" i="28"/>
  <c r="X74" i="28"/>
  <c r="X59" i="28"/>
  <c r="X49" i="28"/>
  <c r="W68" i="28"/>
  <c r="X267" i="28"/>
  <c r="X54" i="28"/>
  <c r="W54" i="28"/>
  <c r="W129" i="28"/>
  <c r="X129" i="28"/>
  <c r="W223" i="28"/>
  <c r="W52" i="28"/>
  <c r="X52" i="28"/>
  <c r="W111" i="28"/>
  <c r="X111" i="28"/>
  <c r="X42" i="28"/>
  <c r="W42" i="28"/>
  <c r="X166" i="28"/>
  <c r="W166" i="28"/>
  <c r="X162" i="28"/>
  <c r="X90" i="28"/>
  <c r="W90" i="28"/>
  <c r="X93" i="28"/>
  <c r="X79" i="28"/>
  <c r="X51" i="28"/>
  <c r="W110" i="28"/>
  <c r="X110" i="28"/>
  <c r="X31" i="28"/>
  <c r="W31" i="28"/>
  <c r="W38" i="28"/>
  <c r="X38" i="28"/>
  <c r="X217" i="28"/>
  <c r="W217" i="28"/>
  <c r="W46" i="28"/>
  <c r="X46" i="28"/>
  <c r="X14" i="28"/>
  <c r="W14" i="28"/>
  <c r="W274" i="28"/>
  <c r="X274" i="28"/>
  <c r="W299" i="28"/>
  <c r="X299" i="28"/>
  <c r="X39" i="28"/>
  <c r="W39" i="28"/>
  <c r="W109" i="28"/>
  <c r="X109" i="28"/>
  <c r="X73" i="28"/>
  <c r="W73" i="28"/>
  <c r="W263" i="28"/>
  <c r="X263" i="28"/>
  <c r="X226" i="28"/>
  <c r="W226" i="28"/>
  <c r="W104" i="28"/>
  <c r="X104" i="28"/>
  <c r="X53" i="28"/>
  <c r="W53" i="28"/>
  <c r="W98" i="28"/>
  <c r="W310" i="28"/>
  <c r="X71" i="28"/>
  <c r="W71" i="28"/>
  <c r="X62" i="28"/>
  <c r="W62" i="28"/>
  <c r="W286" i="28"/>
  <c r="X286" i="28"/>
  <c r="W232" i="28"/>
  <c r="X232" i="28"/>
  <c r="W96" i="28"/>
  <c r="X84" i="28"/>
  <c r="X88" i="28"/>
  <c r="W88" i="28"/>
  <c r="X69" i="28"/>
  <c r="X55" i="28"/>
  <c r="X266" i="28"/>
  <c r="W266" i="28"/>
  <c r="X273" i="28"/>
  <c r="X224" i="28" l="1"/>
  <c r="W60" i="28"/>
  <c r="X115" i="28"/>
  <c r="W241" i="28"/>
  <c r="W242" i="28"/>
  <c r="X315" i="28"/>
  <c r="W50" i="28"/>
  <c r="W135" i="28"/>
  <c r="W48" i="28"/>
  <c r="W212" i="28"/>
  <c r="X294" i="28"/>
  <c r="AL59" i="8"/>
  <c r="AN59" i="8" s="1"/>
  <c r="AO59" i="8" s="1"/>
  <c r="W287" i="28"/>
  <c r="X237" i="28"/>
  <c r="X142" i="28"/>
  <c r="W195" i="28"/>
  <c r="X180" i="28"/>
  <c r="W265" i="28"/>
  <c r="W297" i="28"/>
  <c r="W214" i="28"/>
  <c r="W201" i="28"/>
  <c r="X312" i="28"/>
  <c r="X246" i="28"/>
  <c r="X185" i="28"/>
  <c r="W244" i="28"/>
  <c r="W235" i="28"/>
  <c r="X83" i="28"/>
  <c r="B877" i="12"/>
  <c r="C877" i="12" s="1"/>
  <c r="C202" i="12"/>
  <c r="D86" i="14"/>
  <c r="X123" i="28"/>
  <c r="E129" i="14"/>
  <c r="C174" i="12"/>
  <c r="D115" i="14"/>
  <c r="F87" i="14"/>
  <c r="G86" i="14"/>
  <c r="C440" i="12"/>
  <c r="E119" i="14"/>
  <c r="C529" i="12"/>
  <c r="H115" i="14"/>
  <c r="C337" i="12"/>
  <c r="C472" i="12"/>
  <c r="C545" i="12"/>
  <c r="C680" i="12"/>
  <c r="C267" i="12"/>
  <c r="C504" i="12"/>
  <c r="W159" i="28"/>
  <c r="T17" i="16"/>
  <c r="I86" i="14"/>
  <c r="F86" i="14"/>
  <c r="A774" i="12"/>
  <c r="C639" i="12"/>
  <c r="B537" i="12"/>
  <c r="C402" i="12"/>
  <c r="C396" i="12"/>
  <c r="E115" i="14"/>
  <c r="B710" i="12"/>
  <c r="C710" i="12" s="1"/>
  <c r="C466" i="12"/>
  <c r="C410" i="12"/>
  <c r="C87" i="14"/>
  <c r="C86" i="14"/>
  <c r="C950" i="12"/>
  <c r="B125" i="14"/>
  <c r="G125" i="14" s="1"/>
  <c r="X169" i="28"/>
  <c r="W77" i="28"/>
  <c r="W172" i="28"/>
  <c r="E111" i="14"/>
  <c r="W150" i="28"/>
  <c r="W231" i="28"/>
  <c r="W222" i="28"/>
  <c r="C172" i="12"/>
  <c r="C815" i="12"/>
  <c r="B539" i="12"/>
  <c r="C404" i="12"/>
  <c r="W145" i="28"/>
  <c r="X137" i="28"/>
  <c r="W56" i="28"/>
  <c r="X230" i="28"/>
  <c r="X155" i="28"/>
  <c r="AO35" i="8"/>
  <c r="W216" i="28"/>
  <c r="W296" i="28"/>
  <c r="X285" i="28"/>
  <c r="X164" i="28"/>
  <c r="W47" i="28"/>
  <c r="X4" i="28"/>
  <c r="W151" i="28"/>
  <c r="W8" i="28"/>
  <c r="X225" i="28"/>
  <c r="W161" i="28"/>
  <c r="W283" i="28"/>
  <c r="W76" i="28"/>
  <c r="X289" i="28"/>
  <c r="X255" i="28"/>
  <c r="W132" i="28"/>
  <c r="W227" i="28"/>
  <c r="X175" i="28"/>
  <c r="W153" i="28"/>
  <c r="X264" i="28"/>
  <c r="W233" i="28"/>
  <c r="W167" i="28"/>
  <c r="W177" i="28"/>
  <c r="W108" i="28"/>
  <c r="X44" i="28"/>
  <c r="W165" i="28"/>
  <c r="W239" i="28"/>
  <c r="W2" i="28"/>
  <c r="X219" i="28"/>
  <c r="X276" i="28"/>
  <c r="X163" i="28"/>
  <c r="X143" i="28"/>
  <c r="X254" i="28"/>
  <c r="X173" i="28"/>
  <c r="I175" i="14"/>
  <c r="H136" i="14"/>
  <c r="W140" i="28"/>
  <c r="X119" i="28"/>
  <c r="X99" i="28"/>
  <c r="E125" i="14"/>
  <c r="B979" i="12"/>
  <c r="AO48" i="8"/>
  <c r="AP48" i="8"/>
  <c r="A919" i="12"/>
  <c r="C784" i="12"/>
  <c r="A173" i="14"/>
  <c r="I152" i="14"/>
  <c r="C152" i="14"/>
  <c r="H152" i="14"/>
  <c r="G152" i="14"/>
  <c r="A191" i="14"/>
  <c r="G175" i="14"/>
  <c r="H95" i="14"/>
  <c r="B713" i="12"/>
  <c r="B848" i="12" s="1"/>
  <c r="A656" i="12"/>
  <c r="C521" i="12"/>
  <c r="X130" i="28"/>
  <c r="E175" i="14"/>
  <c r="E107" i="14"/>
  <c r="C136" i="14"/>
  <c r="D87" i="14"/>
  <c r="G87" i="14"/>
  <c r="AP52" i="8"/>
  <c r="AO52" i="8"/>
  <c r="AO47" i="8"/>
  <c r="AP47" i="8"/>
  <c r="B371" i="12"/>
  <c r="C236" i="12"/>
  <c r="B1728" i="12"/>
  <c r="C1593" i="12"/>
  <c r="H87" i="14"/>
  <c r="AO50" i="8"/>
  <c r="AP50" i="8"/>
  <c r="X197" i="28"/>
  <c r="X120" i="28"/>
  <c r="W11" i="28"/>
  <c r="B140" i="14"/>
  <c r="B179" i="14" s="1"/>
  <c r="B218" i="14" s="1"/>
  <c r="B257" i="14" s="1"/>
  <c r="G136" i="14"/>
  <c r="C137" i="12"/>
  <c r="I112" i="14"/>
  <c r="I87" i="14"/>
  <c r="AO51" i="8"/>
  <c r="AP51" i="8"/>
  <c r="AO42" i="8"/>
  <c r="AP42" i="8"/>
  <c r="B442" i="12"/>
  <c r="C307" i="12"/>
  <c r="A180" i="14"/>
  <c r="B546" i="12"/>
  <c r="C411" i="12"/>
  <c r="A123" i="14"/>
  <c r="G123" i="14" s="1"/>
  <c r="G84" i="14"/>
  <c r="D84" i="14"/>
  <c r="B350" i="12"/>
  <c r="C215" i="12"/>
  <c r="B134" i="14"/>
  <c r="G134" i="14" s="1"/>
  <c r="C95" i="14"/>
  <c r="E95" i="14"/>
  <c r="X18" i="28"/>
  <c r="E112" i="14"/>
  <c r="C112" i="14"/>
  <c r="D136" i="14"/>
  <c r="N17" i="16"/>
  <c r="D95" i="14"/>
  <c r="AO46" i="8"/>
  <c r="AP46" i="8"/>
  <c r="AO43" i="8"/>
  <c r="AP43" i="8"/>
  <c r="B300" i="12"/>
  <c r="C165" i="12"/>
  <c r="A1220" i="12"/>
  <c r="C1085" i="12"/>
  <c r="AO41" i="8"/>
  <c r="AP41" i="8"/>
  <c r="B146" i="14"/>
  <c r="H107" i="14"/>
  <c r="F107" i="14"/>
  <c r="I107" i="14"/>
  <c r="G107" i="14"/>
  <c r="C107" i="14"/>
  <c r="X27" i="28"/>
  <c r="E87" i="14"/>
  <c r="H175" i="14"/>
  <c r="G110" i="14"/>
  <c r="AO45" i="8"/>
  <c r="AP45" i="8"/>
  <c r="A501" i="12"/>
  <c r="C366" i="12"/>
  <c r="B142" i="14"/>
  <c r="I103" i="14"/>
  <c r="B373" i="12"/>
  <c r="C238" i="12"/>
  <c r="C624" i="12"/>
  <c r="B759" i="12"/>
  <c r="C775" i="12"/>
  <c r="B910" i="12"/>
  <c r="I95" i="14"/>
  <c r="B542" i="12"/>
  <c r="C407" i="12"/>
  <c r="AO49" i="8"/>
  <c r="AP49" i="8"/>
  <c r="B515" i="12"/>
  <c r="C380" i="12"/>
  <c r="W236" i="28"/>
  <c r="W24" i="28"/>
  <c r="X258" i="28"/>
  <c r="E126" i="14"/>
  <c r="C272" i="12"/>
  <c r="F175" i="14"/>
  <c r="AO44" i="8"/>
  <c r="AP44" i="8"/>
  <c r="B306" i="12"/>
  <c r="C171" i="12"/>
  <c r="A510" i="12"/>
  <c r="C375" i="12"/>
  <c r="A518" i="12"/>
  <c r="C383" i="12"/>
  <c r="B141" i="14"/>
  <c r="I102" i="14"/>
  <c r="H102" i="14"/>
  <c r="C102" i="14"/>
  <c r="G95" i="14"/>
  <c r="X176" i="28"/>
  <c r="X253" i="28"/>
  <c r="W139" i="28"/>
  <c r="X305" i="28"/>
  <c r="W209" i="28"/>
  <c r="X271" i="28"/>
  <c r="X203" i="28"/>
  <c r="X211" i="28"/>
  <c r="W279" i="28"/>
  <c r="X122" i="28"/>
  <c r="W87" i="28"/>
  <c r="W190" i="28"/>
  <c r="W193" i="28"/>
  <c r="X64" i="28"/>
  <c r="X278" i="28"/>
  <c r="X292" i="28"/>
  <c r="X124" i="28"/>
  <c r="W112" i="28"/>
  <c r="W277" i="28"/>
  <c r="W97" i="28"/>
  <c r="Z17" i="16"/>
  <c r="X302" i="28"/>
  <c r="W215" i="28"/>
  <c r="W210" i="28"/>
  <c r="X240" i="28"/>
  <c r="W186" i="28"/>
  <c r="X206" i="28"/>
  <c r="W3" i="28"/>
  <c r="W303" i="28"/>
  <c r="X5" i="28"/>
  <c r="A2024" i="12"/>
  <c r="B399" i="12"/>
  <c r="C264" i="12"/>
  <c r="C139" i="12"/>
  <c r="B274" i="12"/>
  <c r="A816" i="12"/>
  <c r="B519" i="12"/>
  <c r="C384" i="12"/>
  <c r="B376" i="12"/>
  <c r="C241" i="12"/>
  <c r="W15" i="28"/>
  <c r="X19" i="28"/>
  <c r="W199" i="28"/>
  <c r="G101" i="14"/>
  <c r="AO63" i="8"/>
  <c r="AP63" i="8"/>
  <c r="B1891" i="12"/>
  <c r="C1756" i="12"/>
  <c r="A560" i="12"/>
  <c r="C425" i="12"/>
  <c r="B736" i="12"/>
  <c r="C601" i="12"/>
  <c r="H132" i="14"/>
  <c r="F132" i="14"/>
  <c r="I132" i="14"/>
  <c r="A171" i="14"/>
  <c r="C171" i="14" s="1"/>
  <c r="G132" i="14"/>
  <c r="X183" i="28"/>
  <c r="W134" i="28"/>
  <c r="W221" i="28"/>
  <c r="E140" i="14"/>
  <c r="E89" i="14"/>
  <c r="C756" i="12"/>
  <c r="G109" i="14"/>
  <c r="I101" i="14"/>
  <c r="B941" i="12"/>
  <c r="C806" i="12"/>
  <c r="C462" i="12"/>
  <c r="B597" i="12"/>
  <c r="C126" i="14"/>
  <c r="I126" i="14"/>
  <c r="D126" i="14"/>
  <c r="B165" i="14"/>
  <c r="G126" i="14"/>
  <c r="H126" i="14"/>
  <c r="F126" i="14"/>
  <c r="B413" i="12"/>
  <c r="C278" i="12"/>
  <c r="B703" i="12"/>
  <c r="C568" i="12"/>
  <c r="B463" i="12"/>
  <c r="C328" i="12"/>
  <c r="I157" i="14"/>
  <c r="A196" i="14"/>
  <c r="F157" i="14"/>
  <c r="C157" i="14"/>
  <c r="H157" i="14"/>
  <c r="G157" i="14"/>
  <c r="D157" i="14"/>
  <c r="A238" i="14"/>
  <c r="H199" i="14"/>
  <c r="C748" i="12"/>
  <c r="A551" i="12"/>
  <c r="C416" i="12"/>
  <c r="E157" i="14"/>
  <c r="H101" i="14"/>
  <c r="F199" i="14"/>
  <c r="B487" i="12"/>
  <c r="C352" i="12"/>
  <c r="B315" i="12"/>
  <c r="C180" i="12"/>
  <c r="B444" i="12"/>
  <c r="C309" i="12"/>
  <c r="B1750" i="12"/>
  <c r="C1615" i="12"/>
  <c r="X146" i="28"/>
  <c r="W133" i="28"/>
  <c r="W295" i="28"/>
  <c r="W85" i="28"/>
  <c r="E110" i="14"/>
  <c r="E101" i="14"/>
  <c r="E199" i="14"/>
  <c r="B1092" i="12"/>
  <c r="I199" i="14"/>
  <c r="I136" i="14"/>
  <c r="B293" i="12"/>
  <c r="C158" i="12"/>
  <c r="B1167" i="12"/>
  <c r="C1032" i="12"/>
  <c r="B392" i="12"/>
  <c r="C257" i="12"/>
  <c r="B606" i="12"/>
  <c r="C471" i="12"/>
  <c r="H83" i="14"/>
  <c r="A122" i="14"/>
  <c r="F83" i="14"/>
  <c r="I83" i="14"/>
  <c r="D83" i="14"/>
  <c r="C83" i="14"/>
  <c r="G83" i="14"/>
  <c r="A420" i="12"/>
  <c r="C285" i="12"/>
  <c r="D101" i="14"/>
  <c r="D199" i="14"/>
  <c r="B139" i="14"/>
  <c r="I100" i="14"/>
  <c r="C100" i="14"/>
  <c r="G100" i="14"/>
  <c r="D100" i="14"/>
  <c r="F100" i="14"/>
  <c r="H100" i="14"/>
  <c r="B801" i="12"/>
  <c r="C666" i="12"/>
  <c r="A1245" i="12"/>
  <c r="W275" i="28"/>
  <c r="X78" i="28"/>
  <c r="E109" i="14"/>
  <c r="B460" i="12"/>
  <c r="C325" i="12"/>
  <c r="B438" i="12"/>
  <c r="C303" i="12"/>
  <c r="B356" i="12"/>
  <c r="C221" i="12"/>
  <c r="A655" i="12"/>
  <c r="C520" i="12"/>
  <c r="X316" i="28"/>
  <c r="W152" i="28"/>
  <c r="X213" i="28"/>
  <c r="E136" i="14"/>
  <c r="D132" i="14"/>
  <c r="C101" i="14"/>
  <c r="C745" i="12"/>
  <c r="B1015" i="12"/>
  <c r="F136" i="14"/>
  <c r="AO64" i="8"/>
  <c r="AP64" i="8"/>
  <c r="B473" i="12"/>
  <c r="C338" i="12"/>
  <c r="B564" i="12"/>
  <c r="C429" i="12"/>
  <c r="B151" i="14"/>
  <c r="G112" i="14"/>
  <c r="F112" i="14"/>
  <c r="B446" i="12"/>
  <c r="C311" i="12"/>
  <c r="D112" i="14"/>
  <c r="B498" i="12"/>
  <c r="C363" i="12"/>
  <c r="B405" i="12"/>
  <c r="C270" i="12"/>
  <c r="C17" i="16"/>
  <c r="F3" i="14"/>
  <c r="D129" i="14"/>
  <c r="G129" i="14"/>
  <c r="A168" i="14"/>
  <c r="H129" i="14"/>
  <c r="I129" i="14"/>
  <c r="F129" i="14"/>
  <c r="X196" i="28"/>
  <c r="W243" i="28"/>
  <c r="W178" i="28"/>
  <c r="X188" i="28"/>
  <c r="W29" i="28"/>
  <c r="AX24" i="4"/>
  <c r="W205" i="28"/>
  <c r="X7" i="28"/>
  <c r="W28" i="28"/>
  <c r="W251" i="28"/>
  <c r="W189" i="28"/>
  <c r="W229" i="28"/>
  <c r="W149" i="28"/>
  <c r="AX88" i="4"/>
  <c r="AW74" i="4"/>
  <c r="X136" i="28"/>
  <c r="W228" i="28"/>
  <c r="X192" i="28"/>
  <c r="X9" i="28"/>
  <c r="AW86" i="4"/>
  <c r="X284" i="28"/>
  <c r="X20" i="28"/>
  <c r="W220" i="28"/>
  <c r="X198" i="28"/>
  <c r="X191" i="28"/>
  <c r="X168" i="28"/>
  <c r="B287" i="12"/>
  <c r="C152" i="12"/>
  <c r="B286" i="12"/>
  <c r="C151" i="12"/>
  <c r="A217" i="14"/>
  <c r="AP56" i="8"/>
  <c r="W245" i="28"/>
  <c r="B1844" i="12"/>
  <c r="C1709" i="12"/>
  <c r="D99" i="14"/>
  <c r="G99" i="14"/>
  <c r="A138" i="14"/>
  <c r="F99" i="14"/>
  <c r="H99" i="14"/>
  <c r="I99" i="14"/>
  <c r="C99" i="14"/>
  <c r="B525" i="12"/>
  <c r="C390" i="12"/>
  <c r="B1176" i="12"/>
  <c r="B367" i="12"/>
  <c r="C232" i="12"/>
  <c r="C468" i="12"/>
  <c r="B603" i="12"/>
  <c r="B965" i="12"/>
  <c r="B749" i="12"/>
  <c r="C614" i="12"/>
  <c r="A145" i="14"/>
  <c r="D106" i="14"/>
  <c r="I106" i="14"/>
  <c r="C106" i="14"/>
  <c r="H106" i="14"/>
  <c r="F106" i="14"/>
  <c r="G106" i="14"/>
  <c r="B565" i="12"/>
  <c r="C430" i="12"/>
  <c r="C549" i="12"/>
  <c r="B684" i="12"/>
  <c r="B859" i="12"/>
  <c r="C724" i="12"/>
  <c r="F109" i="14"/>
  <c r="B158" i="14"/>
  <c r="I119" i="14"/>
  <c r="F119" i="14"/>
  <c r="H119" i="14"/>
  <c r="G119" i="14"/>
  <c r="D119" i="14"/>
  <c r="C119" i="14"/>
  <c r="A423" i="12"/>
  <c r="C288" i="12"/>
  <c r="B214" i="14"/>
  <c r="B253" i="14" s="1"/>
  <c r="D175" i="14"/>
  <c r="C175" i="14"/>
  <c r="B1189" i="12"/>
  <c r="B1036" i="12"/>
  <c r="C901" i="12"/>
  <c r="B1490" i="12"/>
  <c r="B162" i="14"/>
  <c r="H123" i="14"/>
  <c r="D123" i="14"/>
  <c r="C137" i="14"/>
  <c r="A176" i="14"/>
  <c r="G137" i="14"/>
  <c r="I137" i="14"/>
  <c r="H137" i="14"/>
  <c r="D137" i="14"/>
  <c r="F137" i="14"/>
  <c r="B800" i="12"/>
  <c r="C665" i="12"/>
  <c r="B1035" i="12"/>
  <c r="C900" i="12"/>
  <c r="L7" i="5"/>
  <c r="L3" i="5"/>
  <c r="L5" i="5"/>
  <c r="L4" i="5"/>
  <c r="L10" i="5"/>
  <c r="L6" i="5"/>
  <c r="L8" i="5"/>
  <c r="M2" i="5"/>
  <c r="L9" i="5"/>
  <c r="B1587" i="12"/>
  <c r="C1452" i="12"/>
  <c r="B1227" i="12"/>
  <c r="C1092" i="12"/>
  <c r="B864" i="12"/>
  <c r="C729" i="12"/>
  <c r="B149" i="14"/>
  <c r="H149" i="14" s="1"/>
  <c r="D110" i="14"/>
  <c r="A253" i="14"/>
  <c r="A169" i="14"/>
  <c r="H114" i="14"/>
  <c r="F114" i="14"/>
  <c r="I114" i="14"/>
  <c r="G114" i="14"/>
  <c r="A153" i="14"/>
  <c r="D114" i="14"/>
  <c r="C114" i="14"/>
  <c r="A220" i="14"/>
  <c r="B130" i="14"/>
  <c r="G91" i="14"/>
  <c r="F91" i="14"/>
  <c r="C1009" i="12"/>
  <c r="B1144" i="12"/>
  <c r="B1087" i="12"/>
  <c r="C952" i="12"/>
  <c r="B3069" i="12"/>
  <c r="X125" i="28"/>
  <c r="E114" i="14"/>
  <c r="B451" i="12"/>
  <c r="C316" i="12"/>
  <c r="B347" i="12"/>
  <c r="C212" i="12"/>
  <c r="C88" i="14"/>
  <c r="I88" i="14"/>
  <c r="G88" i="14"/>
  <c r="D88" i="14"/>
  <c r="H88" i="14"/>
  <c r="A127" i="14"/>
  <c r="F88" i="14"/>
  <c r="B1233" i="12"/>
  <c r="B480" i="12"/>
  <c r="C345" i="12"/>
  <c r="B512" i="12"/>
  <c r="C377" i="12"/>
  <c r="B522" i="12"/>
  <c r="C387" i="12"/>
  <c r="B481" i="12"/>
  <c r="C346" i="12"/>
  <c r="B431" i="12"/>
  <c r="C296" i="12"/>
  <c r="C997" i="12"/>
  <c r="B1132" i="12"/>
  <c r="D91" i="14"/>
  <c r="A120" i="14"/>
  <c r="H81" i="14"/>
  <c r="C81" i="14"/>
  <c r="I81" i="14"/>
  <c r="D81" i="14"/>
  <c r="F81" i="14"/>
  <c r="G81" i="14"/>
  <c r="C688" i="12"/>
  <c r="B823" i="12"/>
  <c r="C170" i="14"/>
  <c r="H170" i="14"/>
  <c r="I170" i="14"/>
  <c r="A209" i="14"/>
  <c r="D170" i="14"/>
  <c r="F170" i="14"/>
  <c r="G170" i="14"/>
  <c r="B1193" i="12"/>
  <c r="D109" i="14"/>
  <c r="D149" i="14"/>
  <c r="A188" i="14"/>
  <c r="C820" i="12"/>
  <c r="B301" i="12"/>
  <c r="C166" i="12"/>
  <c r="H154" i="14"/>
  <c r="F154" i="14"/>
  <c r="B193" i="14"/>
  <c r="I154" i="14"/>
  <c r="C154" i="14"/>
  <c r="G154" i="14"/>
  <c r="D154" i="14"/>
  <c r="C582" i="12"/>
  <c r="B717" i="12"/>
  <c r="A683" i="12"/>
  <c r="B302" i="12"/>
  <c r="C167" i="12"/>
  <c r="B661" i="12"/>
  <c r="C526" i="12"/>
  <c r="D143" i="14"/>
  <c r="H143" i="14"/>
  <c r="A182" i="14"/>
  <c r="G143" i="14"/>
  <c r="C143" i="14"/>
  <c r="F143" i="14"/>
  <c r="I143" i="14"/>
  <c r="B2153" i="12"/>
  <c r="C2018" i="12"/>
  <c r="A271" i="14"/>
  <c r="A187" i="14"/>
  <c r="G133" i="14"/>
  <c r="A172" i="14"/>
  <c r="I133" i="14"/>
  <c r="C133" i="14"/>
  <c r="D133" i="14"/>
  <c r="H133" i="14"/>
  <c r="F133" i="14"/>
  <c r="B1178" i="12"/>
  <c r="C1043" i="12"/>
  <c r="B318" i="12"/>
  <c r="C183" i="12"/>
  <c r="H117" i="14"/>
  <c r="I117" i="14"/>
  <c r="D117" i="14"/>
  <c r="G117" i="14"/>
  <c r="A156" i="14"/>
  <c r="F117" i="14"/>
  <c r="C117" i="14"/>
  <c r="B310" i="12"/>
  <c r="C175" i="12"/>
  <c r="B291" i="12"/>
  <c r="C156" i="12"/>
  <c r="B996" i="12"/>
  <c r="C861" i="12"/>
  <c r="A243" i="14"/>
  <c r="F110" i="14"/>
  <c r="C3363" i="12"/>
  <c r="B3498" i="12"/>
  <c r="B1466" i="12"/>
  <c r="B1579" i="12"/>
  <c r="C1444" i="12"/>
  <c r="X247" i="28"/>
  <c r="W204" i="28"/>
  <c r="X179" i="28"/>
  <c r="C330" i="12"/>
  <c r="B465" i="12"/>
  <c r="G116" i="14"/>
  <c r="C116" i="14"/>
  <c r="D116" i="14"/>
  <c r="F116" i="14"/>
  <c r="I116" i="14"/>
  <c r="H116" i="14"/>
  <c r="A155" i="14"/>
  <c r="B135" i="14"/>
  <c r="H96" i="14"/>
  <c r="D96" i="14"/>
  <c r="I96" i="14"/>
  <c r="C96" i="14"/>
  <c r="G96" i="14"/>
  <c r="F96" i="14"/>
  <c r="B314" i="12"/>
  <c r="C179" i="12"/>
  <c r="B128" i="14"/>
  <c r="I128" i="14" s="1"/>
  <c r="I89" i="14"/>
  <c r="D89" i="14"/>
  <c r="G89" i="14"/>
  <c r="F89" i="14"/>
  <c r="C151" i="14"/>
  <c r="H151" i="14"/>
  <c r="I151" i="14"/>
  <c r="G151" i="14"/>
  <c r="A190" i="14"/>
  <c r="D151" i="14"/>
  <c r="F151" i="14"/>
  <c r="B289" i="12"/>
  <c r="C154" i="12"/>
  <c r="B583" i="12"/>
  <c r="C448" i="12"/>
  <c r="B477" i="12"/>
  <c r="C342" i="12"/>
  <c r="C108" i="14"/>
  <c r="G108" i="14"/>
  <c r="F108" i="14"/>
  <c r="H108" i="14"/>
  <c r="A147" i="14"/>
  <c r="I108" i="14"/>
  <c r="D108" i="14"/>
  <c r="B1078" i="12"/>
  <c r="C943" i="12"/>
  <c r="B599" i="12"/>
  <c r="C464" i="12"/>
  <c r="C91" i="14"/>
  <c r="B1268" i="12"/>
  <c r="C1133" i="12"/>
  <c r="C89" i="14"/>
  <c r="H110" i="14"/>
  <c r="B1090" i="12"/>
  <c r="C955" i="12"/>
  <c r="C678" i="12"/>
  <c r="B813" i="12"/>
  <c r="A213" i="14"/>
  <c r="G140" i="14"/>
  <c r="H140" i="14"/>
  <c r="C140" i="14"/>
  <c r="A179" i="14"/>
  <c r="W16" i="28"/>
  <c r="E137" i="14"/>
  <c r="E133" i="14"/>
  <c r="B148" i="14"/>
  <c r="B187" i="14" s="1"/>
  <c r="B226" i="14" s="1"/>
  <c r="B265" i="14" s="1"/>
  <c r="C109" i="14"/>
  <c r="B967" i="12"/>
  <c r="C832" i="12"/>
  <c r="C461" i="12"/>
  <c r="B596" i="12"/>
  <c r="B799" i="12"/>
  <c r="C664" i="12"/>
  <c r="B488" i="12"/>
  <c r="C353" i="12"/>
  <c r="B210" i="14"/>
  <c r="B474" i="12"/>
  <c r="C339" i="12"/>
  <c r="H85" i="14"/>
  <c r="A124" i="14"/>
  <c r="G85" i="14"/>
  <c r="D85" i="14"/>
  <c r="I85" i="14"/>
  <c r="C85" i="14"/>
  <c r="F85" i="14"/>
  <c r="B763" i="12"/>
  <c r="C628" i="12"/>
  <c r="A167" i="14"/>
  <c r="C128" i="14"/>
  <c r="A224" i="14"/>
  <c r="C1015" i="12"/>
  <c r="B1150" i="12"/>
  <c r="B524" i="12"/>
  <c r="C389" i="12"/>
  <c r="B348" i="12"/>
  <c r="C213" i="12"/>
  <c r="A150" i="14"/>
  <c r="H111" i="14"/>
  <c r="D111" i="14"/>
  <c r="C111" i="14"/>
  <c r="I111" i="14"/>
  <c r="G111" i="14"/>
  <c r="F111" i="14"/>
  <c r="B365" i="12"/>
  <c r="C230" i="12"/>
  <c r="A2025" i="12"/>
  <c r="B1454" i="12"/>
  <c r="C1319" i="12"/>
  <c r="B1230" i="12"/>
  <c r="B754" i="12"/>
  <c r="C619" i="12"/>
  <c r="B837" i="12"/>
  <c r="C702" i="12"/>
  <c r="B452" i="12"/>
  <c r="C317" i="12"/>
  <c r="C891" i="12"/>
  <c r="B1026" i="12"/>
  <c r="B821" i="12"/>
  <c r="B605" i="12"/>
  <c r="C470" i="12"/>
  <c r="B476" i="12"/>
  <c r="C341" i="12"/>
  <c r="B1461" i="12"/>
  <c r="C1326" i="12"/>
  <c r="E117" i="14"/>
  <c r="K103" i="5"/>
  <c r="K106" i="5"/>
  <c r="K110" i="5"/>
  <c r="K109" i="5"/>
  <c r="L102" i="5"/>
  <c r="K105" i="5"/>
  <c r="K108" i="5"/>
  <c r="K107" i="5"/>
  <c r="K104" i="5"/>
  <c r="B517" i="12"/>
  <c r="C382" i="12"/>
  <c r="B1012" i="12"/>
  <c r="B1300" i="12"/>
  <c r="C1165" i="12"/>
  <c r="B602" i="12"/>
  <c r="C467" i="12"/>
  <c r="B320" i="12"/>
  <c r="C185" i="12"/>
  <c r="B780" i="12"/>
  <c r="B802" i="12"/>
  <c r="C667" i="12"/>
  <c r="B419" i="12"/>
  <c r="C284" i="12"/>
  <c r="A183" i="14"/>
  <c r="I144" i="14"/>
  <c r="D144" i="14"/>
  <c r="G144" i="14"/>
  <c r="C144" i="14"/>
  <c r="H144" i="14"/>
  <c r="F144" i="14"/>
  <c r="B388" i="12"/>
  <c r="C253" i="12"/>
  <c r="B1018" i="12"/>
  <c r="C883" i="12"/>
  <c r="B569" i="12"/>
  <c r="C434" i="12"/>
  <c r="I109" i="14"/>
  <c r="I110" i="14"/>
  <c r="C767" i="12"/>
  <c r="B902" i="12"/>
  <c r="B1870" i="12"/>
  <c r="AX32" i="4"/>
  <c r="AW92" i="4"/>
  <c r="AW141" i="4"/>
  <c r="AX113" i="4"/>
  <c r="AX121" i="4"/>
  <c r="AW187" i="4"/>
  <c r="AW199" i="4"/>
  <c r="AW35" i="4"/>
  <c r="AX48" i="4"/>
  <c r="AW16" i="4"/>
  <c r="AX111" i="4"/>
  <c r="AX70" i="4"/>
  <c r="AW134" i="4"/>
  <c r="AX89" i="4"/>
  <c r="AW117" i="4"/>
  <c r="AW7" i="4"/>
  <c r="AX189" i="4"/>
  <c r="AX37" i="4"/>
  <c r="AW158" i="4"/>
  <c r="AW180" i="4"/>
  <c r="AX87" i="4"/>
  <c r="AX4" i="4"/>
  <c r="AX94" i="4"/>
  <c r="AW44" i="4"/>
  <c r="AW54" i="4"/>
  <c r="AX2" i="4"/>
  <c r="AW103" i="4"/>
  <c r="AW176" i="4"/>
  <c r="AW60" i="4"/>
  <c r="AW49" i="4"/>
  <c r="AW10" i="4"/>
  <c r="AX143" i="4"/>
  <c r="AW69" i="4"/>
  <c r="AW63" i="4"/>
  <c r="AW209" i="4"/>
  <c r="AX30" i="4"/>
  <c r="AX132" i="4"/>
  <c r="AW40" i="4"/>
  <c r="AW80" i="4"/>
  <c r="AX142" i="4"/>
  <c r="AW67" i="4"/>
  <c r="AW201" i="4"/>
  <c r="AX22" i="4"/>
  <c r="AX173" i="4"/>
  <c r="AX115" i="4"/>
  <c r="AW200" i="4"/>
  <c r="AW62" i="4"/>
  <c r="AW213" i="4"/>
  <c r="AX82" i="4"/>
  <c r="AW178" i="4"/>
  <c r="AX79" i="4"/>
  <c r="AX168" i="4"/>
  <c r="AW14" i="4"/>
  <c r="AW208" i="4"/>
  <c r="AX95" i="4"/>
  <c r="AX202" i="4"/>
  <c r="AW123" i="4"/>
  <c r="AX193" i="4"/>
  <c r="AW84" i="4"/>
  <c r="AW110" i="4"/>
  <c r="AX34" i="4"/>
  <c r="AW175" i="4"/>
  <c r="AX184" i="4"/>
  <c r="AX58" i="4"/>
  <c r="AW33" i="4"/>
  <c r="AX101" i="4"/>
  <c r="AX182" i="4"/>
  <c r="AW169" i="4"/>
  <c r="AW26" i="4"/>
  <c r="AW25" i="4"/>
  <c r="AX120" i="4"/>
  <c r="AW144" i="4"/>
  <c r="AW28" i="4"/>
  <c r="AW185" i="4"/>
  <c r="AX71" i="4"/>
  <c r="AX133" i="4"/>
  <c r="AW77" i="4"/>
  <c r="AX166" i="4"/>
  <c r="AX31" i="4"/>
  <c r="AX172" i="4"/>
  <c r="AW183" i="4"/>
  <c r="AX174" i="4"/>
  <c r="AX43" i="4"/>
  <c r="AW162" i="4"/>
  <c r="AW98" i="4"/>
  <c r="AW210" i="4"/>
  <c r="AX81" i="4"/>
  <c r="AW181" i="4"/>
  <c r="AX52" i="4"/>
  <c r="AW128" i="4"/>
  <c r="AX46" i="4"/>
  <c r="AW78" i="4"/>
  <c r="AX155" i="4"/>
  <c r="AX197" i="4"/>
  <c r="AX124" i="4"/>
  <c r="AX165" i="4"/>
  <c r="AX114" i="4"/>
  <c r="AX93" i="4"/>
  <c r="AW191" i="4"/>
  <c r="AX164" i="4"/>
  <c r="AX126" i="4"/>
  <c r="AW11" i="4"/>
  <c r="AW91" i="4"/>
  <c r="AX122" i="4"/>
  <c r="AW136" i="4"/>
  <c r="AX59" i="4"/>
  <c r="AW130" i="4"/>
  <c r="AW83" i="4"/>
  <c r="AX154" i="4"/>
  <c r="AW99" i="4"/>
  <c r="AX9" i="4"/>
  <c r="AW150" i="4"/>
  <c r="AX215" i="4"/>
  <c r="AW138" i="4"/>
  <c r="AX194" i="4"/>
  <c r="AW153" i="4"/>
  <c r="AW160" i="4"/>
  <c r="AW198" i="4"/>
  <c r="AX6" i="4"/>
  <c r="AW53" i="4"/>
  <c r="AX53" i="4"/>
  <c r="AX177" i="4"/>
  <c r="AW177" i="4"/>
  <c r="AW192" i="4"/>
  <c r="AW212" i="4"/>
  <c r="AW66" i="4"/>
  <c r="AW75" i="4"/>
  <c r="AX109" i="4"/>
  <c r="AX17" i="4"/>
  <c r="AW137" i="4"/>
  <c r="AW161" i="4"/>
  <c r="AW179" i="4"/>
  <c r="AW139" i="4"/>
  <c r="AX39" i="4"/>
  <c r="AW211" i="4"/>
  <c r="AX15" i="4"/>
  <c r="AW127" i="4"/>
  <c r="AW159" i="4"/>
  <c r="AX108" i="4"/>
  <c r="AX18" i="4"/>
  <c r="AX96" i="4"/>
  <c r="AX90" i="4"/>
  <c r="AX135" i="4"/>
  <c r="AX19" i="4"/>
  <c r="AW170" i="4"/>
  <c r="AW21" i="4"/>
  <c r="AW56" i="4"/>
  <c r="AW51" i="4"/>
  <c r="AX195" i="4"/>
  <c r="AX112" i="4"/>
  <c r="AX188" i="4"/>
  <c r="AX12" i="4"/>
  <c r="AW196" i="4"/>
  <c r="AW205" i="4"/>
  <c r="AW5" i="4"/>
  <c r="AX5" i="4"/>
  <c r="AW61" i="4"/>
  <c r="AX85" i="4"/>
  <c r="AX36" i="4"/>
  <c r="AX204" i="4"/>
  <c r="AW20" i="4"/>
  <c r="AW131" i="4"/>
  <c r="AW116" i="4"/>
  <c r="AW140" i="4"/>
  <c r="AX38" i="4"/>
  <c r="AX186" i="4"/>
  <c r="AW129" i="4"/>
  <c r="AX203" i="4"/>
  <c r="AX47" i="4"/>
  <c r="AX206" i="4"/>
  <c r="AX50" i="4"/>
  <c r="AW102" i="4"/>
  <c r="AW171" i="4"/>
  <c r="AW45" i="4"/>
  <c r="AX27" i="4"/>
  <c r="AX57" i="4"/>
  <c r="AW207" i="4"/>
  <c r="AW118" i="4"/>
  <c r="AX104" i="4"/>
  <c r="AX64" i="4"/>
  <c r="AX216" i="4"/>
  <c r="AW42" i="4"/>
  <c r="AW107" i="4"/>
  <c r="AW23" i="4"/>
  <c r="AW105" i="4"/>
  <c r="AX41" i="4"/>
  <c r="AX100" i="4"/>
  <c r="AW163" i="4"/>
  <c r="AW13" i="4"/>
  <c r="AX156" i="4"/>
  <c r="AX55" i="4"/>
  <c r="AW157" i="4"/>
  <c r="AW65" i="4"/>
  <c r="AX119" i="4"/>
  <c r="AX145" i="4"/>
  <c r="AW72" i="4"/>
  <c r="AX106" i="4"/>
  <c r="AW29" i="4"/>
  <c r="AX76" i="4"/>
  <c r="AW214" i="4"/>
  <c r="AX3" i="4"/>
  <c r="AX73" i="4"/>
  <c r="AX97" i="4"/>
  <c r="AW68" i="4"/>
  <c r="AX190" i="4"/>
  <c r="AW8" i="4"/>
  <c r="AX125" i="4"/>
  <c r="AX167" i="4"/>
  <c r="AX148" i="4"/>
  <c r="AW149" i="4"/>
  <c r="AX151" i="4"/>
  <c r="AX146" i="4"/>
  <c r="AX152" i="4"/>
  <c r="AX147" i="4"/>
  <c r="AO28" i="8"/>
  <c r="I34" i="31"/>
  <c r="AP12" i="8"/>
  <c r="AO25" i="8"/>
  <c r="AP26" i="8"/>
  <c r="AO55" i="8"/>
  <c r="AO31" i="8"/>
  <c r="AP11" i="8"/>
  <c r="AO27" i="8"/>
  <c r="AP8" i="8"/>
  <c r="AO13" i="8"/>
  <c r="AO8" i="8"/>
  <c r="AO21" i="8"/>
  <c r="AP14" i="8"/>
  <c r="AO11" i="8"/>
  <c r="AO20" i="8"/>
  <c r="AO14" i="8"/>
  <c r="AP32" i="8"/>
  <c r="AO58" i="8"/>
  <c r="AP16" i="8"/>
  <c r="I32" i="31"/>
  <c r="AP40" i="8"/>
  <c r="AP57" i="8"/>
  <c r="AP9" i="8"/>
  <c r="AV9" i="8" s="1"/>
  <c r="AP5" i="8"/>
  <c r="AO37" i="8"/>
  <c r="I40" i="31"/>
  <c r="AO5" i="8"/>
  <c r="AP10" i="8"/>
  <c r="AO19" i="8"/>
  <c r="AO15" i="8"/>
  <c r="AO34" i="8"/>
  <c r="AO30" i="8"/>
  <c r="AO6" i="8"/>
  <c r="AP6" i="8"/>
  <c r="AP18" i="8"/>
  <c r="AO23" i="8"/>
  <c r="AO3" i="8"/>
  <c r="AP53" i="8"/>
  <c r="AO62" i="8"/>
  <c r="AP17" i="8"/>
  <c r="I12" i="31"/>
  <c r="AP38" i="8"/>
  <c r="I11" i="31"/>
  <c r="AO2" i="8"/>
  <c r="AP39" i="8"/>
  <c r="AP13" i="8"/>
  <c r="AV13" i="8" s="1"/>
  <c r="AP23" i="8"/>
  <c r="AO7" i="8"/>
  <c r="AO36" i="8"/>
  <c r="AO33" i="8"/>
  <c r="AP61" i="8"/>
  <c r="AP4" i="8"/>
  <c r="AO24" i="8"/>
  <c r="AO29" i="8"/>
  <c r="AP54" i="8"/>
  <c r="AP60" i="8"/>
  <c r="AP22" i="8"/>
  <c r="B169" i="14" l="1"/>
  <c r="B208" i="14" s="1"/>
  <c r="B247" i="14" s="1"/>
  <c r="C130" i="14"/>
  <c r="AP59" i="8"/>
  <c r="C125" i="14"/>
  <c r="B164" i="14"/>
  <c r="B674" i="12"/>
  <c r="C539" i="12"/>
  <c r="D140" i="14"/>
  <c r="F123" i="14"/>
  <c r="F134" i="14"/>
  <c r="I140" i="14"/>
  <c r="C123" i="14"/>
  <c r="F125" i="14"/>
  <c r="I134" i="14"/>
  <c r="B672" i="12"/>
  <c r="C537" i="12"/>
  <c r="I125" i="14"/>
  <c r="C713" i="12"/>
  <c r="F140" i="14"/>
  <c r="B845" i="12"/>
  <c r="I123" i="14"/>
  <c r="D125" i="14"/>
  <c r="A909" i="12"/>
  <c r="C774" i="12"/>
  <c r="D171" i="14"/>
  <c r="G149" i="14"/>
  <c r="H125" i="14"/>
  <c r="B681" i="12"/>
  <c r="C546" i="12"/>
  <c r="B180" i="14"/>
  <c r="B219" i="14" s="1"/>
  <c r="B258" i="14" s="1"/>
  <c r="C141" i="14"/>
  <c r="H141" i="14"/>
  <c r="F141" i="14"/>
  <c r="D141" i="14"/>
  <c r="E141" i="14"/>
  <c r="I141" i="14"/>
  <c r="B650" i="12"/>
  <c r="C515" i="12"/>
  <c r="C759" i="12"/>
  <c r="B894" i="12"/>
  <c r="G141" i="14"/>
  <c r="D134" i="14"/>
  <c r="B1045" i="12"/>
  <c r="C910" i="12"/>
  <c r="C134" i="14"/>
  <c r="E130" i="14"/>
  <c r="B435" i="12"/>
  <c r="C300" i="12"/>
  <c r="B485" i="12"/>
  <c r="C350" i="12"/>
  <c r="A791" i="12"/>
  <c r="C656" i="12"/>
  <c r="B506" i="12"/>
  <c r="C371" i="12"/>
  <c r="A1355" i="12"/>
  <c r="C1220" i="12"/>
  <c r="A653" i="12"/>
  <c r="C518" i="12"/>
  <c r="B577" i="12"/>
  <c r="C442" i="12"/>
  <c r="A212" i="14"/>
  <c r="A1054" i="12"/>
  <c r="C919" i="12"/>
  <c r="B181" i="14"/>
  <c r="D142" i="14"/>
  <c r="I142" i="14"/>
  <c r="C142" i="14"/>
  <c r="G142" i="14"/>
  <c r="H142" i="14"/>
  <c r="F142" i="14"/>
  <c r="E142" i="14"/>
  <c r="C979" i="12"/>
  <c r="B1114" i="12"/>
  <c r="D130" i="14"/>
  <c r="A636" i="12"/>
  <c r="C501" i="12"/>
  <c r="B508" i="12"/>
  <c r="C373" i="12"/>
  <c r="B185" i="14"/>
  <c r="C146" i="14"/>
  <c r="D146" i="14"/>
  <c r="G146" i="14"/>
  <c r="E146" i="14"/>
  <c r="I146" i="14"/>
  <c r="F146" i="14"/>
  <c r="H146" i="14"/>
  <c r="B1863" i="12"/>
  <c r="C1728" i="12"/>
  <c r="A230" i="14"/>
  <c r="D191" i="14"/>
  <c r="I191" i="14"/>
  <c r="F191" i="14"/>
  <c r="G191" i="14"/>
  <c r="C191" i="14"/>
  <c r="H191" i="14"/>
  <c r="E191" i="14"/>
  <c r="H171" i="14"/>
  <c r="B441" i="12"/>
  <c r="C306" i="12"/>
  <c r="B173" i="14"/>
  <c r="E173" i="14" s="1"/>
  <c r="E134" i="14"/>
  <c r="C180" i="14"/>
  <c r="G180" i="14"/>
  <c r="F180" i="14"/>
  <c r="E180" i="14"/>
  <c r="H180" i="14"/>
  <c r="D180" i="14"/>
  <c r="A219" i="14"/>
  <c r="F171" i="14"/>
  <c r="A645" i="12"/>
  <c r="C510" i="12"/>
  <c r="B677" i="12"/>
  <c r="C542" i="12"/>
  <c r="A162" i="14"/>
  <c r="A201" i="14" s="1"/>
  <c r="A240" i="14" s="1"/>
  <c r="E123" i="14"/>
  <c r="H134" i="14"/>
  <c r="A207" i="14"/>
  <c r="C168" i="14"/>
  <c r="I168" i="14"/>
  <c r="F168" i="14"/>
  <c r="G168" i="14"/>
  <c r="D168" i="14"/>
  <c r="H168" i="14"/>
  <c r="E168" i="14"/>
  <c r="C148" i="14"/>
  <c r="C149" i="14"/>
  <c r="G130" i="14"/>
  <c r="B540" i="12"/>
  <c r="C405" i="12"/>
  <c r="B595" i="12"/>
  <c r="C460" i="12"/>
  <c r="B527" i="12"/>
  <c r="C392" i="12"/>
  <c r="G238" i="14"/>
  <c r="I238" i="14"/>
  <c r="D238" i="14"/>
  <c r="H238" i="14"/>
  <c r="F238" i="14"/>
  <c r="E238" i="14"/>
  <c r="C238" i="14"/>
  <c r="B409" i="12"/>
  <c r="C274" i="12"/>
  <c r="F128" i="14"/>
  <c r="I130" i="14"/>
  <c r="C214" i="14"/>
  <c r="B190" i="14"/>
  <c r="B229" i="14" s="1"/>
  <c r="B268" i="14" s="1"/>
  <c r="E151" i="14"/>
  <c r="B1885" i="12"/>
  <c r="C1750" i="12"/>
  <c r="B598" i="12"/>
  <c r="C463" i="12"/>
  <c r="B204" i="14"/>
  <c r="F165" i="14"/>
  <c r="I165" i="14"/>
  <c r="C165" i="14"/>
  <c r="E165" i="14"/>
  <c r="G165" i="14"/>
  <c r="H165" i="14"/>
  <c r="D165" i="14"/>
  <c r="B871" i="12"/>
  <c r="C736" i="12"/>
  <c r="I171" i="14"/>
  <c r="B654" i="12"/>
  <c r="C519" i="12"/>
  <c r="B1076" i="12"/>
  <c r="C941" i="12"/>
  <c r="B579" i="12"/>
  <c r="C444" i="12"/>
  <c r="B491" i="12"/>
  <c r="C356" i="12"/>
  <c r="B428" i="12"/>
  <c r="C293" i="12"/>
  <c r="E214" i="14"/>
  <c r="H214" i="14"/>
  <c r="B608" i="12"/>
  <c r="C473" i="12"/>
  <c r="A1380" i="12"/>
  <c r="A555" i="12"/>
  <c r="C420" i="12"/>
  <c r="B450" i="12"/>
  <c r="C315" i="12"/>
  <c r="B548" i="12"/>
  <c r="C413" i="12"/>
  <c r="B2026" i="12"/>
  <c r="C1891" i="12"/>
  <c r="B203" i="14"/>
  <c r="I164" i="14"/>
  <c r="G164" i="14"/>
  <c r="E164" i="14"/>
  <c r="C164" i="14"/>
  <c r="F164" i="14"/>
  <c r="H164" i="14"/>
  <c r="D164" i="14"/>
  <c r="A2159" i="12"/>
  <c r="B1302" i="12"/>
  <c r="C1167" i="12"/>
  <c r="H128" i="14"/>
  <c r="B633" i="12"/>
  <c r="C498" i="12"/>
  <c r="B699" i="12"/>
  <c r="C564" i="12"/>
  <c r="E122" i="14"/>
  <c r="I122" i="14"/>
  <c r="C122" i="14"/>
  <c r="H122" i="14"/>
  <c r="F122" i="14"/>
  <c r="G122" i="14"/>
  <c r="A161" i="14"/>
  <c r="D122" i="14"/>
  <c r="B838" i="12"/>
  <c r="C703" i="12"/>
  <c r="A686" i="12"/>
  <c r="C551" i="12"/>
  <c r="G128" i="14"/>
  <c r="E148" i="14"/>
  <c r="D214" i="14"/>
  <c r="B581" i="12"/>
  <c r="C446" i="12"/>
  <c r="B573" i="12"/>
  <c r="C438" i="12"/>
  <c r="B178" i="14"/>
  <c r="F139" i="14"/>
  <c r="C139" i="14"/>
  <c r="I139" i="14"/>
  <c r="E139" i="14"/>
  <c r="D139" i="14"/>
  <c r="H139" i="14"/>
  <c r="G139" i="14"/>
  <c r="B741" i="12"/>
  <c r="C606" i="12"/>
  <c r="I196" i="14"/>
  <c r="F196" i="14"/>
  <c r="D196" i="14"/>
  <c r="H196" i="14"/>
  <c r="E196" i="14"/>
  <c r="A235" i="14"/>
  <c r="G196" i="14"/>
  <c r="C196" i="14"/>
  <c r="A790" i="12"/>
  <c r="C655" i="12"/>
  <c r="A695" i="12"/>
  <c r="C560" i="12"/>
  <c r="B534" i="12"/>
  <c r="C399" i="12"/>
  <c r="D128" i="14"/>
  <c r="F149" i="14"/>
  <c r="A210" i="14"/>
  <c r="A249" i="14" s="1"/>
  <c r="G171" i="14"/>
  <c r="E171" i="14"/>
  <c r="F148" i="14"/>
  <c r="F130" i="14"/>
  <c r="G214" i="14"/>
  <c r="B936" i="12"/>
  <c r="C801" i="12"/>
  <c r="B622" i="12"/>
  <c r="C487" i="12"/>
  <c r="C597" i="12"/>
  <c r="B732" i="12"/>
  <c r="B511" i="12"/>
  <c r="C376" i="12"/>
  <c r="A951" i="12"/>
  <c r="B455" i="12"/>
  <c r="C320" i="12"/>
  <c r="B611" i="12"/>
  <c r="C476" i="12"/>
  <c r="C754" i="12"/>
  <c r="B889" i="12"/>
  <c r="B718" i="12"/>
  <c r="C583" i="12"/>
  <c r="B1601" i="12"/>
  <c r="C451" i="12"/>
  <c r="B586" i="12"/>
  <c r="A256" i="14"/>
  <c r="B704" i="12"/>
  <c r="C569" i="12"/>
  <c r="A189" i="14"/>
  <c r="D150" i="14"/>
  <c r="C150" i="14"/>
  <c r="F150" i="14"/>
  <c r="G150" i="14"/>
  <c r="H150" i="14"/>
  <c r="I150" i="14"/>
  <c r="E150" i="14"/>
  <c r="B1285" i="12"/>
  <c r="C1150" i="12"/>
  <c r="B249" i="14"/>
  <c r="G210" i="14"/>
  <c r="H210" i="14"/>
  <c r="F210" i="14"/>
  <c r="B1403" i="12"/>
  <c r="C1268" i="12"/>
  <c r="B734" i="12"/>
  <c r="C599" i="12"/>
  <c r="G156" i="14"/>
  <c r="A195" i="14"/>
  <c r="H156" i="14"/>
  <c r="I156" i="14"/>
  <c r="D156" i="14"/>
  <c r="F156" i="14"/>
  <c r="C156" i="14"/>
  <c r="E156" i="14"/>
  <c r="B1313" i="12"/>
  <c r="C1178" i="12"/>
  <c r="H148" i="14"/>
  <c r="B436" i="12"/>
  <c r="C301" i="12"/>
  <c r="B566" i="12"/>
  <c r="C431" i="12"/>
  <c r="I153" i="14"/>
  <c r="H153" i="14"/>
  <c r="D153" i="14"/>
  <c r="C153" i="14"/>
  <c r="A192" i="14"/>
  <c r="F153" i="14"/>
  <c r="G153" i="14"/>
  <c r="E153" i="14"/>
  <c r="H253" i="14"/>
  <c r="G253" i="14"/>
  <c r="D253" i="14"/>
  <c r="I253" i="14"/>
  <c r="C253" i="14"/>
  <c r="F253" i="14"/>
  <c r="E253" i="14"/>
  <c r="C864" i="12"/>
  <c r="B999" i="12"/>
  <c r="A558" i="12"/>
  <c r="C423" i="12"/>
  <c r="B819" i="12"/>
  <c r="C684" i="12"/>
  <c r="B1100" i="12"/>
  <c r="B1037" i="12"/>
  <c r="C902" i="12"/>
  <c r="B554" i="12"/>
  <c r="C419" i="12"/>
  <c r="A263" i="14"/>
  <c r="A206" i="14"/>
  <c r="B948" i="12"/>
  <c r="C813" i="12"/>
  <c r="G147" i="14"/>
  <c r="H147" i="14"/>
  <c r="I147" i="14"/>
  <c r="C147" i="14"/>
  <c r="A186" i="14"/>
  <c r="D147" i="14"/>
  <c r="F147" i="14"/>
  <c r="E147" i="14"/>
  <c r="B1171" i="12"/>
  <c r="C1036" i="12"/>
  <c r="B197" i="14"/>
  <c r="I158" i="14"/>
  <c r="E158" i="14"/>
  <c r="D158" i="14"/>
  <c r="F158" i="14"/>
  <c r="H158" i="14"/>
  <c r="C158" i="14"/>
  <c r="G158" i="14"/>
  <c r="B994" i="12"/>
  <c r="C859" i="12"/>
  <c r="B937" i="12"/>
  <c r="C802" i="12"/>
  <c r="B652" i="12"/>
  <c r="C517" i="12"/>
  <c r="C452" i="12"/>
  <c r="B587" i="12"/>
  <c r="B500" i="12"/>
  <c r="C365" i="12"/>
  <c r="H124" i="14"/>
  <c r="A163" i="14"/>
  <c r="I124" i="14"/>
  <c r="G124" i="14"/>
  <c r="C124" i="14"/>
  <c r="D124" i="14"/>
  <c r="F124" i="14"/>
  <c r="E124" i="14"/>
  <c r="B424" i="12"/>
  <c r="C289" i="12"/>
  <c r="B437" i="12"/>
  <c r="C302" i="12"/>
  <c r="B201" i="14"/>
  <c r="B1324" i="12"/>
  <c r="B1153" i="12"/>
  <c r="C1018" i="12"/>
  <c r="B915" i="12"/>
  <c r="C348" i="12"/>
  <c r="B483" i="12"/>
  <c r="B1102" i="12"/>
  <c r="C967" i="12"/>
  <c r="B1225" i="12"/>
  <c r="C1090" i="12"/>
  <c r="C1078" i="12"/>
  <c r="B1213" i="12"/>
  <c r="C3498" i="12"/>
  <c r="B3633" i="12"/>
  <c r="G148" i="14"/>
  <c r="B616" i="12"/>
  <c r="C481" i="12"/>
  <c r="B615" i="12"/>
  <c r="C480" i="12"/>
  <c r="C1144" i="12"/>
  <c r="B1279" i="12"/>
  <c r="A259" i="14"/>
  <c r="F214" i="14"/>
  <c r="C145" i="14"/>
  <c r="G145" i="14"/>
  <c r="H145" i="14"/>
  <c r="A184" i="14"/>
  <c r="D145" i="14"/>
  <c r="F145" i="14"/>
  <c r="I145" i="14"/>
  <c r="E145" i="14"/>
  <c r="B1311" i="12"/>
  <c r="B421" i="12"/>
  <c r="C286" i="12"/>
  <c r="B731" i="12"/>
  <c r="C596" i="12"/>
  <c r="G187" i="14"/>
  <c r="A226" i="14"/>
  <c r="H187" i="14"/>
  <c r="D187" i="14"/>
  <c r="I187" i="14"/>
  <c r="F187" i="14"/>
  <c r="C187" i="14"/>
  <c r="E187" i="14"/>
  <c r="B796" i="12"/>
  <c r="C661" i="12"/>
  <c r="B737" i="12"/>
  <c r="C602" i="12"/>
  <c r="B1596" i="12"/>
  <c r="C1461" i="12"/>
  <c r="B426" i="12"/>
  <c r="C291" i="12"/>
  <c r="B958" i="12"/>
  <c r="C823" i="12"/>
  <c r="B1170" i="12"/>
  <c r="C1035" i="12"/>
  <c r="D138" i="14"/>
  <c r="I138" i="14"/>
  <c r="F138" i="14"/>
  <c r="A177" i="14"/>
  <c r="G138" i="14"/>
  <c r="C138" i="14"/>
  <c r="H138" i="14"/>
  <c r="E138" i="14"/>
  <c r="C848" i="12"/>
  <c r="B983" i="12"/>
  <c r="G183" i="14"/>
  <c r="I183" i="14"/>
  <c r="C183" i="14"/>
  <c r="D183" i="14"/>
  <c r="F183" i="14"/>
  <c r="A222" i="14"/>
  <c r="H183" i="14"/>
  <c r="E183" i="14"/>
  <c r="B1435" i="12"/>
  <c r="C1300" i="12"/>
  <c r="B740" i="12"/>
  <c r="C605" i="12"/>
  <c r="B972" i="12"/>
  <c r="C837" i="12"/>
  <c r="B1365" i="12"/>
  <c r="B898" i="12"/>
  <c r="C763" i="12"/>
  <c r="A252" i="14"/>
  <c r="B167" i="14"/>
  <c r="B206" i="14" s="1"/>
  <c r="B245" i="14" s="1"/>
  <c r="E128" i="14"/>
  <c r="B445" i="12"/>
  <c r="C310" i="12"/>
  <c r="D148" i="14"/>
  <c r="D182" i="14"/>
  <c r="G182" i="14"/>
  <c r="A221" i="14"/>
  <c r="C182" i="14"/>
  <c r="H182" i="14"/>
  <c r="F182" i="14"/>
  <c r="I182" i="14"/>
  <c r="E182" i="14"/>
  <c r="A818" i="12"/>
  <c r="B1328" i="12"/>
  <c r="G120" i="14"/>
  <c r="F120" i="14"/>
  <c r="A159" i="14"/>
  <c r="D120" i="14"/>
  <c r="H120" i="14"/>
  <c r="C120" i="14"/>
  <c r="I120" i="14"/>
  <c r="E120" i="14"/>
  <c r="G169" i="14"/>
  <c r="D169" i="14"/>
  <c r="C169" i="14"/>
  <c r="A208" i="14"/>
  <c r="H169" i="14"/>
  <c r="F169" i="14"/>
  <c r="I169" i="14"/>
  <c r="E169" i="14"/>
  <c r="D176" i="14"/>
  <c r="A215" i="14"/>
  <c r="F176" i="14"/>
  <c r="I176" i="14"/>
  <c r="H176" i="14"/>
  <c r="C176" i="14"/>
  <c r="G176" i="14"/>
  <c r="E176" i="14"/>
  <c r="C565" i="12"/>
  <c r="B700" i="12"/>
  <c r="B738" i="12"/>
  <c r="C603" i="12"/>
  <c r="A2160" i="12"/>
  <c r="B980" i="12"/>
  <c r="C845" i="12"/>
  <c r="C1087" i="12"/>
  <c r="B1222" i="12"/>
  <c r="B2005" i="12"/>
  <c r="B523" i="12"/>
  <c r="C388" i="12"/>
  <c r="B609" i="12"/>
  <c r="C474" i="12"/>
  <c r="B623" i="12"/>
  <c r="C488" i="12"/>
  <c r="G179" i="14"/>
  <c r="D179" i="14"/>
  <c r="H179" i="14"/>
  <c r="F179" i="14"/>
  <c r="A218" i="14"/>
  <c r="I179" i="14"/>
  <c r="C179" i="14"/>
  <c r="E179" i="14"/>
  <c r="A229" i="14"/>
  <c r="C190" i="14"/>
  <c r="B174" i="14"/>
  <c r="C135" i="14"/>
  <c r="H135" i="14"/>
  <c r="I135" i="14"/>
  <c r="D135" i="14"/>
  <c r="F135" i="14"/>
  <c r="E135" i="14"/>
  <c r="G135" i="14"/>
  <c r="B600" i="12"/>
  <c r="C465" i="12"/>
  <c r="I148" i="14"/>
  <c r="B232" i="14"/>
  <c r="C193" i="14"/>
  <c r="G193" i="14"/>
  <c r="I193" i="14"/>
  <c r="D193" i="14"/>
  <c r="F193" i="14"/>
  <c r="H193" i="14"/>
  <c r="E193" i="14"/>
  <c r="A227" i="14"/>
  <c r="B657" i="12"/>
  <c r="C522" i="12"/>
  <c r="B1368" i="12"/>
  <c r="B188" i="14"/>
  <c r="E149" i="14"/>
  <c r="B1362" i="12"/>
  <c r="C1227" i="12"/>
  <c r="B660" i="12"/>
  <c r="C525" i="12"/>
  <c r="C1012" i="12"/>
  <c r="B1147" i="12"/>
  <c r="B956" i="12"/>
  <c r="B1589" i="12"/>
  <c r="C1454" i="12"/>
  <c r="B612" i="12"/>
  <c r="C477" i="12"/>
  <c r="B449" i="12"/>
  <c r="C314" i="12"/>
  <c r="A194" i="14"/>
  <c r="C155" i="14"/>
  <c r="D155" i="14"/>
  <c r="G155" i="14"/>
  <c r="I155" i="14"/>
  <c r="H155" i="14"/>
  <c r="F155" i="14"/>
  <c r="E155" i="14"/>
  <c r="B1714" i="12"/>
  <c r="C1579" i="12"/>
  <c r="B1131" i="12"/>
  <c r="C996" i="12"/>
  <c r="C172" i="14"/>
  <c r="A211" i="14"/>
  <c r="G172" i="14"/>
  <c r="D172" i="14"/>
  <c r="I172" i="14"/>
  <c r="H172" i="14"/>
  <c r="F172" i="14"/>
  <c r="E172" i="14"/>
  <c r="H209" i="14"/>
  <c r="D209" i="14"/>
  <c r="I209" i="14"/>
  <c r="G209" i="14"/>
  <c r="C209" i="14"/>
  <c r="A248" i="14"/>
  <c r="F209" i="14"/>
  <c r="E209" i="14"/>
  <c r="B1267" i="12"/>
  <c r="C1132" i="12"/>
  <c r="B482" i="12"/>
  <c r="C347" i="12"/>
  <c r="B3204" i="12"/>
  <c r="B935" i="12"/>
  <c r="C800" i="12"/>
  <c r="B1625" i="12"/>
  <c r="B1979" i="12"/>
  <c r="C1844" i="12"/>
  <c r="B1161" i="12"/>
  <c r="C1026" i="12"/>
  <c r="C524" i="12"/>
  <c r="B659" i="12"/>
  <c r="C799" i="12"/>
  <c r="B934" i="12"/>
  <c r="B453" i="12"/>
  <c r="C318" i="12"/>
  <c r="B2288" i="12"/>
  <c r="C2153" i="12"/>
  <c r="B852" i="12"/>
  <c r="C717" i="12"/>
  <c r="I149" i="14"/>
  <c r="B647" i="12"/>
  <c r="C512" i="12"/>
  <c r="I127" i="14"/>
  <c r="C127" i="14"/>
  <c r="H127" i="14"/>
  <c r="D127" i="14"/>
  <c r="A166" i="14"/>
  <c r="F127" i="14"/>
  <c r="G127" i="14"/>
  <c r="E127" i="14"/>
  <c r="H130" i="14"/>
  <c r="I214" i="14"/>
  <c r="B1722" i="12"/>
  <c r="C1587" i="12"/>
  <c r="B884" i="12"/>
  <c r="C749" i="12"/>
  <c r="B502" i="12"/>
  <c r="C367" i="12"/>
  <c r="B422" i="12"/>
  <c r="C287" i="12"/>
  <c r="B227" i="14" l="1"/>
  <c r="B266" i="14" s="1"/>
  <c r="F188" i="14"/>
  <c r="I180" i="14"/>
  <c r="A1044" i="12"/>
  <c r="C909" i="12"/>
  <c r="B807" i="12"/>
  <c r="C672" i="12"/>
  <c r="G190" i="14"/>
  <c r="E210" i="14"/>
  <c r="B809" i="12"/>
  <c r="C674" i="12"/>
  <c r="F190" i="14"/>
  <c r="D210" i="14"/>
  <c r="C162" i="14"/>
  <c r="E162" i="14"/>
  <c r="C210" i="14"/>
  <c r="A788" i="12"/>
  <c r="C653" i="12"/>
  <c r="F162" i="14"/>
  <c r="E219" i="14"/>
  <c r="F219" i="14"/>
  <c r="H219" i="14"/>
  <c r="A258" i="14"/>
  <c r="G219" i="14"/>
  <c r="D219" i="14"/>
  <c r="I219" i="14"/>
  <c r="C219" i="14"/>
  <c r="B643" i="12"/>
  <c r="C508" i="12"/>
  <c r="B712" i="12"/>
  <c r="C577" i="12"/>
  <c r="A926" i="12"/>
  <c r="C791" i="12"/>
  <c r="C1045" i="12"/>
  <c r="B1180" i="12"/>
  <c r="B212" i="14"/>
  <c r="B251" i="14" s="1"/>
  <c r="F173" i="14"/>
  <c r="I162" i="14"/>
  <c r="B576" i="12"/>
  <c r="C441" i="12"/>
  <c r="D173" i="14"/>
  <c r="B1029" i="12"/>
  <c r="C894" i="12"/>
  <c r="I173" i="14"/>
  <c r="G162" i="14"/>
  <c r="C677" i="12"/>
  <c r="B812" i="12"/>
  <c r="H230" i="14"/>
  <c r="I230" i="14"/>
  <c r="D230" i="14"/>
  <c r="F230" i="14"/>
  <c r="A269" i="14"/>
  <c r="G230" i="14"/>
  <c r="C230" i="14"/>
  <c r="E230" i="14"/>
  <c r="B1249" i="12"/>
  <c r="C1114" i="12"/>
  <c r="G173" i="14"/>
  <c r="A1490" i="12"/>
  <c r="C1355" i="12"/>
  <c r="B570" i="12"/>
  <c r="C435" i="12"/>
  <c r="B620" i="12"/>
  <c r="C485" i="12"/>
  <c r="B220" i="14"/>
  <c r="E181" i="14"/>
  <c r="G181" i="14"/>
  <c r="D181" i="14"/>
  <c r="C181" i="14"/>
  <c r="F181" i="14"/>
  <c r="I181" i="14"/>
  <c r="H181" i="14"/>
  <c r="A251" i="14"/>
  <c r="I212" i="14"/>
  <c r="F212" i="14"/>
  <c r="H212" i="14"/>
  <c r="E212" i="14"/>
  <c r="C212" i="14"/>
  <c r="D212" i="14"/>
  <c r="G212" i="14"/>
  <c r="A771" i="12"/>
  <c r="C636" i="12"/>
  <c r="H173" i="14"/>
  <c r="D162" i="14"/>
  <c r="A780" i="12"/>
  <c r="C645" i="12"/>
  <c r="C1863" i="12"/>
  <c r="B1998" i="12"/>
  <c r="B224" i="14"/>
  <c r="E185" i="14"/>
  <c r="G185" i="14"/>
  <c r="D185" i="14"/>
  <c r="H185" i="14"/>
  <c r="F185" i="14"/>
  <c r="I185" i="14"/>
  <c r="C185" i="14"/>
  <c r="C173" i="14"/>
  <c r="C506" i="12"/>
  <c r="B641" i="12"/>
  <c r="B785" i="12"/>
  <c r="C650" i="12"/>
  <c r="H162" i="14"/>
  <c r="A1189" i="12"/>
  <c r="C1054" i="12"/>
  <c r="B816" i="12"/>
  <c r="C681" i="12"/>
  <c r="E161" i="14"/>
  <c r="A200" i="14"/>
  <c r="C161" i="14"/>
  <c r="G161" i="14"/>
  <c r="F161" i="14"/>
  <c r="D161" i="14"/>
  <c r="I161" i="14"/>
  <c r="H161" i="14"/>
  <c r="B834" i="12"/>
  <c r="C699" i="12"/>
  <c r="G188" i="14"/>
  <c r="I190" i="14"/>
  <c r="I210" i="14"/>
  <c r="A1086" i="12"/>
  <c r="B1071" i="12"/>
  <c r="C936" i="12"/>
  <c r="B2161" i="12"/>
  <c r="C2026" i="12"/>
  <c r="A1515" i="12"/>
  <c r="B626" i="12"/>
  <c r="C491" i="12"/>
  <c r="B768" i="12"/>
  <c r="C633" i="12"/>
  <c r="B730" i="12"/>
  <c r="C595" i="12"/>
  <c r="B683" i="12"/>
  <c r="C548" i="12"/>
  <c r="B743" i="12"/>
  <c r="C608" i="12"/>
  <c r="B714" i="12"/>
  <c r="C579" i="12"/>
  <c r="C732" i="12"/>
  <c r="B867" i="12"/>
  <c r="B675" i="12"/>
  <c r="C540" i="12"/>
  <c r="H190" i="14"/>
  <c r="A830" i="12"/>
  <c r="C695" i="12"/>
  <c r="B708" i="12"/>
  <c r="C573" i="12"/>
  <c r="B1437" i="12"/>
  <c r="C1302" i="12"/>
  <c r="B585" i="12"/>
  <c r="C450" i="12"/>
  <c r="B1211" i="12"/>
  <c r="C1076" i="12"/>
  <c r="B544" i="12"/>
  <c r="C409" i="12"/>
  <c r="B1006" i="12"/>
  <c r="C871" i="12"/>
  <c r="B243" i="14"/>
  <c r="I204" i="14"/>
  <c r="G204" i="14"/>
  <c r="D204" i="14"/>
  <c r="E204" i="14"/>
  <c r="F204" i="14"/>
  <c r="C204" i="14"/>
  <c r="H204" i="14"/>
  <c r="C511" i="12"/>
  <c r="B646" i="12"/>
  <c r="B669" i="12"/>
  <c r="C534" i="12"/>
  <c r="E235" i="14"/>
  <c r="I235" i="14"/>
  <c r="H235" i="14"/>
  <c r="A274" i="14"/>
  <c r="G235" i="14"/>
  <c r="D235" i="14"/>
  <c r="C235" i="14"/>
  <c r="F235" i="14"/>
  <c r="E190" i="14"/>
  <c r="B973" i="12"/>
  <c r="C838" i="12"/>
  <c r="B2020" i="12"/>
  <c r="C1885" i="12"/>
  <c r="B662" i="12"/>
  <c r="C527" i="12"/>
  <c r="B876" i="12"/>
  <c r="C741" i="12"/>
  <c r="B217" i="14"/>
  <c r="G178" i="14"/>
  <c r="H178" i="14"/>
  <c r="E178" i="14"/>
  <c r="D178" i="14"/>
  <c r="C178" i="14"/>
  <c r="F178" i="14"/>
  <c r="I178" i="14"/>
  <c r="A821" i="12"/>
  <c r="C686" i="12"/>
  <c r="B733" i="12"/>
  <c r="C598" i="12"/>
  <c r="D190" i="14"/>
  <c r="C622" i="12"/>
  <c r="B757" i="12"/>
  <c r="A925" i="12"/>
  <c r="C790" i="12"/>
  <c r="C581" i="12"/>
  <c r="B716" i="12"/>
  <c r="A2294" i="12"/>
  <c r="B242" i="14"/>
  <c r="C203" i="14"/>
  <c r="D203" i="14"/>
  <c r="F203" i="14"/>
  <c r="G203" i="14"/>
  <c r="I203" i="14"/>
  <c r="H203" i="14"/>
  <c r="E203" i="14"/>
  <c r="A690" i="12"/>
  <c r="C555" i="12"/>
  <c r="B563" i="12"/>
  <c r="C428" i="12"/>
  <c r="B789" i="12"/>
  <c r="C654" i="12"/>
  <c r="I207" i="14"/>
  <c r="F207" i="14"/>
  <c r="C207" i="14"/>
  <c r="G207" i="14"/>
  <c r="D207" i="14"/>
  <c r="E207" i="14"/>
  <c r="H207" i="14"/>
  <c r="A246" i="14"/>
  <c r="B2140" i="12"/>
  <c r="C1279" i="12"/>
  <c r="B1414" i="12"/>
  <c r="G206" i="14"/>
  <c r="D206" i="14"/>
  <c r="A245" i="14"/>
  <c r="H206" i="14"/>
  <c r="I206" i="14"/>
  <c r="F206" i="14"/>
  <c r="C206" i="14"/>
  <c r="E206" i="14"/>
  <c r="B2423" i="12"/>
  <c r="C2288" i="12"/>
  <c r="B1070" i="12"/>
  <c r="C935" i="12"/>
  <c r="B584" i="12"/>
  <c r="C449" i="12"/>
  <c r="B792" i="12"/>
  <c r="C657" i="12"/>
  <c r="H188" i="14"/>
  <c r="B1357" i="12"/>
  <c r="C1222" i="12"/>
  <c r="B835" i="12"/>
  <c r="C700" i="12"/>
  <c r="I215" i="14"/>
  <c r="D215" i="14"/>
  <c r="A254" i="14"/>
  <c r="G215" i="14"/>
  <c r="C215" i="14"/>
  <c r="F215" i="14"/>
  <c r="H215" i="14"/>
  <c r="E215" i="14"/>
  <c r="A247" i="14"/>
  <c r="C208" i="14"/>
  <c r="G208" i="14"/>
  <c r="D208" i="14"/>
  <c r="I208" i="14"/>
  <c r="F208" i="14"/>
  <c r="H208" i="14"/>
  <c r="E208" i="14"/>
  <c r="B1500" i="12"/>
  <c r="B1570" i="12"/>
  <c r="C1435" i="12"/>
  <c r="B1093" i="12"/>
  <c r="C958" i="12"/>
  <c r="B1731" i="12"/>
  <c r="C1596" i="12"/>
  <c r="F184" i="14"/>
  <c r="H184" i="14"/>
  <c r="I184" i="14"/>
  <c r="C184" i="14"/>
  <c r="D184" i="14"/>
  <c r="A223" i="14"/>
  <c r="G184" i="14"/>
  <c r="E184" i="14"/>
  <c r="D163" i="14"/>
  <c r="I163" i="14"/>
  <c r="H163" i="14"/>
  <c r="A202" i="14"/>
  <c r="G163" i="14"/>
  <c r="F163" i="14"/>
  <c r="C163" i="14"/>
  <c r="E163" i="14"/>
  <c r="C167" i="14"/>
  <c r="B869" i="12"/>
  <c r="C734" i="12"/>
  <c r="B839" i="12"/>
  <c r="C704" i="12"/>
  <c r="B853" i="12"/>
  <c r="C718" i="12"/>
  <c r="A250" i="14"/>
  <c r="H211" i="14"/>
  <c r="G211" i="14"/>
  <c r="I211" i="14"/>
  <c r="D211" i="14"/>
  <c r="C211" i="14"/>
  <c r="F211" i="14"/>
  <c r="E211" i="14"/>
  <c r="H218" i="14"/>
  <c r="C218" i="14"/>
  <c r="G218" i="14"/>
  <c r="F218" i="14"/>
  <c r="A257" i="14"/>
  <c r="D218" i="14"/>
  <c r="I218" i="14"/>
  <c r="E218" i="14"/>
  <c r="C248" i="14"/>
  <c r="I248" i="14"/>
  <c r="D248" i="14"/>
  <c r="H248" i="14"/>
  <c r="G248" i="14"/>
  <c r="F248" i="14"/>
  <c r="E248" i="14"/>
  <c r="A953" i="12"/>
  <c r="B559" i="12"/>
  <c r="C424" i="12"/>
  <c r="B1024" i="12"/>
  <c r="C889" i="12"/>
  <c r="B588" i="12"/>
  <c r="C453" i="12"/>
  <c r="C1979" i="12"/>
  <c r="B2114" i="12"/>
  <c r="B3339" i="12"/>
  <c r="B747" i="12"/>
  <c r="C612" i="12"/>
  <c r="B1091" i="12"/>
  <c r="B1497" i="12"/>
  <c r="C1362" i="12"/>
  <c r="D188" i="14"/>
  <c r="B271" i="14"/>
  <c r="H232" i="14"/>
  <c r="D232" i="14"/>
  <c r="F232" i="14"/>
  <c r="C232" i="14"/>
  <c r="G232" i="14"/>
  <c r="I232" i="14"/>
  <c r="E232" i="14"/>
  <c r="B1107" i="12"/>
  <c r="C972" i="12"/>
  <c r="C426" i="12"/>
  <c r="B561" i="12"/>
  <c r="B872" i="12"/>
  <c r="C737" i="12"/>
  <c r="I226" i="14"/>
  <c r="A265" i="14"/>
  <c r="F226" i="14"/>
  <c r="D226" i="14"/>
  <c r="G226" i="14"/>
  <c r="H226" i="14"/>
  <c r="C226" i="14"/>
  <c r="E226" i="14"/>
  <c r="B750" i="12"/>
  <c r="C615" i="12"/>
  <c r="B1348" i="12"/>
  <c r="C1213" i="12"/>
  <c r="E167" i="14"/>
  <c r="B1235" i="12"/>
  <c r="B1538" i="12"/>
  <c r="C1403" i="12"/>
  <c r="C249" i="14"/>
  <c r="H249" i="14"/>
  <c r="I249" i="14"/>
  <c r="D249" i="14"/>
  <c r="F249" i="14"/>
  <c r="E249" i="14"/>
  <c r="G249" i="14"/>
  <c r="B637" i="12"/>
  <c r="C502" i="12"/>
  <c r="B1069" i="12"/>
  <c r="C934" i="12"/>
  <c r="B744" i="12"/>
  <c r="C609" i="12"/>
  <c r="B873" i="12"/>
  <c r="C738" i="12"/>
  <c r="B1463" i="12"/>
  <c r="F221" i="14"/>
  <c r="G221" i="14"/>
  <c r="C221" i="14"/>
  <c r="H221" i="14"/>
  <c r="I221" i="14"/>
  <c r="A260" i="14"/>
  <c r="D221" i="14"/>
  <c r="E221" i="14"/>
  <c r="B1050" i="12"/>
  <c r="C999" i="12"/>
  <c r="B1134" i="12"/>
  <c r="C884" i="12"/>
  <c r="B1019" i="12"/>
  <c r="C983" i="12"/>
  <c r="B1118" i="12"/>
  <c r="B556" i="12"/>
  <c r="C421" i="12"/>
  <c r="B1237" i="12"/>
  <c r="C1102" i="12"/>
  <c r="B1288" i="12"/>
  <c r="C1153" i="12"/>
  <c r="B1459" i="12"/>
  <c r="C652" i="12"/>
  <c r="B787" i="12"/>
  <c r="C948" i="12"/>
  <c r="B1083" i="12"/>
  <c r="H167" i="14"/>
  <c r="B701" i="12"/>
  <c r="C566" i="12"/>
  <c r="C586" i="12"/>
  <c r="B721" i="12"/>
  <c r="B782" i="12"/>
  <c r="C647" i="12"/>
  <c r="B794" i="12"/>
  <c r="C659" i="12"/>
  <c r="E188" i="14"/>
  <c r="B1115" i="12"/>
  <c r="C980" i="12"/>
  <c r="G159" i="14"/>
  <c r="C159" i="14"/>
  <c r="I159" i="14"/>
  <c r="H159" i="14"/>
  <c r="F159" i="14"/>
  <c r="D159" i="14"/>
  <c r="A198" i="14"/>
  <c r="E159" i="14"/>
  <c r="D222" i="14"/>
  <c r="F222" i="14"/>
  <c r="G222" i="14"/>
  <c r="I222" i="14"/>
  <c r="C222" i="14"/>
  <c r="A261" i="14"/>
  <c r="H222" i="14"/>
  <c r="E222" i="14"/>
  <c r="B1446" i="12"/>
  <c r="B635" i="12"/>
  <c r="C500" i="12"/>
  <c r="B1072" i="12"/>
  <c r="C937" i="12"/>
  <c r="G186" i="14"/>
  <c r="A225" i="14"/>
  <c r="F186" i="14"/>
  <c r="H186" i="14"/>
  <c r="I186" i="14"/>
  <c r="C186" i="14"/>
  <c r="D186" i="14"/>
  <c r="E186" i="14"/>
  <c r="F167" i="14"/>
  <c r="D192" i="14"/>
  <c r="C192" i="14"/>
  <c r="G192" i="14"/>
  <c r="I192" i="14"/>
  <c r="H192" i="14"/>
  <c r="F192" i="14"/>
  <c r="A231" i="14"/>
  <c r="E192" i="14"/>
  <c r="B571" i="12"/>
  <c r="C436" i="12"/>
  <c r="F227" i="14"/>
  <c r="A266" i="14"/>
  <c r="C227" i="14"/>
  <c r="D227" i="14"/>
  <c r="H227" i="14"/>
  <c r="G227" i="14"/>
  <c r="I227" i="14"/>
  <c r="E227" i="14"/>
  <c r="H177" i="14"/>
  <c r="D177" i="14"/>
  <c r="A216" i="14"/>
  <c r="C177" i="14"/>
  <c r="G177" i="14"/>
  <c r="I177" i="14"/>
  <c r="F177" i="14"/>
  <c r="E177" i="14"/>
  <c r="B1306" i="12"/>
  <c r="C1171" i="12"/>
  <c r="B617" i="12"/>
  <c r="C482" i="12"/>
  <c r="B1266" i="12"/>
  <c r="C1131" i="12"/>
  <c r="C188" i="14"/>
  <c r="B580" i="12"/>
  <c r="C445" i="12"/>
  <c r="B875" i="12"/>
  <c r="C740" i="12"/>
  <c r="B931" i="12"/>
  <c r="C796" i="12"/>
  <c r="B751" i="12"/>
  <c r="C616" i="12"/>
  <c r="B618" i="12"/>
  <c r="C483" i="12"/>
  <c r="D167" i="14"/>
  <c r="B689" i="12"/>
  <c r="C554" i="12"/>
  <c r="B954" i="12"/>
  <c r="C819" i="12"/>
  <c r="B1420" i="12"/>
  <c r="C1285" i="12"/>
  <c r="H189" i="14"/>
  <c r="D189" i="14"/>
  <c r="I189" i="14"/>
  <c r="A228" i="14"/>
  <c r="C189" i="14"/>
  <c r="F189" i="14"/>
  <c r="G189" i="14"/>
  <c r="E189" i="14"/>
  <c r="B746" i="12"/>
  <c r="C611" i="12"/>
  <c r="B557" i="12"/>
  <c r="C422" i="12"/>
  <c r="B1857" i="12"/>
  <c r="C1722" i="12"/>
  <c r="H166" i="14"/>
  <c r="G166" i="14"/>
  <c r="D166" i="14"/>
  <c r="A205" i="14"/>
  <c r="C166" i="14"/>
  <c r="I166" i="14"/>
  <c r="F166" i="14"/>
  <c r="E166" i="14"/>
  <c r="B1282" i="12"/>
  <c r="C1147" i="12"/>
  <c r="B735" i="12"/>
  <c r="C600" i="12"/>
  <c r="B213" i="14"/>
  <c r="E174" i="14"/>
  <c r="D174" i="14"/>
  <c r="I174" i="14"/>
  <c r="C174" i="14"/>
  <c r="H174" i="14"/>
  <c r="F174" i="14"/>
  <c r="G174" i="14"/>
  <c r="B758" i="12"/>
  <c r="C623" i="12"/>
  <c r="B658" i="12"/>
  <c r="C523" i="12"/>
  <c r="A2295" i="12"/>
  <c r="B866" i="12"/>
  <c r="C731" i="12"/>
  <c r="C1225" i="12"/>
  <c r="B1360" i="12"/>
  <c r="G201" i="14"/>
  <c r="I201" i="14"/>
  <c r="C201" i="14"/>
  <c r="F201" i="14"/>
  <c r="H201" i="14"/>
  <c r="B240" i="14"/>
  <c r="D201" i="14"/>
  <c r="E201" i="14"/>
  <c r="B572" i="12"/>
  <c r="C437" i="12"/>
  <c r="B1129" i="12"/>
  <c r="C994" i="12"/>
  <c r="B236" i="14"/>
  <c r="I197" i="14"/>
  <c r="H197" i="14"/>
  <c r="C197" i="14"/>
  <c r="D197" i="14"/>
  <c r="F197" i="14"/>
  <c r="G197" i="14"/>
  <c r="E197" i="14"/>
  <c r="G167" i="14"/>
  <c r="I195" i="14"/>
  <c r="A234" i="14"/>
  <c r="H195" i="14"/>
  <c r="F195" i="14"/>
  <c r="D195" i="14"/>
  <c r="C195" i="14"/>
  <c r="G195" i="14"/>
  <c r="E195" i="14"/>
  <c r="B1736" i="12"/>
  <c r="C852" i="12"/>
  <c r="B987" i="12"/>
  <c r="B1296" i="12"/>
  <c r="C1161" i="12"/>
  <c r="B1760" i="12"/>
  <c r="B1402" i="12"/>
  <c r="C1267" i="12"/>
  <c r="B1849" i="12"/>
  <c r="C1714" i="12"/>
  <c r="A233" i="14"/>
  <c r="C194" i="14"/>
  <c r="D194" i="14"/>
  <c r="H194" i="14"/>
  <c r="F194" i="14"/>
  <c r="G194" i="14"/>
  <c r="I194" i="14"/>
  <c r="E194" i="14"/>
  <c r="B1724" i="12"/>
  <c r="C1589" i="12"/>
  <c r="C660" i="12"/>
  <c r="B795" i="12"/>
  <c r="B1503" i="12"/>
  <c r="I188" i="14"/>
  <c r="I229" i="14"/>
  <c r="F229" i="14"/>
  <c r="A268" i="14"/>
  <c r="G229" i="14"/>
  <c r="H229" i="14"/>
  <c r="C229" i="14"/>
  <c r="D229" i="14"/>
  <c r="E229" i="14"/>
  <c r="B1033" i="12"/>
  <c r="C898" i="12"/>
  <c r="B1305" i="12"/>
  <c r="C1170" i="12"/>
  <c r="B3768" i="12"/>
  <c r="C3633" i="12"/>
  <c r="B722" i="12"/>
  <c r="C587" i="12"/>
  <c r="I167" i="14"/>
  <c r="C1037" i="12"/>
  <c r="B1172" i="12"/>
  <c r="A693" i="12"/>
  <c r="C558" i="12"/>
  <c r="B1448" i="12"/>
  <c r="C1313" i="12"/>
  <c r="B590" i="12"/>
  <c r="C455" i="12"/>
  <c r="B942" i="12" l="1"/>
  <c r="C807" i="12"/>
  <c r="B944" i="12"/>
  <c r="C809" i="12"/>
  <c r="C1044" i="12"/>
  <c r="A1179" i="12"/>
  <c r="B947" i="12"/>
  <c r="C812" i="12"/>
  <c r="B2133" i="12"/>
  <c r="C1998" i="12"/>
  <c r="B1384" i="12"/>
  <c r="C1249" i="12"/>
  <c r="A1061" i="12"/>
  <c r="C926" i="12"/>
  <c r="A1324" i="12"/>
  <c r="C1189" i="12"/>
  <c r="B711" i="12"/>
  <c r="C576" i="12"/>
  <c r="A915" i="12"/>
  <c r="C780" i="12"/>
  <c r="B705" i="12"/>
  <c r="C570" i="12"/>
  <c r="B920" i="12"/>
  <c r="C785" i="12"/>
  <c r="C269" i="14"/>
  <c r="D269" i="14"/>
  <c r="F269" i="14"/>
  <c r="I269" i="14"/>
  <c r="G269" i="14"/>
  <c r="H269" i="14"/>
  <c r="E269" i="14"/>
  <c r="B778" i="12"/>
  <c r="C643" i="12"/>
  <c r="G258" i="14"/>
  <c r="C258" i="14"/>
  <c r="F258" i="14"/>
  <c r="D258" i="14"/>
  <c r="I258" i="14"/>
  <c r="H258" i="14"/>
  <c r="E258" i="14"/>
  <c r="B847" i="12"/>
  <c r="C712" i="12"/>
  <c r="B776" i="12"/>
  <c r="C641" i="12"/>
  <c r="A1625" i="12"/>
  <c r="C1490" i="12"/>
  <c r="C1180" i="12"/>
  <c r="B1315" i="12"/>
  <c r="C620" i="12"/>
  <c r="B755" i="12"/>
  <c r="B1164" i="12"/>
  <c r="C1029" i="12"/>
  <c r="B951" i="12"/>
  <c r="C816" i="12"/>
  <c r="B263" i="14"/>
  <c r="C224" i="14"/>
  <c r="E224" i="14"/>
  <c r="G224" i="14"/>
  <c r="H224" i="14"/>
  <c r="F224" i="14"/>
  <c r="I224" i="14"/>
  <c r="D224" i="14"/>
  <c r="A906" i="12"/>
  <c r="C771" i="12"/>
  <c r="I251" i="14"/>
  <c r="C251" i="14"/>
  <c r="H251" i="14"/>
  <c r="E251" i="14"/>
  <c r="D251" i="14"/>
  <c r="G251" i="14"/>
  <c r="F251" i="14"/>
  <c r="B259" i="14"/>
  <c r="E220" i="14"/>
  <c r="I220" i="14"/>
  <c r="F220" i="14"/>
  <c r="G220" i="14"/>
  <c r="H220" i="14"/>
  <c r="C220" i="14"/>
  <c r="D220" i="14"/>
  <c r="A923" i="12"/>
  <c r="C788" i="12"/>
  <c r="B256" i="14"/>
  <c r="C217" i="14"/>
  <c r="G217" i="14"/>
  <c r="E217" i="14"/>
  <c r="D217" i="14"/>
  <c r="H217" i="14"/>
  <c r="F217" i="14"/>
  <c r="I217" i="14"/>
  <c r="B2296" i="12"/>
  <c r="C2161" i="12"/>
  <c r="E246" i="14"/>
  <c r="C246" i="14"/>
  <c r="H246" i="14"/>
  <c r="G246" i="14"/>
  <c r="D246" i="14"/>
  <c r="F246" i="14"/>
  <c r="I246" i="14"/>
  <c r="B851" i="12"/>
  <c r="C716" i="12"/>
  <c r="C733" i="12"/>
  <c r="B868" i="12"/>
  <c r="B2155" i="12"/>
  <c r="C2020" i="12"/>
  <c r="F274" i="14"/>
  <c r="H274" i="14"/>
  <c r="G274" i="14"/>
  <c r="E274" i="14"/>
  <c r="I274" i="14"/>
  <c r="D274" i="14"/>
  <c r="C274" i="14"/>
  <c r="B810" i="12"/>
  <c r="C675" i="12"/>
  <c r="B818" i="12"/>
  <c r="C683" i="12"/>
  <c r="A1650" i="12"/>
  <c r="A1221" i="12"/>
  <c r="B924" i="12"/>
  <c r="C789" i="12"/>
  <c r="B1141" i="12"/>
  <c r="C1006" i="12"/>
  <c r="C1437" i="12"/>
  <c r="B1572" i="12"/>
  <c r="B1002" i="12"/>
  <c r="C867" i="12"/>
  <c r="A1060" i="12"/>
  <c r="C925" i="12"/>
  <c r="C757" i="12"/>
  <c r="B892" i="12"/>
  <c r="A825" i="12"/>
  <c r="C690" i="12"/>
  <c r="E242" i="14"/>
  <c r="H242" i="14"/>
  <c r="I242" i="14"/>
  <c r="D242" i="14"/>
  <c r="C242" i="14"/>
  <c r="G242" i="14"/>
  <c r="F242" i="14"/>
  <c r="B804" i="12"/>
  <c r="C669" i="12"/>
  <c r="B1346" i="12"/>
  <c r="C1211" i="12"/>
  <c r="A965" i="12"/>
  <c r="C830" i="12"/>
  <c r="A956" i="12"/>
  <c r="C821" i="12"/>
  <c r="B1108" i="12"/>
  <c r="C973" i="12"/>
  <c r="B679" i="12"/>
  <c r="C544" i="12"/>
  <c r="B1011" i="12"/>
  <c r="C876" i="12"/>
  <c r="B797" i="12"/>
  <c r="C662" i="12"/>
  <c r="C646" i="12"/>
  <c r="B781" i="12"/>
  <c r="B878" i="12"/>
  <c r="C743" i="12"/>
  <c r="B761" i="12"/>
  <c r="C626" i="12"/>
  <c r="B1206" i="12"/>
  <c r="C1071" i="12"/>
  <c r="C200" i="14"/>
  <c r="F200" i="14"/>
  <c r="E200" i="14"/>
  <c r="D200" i="14"/>
  <c r="G200" i="14"/>
  <c r="A239" i="14"/>
  <c r="I200" i="14"/>
  <c r="H200" i="14"/>
  <c r="B865" i="12"/>
  <c r="C730" i="12"/>
  <c r="B698" i="12"/>
  <c r="C563" i="12"/>
  <c r="B843" i="12"/>
  <c r="C708" i="12"/>
  <c r="B849" i="12"/>
  <c r="C714" i="12"/>
  <c r="B903" i="12"/>
  <c r="C768" i="12"/>
  <c r="A2429" i="12"/>
  <c r="C243" i="14"/>
  <c r="F243" i="14"/>
  <c r="D243" i="14"/>
  <c r="G243" i="14"/>
  <c r="E243" i="14"/>
  <c r="I243" i="14"/>
  <c r="H243" i="14"/>
  <c r="B720" i="12"/>
  <c r="C585" i="12"/>
  <c r="C834" i="12"/>
  <c r="B969" i="12"/>
  <c r="B1269" i="12"/>
  <c r="C1134" i="12"/>
  <c r="B857" i="12"/>
  <c r="C722" i="12"/>
  <c r="B1168" i="12"/>
  <c r="C1033" i="12"/>
  <c r="I234" i="14"/>
  <c r="G234" i="14"/>
  <c r="C234" i="14"/>
  <c r="A273" i="14"/>
  <c r="D234" i="14"/>
  <c r="H234" i="14"/>
  <c r="F234" i="14"/>
  <c r="E234" i="14"/>
  <c r="B707" i="12"/>
  <c r="C572" i="12"/>
  <c r="B1001" i="12"/>
  <c r="C866" i="12"/>
  <c r="B793" i="12"/>
  <c r="C658" i="12"/>
  <c r="B1992" i="12"/>
  <c r="C1857" i="12"/>
  <c r="H266" i="14"/>
  <c r="I266" i="14"/>
  <c r="G266" i="14"/>
  <c r="D266" i="14"/>
  <c r="F266" i="14"/>
  <c r="C266" i="14"/>
  <c r="E266" i="14"/>
  <c r="C635" i="12"/>
  <c r="B770" i="12"/>
  <c r="B1581" i="12"/>
  <c r="B1372" i="12"/>
  <c r="C1237" i="12"/>
  <c r="B1204" i="12"/>
  <c r="C1069" i="12"/>
  <c r="F265" i="14"/>
  <c r="H265" i="14"/>
  <c r="G265" i="14"/>
  <c r="I265" i="14"/>
  <c r="D265" i="14"/>
  <c r="C265" i="14"/>
  <c r="E265" i="14"/>
  <c r="B3474" i="12"/>
  <c r="B927" i="12"/>
  <c r="C792" i="12"/>
  <c r="B1205" i="12"/>
  <c r="C1070" i="12"/>
  <c r="A272" i="14"/>
  <c r="G233" i="14"/>
  <c r="C233" i="14"/>
  <c r="D233" i="14"/>
  <c r="I233" i="14"/>
  <c r="F233" i="14"/>
  <c r="H233" i="14"/>
  <c r="E233" i="14"/>
  <c r="B1871" i="12"/>
  <c r="D216" i="14"/>
  <c r="G216" i="14"/>
  <c r="A255" i="14"/>
  <c r="I216" i="14"/>
  <c r="C216" i="14"/>
  <c r="H216" i="14"/>
  <c r="F216" i="14"/>
  <c r="E216" i="14"/>
  <c r="C1083" i="12"/>
  <c r="B1218" i="12"/>
  <c r="C1348" i="12"/>
  <c r="B1483" i="12"/>
  <c r="B1242" i="12"/>
  <c r="C1107" i="12"/>
  <c r="B1984" i="12"/>
  <c r="C1849" i="12"/>
  <c r="C618" i="12"/>
  <c r="B753" i="12"/>
  <c r="C875" i="12"/>
  <c r="B1010" i="12"/>
  <c r="B1441" i="12"/>
  <c r="C1306" i="12"/>
  <c r="C853" i="12"/>
  <c r="B988" i="12"/>
  <c r="B970" i="12"/>
  <c r="C835" i="12"/>
  <c r="C3768" i="12"/>
  <c r="B3903" i="12"/>
  <c r="B1638" i="12"/>
  <c r="B1122" i="12"/>
  <c r="C987" i="12"/>
  <c r="E236" i="14"/>
  <c r="H236" i="14"/>
  <c r="G236" i="14"/>
  <c r="I236" i="14"/>
  <c r="F236" i="14"/>
  <c r="D236" i="14"/>
  <c r="C236" i="14"/>
  <c r="B893" i="12"/>
  <c r="C758" i="12"/>
  <c r="B252" i="14"/>
  <c r="F213" i="14"/>
  <c r="E213" i="14"/>
  <c r="H213" i="14"/>
  <c r="I213" i="14"/>
  <c r="D213" i="14"/>
  <c r="C213" i="14"/>
  <c r="G213" i="14"/>
  <c r="B692" i="12"/>
  <c r="C557" i="12"/>
  <c r="B1555" i="12"/>
  <c r="C1420" i="12"/>
  <c r="B856" i="12"/>
  <c r="C721" i="12"/>
  <c r="B1253" i="12"/>
  <c r="C1118" i="12"/>
  <c r="B1598" i="12"/>
  <c r="B772" i="12"/>
  <c r="C637" i="12"/>
  <c r="B1673" i="12"/>
  <c r="C1538" i="12"/>
  <c r="B1226" i="12"/>
  <c r="B694" i="12"/>
  <c r="C559" i="12"/>
  <c r="H202" i="14"/>
  <c r="C202" i="14"/>
  <c r="I202" i="14"/>
  <c r="G202" i="14"/>
  <c r="D202" i="14"/>
  <c r="A241" i="14"/>
  <c r="F202" i="14"/>
  <c r="E202" i="14"/>
  <c r="D223" i="14"/>
  <c r="I223" i="14"/>
  <c r="F223" i="14"/>
  <c r="C223" i="14"/>
  <c r="A262" i="14"/>
  <c r="H223" i="14"/>
  <c r="G223" i="14"/>
  <c r="E223" i="14"/>
  <c r="I245" i="14"/>
  <c r="D245" i="14"/>
  <c r="C245" i="14"/>
  <c r="H245" i="14"/>
  <c r="G245" i="14"/>
  <c r="F245" i="14"/>
  <c r="E245" i="14"/>
  <c r="C1296" i="12"/>
  <c r="B1431" i="12"/>
  <c r="B917" i="12"/>
  <c r="C782" i="12"/>
  <c r="B1635" i="12"/>
  <c r="G247" i="14"/>
  <c r="C247" i="14"/>
  <c r="I247" i="14"/>
  <c r="D247" i="14"/>
  <c r="H247" i="14"/>
  <c r="F247" i="14"/>
  <c r="E247" i="14"/>
  <c r="B922" i="12"/>
  <c r="C787" i="12"/>
  <c r="B691" i="12"/>
  <c r="C556" i="12"/>
  <c r="B885" i="12"/>
  <c r="C750" i="12"/>
  <c r="G271" i="14"/>
  <c r="E271" i="14"/>
  <c r="F271" i="14"/>
  <c r="C271" i="14"/>
  <c r="H271" i="14"/>
  <c r="D271" i="14"/>
  <c r="I271" i="14"/>
  <c r="B2249" i="12"/>
  <c r="C2114" i="12"/>
  <c r="G257" i="14"/>
  <c r="F257" i="14"/>
  <c r="H257" i="14"/>
  <c r="D257" i="14"/>
  <c r="I257" i="14"/>
  <c r="C257" i="14"/>
  <c r="E257" i="14"/>
  <c r="B1866" i="12"/>
  <c r="C1731" i="12"/>
  <c r="A828" i="12"/>
  <c r="C693" i="12"/>
  <c r="B1537" i="12"/>
  <c r="C1402" i="12"/>
  <c r="F240" i="14"/>
  <c r="H240" i="14"/>
  <c r="C240" i="14"/>
  <c r="D240" i="14"/>
  <c r="I240" i="14"/>
  <c r="G240" i="14"/>
  <c r="E240" i="14"/>
  <c r="B1495" i="12"/>
  <c r="C1360" i="12"/>
  <c r="G205" i="14"/>
  <c r="A244" i="14"/>
  <c r="C205" i="14"/>
  <c r="H205" i="14"/>
  <c r="D205" i="14"/>
  <c r="F205" i="14"/>
  <c r="I205" i="14"/>
  <c r="E205" i="14"/>
  <c r="B886" i="12"/>
  <c r="C751" i="12"/>
  <c r="B715" i="12"/>
  <c r="C580" i="12"/>
  <c r="B706" i="12"/>
  <c r="C571" i="12"/>
  <c r="H225" i="14"/>
  <c r="A264" i="14"/>
  <c r="I225" i="14"/>
  <c r="D225" i="14"/>
  <c r="G225" i="14"/>
  <c r="C225" i="14"/>
  <c r="F225" i="14"/>
  <c r="E225" i="14"/>
  <c r="C260" i="14"/>
  <c r="F260" i="14"/>
  <c r="D260" i="14"/>
  <c r="I260" i="14"/>
  <c r="G260" i="14"/>
  <c r="H260" i="14"/>
  <c r="E260" i="14"/>
  <c r="B1007" i="12"/>
  <c r="C872" i="12"/>
  <c r="B974" i="12"/>
  <c r="C839" i="12"/>
  <c r="C1093" i="12"/>
  <c r="B1228" i="12"/>
  <c r="B1492" i="12"/>
  <c r="C1357" i="12"/>
  <c r="C590" i="12"/>
  <c r="B725" i="12"/>
  <c r="B1859" i="12"/>
  <c r="C1724" i="12"/>
  <c r="C250" i="14"/>
  <c r="D250" i="14"/>
  <c r="H250" i="14"/>
  <c r="I250" i="14"/>
  <c r="G250" i="14"/>
  <c r="F250" i="14"/>
  <c r="E250" i="14"/>
  <c r="C1414" i="12"/>
  <c r="B1549" i="12"/>
  <c r="B1583" i="12"/>
  <c r="C1448" i="12"/>
  <c r="B1307" i="12"/>
  <c r="C1172" i="12"/>
  <c r="B1440" i="12"/>
  <c r="C1305" i="12"/>
  <c r="B930" i="12"/>
  <c r="C795" i="12"/>
  <c r="B1264" i="12"/>
  <c r="C1129" i="12"/>
  <c r="B870" i="12"/>
  <c r="C735" i="12"/>
  <c r="B1089" i="12"/>
  <c r="C954" i="12"/>
  <c r="C1266" i="12"/>
  <c r="B1401" i="12"/>
  <c r="D198" i="14"/>
  <c r="H198" i="14"/>
  <c r="F198" i="14"/>
  <c r="I198" i="14"/>
  <c r="G198" i="14"/>
  <c r="C198" i="14"/>
  <c r="A237" i="14"/>
  <c r="E198" i="14"/>
  <c r="B1594" i="12"/>
  <c r="C873" i="12"/>
  <c r="B1008" i="12"/>
  <c r="B1370" i="12"/>
  <c r="B696" i="12"/>
  <c r="C561" i="12"/>
  <c r="C747" i="12"/>
  <c r="B882" i="12"/>
  <c r="B723" i="12"/>
  <c r="C588" i="12"/>
  <c r="A1088" i="12"/>
  <c r="B719" i="12"/>
  <c r="C584" i="12"/>
  <c r="B2558" i="12"/>
  <c r="C2423" i="12"/>
  <c r="B2275" i="12"/>
  <c r="B1895" i="12"/>
  <c r="A267" i="14"/>
  <c r="I228" i="14"/>
  <c r="G228" i="14"/>
  <c r="D228" i="14"/>
  <c r="F228" i="14"/>
  <c r="H228" i="14"/>
  <c r="C228" i="14"/>
  <c r="E228" i="14"/>
  <c r="B1066" i="12"/>
  <c r="C931" i="12"/>
  <c r="C617" i="12"/>
  <c r="B752" i="12"/>
  <c r="H231" i="14"/>
  <c r="C231" i="14"/>
  <c r="F231" i="14"/>
  <c r="G231" i="14"/>
  <c r="D231" i="14"/>
  <c r="I231" i="14"/>
  <c r="A270" i="14"/>
  <c r="E231" i="14"/>
  <c r="C261" i="14"/>
  <c r="I261" i="14"/>
  <c r="D261" i="14"/>
  <c r="F261" i="14"/>
  <c r="H261" i="14"/>
  <c r="G261" i="14"/>
  <c r="E261" i="14"/>
  <c r="B929" i="12"/>
  <c r="C794" i="12"/>
  <c r="B836" i="12"/>
  <c r="C701" i="12"/>
  <c r="B1154" i="12"/>
  <c r="C1019" i="12"/>
  <c r="B1004" i="12"/>
  <c r="C869" i="12"/>
  <c r="B1705" i="12"/>
  <c r="C1570" i="12"/>
  <c r="H254" i="14"/>
  <c r="F254" i="14"/>
  <c r="C254" i="14"/>
  <c r="D254" i="14"/>
  <c r="I254" i="14"/>
  <c r="G254" i="14"/>
  <c r="E254" i="14"/>
  <c r="G268" i="14"/>
  <c r="F268" i="14"/>
  <c r="D268" i="14"/>
  <c r="C268" i="14"/>
  <c r="I268" i="14"/>
  <c r="H268" i="14"/>
  <c r="E268" i="14"/>
  <c r="A2430" i="12"/>
  <c r="B1417" i="12"/>
  <c r="C1282" i="12"/>
  <c r="B881" i="12"/>
  <c r="C746" i="12"/>
  <c r="B824" i="12"/>
  <c r="C689" i="12"/>
  <c r="B1207" i="12"/>
  <c r="C1072" i="12"/>
  <c r="B1250" i="12"/>
  <c r="C1115" i="12"/>
  <c r="B1423" i="12"/>
  <c r="C1288" i="12"/>
  <c r="B1185" i="12"/>
  <c r="B879" i="12"/>
  <c r="C744" i="12"/>
  <c r="B1632" i="12"/>
  <c r="C1497" i="12"/>
  <c r="B1159" i="12"/>
  <c r="C1024" i="12"/>
  <c r="B1079" i="12" l="1"/>
  <c r="C944" i="12"/>
  <c r="A1314" i="12"/>
  <c r="C1179" i="12"/>
  <c r="B1077" i="12"/>
  <c r="C942" i="12"/>
  <c r="B1299" i="12"/>
  <c r="C1164" i="12"/>
  <c r="B911" i="12"/>
  <c r="C776" i="12"/>
  <c r="A1050" i="12"/>
  <c r="C915" i="12"/>
  <c r="B1519" i="12"/>
  <c r="C1384" i="12"/>
  <c r="B1086" i="12"/>
  <c r="C951" i="12"/>
  <c r="B890" i="12"/>
  <c r="C755" i="12"/>
  <c r="A1196" i="12"/>
  <c r="C1061" i="12"/>
  <c r="B982" i="12"/>
  <c r="C847" i="12"/>
  <c r="B846" i="12"/>
  <c r="C711" i="12"/>
  <c r="B2268" i="12"/>
  <c r="C2133" i="12"/>
  <c r="A1760" i="12"/>
  <c r="C1625" i="12"/>
  <c r="A1058" i="12"/>
  <c r="C923" i="12"/>
  <c r="H259" i="14"/>
  <c r="C259" i="14"/>
  <c r="D259" i="14"/>
  <c r="I259" i="14"/>
  <c r="E259" i="14"/>
  <c r="G259" i="14"/>
  <c r="F259" i="14"/>
  <c r="C1315" i="12"/>
  <c r="B1450" i="12"/>
  <c r="C778" i="12"/>
  <c r="B913" i="12"/>
  <c r="B840" i="12"/>
  <c r="C705" i="12"/>
  <c r="A1041" i="12"/>
  <c r="C906" i="12"/>
  <c r="D263" i="14"/>
  <c r="I263" i="14"/>
  <c r="C263" i="14"/>
  <c r="E263" i="14"/>
  <c r="G263" i="14"/>
  <c r="H263" i="14"/>
  <c r="F263" i="14"/>
  <c r="B1055" i="12"/>
  <c r="C920" i="12"/>
  <c r="A1459" i="12"/>
  <c r="C1324" i="12"/>
  <c r="C947" i="12"/>
  <c r="B1082" i="12"/>
  <c r="B1341" i="12"/>
  <c r="C1206" i="12"/>
  <c r="B1038" i="12"/>
  <c r="C903" i="12"/>
  <c r="B1000" i="12"/>
  <c r="C865" i="12"/>
  <c r="C1108" i="12"/>
  <c r="B1243" i="12"/>
  <c r="B1481" i="12"/>
  <c r="C1346" i="12"/>
  <c r="A1195" i="12"/>
  <c r="C1060" i="12"/>
  <c r="B1059" i="12"/>
  <c r="C924" i="12"/>
  <c r="B945" i="12"/>
  <c r="C810" i="12"/>
  <c r="C969" i="12"/>
  <c r="B1104" i="12"/>
  <c r="B2290" i="12"/>
  <c r="C2155" i="12"/>
  <c r="B896" i="12"/>
  <c r="C761" i="12"/>
  <c r="C1011" i="12"/>
  <c r="B1146" i="12"/>
  <c r="C720" i="12"/>
  <c r="B855" i="12"/>
  <c r="A2564" i="12"/>
  <c r="B932" i="12"/>
  <c r="C797" i="12"/>
  <c r="B939" i="12"/>
  <c r="C804" i="12"/>
  <c r="C1002" i="12"/>
  <c r="B1137" i="12"/>
  <c r="B978" i="12"/>
  <c r="C843" i="12"/>
  <c r="B1707" i="12"/>
  <c r="C1572" i="12"/>
  <c r="B833" i="12"/>
  <c r="C698" i="12"/>
  <c r="C878" i="12"/>
  <c r="B1013" i="12"/>
  <c r="B814" i="12"/>
  <c r="C679" i="12"/>
  <c r="A1100" i="12"/>
  <c r="C965" i="12"/>
  <c r="B1027" i="12"/>
  <c r="C892" i="12"/>
  <c r="C851" i="12"/>
  <c r="B986" i="12"/>
  <c r="B984" i="12"/>
  <c r="C849" i="12"/>
  <c r="A1091" i="12"/>
  <c r="C956" i="12"/>
  <c r="H239" i="14"/>
  <c r="I239" i="14"/>
  <c r="D239" i="14"/>
  <c r="G239" i="14"/>
  <c r="C239" i="14"/>
  <c r="F239" i="14"/>
  <c r="E239" i="14"/>
  <c r="A960" i="12"/>
  <c r="C825" i="12"/>
  <c r="A1356" i="12"/>
  <c r="C868" i="12"/>
  <c r="B1003" i="12"/>
  <c r="A1785" i="12"/>
  <c r="C781" i="12"/>
  <c r="B916" i="12"/>
  <c r="B1276" i="12"/>
  <c r="C1141" i="12"/>
  <c r="B953" i="12"/>
  <c r="C818" i="12"/>
  <c r="B2431" i="12"/>
  <c r="C2296" i="12"/>
  <c r="E256" i="14"/>
  <c r="G256" i="14"/>
  <c r="I256" i="14"/>
  <c r="F256" i="14"/>
  <c r="C256" i="14"/>
  <c r="H256" i="14"/>
  <c r="D256" i="14"/>
  <c r="C1008" i="12"/>
  <c r="B1143" i="12"/>
  <c r="B826" i="12"/>
  <c r="C691" i="12"/>
  <c r="B858" i="12"/>
  <c r="C723" i="12"/>
  <c r="D237" i="14"/>
  <c r="I237" i="14"/>
  <c r="H237" i="14"/>
  <c r="F237" i="14"/>
  <c r="G237" i="14"/>
  <c r="C237" i="14"/>
  <c r="E237" i="14"/>
  <c r="B1442" i="12"/>
  <c r="C1307" i="12"/>
  <c r="B841" i="12"/>
  <c r="C706" i="12"/>
  <c r="B1105" i="12"/>
  <c r="C970" i="12"/>
  <c r="B842" i="12"/>
  <c r="C707" i="12"/>
  <c r="B1028" i="12"/>
  <c r="C893" i="12"/>
  <c r="B1767" i="12"/>
  <c r="C1632" i="12"/>
  <c r="A2565" i="12"/>
  <c r="B1017" i="12"/>
  <c r="C882" i="12"/>
  <c r="A963" i="12"/>
  <c r="C828" i="12"/>
  <c r="B1057" i="12"/>
  <c r="C922" i="12"/>
  <c r="B1808" i="12"/>
  <c r="C1673" i="12"/>
  <c r="C1253" i="12"/>
  <c r="B1388" i="12"/>
  <c r="C988" i="12"/>
  <c r="B1123" i="12"/>
  <c r="B1507" i="12"/>
  <c r="C1372" i="12"/>
  <c r="B2693" i="12"/>
  <c r="C2558" i="12"/>
  <c r="B1224" i="12"/>
  <c r="C1089" i="12"/>
  <c r="B1399" i="12"/>
  <c r="C1264" i="12"/>
  <c r="B1718" i="12"/>
  <c r="C1583" i="12"/>
  <c r="B1363" i="12"/>
  <c r="C1228" i="12"/>
  <c r="B850" i="12"/>
  <c r="C715" i="12"/>
  <c r="B1052" i="12"/>
  <c r="C917" i="12"/>
  <c r="C1122" i="12"/>
  <c r="B1257" i="12"/>
  <c r="B1377" i="12"/>
  <c r="C1242" i="12"/>
  <c r="B2006" i="12"/>
  <c r="H272" i="14"/>
  <c r="I272" i="14"/>
  <c r="F272" i="14"/>
  <c r="G272" i="14"/>
  <c r="C272" i="14"/>
  <c r="D272" i="14"/>
  <c r="E272" i="14"/>
  <c r="B3609" i="12"/>
  <c r="B2127" i="12"/>
  <c r="C1992" i="12"/>
  <c r="B1303" i="12"/>
  <c r="C1168" i="12"/>
  <c r="B1558" i="12"/>
  <c r="C1423" i="12"/>
  <c r="B1552" i="12"/>
  <c r="C1417" i="12"/>
  <c r="B1289" i="12"/>
  <c r="C1154" i="12"/>
  <c r="B1672" i="12"/>
  <c r="C1537" i="12"/>
  <c r="B888" i="12"/>
  <c r="C753" i="12"/>
  <c r="B1339" i="12"/>
  <c r="C1204" i="12"/>
  <c r="C1250" i="12"/>
  <c r="B1385" i="12"/>
  <c r="B971" i="12"/>
  <c r="C836" i="12"/>
  <c r="B1627" i="12"/>
  <c r="C1492" i="12"/>
  <c r="B1142" i="12"/>
  <c r="C1007" i="12"/>
  <c r="B1014" i="12"/>
  <c r="C879" i="12"/>
  <c r="B959" i="12"/>
  <c r="C824" i="12"/>
  <c r="B1840" i="12"/>
  <c r="C1705" i="12"/>
  <c r="C929" i="12"/>
  <c r="B1064" i="12"/>
  <c r="B887" i="12"/>
  <c r="C752" i="12"/>
  <c r="B1684" i="12"/>
  <c r="C1549" i="12"/>
  <c r="H244" i="14"/>
  <c r="D244" i="14"/>
  <c r="C244" i="14"/>
  <c r="G244" i="14"/>
  <c r="I244" i="14"/>
  <c r="F244" i="14"/>
  <c r="E244" i="14"/>
  <c r="B2001" i="12"/>
  <c r="C1866" i="12"/>
  <c r="B907" i="12"/>
  <c r="C772" i="12"/>
  <c r="C856" i="12"/>
  <c r="B991" i="12"/>
  <c r="C1555" i="12"/>
  <c r="B1690" i="12"/>
  <c r="B1618" i="12"/>
  <c r="C1483" i="12"/>
  <c r="G262" i="14"/>
  <c r="I262" i="14"/>
  <c r="D262" i="14"/>
  <c r="H262" i="14"/>
  <c r="C262" i="14"/>
  <c r="F262" i="14"/>
  <c r="E262" i="14"/>
  <c r="B1320" i="12"/>
  <c r="G270" i="14"/>
  <c r="C270" i="14"/>
  <c r="F270" i="14"/>
  <c r="D270" i="14"/>
  <c r="H270" i="14"/>
  <c r="I270" i="14"/>
  <c r="E270" i="14"/>
  <c r="B854" i="12"/>
  <c r="C719" i="12"/>
  <c r="B831" i="12"/>
  <c r="C696" i="12"/>
  <c r="B1729" i="12"/>
  <c r="C930" i="12"/>
  <c r="B1065" i="12"/>
  <c r="B1021" i="12"/>
  <c r="C886" i="12"/>
  <c r="B2384" i="12"/>
  <c r="C2249" i="12"/>
  <c r="B1773" i="12"/>
  <c r="C1441" i="12"/>
  <c r="B1576" i="12"/>
  <c r="D255" i="14"/>
  <c r="G255" i="14"/>
  <c r="F255" i="14"/>
  <c r="C255" i="14"/>
  <c r="H255" i="14"/>
  <c r="I255" i="14"/>
  <c r="E255" i="14"/>
  <c r="B1340" i="12"/>
  <c r="C1205" i="12"/>
  <c r="B928" i="12"/>
  <c r="C793" i="12"/>
  <c r="C857" i="12"/>
  <c r="B992" i="12"/>
  <c r="B2410" i="12"/>
  <c r="B1536" i="12"/>
  <c r="C1401" i="12"/>
  <c r="B1294" i="12"/>
  <c r="C1159" i="12"/>
  <c r="B1342" i="12"/>
  <c r="C1207" i="12"/>
  <c r="B1016" i="12"/>
  <c r="C881" i="12"/>
  <c r="B1139" i="12"/>
  <c r="C1004" i="12"/>
  <c r="B1994" i="12"/>
  <c r="C1859" i="12"/>
  <c r="C974" i="12"/>
  <c r="B1109" i="12"/>
  <c r="H264" i="14"/>
  <c r="F264" i="14"/>
  <c r="D264" i="14"/>
  <c r="C264" i="14"/>
  <c r="G264" i="14"/>
  <c r="I264" i="14"/>
  <c r="E264" i="14"/>
  <c r="B1020" i="12"/>
  <c r="C885" i="12"/>
  <c r="B1566" i="12"/>
  <c r="C1431" i="12"/>
  <c r="B829" i="12"/>
  <c r="C694" i="12"/>
  <c r="B1733" i="12"/>
  <c r="B827" i="12"/>
  <c r="C692" i="12"/>
  <c r="G252" i="14"/>
  <c r="F252" i="14"/>
  <c r="E252" i="14"/>
  <c r="C252" i="14"/>
  <c r="H252" i="14"/>
  <c r="D252" i="14"/>
  <c r="I252" i="14"/>
  <c r="B4038" i="12"/>
  <c r="C3903" i="12"/>
  <c r="C1010" i="12"/>
  <c r="B1145" i="12"/>
  <c r="C1218" i="12"/>
  <c r="B1353" i="12"/>
  <c r="B1716" i="12"/>
  <c r="F273" i="14"/>
  <c r="H273" i="14"/>
  <c r="G273" i="14"/>
  <c r="D273" i="14"/>
  <c r="C273" i="14"/>
  <c r="I273" i="14"/>
  <c r="E273" i="14"/>
  <c r="B1201" i="12"/>
  <c r="C1066" i="12"/>
  <c r="D267" i="14"/>
  <c r="I267" i="14"/>
  <c r="G267" i="14"/>
  <c r="F267" i="14"/>
  <c r="C267" i="14"/>
  <c r="H267" i="14"/>
  <c r="E267" i="14"/>
  <c r="B2030" i="12"/>
  <c r="A1223" i="12"/>
  <c r="B1505" i="12"/>
  <c r="B1005" i="12"/>
  <c r="C870" i="12"/>
  <c r="B1575" i="12"/>
  <c r="C1440" i="12"/>
  <c r="B860" i="12"/>
  <c r="C725" i="12"/>
  <c r="C1495" i="12"/>
  <c r="B1630" i="12"/>
  <c r="B1770" i="12"/>
  <c r="G241" i="14"/>
  <c r="C241" i="14"/>
  <c r="D241" i="14"/>
  <c r="I241" i="14"/>
  <c r="H241" i="14"/>
  <c r="F241" i="14"/>
  <c r="E241" i="14"/>
  <c r="B1361" i="12"/>
  <c r="C1984" i="12"/>
  <c r="B2119" i="12"/>
  <c r="B1062" i="12"/>
  <c r="C927" i="12"/>
  <c r="B905" i="12"/>
  <c r="C770" i="12"/>
  <c r="B1136" i="12"/>
  <c r="C1001" i="12"/>
  <c r="B1404" i="12"/>
  <c r="C1269" i="12"/>
  <c r="B1212" i="12" l="1"/>
  <c r="C1077" i="12"/>
  <c r="C1314" i="12"/>
  <c r="A1449" i="12"/>
  <c r="B1214" i="12"/>
  <c r="C1079" i="12"/>
  <c r="B1654" i="12"/>
  <c r="C1519" i="12"/>
  <c r="A1895" i="12"/>
  <c r="C1760" i="12"/>
  <c r="A1331" i="12"/>
  <c r="C1196" i="12"/>
  <c r="A1185" i="12"/>
  <c r="C1050" i="12"/>
  <c r="A1193" i="12"/>
  <c r="C1058" i="12"/>
  <c r="A1176" i="12"/>
  <c r="C1041" i="12"/>
  <c r="B1217" i="12"/>
  <c r="C1082" i="12"/>
  <c r="B975" i="12"/>
  <c r="C840" i="12"/>
  <c r="B1048" i="12"/>
  <c r="C913" i="12"/>
  <c r="B2403" i="12"/>
  <c r="C2268" i="12"/>
  <c r="C890" i="12"/>
  <c r="B1025" i="12"/>
  <c r="B1046" i="12"/>
  <c r="C911" i="12"/>
  <c r="C1055" i="12"/>
  <c r="B1190" i="12"/>
  <c r="B1117" i="12"/>
  <c r="C982" i="12"/>
  <c r="A1594" i="12"/>
  <c r="C1459" i="12"/>
  <c r="C1450" i="12"/>
  <c r="B1585" i="12"/>
  <c r="B981" i="12"/>
  <c r="C846" i="12"/>
  <c r="B1221" i="12"/>
  <c r="C1086" i="12"/>
  <c r="B1434" i="12"/>
  <c r="C1299" i="12"/>
  <c r="B2566" i="12"/>
  <c r="C2431" i="12"/>
  <c r="A1920" i="12"/>
  <c r="B1281" i="12"/>
  <c r="C1146" i="12"/>
  <c r="C1243" i="12"/>
  <c r="B1378" i="12"/>
  <c r="B1138" i="12"/>
  <c r="C1003" i="12"/>
  <c r="C984" i="12"/>
  <c r="B1119" i="12"/>
  <c r="B949" i="12"/>
  <c r="C814" i="12"/>
  <c r="B1113" i="12"/>
  <c r="C978" i="12"/>
  <c r="B1080" i="12"/>
  <c r="C945" i="12"/>
  <c r="B1088" i="12"/>
  <c r="C953" i="12"/>
  <c r="C986" i="12"/>
  <c r="B1121" i="12"/>
  <c r="C1013" i="12"/>
  <c r="B1148" i="12"/>
  <c r="B1272" i="12"/>
  <c r="C1137" i="12"/>
  <c r="A2699" i="12"/>
  <c r="B1135" i="12"/>
  <c r="C1000" i="12"/>
  <c r="B1051" i="12"/>
  <c r="C916" i="12"/>
  <c r="C1027" i="12"/>
  <c r="B1162" i="12"/>
  <c r="B968" i="12"/>
  <c r="C833" i="12"/>
  <c r="B1074" i="12"/>
  <c r="C939" i="12"/>
  <c r="C2290" i="12"/>
  <c r="B2425" i="12"/>
  <c r="A1330" i="12"/>
  <c r="C1195" i="12"/>
  <c r="B1173" i="12"/>
  <c r="C1038" i="12"/>
  <c r="B1194" i="12"/>
  <c r="C1059" i="12"/>
  <c r="B1411" i="12"/>
  <c r="C1276" i="12"/>
  <c r="A1491" i="12"/>
  <c r="A1095" i="12"/>
  <c r="C960" i="12"/>
  <c r="C1104" i="12"/>
  <c r="B1239" i="12"/>
  <c r="B1031" i="12"/>
  <c r="C896" i="12"/>
  <c r="C855" i="12"/>
  <c r="B990" i="12"/>
  <c r="A1226" i="12"/>
  <c r="C1091" i="12"/>
  <c r="A1235" i="12"/>
  <c r="C1100" i="12"/>
  <c r="B1842" i="12"/>
  <c r="C1707" i="12"/>
  <c r="B1067" i="12"/>
  <c r="C932" i="12"/>
  <c r="B1616" i="12"/>
  <c r="C1481" i="12"/>
  <c r="C1341" i="12"/>
  <c r="B1476" i="12"/>
  <c r="B1280" i="12"/>
  <c r="C1145" i="12"/>
  <c r="B1868" i="12"/>
  <c r="B1244" i="12"/>
  <c r="C1109" i="12"/>
  <c r="B989" i="12"/>
  <c r="C854" i="12"/>
  <c r="B1943" i="12"/>
  <c r="C1808" i="12"/>
  <c r="B1477" i="12"/>
  <c r="C1342" i="12"/>
  <c r="B1475" i="12"/>
  <c r="C1340" i="12"/>
  <c r="B1819" i="12"/>
  <c r="C1684" i="12"/>
  <c r="C959" i="12"/>
  <c r="B1094" i="12"/>
  <c r="B1106" i="12"/>
  <c r="C971" i="12"/>
  <c r="B1687" i="12"/>
  <c r="C1552" i="12"/>
  <c r="B2262" i="12"/>
  <c r="C2127" i="12"/>
  <c r="B1258" i="12"/>
  <c r="C1123" i="12"/>
  <c r="B1902" i="12"/>
  <c r="C1767" i="12"/>
  <c r="B1140" i="12"/>
  <c r="C1005" i="12"/>
  <c r="B2165" i="12"/>
  <c r="B1539" i="12"/>
  <c r="C1404" i="12"/>
  <c r="B1127" i="12"/>
  <c r="C992" i="12"/>
  <c r="B1520" i="12"/>
  <c r="C1385" i="12"/>
  <c r="B976" i="12"/>
  <c r="C841" i="12"/>
  <c r="B1851" i="12"/>
  <c r="B2129" i="12"/>
  <c r="C1994" i="12"/>
  <c r="C1294" i="12"/>
  <c r="B1429" i="12"/>
  <c r="C1576" i="12"/>
  <c r="B1711" i="12"/>
  <c r="B1455" i="12"/>
  <c r="B1022" i="12"/>
  <c r="C887" i="12"/>
  <c r="B1023" i="12"/>
  <c r="C888" i="12"/>
  <c r="B3744" i="12"/>
  <c r="B961" i="12"/>
  <c r="C826" i="12"/>
  <c r="B1197" i="12"/>
  <c r="C1062" i="12"/>
  <c r="B2136" i="12"/>
  <c r="C2001" i="12"/>
  <c r="C2119" i="12"/>
  <c r="B2254" i="12"/>
  <c r="B1336" i="12"/>
  <c r="C1201" i="12"/>
  <c r="B964" i="12"/>
  <c r="C829" i="12"/>
  <c r="B2519" i="12"/>
  <c r="C2384" i="12"/>
  <c r="B1042" i="12"/>
  <c r="C907" i="12"/>
  <c r="B1187" i="12"/>
  <c r="C1052" i="12"/>
  <c r="B1853" i="12"/>
  <c r="C1718" i="12"/>
  <c r="B2828" i="12"/>
  <c r="C2693" i="12"/>
  <c r="B1163" i="12"/>
  <c r="C1028" i="12"/>
  <c r="C4038" i="12"/>
  <c r="B4173" i="12"/>
  <c r="B1271" i="12"/>
  <c r="C1136" i="12"/>
  <c r="C827" i="12"/>
  <c r="B962" i="12"/>
  <c r="B1701" i="12"/>
  <c r="C1566" i="12"/>
  <c r="C1021" i="12"/>
  <c r="B1156" i="12"/>
  <c r="B1864" i="12"/>
  <c r="B1753" i="12"/>
  <c r="C1618" i="12"/>
  <c r="B1199" i="12"/>
  <c r="C1064" i="12"/>
  <c r="B2141" i="12"/>
  <c r="C850" i="12"/>
  <c r="B985" i="12"/>
  <c r="B1534" i="12"/>
  <c r="C1399" i="12"/>
  <c r="B1192" i="12"/>
  <c r="C1057" i="12"/>
  <c r="A2700" i="12"/>
  <c r="C1105" i="12"/>
  <c r="B1240" i="12"/>
  <c r="B1577" i="12"/>
  <c r="C1442" i="12"/>
  <c r="B1765" i="12"/>
  <c r="C1630" i="12"/>
  <c r="B1498" i="12"/>
  <c r="C1363" i="12"/>
  <c r="B1152" i="12"/>
  <c r="C1017" i="12"/>
  <c r="B995" i="12"/>
  <c r="C860" i="12"/>
  <c r="B1640" i="12"/>
  <c r="B1274" i="12"/>
  <c r="C1139" i="12"/>
  <c r="B1671" i="12"/>
  <c r="C1536" i="12"/>
  <c r="B1063" i="12"/>
  <c r="C928" i="12"/>
  <c r="B1825" i="12"/>
  <c r="C1690" i="12"/>
  <c r="B1149" i="12"/>
  <c r="C1014" i="12"/>
  <c r="B1277" i="12"/>
  <c r="C1142" i="12"/>
  <c r="B1807" i="12"/>
  <c r="C1672" i="12"/>
  <c r="C1558" i="12"/>
  <c r="B1693" i="12"/>
  <c r="B1523" i="12"/>
  <c r="C1388" i="12"/>
  <c r="B1155" i="12"/>
  <c r="C1020" i="12"/>
  <c r="B1040" i="12"/>
  <c r="C905" i="12"/>
  <c r="B1496" i="12"/>
  <c r="B1488" i="12"/>
  <c r="C1353" i="12"/>
  <c r="B2545" i="12"/>
  <c r="B1908" i="12"/>
  <c r="B966" i="12"/>
  <c r="C831" i="12"/>
  <c r="C1377" i="12"/>
  <c r="B1512" i="12"/>
  <c r="B1359" i="12"/>
  <c r="C1224" i="12"/>
  <c r="B1642" i="12"/>
  <c r="C1507" i="12"/>
  <c r="A1098" i="12"/>
  <c r="C963" i="12"/>
  <c r="B977" i="12"/>
  <c r="C842" i="12"/>
  <c r="C1143" i="12"/>
  <c r="B1278" i="12"/>
  <c r="B1905" i="12"/>
  <c r="C1575" i="12"/>
  <c r="B1710" i="12"/>
  <c r="A1358" i="12"/>
  <c r="B1151" i="12"/>
  <c r="C1016" i="12"/>
  <c r="B1200" i="12"/>
  <c r="C1065" i="12"/>
  <c r="B1126" i="12"/>
  <c r="C991" i="12"/>
  <c r="B1975" i="12"/>
  <c r="C1840" i="12"/>
  <c r="B1762" i="12"/>
  <c r="C1627" i="12"/>
  <c r="C1339" i="12"/>
  <c r="B1474" i="12"/>
  <c r="B1424" i="12"/>
  <c r="C1289" i="12"/>
  <c r="C1303" i="12"/>
  <c r="B1438" i="12"/>
  <c r="B1392" i="12"/>
  <c r="C1257" i="12"/>
  <c r="B993" i="12"/>
  <c r="C858" i="12"/>
  <c r="A1584" i="12" l="1"/>
  <c r="C1449" i="12"/>
  <c r="B1349" i="12"/>
  <c r="C1214" i="12"/>
  <c r="B1347" i="12"/>
  <c r="C1212" i="12"/>
  <c r="C1585" i="12"/>
  <c r="B1720" i="12"/>
  <c r="B1181" i="12"/>
  <c r="C1046" i="12"/>
  <c r="B1569" i="12"/>
  <c r="C1434" i="12"/>
  <c r="A1729" i="12"/>
  <c r="C1594" i="12"/>
  <c r="B1352" i="12"/>
  <c r="C1217" i="12"/>
  <c r="A1466" i="12"/>
  <c r="C1331" i="12"/>
  <c r="A1320" i="12"/>
  <c r="C1185" i="12"/>
  <c r="B1160" i="12"/>
  <c r="C1025" i="12"/>
  <c r="B1356" i="12"/>
  <c r="C1221" i="12"/>
  <c r="B1252" i="12"/>
  <c r="C1117" i="12"/>
  <c r="C2403" i="12"/>
  <c r="B2538" i="12"/>
  <c r="A1311" i="12"/>
  <c r="C1176" i="12"/>
  <c r="A2030" i="12"/>
  <c r="C1895" i="12"/>
  <c r="B1110" i="12"/>
  <c r="C975" i="12"/>
  <c r="C1190" i="12"/>
  <c r="B1325" i="12"/>
  <c r="B1116" i="12"/>
  <c r="C981" i="12"/>
  <c r="B1183" i="12"/>
  <c r="C1048" i="12"/>
  <c r="A1328" i="12"/>
  <c r="C1193" i="12"/>
  <c r="B1789" i="12"/>
  <c r="C1654" i="12"/>
  <c r="C1121" i="12"/>
  <c r="B1256" i="12"/>
  <c r="B1513" i="12"/>
  <c r="C1378" i="12"/>
  <c r="B1751" i="12"/>
  <c r="C1616" i="12"/>
  <c r="A1361" i="12"/>
  <c r="C1226" i="12"/>
  <c r="B1329" i="12"/>
  <c r="C1194" i="12"/>
  <c r="B1209" i="12"/>
  <c r="C1074" i="12"/>
  <c r="C1135" i="12"/>
  <c r="B1270" i="12"/>
  <c r="C1113" i="12"/>
  <c r="B1248" i="12"/>
  <c r="C1067" i="12"/>
  <c r="B1202" i="12"/>
  <c r="B1308" i="12"/>
  <c r="C1173" i="12"/>
  <c r="B1223" i="12"/>
  <c r="C1088" i="12"/>
  <c r="C1119" i="12"/>
  <c r="B1254" i="12"/>
  <c r="C1842" i="12"/>
  <c r="B1977" i="12"/>
  <c r="B1166" i="12"/>
  <c r="C1031" i="12"/>
  <c r="A1626" i="12"/>
  <c r="A1465" i="12"/>
  <c r="C1330" i="12"/>
  <c r="C1272" i="12"/>
  <c r="B1407" i="12"/>
  <c r="B1215" i="12"/>
  <c r="C1080" i="12"/>
  <c r="A2055" i="12"/>
  <c r="B1125" i="12"/>
  <c r="C990" i="12"/>
  <c r="B1103" i="12"/>
  <c r="C968" i="12"/>
  <c r="A2834" i="12"/>
  <c r="B1416" i="12"/>
  <c r="C1281" i="12"/>
  <c r="B1611" i="12"/>
  <c r="C1476" i="12"/>
  <c r="B1374" i="12"/>
  <c r="C1239" i="12"/>
  <c r="C2425" i="12"/>
  <c r="B2560" i="12"/>
  <c r="B1283" i="12"/>
  <c r="C1148" i="12"/>
  <c r="A1230" i="12"/>
  <c r="C1095" i="12"/>
  <c r="B1084" i="12"/>
  <c r="C949" i="12"/>
  <c r="C1162" i="12"/>
  <c r="B1297" i="12"/>
  <c r="A1370" i="12"/>
  <c r="C1235" i="12"/>
  <c r="B1546" i="12"/>
  <c r="C1411" i="12"/>
  <c r="C1051" i="12"/>
  <c r="B1186" i="12"/>
  <c r="C1138" i="12"/>
  <c r="B1273" i="12"/>
  <c r="B2701" i="12"/>
  <c r="C2566" i="12"/>
  <c r="B4308" i="12"/>
  <c r="C4173" i="12"/>
  <c r="B2300" i="12"/>
  <c r="B1229" i="12"/>
  <c r="C1094" i="12"/>
  <c r="C1392" i="12"/>
  <c r="B1527" i="12"/>
  <c r="B1897" i="12"/>
  <c r="C1762" i="12"/>
  <c r="B2040" i="12"/>
  <c r="B1101" i="12"/>
  <c r="C966" i="12"/>
  <c r="C1155" i="12"/>
  <c r="B1290" i="12"/>
  <c r="B1942" i="12"/>
  <c r="C1807" i="12"/>
  <c r="B1409" i="12"/>
  <c r="C1274" i="12"/>
  <c r="A2835" i="12"/>
  <c r="B1888" i="12"/>
  <c r="C1753" i="12"/>
  <c r="B1836" i="12"/>
  <c r="C1701" i="12"/>
  <c r="C2828" i="12"/>
  <c r="B2963" i="12"/>
  <c r="B1096" i="12"/>
  <c r="C961" i="12"/>
  <c r="B1158" i="12"/>
  <c r="C1023" i="12"/>
  <c r="B1590" i="12"/>
  <c r="B1986" i="12"/>
  <c r="B2397" i="12"/>
  <c r="C2262" i="12"/>
  <c r="B1612" i="12"/>
  <c r="C1477" i="12"/>
  <c r="B1573" i="12"/>
  <c r="C1438" i="12"/>
  <c r="C1711" i="12"/>
  <c r="B1846" i="12"/>
  <c r="B2110" i="12"/>
  <c r="C1975" i="12"/>
  <c r="C1151" i="12"/>
  <c r="B1286" i="12"/>
  <c r="A1233" i="12"/>
  <c r="C1098" i="12"/>
  <c r="C1488" i="12"/>
  <c r="B1623" i="12"/>
  <c r="B1960" i="12"/>
  <c r="C1825" i="12"/>
  <c r="C1152" i="12"/>
  <c r="B1287" i="12"/>
  <c r="C1577" i="12"/>
  <c r="B1712" i="12"/>
  <c r="B1327" i="12"/>
  <c r="C1192" i="12"/>
  <c r="B2276" i="12"/>
  <c r="B1988" i="12"/>
  <c r="C1853" i="12"/>
  <c r="B1099" i="12"/>
  <c r="C964" i="12"/>
  <c r="C2136" i="12"/>
  <c r="B2271" i="12"/>
  <c r="B1655" i="12"/>
  <c r="C1520" i="12"/>
  <c r="B1275" i="12"/>
  <c r="C1140" i="12"/>
  <c r="C1687" i="12"/>
  <c r="B1822" i="12"/>
  <c r="B1954" i="12"/>
  <c r="C1819" i="12"/>
  <c r="B1379" i="12"/>
  <c r="C1244" i="12"/>
  <c r="B1120" i="12"/>
  <c r="C985" i="12"/>
  <c r="B1647" i="12"/>
  <c r="C1512" i="12"/>
  <c r="B1631" i="12"/>
  <c r="C1429" i="12"/>
  <c r="B1564" i="12"/>
  <c r="B1413" i="12"/>
  <c r="C1278" i="12"/>
  <c r="B1097" i="12"/>
  <c r="C962" i="12"/>
  <c r="B2043" i="12"/>
  <c r="C1240" i="12"/>
  <c r="B1375" i="12"/>
  <c r="B1559" i="12"/>
  <c r="C1424" i="12"/>
  <c r="C1126" i="12"/>
  <c r="B1261" i="12"/>
  <c r="A1493" i="12"/>
  <c r="B1777" i="12"/>
  <c r="C1642" i="12"/>
  <c r="B1658" i="12"/>
  <c r="C1523" i="12"/>
  <c r="B1412" i="12"/>
  <c r="C1277" i="12"/>
  <c r="B1198" i="12"/>
  <c r="C1063" i="12"/>
  <c r="B1775" i="12"/>
  <c r="C1498" i="12"/>
  <c r="B1633" i="12"/>
  <c r="C1199" i="12"/>
  <c r="B1334" i="12"/>
  <c r="B1999" i="12"/>
  <c r="B1298" i="12"/>
  <c r="C1163" i="12"/>
  <c r="B1322" i="12"/>
  <c r="C1187" i="12"/>
  <c r="C1336" i="12"/>
  <c r="B1471" i="12"/>
  <c r="B3879" i="12"/>
  <c r="B1262" i="12"/>
  <c r="C1127" i="12"/>
  <c r="B2037" i="12"/>
  <c r="C1902" i="12"/>
  <c r="B1241" i="12"/>
  <c r="C1106" i="12"/>
  <c r="B1610" i="12"/>
  <c r="C1475" i="12"/>
  <c r="B2078" i="12"/>
  <c r="C1943" i="12"/>
  <c r="B2003" i="12"/>
  <c r="C1474" i="12"/>
  <c r="B1609" i="12"/>
  <c r="C1710" i="12"/>
  <c r="B1845" i="12"/>
  <c r="B1828" i="12"/>
  <c r="C1693" i="12"/>
  <c r="B1291" i="12"/>
  <c r="C1156" i="12"/>
  <c r="C2254" i="12"/>
  <c r="B2389" i="12"/>
  <c r="C993" i="12"/>
  <c r="B1128" i="12"/>
  <c r="B1335" i="12"/>
  <c r="C1200" i="12"/>
  <c r="B1112" i="12"/>
  <c r="C977" i="12"/>
  <c r="C1359" i="12"/>
  <c r="B1494" i="12"/>
  <c r="B2680" i="12"/>
  <c r="B1175" i="12"/>
  <c r="C1040" i="12"/>
  <c r="B1284" i="12"/>
  <c r="C1149" i="12"/>
  <c r="B1806" i="12"/>
  <c r="C1671" i="12"/>
  <c r="C995" i="12"/>
  <c r="B1130" i="12"/>
  <c r="C1765" i="12"/>
  <c r="B1900" i="12"/>
  <c r="B1669" i="12"/>
  <c r="C1534" i="12"/>
  <c r="B1406" i="12"/>
  <c r="C1271" i="12"/>
  <c r="B1177" i="12"/>
  <c r="C1042" i="12"/>
  <c r="B2654" i="12"/>
  <c r="C2519" i="12"/>
  <c r="B1332" i="12"/>
  <c r="C1197" i="12"/>
  <c r="B1157" i="12"/>
  <c r="C1022" i="12"/>
  <c r="B2264" i="12"/>
  <c r="C2129" i="12"/>
  <c r="B1111" i="12"/>
  <c r="C976" i="12"/>
  <c r="C1539" i="12"/>
  <c r="B1674" i="12"/>
  <c r="B1393" i="12"/>
  <c r="C1258" i="12"/>
  <c r="B1124" i="12"/>
  <c r="C989" i="12"/>
  <c r="C1280" i="12"/>
  <c r="B1415" i="12"/>
  <c r="B1482" i="12" l="1"/>
  <c r="C1347" i="12"/>
  <c r="B1484" i="12"/>
  <c r="C1349" i="12"/>
  <c r="A1719" i="12"/>
  <c r="C1584" i="12"/>
  <c r="B1295" i="12"/>
  <c r="C1160" i="12"/>
  <c r="B1460" i="12"/>
  <c r="C1325" i="12"/>
  <c r="B2673" i="12"/>
  <c r="C2538" i="12"/>
  <c r="C1789" i="12"/>
  <c r="B1924" i="12"/>
  <c r="A1455" i="12"/>
  <c r="C1320" i="12"/>
  <c r="C1569" i="12"/>
  <c r="B1704" i="12"/>
  <c r="B1251" i="12"/>
  <c r="C1116" i="12"/>
  <c r="A1864" i="12"/>
  <c r="C1729" i="12"/>
  <c r="A1463" i="12"/>
  <c r="C1328" i="12"/>
  <c r="B1245" i="12"/>
  <c r="C1110" i="12"/>
  <c r="B1387" i="12"/>
  <c r="C1252" i="12"/>
  <c r="A1601" i="12"/>
  <c r="C1466" i="12"/>
  <c r="B1316" i="12"/>
  <c r="C1181" i="12"/>
  <c r="C1720" i="12"/>
  <c r="B1855" i="12"/>
  <c r="A1446" i="12"/>
  <c r="C1311" i="12"/>
  <c r="C1183" i="12"/>
  <c r="B1318" i="12"/>
  <c r="A2165" i="12"/>
  <c r="C2030" i="12"/>
  <c r="B1491" i="12"/>
  <c r="C1356" i="12"/>
  <c r="B1487" i="12"/>
  <c r="C1352" i="12"/>
  <c r="B1408" i="12"/>
  <c r="C1273" i="12"/>
  <c r="C1270" i="12"/>
  <c r="B1405" i="12"/>
  <c r="A1505" i="12"/>
  <c r="C1370" i="12"/>
  <c r="B1418" i="12"/>
  <c r="C1283" i="12"/>
  <c r="B1551" i="12"/>
  <c r="C1416" i="12"/>
  <c r="A2190" i="12"/>
  <c r="A1761" i="12"/>
  <c r="B1358" i="12"/>
  <c r="C1223" i="12"/>
  <c r="A1496" i="12"/>
  <c r="C1361" i="12"/>
  <c r="C1297" i="12"/>
  <c r="B1432" i="12"/>
  <c r="B1301" i="12"/>
  <c r="C1166" i="12"/>
  <c r="B1344" i="12"/>
  <c r="C1209" i="12"/>
  <c r="C1186" i="12"/>
  <c r="B1321" i="12"/>
  <c r="C1407" i="12"/>
  <c r="B1542" i="12"/>
  <c r="C1977" i="12"/>
  <c r="B2112" i="12"/>
  <c r="B1219" i="12"/>
  <c r="C1084" i="12"/>
  <c r="B1509" i="12"/>
  <c r="C1374" i="12"/>
  <c r="B1238" i="12"/>
  <c r="C1103" i="12"/>
  <c r="B1464" i="12"/>
  <c r="C1329" i="12"/>
  <c r="C1513" i="12"/>
  <c r="B1648" i="12"/>
  <c r="B2695" i="12"/>
  <c r="C2560" i="12"/>
  <c r="B1350" i="12"/>
  <c r="C1215" i="12"/>
  <c r="B1886" i="12"/>
  <c r="C1751" i="12"/>
  <c r="B1389" i="12"/>
  <c r="C1254" i="12"/>
  <c r="C1248" i="12"/>
  <c r="B1383" i="12"/>
  <c r="C1256" i="12"/>
  <c r="B1391" i="12"/>
  <c r="A2969" i="12"/>
  <c r="C1308" i="12"/>
  <c r="B1443" i="12"/>
  <c r="B1337" i="12"/>
  <c r="C1202" i="12"/>
  <c r="B2836" i="12"/>
  <c r="C2701" i="12"/>
  <c r="C1546" i="12"/>
  <c r="B1681" i="12"/>
  <c r="A1365" i="12"/>
  <c r="C1230" i="12"/>
  <c r="B1746" i="12"/>
  <c r="C1611" i="12"/>
  <c r="C1125" i="12"/>
  <c r="B1260" i="12"/>
  <c r="A1600" i="12"/>
  <c r="C1465" i="12"/>
  <c r="C1674" i="12"/>
  <c r="B1809" i="12"/>
  <c r="C1290" i="12"/>
  <c r="B1425" i="12"/>
  <c r="B1662" i="12"/>
  <c r="C1527" i="12"/>
  <c r="B1259" i="12"/>
  <c r="C1124" i="12"/>
  <c r="B1467" i="12"/>
  <c r="C1332" i="12"/>
  <c r="B1541" i="12"/>
  <c r="C1406" i="12"/>
  <c r="C1175" i="12"/>
  <c r="B1310" i="12"/>
  <c r="B1247" i="12"/>
  <c r="C1112" i="12"/>
  <c r="B1745" i="12"/>
  <c r="C1610" i="12"/>
  <c r="B1333" i="12"/>
  <c r="C1198" i="12"/>
  <c r="C1777" i="12"/>
  <c r="B1912" i="12"/>
  <c r="B1694" i="12"/>
  <c r="C1559" i="12"/>
  <c r="B1255" i="12"/>
  <c r="C1120" i="12"/>
  <c r="B2411" i="12"/>
  <c r="B2095" i="12"/>
  <c r="C1960" i="12"/>
  <c r="C1612" i="12"/>
  <c r="B1747" i="12"/>
  <c r="B2121" i="12"/>
  <c r="B1971" i="12"/>
  <c r="C1836" i="12"/>
  <c r="B2524" i="12"/>
  <c r="C2389" i="12"/>
  <c r="B1725" i="12"/>
  <c r="C1111" i="12"/>
  <c r="B1246" i="12"/>
  <c r="B2789" i="12"/>
  <c r="C2654" i="12"/>
  <c r="B2815" i="12"/>
  <c r="B1470" i="12"/>
  <c r="C1335" i="12"/>
  <c r="C1241" i="12"/>
  <c r="B1376" i="12"/>
  <c r="B1457" i="12"/>
  <c r="C1322" i="12"/>
  <c r="B1547" i="12"/>
  <c r="C1412" i="12"/>
  <c r="B1548" i="12"/>
  <c r="C1413" i="12"/>
  <c r="B1514" i="12"/>
  <c r="C1379" i="12"/>
  <c r="B1410" i="12"/>
  <c r="C1275" i="12"/>
  <c r="B2123" i="12"/>
  <c r="C1988" i="12"/>
  <c r="B1462" i="12"/>
  <c r="C1327" i="12"/>
  <c r="A1368" i="12"/>
  <c r="C1233" i="12"/>
  <c r="B2532" i="12"/>
  <c r="C2397" i="12"/>
  <c r="C1888" i="12"/>
  <c r="B2023" i="12"/>
  <c r="B1544" i="12"/>
  <c r="C1409" i="12"/>
  <c r="B2175" i="12"/>
  <c r="B1364" i="12"/>
  <c r="C1229" i="12"/>
  <c r="B2035" i="12"/>
  <c r="C1900" i="12"/>
  <c r="C1471" i="12"/>
  <c r="B1606" i="12"/>
  <c r="C1334" i="12"/>
  <c r="B1469" i="12"/>
  <c r="C1609" i="12"/>
  <c r="B1744" i="12"/>
  <c r="B1981" i="12"/>
  <c r="C1846" i="12"/>
  <c r="B1263" i="12"/>
  <c r="C1128" i="12"/>
  <c r="B4014" i="12"/>
  <c r="B1768" i="12"/>
  <c r="C1633" i="12"/>
  <c r="B1766" i="12"/>
  <c r="B2406" i="12"/>
  <c r="C2271" i="12"/>
  <c r="B1847" i="12"/>
  <c r="C1712" i="12"/>
  <c r="C1286" i="12"/>
  <c r="B1421" i="12"/>
  <c r="B1980" i="12"/>
  <c r="C1845" i="12"/>
  <c r="B1265" i="12"/>
  <c r="C1130" i="12"/>
  <c r="B1510" i="12"/>
  <c r="C1375" i="12"/>
  <c r="C1393" i="12"/>
  <c r="B1528" i="12"/>
  <c r="B2399" i="12"/>
  <c r="C2264" i="12"/>
  <c r="B1312" i="12"/>
  <c r="C1177" i="12"/>
  <c r="B1804" i="12"/>
  <c r="C1669" i="12"/>
  <c r="B1941" i="12"/>
  <c r="C1806" i="12"/>
  <c r="B1426" i="12"/>
  <c r="C1291" i="12"/>
  <c r="B2138" i="12"/>
  <c r="B2172" i="12"/>
  <c r="C2037" i="12"/>
  <c r="B1433" i="12"/>
  <c r="C1298" i="12"/>
  <c r="B1793" i="12"/>
  <c r="C1658" i="12"/>
  <c r="A1628" i="12"/>
  <c r="B2178" i="12"/>
  <c r="B2089" i="12"/>
  <c r="C1954" i="12"/>
  <c r="B1790" i="12"/>
  <c r="C1655" i="12"/>
  <c r="C1573" i="12"/>
  <c r="B1708" i="12"/>
  <c r="C1158" i="12"/>
  <c r="B1293" i="12"/>
  <c r="A2970" i="12"/>
  <c r="B1236" i="12"/>
  <c r="C1101" i="12"/>
  <c r="B2435" i="12"/>
  <c r="B1550" i="12"/>
  <c r="C1415" i="12"/>
  <c r="B1629" i="12"/>
  <c r="C1494" i="12"/>
  <c r="B1910" i="12"/>
  <c r="C1261" i="12"/>
  <c r="B1396" i="12"/>
  <c r="C1564" i="12"/>
  <c r="B1699" i="12"/>
  <c r="B1957" i="12"/>
  <c r="C1822" i="12"/>
  <c r="B1422" i="12"/>
  <c r="C1287" i="12"/>
  <c r="B1758" i="12"/>
  <c r="C1623" i="12"/>
  <c r="B3098" i="12"/>
  <c r="C2963" i="12"/>
  <c r="C1157" i="12"/>
  <c r="B1292" i="12"/>
  <c r="B1419" i="12"/>
  <c r="C1284" i="12"/>
  <c r="B1963" i="12"/>
  <c r="C1828" i="12"/>
  <c r="B2213" i="12"/>
  <c r="C2078" i="12"/>
  <c r="C1262" i="12"/>
  <c r="B1397" i="12"/>
  <c r="B2134" i="12"/>
  <c r="B1232" i="12"/>
  <c r="C1097" i="12"/>
  <c r="B1782" i="12"/>
  <c r="C1647" i="12"/>
  <c r="C1099" i="12"/>
  <c r="B1234" i="12"/>
  <c r="C2110" i="12"/>
  <c r="B2245" i="12"/>
  <c r="C1096" i="12"/>
  <c r="B1231" i="12"/>
  <c r="B2077" i="12"/>
  <c r="C1942" i="12"/>
  <c r="B2032" i="12"/>
  <c r="C1897" i="12"/>
  <c r="B4443" i="12"/>
  <c r="C4308" i="12"/>
  <c r="B1619" i="12" l="1"/>
  <c r="C1484" i="12"/>
  <c r="C1719" i="12"/>
  <c r="A1854" i="12"/>
  <c r="B1617" i="12"/>
  <c r="C1482" i="12"/>
  <c r="A1999" i="12"/>
  <c r="C1864" i="12"/>
  <c r="C1318" i="12"/>
  <c r="B1453" i="12"/>
  <c r="B2059" i="12"/>
  <c r="C1924" i="12"/>
  <c r="C1487" i="12"/>
  <c r="B1622" i="12"/>
  <c r="A1581" i="12"/>
  <c r="C1446" i="12"/>
  <c r="C1387" i="12"/>
  <c r="B1522" i="12"/>
  <c r="B1386" i="12"/>
  <c r="C1251" i="12"/>
  <c r="B2808" i="12"/>
  <c r="C2673" i="12"/>
  <c r="B1990" i="12"/>
  <c r="C1855" i="12"/>
  <c r="B1839" i="12"/>
  <c r="C1704" i="12"/>
  <c r="B1626" i="12"/>
  <c r="C1491" i="12"/>
  <c r="B1380" i="12"/>
  <c r="C1245" i="12"/>
  <c r="B1595" i="12"/>
  <c r="C1460" i="12"/>
  <c r="A1736" i="12"/>
  <c r="C1601" i="12"/>
  <c r="A2300" i="12"/>
  <c r="C2165" i="12"/>
  <c r="B1451" i="12"/>
  <c r="C1316" i="12"/>
  <c r="A1598" i="12"/>
  <c r="C1463" i="12"/>
  <c r="A1590" i="12"/>
  <c r="C1455" i="12"/>
  <c r="B1430" i="12"/>
  <c r="C1295" i="12"/>
  <c r="C1681" i="12"/>
  <c r="B1816" i="12"/>
  <c r="B1783" i="12"/>
  <c r="C1648" i="12"/>
  <c r="A1735" i="12"/>
  <c r="C1600" i="12"/>
  <c r="A3104" i="12"/>
  <c r="B1524" i="12"/>
  <c r="C1389" i="12"/>
  <c r="C1219" i="12"/>
  <c r="B1354" i="12"/>
  <c r="B1479" i="12"/>
  <c r="C1344" i="12"/>
  <c r="B1493" i="12"/>
  <c r="C1358" i="12"/>
  <c r="C1418" i="12"/>
  <c r="B1553" i="12"/>
  <c r="C1260" i="12"/>
  <c r="B1395" i="12"/>
  <c r="A1896" i="12"/>
  <c r="B1526" i="12"/>
  <c r="C1391" i="12"/>
  <c r="C1432" i="12"/>
  <c r="B1567" i="12"/>
  <c r="C1746" i="12"/>
  <c r="B1881" i="12"/>
  <c r="B1472" i="12"/>
  <c r="C1337" i="12"/>
  <c r="B1485" i="12"/>
  <c r="C1350" i="12"/>
  <c r="B1373" i="12"/>
  <c r="C1238" i="12"/>
  <c r="B2021" i="12"/>
  <c r="C1886" i="12"/>
  <c r="C1464" i="12"/>
  <c r="B1599" i="12"/>
  <c r="A1640" i="12"/>
  <c r="C1505" i="12"/>
  <c r="B1677" i="12"/>
  <c r="C1542" i="12"/>
  <c r="B1540" i="12"/>
  <c r="C1405" i="12"/>
  <c r="B1578" i="12"/>
  <c r="C1443" i="12"/>
  <c r="B1518" i="12"/>
  <c r="C1383" i="12"/>
  <c r="B1456" i="12"/>
  <c r="C1321" i="12"/>
  <c r="B2247" i="12"/>
  <c r="C2112" i="12"/>
  <c r="B2971" i="12"/>
  <c r="C2836" i="12"/>
  <c r="B1436" i="12"/>
  <c r="C1301" i="12"/>
  <c r="A2325" i="12"/>
  <c r="A1500" i="12"/>
  <c r="C1365" i="12"/>
  <c r="C2695" i="12"/>
  <c r="B2830" i="12"/>
  <c r="B1644" i="12"/>
  <c r="C1509" i="12"/>
  <c r="A1631" i="12"/>
  <c r="C1496" i="12"/>
  <c r="C1551" i="12"/>
  <c r="B1686" i="12"/>
  <c r="C1408" i="12"/>
  <c r="B1543" i="12"/>
  <c r="B1427" i="12"/>
  <c r="C1292" i="12"/>
  <c r="B1834" i="12"/>
  <c r="C1699" i="12"/>
  <c r="B1879" i="12"/>
  <c r="C1744" i="12"/>
  <c r="C1606" i="12"/>
  <c r="B1741" i="12"/>
  <c r="B1882" i="12"/>
  <c r="C1747" i="12"/>
  <c r="C2032" i="12"/>
  <c r="B2167" i="12"/>
  <c r="B2269" i="12"/>
  <c r="B2098" i="12"/>
  <c r="C1963" i="12"/>
  <c r="B1925" i="12"/>
  <c r="C1790" i="12"/>
  <c r="C1793" i="12"/>
  <c r="B1928" i="12"/>
  <c r="B1561" i="12"/>
  <c r="C1426" i="12"/>
  <c r="B2534" i="12"/>
  <c r="C2399" i="12"/>
  <c r="B2115" i="12"/>
  <c r="C1980" i="12"/>
  <c r="B2541" i="12"/>
  <c r="C2406" i="12"/>
  <c r="B4149" i="12"/>
  <c r="B2667" i="12"/>
  <c r="C2532" i="12"/>
  <c r="B2258" i="12"/>
  <c r="C2123" i="12"/>
  <c r="B1605" i="12"/>
  <c r="C1470" i="12"/>
  <c r="B2546" i="12"/>
  <c r="B1468" i="12"/>
  <c r="C1333" i="12"/>
  <c r="C1247" i="12"/>
  <c r="B1382" i="12"/>
  <c r="B1394" i="12"/>
  <c r="C1259" i="12"/>
  <c r="B2380" i="12"/>
  <c r="C2245" i="12"/>
  <c r="C1708" i="12"/>
  <c r="B1843" i="12"/>
  <c r="B2212" i="12"/>
  <c r="C2077" i="12"/>
  <c r="B1917" i="12"/>
  <c r="C1782" i="12"/>
  <c r="B1893" i="12"/>
  <c r="C1758" i="12"/>
  <c r="C1550" i="12"/>
  <c r="B1685" i="12"/>
  <c r="A3105" i="12"/>
  <c r="C2089" i="12"/>
  <c r="B2224" i="12"/>
  <c r="B1568" i="12"/>
  <c r="C1433" i="12"/>
  <c r="B2076" i="12"/>
  <c r="C1941" i="12"/>
  <c r="B1901" i="12"/>
  <c r="B1398" i="12"/>
  <c r="C1263" i="12"/>
  <c r="C2035" i="12"/>
  <c r="B2170" i="12"/>
  <c r="B1679" i="12"/>
  <c r="C1544" i="12"/>
  <c r="A1503" i="12"/>
  <c r="C1368" i="12"/>
  <c r="B1683" i="12"/>
  <c r="C1548" i="12"/>
  <c r="B1592" i="12"/>
  <c r="C1457" i="12"/>
  <c r="B2950" i="12"/>
  <c r="B1860" i="12"/>
  <c r="C1971" i="12"/>
  <c r="B2106" i="12"/>
  <c r="B1797" i="12"/>
  <c r="C1662" i="12"/>
  <c r="C1396" i="12"/>
  <c r="B1531" i="12"/>
  <c r="C1528" i="12"/>
  <c r="B1663" i="12"/>
  <c r="B1445" i="12"/>
  <c r="C1310" i="12"/>
  <c r="C1397" i="12"/>
  <c r="B1532" i="12"/>
  <c r="C1421" i="12"/>
  <c r="B1556" i="12"/>
  <c r="B2158" i="12"/>
  <c r="C2023" i="12"/>
  <c r="B1560" i="12"/>
  <c r="C1425" i="12"/>
  <c r="B1367" i="12"/>
  <c r="C1232" i="12"/>
  <c r="B1554" i="12"/>
  <c r="C1419" i="12"/>
  <c r="B1557" i="12"/>
  <c r="C1422" i="12"/>
  <c r="B2045" i="12"/>
  <c r="B2570" i="12"/>
  <c r="B2313" i="12"/>
  <c r="B2307" i="12"/>
  <c r="C2172" i="12"/>
  <c r="B1939" i="12"/>
  <c r="C1804" i="12"/>
  <c r="B1645" i="12"/>
  <c r="C1510" i="12"/>
  <c r="B1499" i="12"/>
  <c r="C1364" i="12"/>
  <c r="B1545" i="12"/>
  <c r="C1410" i="12"/>
  <c r="C2789" i="12"/>
  <c r="B2924" i="12"/>
  <c r="C2524" i="12"/>
  <c r="B2659" i="12"/>
  <c r="B1829" i="12"/>
  <c r="C1694" i="12"/>
  <c r="B1880" i="12"/>
  <c r="C1745" i="12"/>
  <c r="B1676" i="12"/>
  <c r="C1541" i="12"/>
  <c r="B1366" i="12"/>
  <c r="C1231" i="12"/>
  <c r="B1369" i="12"/>
  <c r="C1234" i="12"/>
  <c r="B1428" i="12"/>
  <c r="C1293" i="12"/>
  <c r="B2273" i="12"/>
  <c r="B1604" i="12"/>
  <c r="C1469" i="12"/>
  <c r="B1511" i="12"/>
  <c r="C1376" i="12"/>
  <c r="B1381" i="12"/>
  <c r="C1246" i="12"/>
  <c r="B2047" i="12"/>
  <c r="C1912" i="12"/>
  <c r="C1809" i="12"/>
  <c r="B1944" i="12"/>
  <c r="B4578" i="12"/>
  <c r="C4443" i="12"/>
  <c r="B2348" i="12"/>
  <c r="C2213" i="12"/>
  <c r="C3098" i="12"/>
  <c r="B3233" i="12"/>
  <c r="C1957" i="12"/>
  <c r="B2092" i="12"/>
  <c r="B1764" i="12"/>
  <c r="C1629" i="12"/>
  <c r="B1371" i="12"/>
  <c r="C1236" i="12"/>
  <c r="A1763" i="12"/>
  <c r="B1447" i="12"/>
  <c r="C1312" i="12"/>
  <c r="B1400" i="12"/>
  <c r="C1265" i="12"/>
  <c r="C1847" i="12"/>
  <c r="B1982" i="12"/>
  <c r="B1903" i="12"/>
  <c r="C1768" i="12"/>
  <c r="B2116" i="12"/>
  <c r="C1981" i="12"/>
  <c r="B2310" i="12"/>
  <c r="C1462" i="12"/>
  <c r="B1597" i="12"/>
  <c r="B1649" i="12"/>
  <c r="C1514" i="12"/>
  <c r="B1682" i="12"/>
  <c r="C1547" i="12"/>
  <c r="B2256" i="12"/>
  <c r="B2230" i="12"/>
  <c r="C2095" i="12"/>
  <c r="C1255" i="12"/>
  <c r="B1390" i="12"/>
  <c r="B1602" i="12"/>
  <c r="C1467" i="12"/>
  <c r="A1989" i="12" l="1"/>
  <c r="C1854" i="12"/>
  <c r="C1617" i="12"/>
  <c r="B1752" i="12"/>
  <c r="B1754" i="12"/>
  <c r="C1619" i="12"/>
  <c r="B1586" i="12"/>
  <c r="C1451" i="12"/>
  <c r="B1757" i="12"/>
  <c r="C1622" i="12"/>
  <c r="B1515" i="12"/>
  <c r="C1380" i="12"/>
  <c r="C1430" i="12"/>
  <c r="B1565" i="12"/>
  <c r="A2435" i="12"/>
  <c r="C2300" i="12"/>
  <c r="B1761" i="12"/>
  <c r="C1626" i="12"/>
  <c r="C1386" i="12"/>
  <c r="B1521" i="12"/>
  <c r="B2194" i="12"/>
  <c r="C2059" i="12"/>
  <c r="C1522" i="12"/>
  <c r="B1657" i="12"/>
  <c r="B1588" i="12"/>
  <c r="C1453" i="12"/>
  <c r="A1725" i="12"/>
  <c r="C1590" i="12"/>
  <c r="A1871" i="12"/>
  <c r="C1736" i="12"/>
  <c r="C1839" i="12"/>
  <c r="B1974" i="12"/>
  <c r="C2808" i="12"/>
  <c r="B2943" i="12"/>
  <c r="A1733" i="12"/>
  <c r="C1598" i="12"/>
  <c r="B1730" i="12"/>
  <c r="C1595" i="12"/>
  <c r="B2125" i="12"/>
  <c r="C1990" i="12"/>
  <c r="A1716" i="12"/>
  <c r="C1581" i="12"/>
  <c r="A2134" i="12"/>
  <c r="C1999" i="12"/>
  <c r="B1821" i="12"/>
  <c r="C1686" i="12"/>
  <c r="B1734" i="12"/>
  <c r="C1599" i="12"/>
  <c r="A1635" i="12"/>
  <c r="C1500" i="12"/>
  <c r="C2247" i="12"/>
  <c r="B2382" i="12"/>
  <c r="B1620" i="12"/>
  <c r="C1485" i="12"/>
  <c r="B1661" i="12"/>
  <c r="C1526" i="12"/>
  <c r="B1628" i="12"/>
  <c r="C1493" i="12"/>
  <c r="A3239" i="12"/>
  <c r="A2460" i="12"/>
  <c r="B1675" i="12"/>
  <c r="C1540" i="12"/>
  <c r="C1472" i="12"/>
  <c r="B1607" i="12"/>
  <c r="B1614" i="12"/>
  <c r="C1479" i="12"/>
  <c r="C1881" i="12"/>
  <c r="B2016" i="12"/>
  <c r="C1395" i="12"/>
  <c r="B1530" i="12"/>
  <c r="B1779" i="12"/>
  <c r="C1644" i="12"/>
  <c r="B1571" i="12"/>
  <c r="C1436" i="12"/>
  <c r="B1653" i="12"/>
  <c r="C1518" i="12"/>
  <c r="C1677" i="12"/>
  <c r="B1812" i="12"/>
  <c r="C1783" i="12"/>
  <c r="B1918" i="12"/>
  <c r="A2031" i="12"/>
  <c r="B1489" i="12"/>
  <c r="C1354" i="12"/>
  <c r="B1678" i="12"/>
  <c r="C1543" i="12"/>
  <c r="B2965" i="12"/>
  <c r="C2830" i="12"/>
  <c r="C1567" i="12"/>
  <c r="B1702" i="12"/>
  <c r="C1553" i="12"/>
  <c r="B1688" i="12"/>
  <c r="C1816" i="12"/>
  <c r="B1951" i="12"/>
  <c r="A1766" i="12"/>
  <c r="C1631" i="12"/>
  <c r="C1456" i="12"/>
  <c r="B1591" i="12"/>
  <c r="B2156" i="12"/>
  <c r="C2021" i="12"/>
  <c r="A1870" i="12"/>
  <c r="C1735" i="12"/>
  <c r="B3106" i="12"/>
  <c r="C2971" i="12"/>
  <c r="C1578" i="12"/>
  <c r="B1713" i="12"/>
  <c r="A1775" i="12"/>
  <c r="C1640" i="12"/>
  <c r="B1508" i="12"/>
  <c r="C1373" i="12"/>
  <c r="B1659" i="12"/>
  <c r="C1524" i="12"/>
  <c r="B2445" i="12"/>
  <c r="B1667" i="12"/>
  <c r="C1532" i="12"/>
  <c r="B1666" i="12"/>
  <c r="C1531" i="12"/>
  <c r="B1817" i="12"/>
  <c r="C1682" i="12"/>
  <c r="B1535" i="12"/>
  <c r="C1400" i="12"/>
  <c r="B1506" i="12"/>
  <c r="C1371" i="12"/>
  <c r="B1646" i="12"/>
  <c r="C1511" i="12"/>
  <c r="B1504" i="12"/>
  <c r="C1369" i="12"/>
  <c r="C1829" i="12"/>
  <c r="B1964" i="12"/>
  <c r="B1680" i="12"/>
  <c r="C1545" i="12"/>
  <c r="B2448" i="12"/>
  <c r="B2180" i="12"/>
  <c r="B1995" i="12"/>
  <c r="A1638" i="12"/>
  <c r="C1503" i="12"/>
  <c r="C1398" i="12"/>
  <c r="B1533" i="12"/>
  <c r="B1703" i="12"/>
  <c r="C1568" i="12"/>
  <c r="C1893" i="12"/>
  <c r="B2028" i="12"/>
  <c r="B2347" i="12"/>
  <c r="C2212" i="12"/>
  <c r="B1603" i="12"/>
  <c r="C1468" i="12"/>
  <c r="B1740" i="12"/>
  <c r="C1605" i="12"/>
  <c r="B2669" i="12"/>
  <c r="C2534" i="12"/>
  <c r="B2233" i="12"/>
  <c r="C2098" i="12"/>
  <c r="B2014" i="12"/>
  <c r="C1879" i="12"/>
  <c r="B1525" i="12"/>
  <c r="C1390" i="12"/>
  <c r="B3059" i="12"/>
  <c r="C2924" i="12"/>
  <c r="B2681" i="12"/>
  <c r="B2365" i="12"/>
  <c r="C2230" i="12"/>
  <c r="B1784" i="12"/>
  <c r="C1649" i="12"/>
  <c r="C2116" i="12"/>
  <c r="B2251" i="12"/>
  <c r="B1582" i="12"/>
  <c r="C1447" i="12"/>
  <c r="B1899" i="12"/>
  <c r="C1764" i="12"/>
  <c r="B2483" i="12"/>
  <c r="C2348" i="12"/>
  <c r="C1604" i="12"/>
  <c r="B1739" i="12"/>
  <c r="B1501" i="12"/>
  <c r="C1366" i="12"/>
  <c r="B1634" i="12"/>
  <c r="C1499" i="12"/>
  <c r="B1780" i="12"/>
  <c r="C1645" i="12"/>
  <c r="B1692" i="12"/>
  <c r="C1557" i="12"/>
  <c r="C2158" i="12"/>
  <c r="B2293" i="12"/>
  <c r="B1580" i="12"/>
  <c r="C1445" i="12"/>
  <c r="B1932" i="12"/>
  <c r="C1797" i="12"/>
  <c r="B3085" i="12"/>
  <c r="B1814" i="12"/>
  <c r="C1679" i="12"/>
  <c r="B2036" i="12"/>
  <c r="B2515" i="12"/>
  <c r="C2380" i="12"/>
  <c r="B4284" i="12"/>
  <c r="C1561" i="12"/>
  <c r="B1696" i="12"/>
  <c r="B2404" i="12"/>
  <c r="B2017" i="12"/>
  <c r="C1882" i="12"/>
  <c r="B1969" i="12"/>
  <c r="C1834" i="12"/>
  <c r="B2079" i="12"/>
  <c r="C1944" i="12"/>
  <c r="B2794" i="12"/>
  <c r="C2659" i="12"/>
  <c r="C2224" i="12"/>
  <c r="B2359" i="12"/>
  <c r="B1732" i="12"/>
  <c r="C1597" i="12"/>
  <c r="B2227" i="12"/>
  <c r="C2092" i="12"/>
  <c r="B1691" i="12"/>
  <c r="C1556" i="12"/>
  <c r="B2305" i="12"/>
  <c r="C2170" i="12"/>
  <c r="B2063" i="12"/>
  <c r="C1928" i="12"/>
  <c r="B2391" i="12"/>
  <c r="B2038" i="12"/>
  <c r="C1903" i="12"/>
  <c r="A1898" i="12"/>
  <c r="B2182" i="12"/>
  <c r="C2047" i="12"/>
  <c r="B2408" i="12"/>
  <c r="C1676" i="12"/>
  <c r="B1811" i="12"/>
  <c r="B2074" i="12"/>
  <c r="C1939" i="12"/>
  <c r="B1689" i="12"/>
  <c r="C1554" i="12"/>
  <c r="C1592" i="12"/>
  <c r="B1727" i="12"/>
  <c r="A3240" i="12"/>
  <c r="B1529" i="12"/>
  <c r="C1394" i="12"/>
  <c r="B2393" i="12"/>
  <c r="C2258" i="12"/>
  <c r="B2676" i="12"/>
  <c r="C2541" i="12"/>
  <c r="B1562" i="12"/>
  <c r="C1427" i="12"/>
  <c r="C1982" i="12"/>
  <c r="B2117" i="12"/>
  <c r="B3368" i="12"/>
  <c r="C3233" i="12"/>
  <c r="B2705" i="12"/>
  <c r="B1798" i="12"/>
  <c r="C1663" i="12"/>
  <c r="C2106" i="12"/>
  <c r="B2241" i="12"/>
  <c r="C1685" i="12"/>
  <c r="B1820" i="12"/>
  <c r="C1843" i="12"/>
  <c r="B1978" i="12"/>
  <c r="B1517" i="12"/>
  <c r="C1382" i="12"/>
  <c r="B2302" i="12"/>
  <c r="C2167" i="12"/>
  <c r="C1741" i="12"/>
  <c r="B1876" i="12"/>
  <c r="B1737" i="12"/>
  <c r="C1602" i="12"/>
  <c r="B4713" i="12"/>
  <c r="C4578" i="12"/>
  <c r="B1516" i="12"/>
  <c r="C1381" i="12"/>
  <c r="C1428" i="12"/>
  <c r="B1563" i="12"/>
  <c r="B2015" i="12"/>
  <c r="C1880" i="12"/>
  <c r="B2442" i="12"/>
  <c r="C2307" i="12"/>
  <c r="B1502" i="12"/>
  <c r="C1367" i="12"/>
  <c r="C1560" i="12"/>
  <c r="B1695" i="12"/>
  <c r="B1818" i="12"/>
  <c r="C1683" i="12"/>
  <c r="B2211" i="12"/>
  <c r="C2076" i="12"/>
  <c r="B2052" i="12"/>
  <c r="C1917" i="12"/>
  <c r="B2802" i="12"/>
  <c r="C2667" i="12"/>
  <c r="B2250" i="12"/>
  <c r="C2115" i="12"/>
  <c r="C1925" i="12"/>
  <c r="B2060" i="12"/>
  <c r="B1889" i="12" l="1"/>
  <c r="C1754" i="12"/>
  <c r="B1887" i="12"/>
  <c r="C1752" i="12"/>
  <c r="C1989" i="12"/>
  <c r="A2124" i="12"/>
  <c r="B1865" i="12"/>
  <c r="C1730" i="12"/>
  <c r="B1700" i="12"/>
  <c r="C1565" i="12"/>
  <c r="B2329" i="12"/>
  <c r="C2194" i="12"/>
  <c r="C1521" i="12"/>
  <c r="B1656" i="12"/>
  <c r="A2269" i="12"/>
  <c r="C2134" i="12"/>
  <c r="A1868" i="12"/>
  <c r="C1733" i="12"/>
  <c r="A1860" i="12"/>
  <c r="C1725" i="12"/>
  <c r="B1650" i="12"/>
  <c r="C1515" i="12"/>
  <c r="C2943" i="12"/>
  <c r="B3078" i="12"/>
  <c r="A1851" i="12"/>
  <c r="C1716" i="12"/>
  <c r="B1723" i="12"/>
  <c r="C1588" i="12"/>
  <c r="B1896" i="12"/>
  <c r="C1761" i="12"/>
  <c r="B1892" i="12"/>
  <c r="C1757" i="12"/>
  <c r="B2109" i="12"/>
  <c r="C1974" i="12"/>
  <c r="B1792" i="12"/>
  <c r="C1657" i="12"/>
  <c r="A2006" i="12"/>
  <c r="C1871" i="12"/>
  <c r="B2260" i="12"/>
  <c r="C2125" i="12"/>
  <c r="A2570" i="12"/>
  <c r="C2435" i="12"/>
  <c r="B1721" i="12"/>
  <c r="C1586" i="12"/>
  <c r="B2086" i="12"/>
  <c r="C1951" i="12"/>
  <c r="B1742" i="12"/>
  <c r="C1607" i="12"/>
  <c r="B2517" i="12"/>
  <c r="C2382" i="12"/>
  <c r="B1643" i="12"/>
  <c r="C1508" i="12"/>
  <c r="A2005" i="12"/>
  <c r="C1870" i="12"/>
  <c r="B1813" i="12"/>
  <c r="C1678" i="12"/>
  <c r="B1914" i="12"/>
  <c r="C1779" i="12"/>
  <c r="B1763" i="12"/>
  <c r="C1628" i="12"/>
  <c r="B1947" i="12"/>
  <c r="C1812" i="12"/>
  <c r="B1665" i="12"/>
  <c r="C1530" i="12"/>
  <c r="B2291" i="12"/>
  <c r="C2156" i="12"/>
  <c r="B1624" i="12"/>
  <c r="C1489" i="12"/>
  <c r="B1810" i="12"/>
  <c r="C1675" i="12"/>
  <c r="B1848" i="12"/>
  <c r="C1713" i="12"/>
  <c r="C1591" i="12"/>
  <c r="B1726" i="12"/>
  <c r="B1837" i="12"/>
  <c r="C1702" i="12"/>
  <c r="A2166" i="12"/>
  <c r="C1653" i="12"/>
  <c r="B1788" i="12"/>
  <c r="A2595" i="12"/>
  <c r="B1755" i="12"/>
  <c r="C1620" i="12"/>
  <c r="B1869" i="12"/>
  <c r="C1734" i="12"/>
  <c r="C1688" i="12"/>
  <c r="B1823" i="12"/>
  <c r="A1770" i="12"/>
  <c r="C1635" i="12"/>
  <c r="B2151" i="12"/>
  <c r="C2016" i="12"/>
  <c r="B2053" i="12"/>
  <c r="C1918" i="12"/>
  <c r="A1910" i="12"/>
  <c r="C1775" i="12"/>
  <c r="C1661" i="12"/>
  <c r="B1796" i="12"/>
  <c r="C1659" i="12"/>
  <c r="B1794" i="12"/>
  <c r="B3241" i="12"/>
  <c r="C3106" i="12"/>
  <c r="A1901" i="12"/>
  <c r="C1766" i="12"/>
  <c r="C2965" i="12"/>
  <c r="B3100" i="12"/>
  <c r="B1706" i="12"/>
  <c r="C1571" i="12"/>
  <c r="B1749" i="12"/>
  <c r="C1614" i="12"/>
  <c r="A3374" i="12"/>
  <c r="B1956" i="12"/>
  <c r="C1821" i="12"/>
  <c r="B2386" i="12"/>
  <c r="C2251" i="12"/>
  <c r="B2816" i="12"/>
  <c r="B2163" i="12"/>
  <c r="C2028" i="12"/>
  <c r="C2250" i="12"/>
  <c r="B2385" i="12"/>
  <c r="B2346" i="12"/>
  <c r="C2211" i="12"/>
  <c r="B1637" i="12"/>
  <c r="C1502" i="12"/>
  <c r="B2150" i="12"/>
  <c r="C2015" i="12"/>
  <c r="B2840" i="12"/>
  <c r="B1697" i="12"/>
  <c r="C1562" i="12"/>
  <c r="B2811" i="12"/>
  <c r="C2676" i="12"/>
  <c r="A2033" i="12"/>
  <c r="C2063" i="12"/>
  <c r="B2198" i="12"/>
  <c r="B2650" i="12"/>
  <c r="C2515" i="12"/>
  <c r="B3220" i="12"/>
  <c r="C1634" i="12"/>
  <c r="B1769" i="12"/>
  <c r="B2368" i="12"/>
  <c r="C2233" i="12"/>
  <c r="B1875" i="12"/>
  <c r="C1740" i="12"/>
  <c r="B2130" i="12"/>
  <c r="B1781" i="12"/>
  <c r="C1646" i="12"/>
  <c r="B2011" i="12"/>
  <c r="C1876" i="12"/>
  <c r="B1955" i="12"/>
  <c r="C1820" i="12"/>
  <c r="B1946" i="12"/>
  <c r="C1811" i="12"/>
  <c r="C1563" i="12"/>
  <c r="B1698" i="12"/>
  <c r="B2494" i="12"/>
  <c r="C2359" i="12"/>
  <c r="B1831" i="12"/>
  <c r="C1696" i="12"/>
  <c r="B2937" i="12"/>
  <c r="C2802" i="12"/>
  <c r="B1953" i="12"/>
  <c r="C1818" i="12"/>
  <c r="B2577" i="12"/>
  <c r="C2442" i="12"/>
  <c r="B2437" i="12"/>
  <c r="C2302" i="12"/>
  <c r="B2528" i="12"/>
  <c r="C2393" i="12"/>
  <c r="A3375" i="12"/>
  <c r="B2209" i="12"/>
  <c r="C2074" i="12"/>
  <c r="C2038" i="12"/>
  <c r="B2173" i="12"/>
  <c r="B2362" i="12"/>
  <c r="C2227" i="12"/>
  <c r="C1969" i="12"/>
  <c r="B2104" i="12"/>
  <c r="B2067" i="12"/>
  <c r="C1932" i="12"/>
  <c r="B1827" i="12"/>
  <c r="C1692" i="12"/>
  <c r="B2618" i="12"/>
  <c r="C2483" i="12"/>
  <c r="B1919" i="12"/>
  <c r="C1784" i="12"/>
  <c r="B3194" i="12"/>
  <c r="C3059" i="12"/>
  <c r="C1603" i="12"/>
  <c r="B1738" i="12"/>
  <c r="B1838" i="12"/>
  <c r="C1703" i="12"/>
  <c r="B1815" i="12"/>
  <c r="C1680" i="12"/>
  <c r="C1506" i="12"/>
  <c r="B1641" i="12"/>
  <c r="B1801" i="12"/>
  <c r="C1666" i="12"/>
  <c r="B2543" i="12"/>
  <c r="B2376" i="12"/>
  <c r="C2241" i="12"/>
  <c r="B2171" i="12"/>
  <c r="C1533" i="12"/>
  <c r="B1668" i="12"/>
  <c r="B2315" i="12"/>
  <c r="B2099" i="12"/>
  <c r="C1964" i="12"/>
  <c r="B1651" i="12"/>
  <c r="C1516" i="12"/>
  <c r="B1652" i="12"/>
  <c r="C1517" i="12"/>
  <c r="B3503" i="12"/>
  <c r="C3368" i="12"/>
  <c r="B2317" i="12"/>
  <c r="C2182" i="12"/>
  <c r="B2526" i="12"/>
  <c r="B2440" i="12"/>
  <c r="C2305" i="12"/>
  <c r="B1867" i="12"/>
  <c r="C1732" i="12"/>
  <c r="C2794" i="12"/>
  <c r="B2929" i="12"/>
  <c r="B2152" i="12"/>
  <c r="C2017" i="12"/>
  <c r="B4419" i="12"/>
  <c r="B1715" i="12"/>
  <c r="C1580" i="12"/>
  <c r="B1636" i="12"/>
  <c r="C1501" i="12"/>
  <c r="C1899" i="12"/>
  <c r="B2034" i="12"/>
  <c r="C2365" i="12"/>
  <c r="B2500" i="12"/>
  <c r="B1660" i="12"/>
  <c r="C1525" i="12"/>
  <c r="C2669" i="12"/>
  <c r="B2804" i="12"/>
  <c r="B1670" i="12"/>
  <c r="C1535" i="12"/>
  <c r="C1667" i="12"/>
  <c r="B1802" i="12"/>
  <c r="B2195" i="12"/>
  <c r="C2060" i="12"/>
  <c r="B1830" i="12"/>
  <c r="C1695" i="12"/>
  <c r="C1978" i="12"/>
  <c r="B2113" i="12"/>
  <c r="B2252" i="12"/>
  <c r="C2117" i="12"/>
  <c r="B1862" i="12"/>
  <c r="C1727" i="12"/>
  <c r="B2428" i="12"/>
  <c r="C2293" i="12"/>
  <c r="B1874" i="12"/>
  <c r="C1739" i="12"/>
  <c r="B2583" i="12"/>
  <c r="B2580" i="12"/>
  <c r="C2052" i="12"/>
  <c r="B2187" i="12"/>
  <c r="C4713" i="12"/>
  <c r="B4848" i="12"/>
  <c r="B1872" i="12"/>
  <c r="C1737" i="12"/>
  <c r="B1933" i="12"/>
  <c r="C1798" i="12"/>
  <c r="B1664" i="12"/>
  <c r="C1529" i="12"/>
  <c r="B1824" i="12"/>
  <c r="C1689" i="12"/>
  <c r="B1826" i="12"/>
  <c r="C1691" i="12"/>
  <c r="B2214" i="12"/>
  <c r="C2079" i="12"/>
  <c r="B2539" i="12"/>
  <c r="B1949" i="12"/>
  <c r="C1814" i="12"/>
  <c r="C1780" i="12"/>
  <c r="B1915" i="12"/>
  <c r="B1717" i="12"/>
  <c r="C1582" i="12"/>
  <c r="B2149" i="12"/>
  <c r="C2014" i="12"/>
  <c r="B2482" i="12"/>
  <c r="C2347" i="12"/>
  <c r="A1773" i="12"/>
  <c r="C1638" i="12"/>
  <c r="B1639" i="12"/>
  <c r="C1504" i="12"/>
  <c r="B1952" i="12"/>
  <c r="C1817" i="12"/>
  <c r="B2022" i="12" l="1"/>
  <c r="C1887" i="12"/>
  <c r="A2259" i="12"/>
  <c r="C2124" i="12"/>
  <c r="B2024" i="12"/>
  <c r="C1889" i="12"/>
  <c r="B1791" i="12"/>
  <c r="C1656" i="12"/>
  <c r="A2141" i="12"/>
  <c r="C2006" i="12"/>
  <c r="B1785" i="12"/>
  <c r="C1650" i="12"/>
  <c r="C1721" i="12"/>
  <c r="B1856" i="12"/>
  <c r="B1927" i="12"/>
  <c r="C1792" i="12"/>
  <c r="B1858" i="12"/>
  <c r="C1723" i="12"/>
  <c r="A1995" i="12"/>
  <c r="C1860" i="12"/>
  <c r="C2329" i="12"/>
  <c r="B2464" i="12"/>
  <c r="B2031" i="12"/>
  <c r="C1896" i="12"/>
  <c r="A2705" i="12"/>
  <c r="C2570" i="12"/>
  <c r="B2244" i="12"/>
  <c r="C2109" i="12"/>
  <c r="A1986" i="12"/>
  <c r="C1851" i="12"/>
  <c r="A2003" i="12"/>
  <c r="C1868" i="12"/>
  <c r="C1700" i="12"/>
  <c r="B1835" i="12"/>
  <c r="B3213" i="12"/>
  <c r="C3078" i="12"/>
  <c r="C2260" i="12"/>
  <c r="B2395" i="12"/>
  <c r="B2027" i="12"/>
  <c r="C1892" i="12"/>
  <c r="A2404" i="12"/>
  <c r="C2269" i="12"/>
  <c r="C1865" i="12"/>
  <c r="B2000" i="12"/>
  <c r="C3100" i="12"/>
  <c r="B3235" i="12"/>
  <c r="C1796" i="12"/>
  <c r="B1931" i="12"/>
  <c r="C1726" i="12"/>
  <c r="B1861" i="12"/>
  <c r="A1905" i="12"/>
  <c r="C1770" i="12"/>
  <c r="A2730" i="12"/>
  <c r="B2426" i="12"/>
  <c r="C2291" i="12"/>
  <c r="B2049" i="12"/>
  <c r="C1914" i="12"/>
  <c r="B1778" i="12"/>
  <c r="C1643" i="12"/>
  <c r="C1848" i="12"/>
  <c r="B1983" i="12"/>
  <c r="B2652" i="12"/>
  <c r="C2517" i="12"/>
  <c r="B1884" i="12"/>
  <c r="C1749" i="12"/>
  <c r="B3376" i="12"/>
  <c r="C3241" i="12"/>
  <c r="B2188" i="12"/>
  <c r="C2053" i="12"/>
  <c r="B2004" i="12"/>
  <c r="C1869" i="12"/>
  <c r="A2301" i="12"/>
  <c r="B1945" i="12"/>
  <c r="C1810" i="12"/>
  <c r="B2082" i="12"/>
  <c r="C1947" i="12"/>
  <c r="B1948" i="12"/>
  <c r="C1813" i="12"/>
  <c r="B1877" i="12"/>
  <c r="C1742" i="12"/>
  <c r="B1958" i="12"/>
  <c r="C1823" i="12"/>
  <c r="C1788" i="12"/>
  <c r="B1923" i="12"/>
  <c r="C1794" i="12"/>
  <c r="B1929" i="12"/>
  <c r="A3509" i="12"/>
  <c r="A2036" i="12"/>
  <c r="C1901" i="12"/>
  <c r="A2045" i="12"/>
  <c r="C1910" i="12"/>
  <c r="C1665" i="12"/>
  <c r="B1800" i="12"/>
  <c r="C1956" i="12"/>
  <c r="B2091" i="12"/>
  <c r="B1841" i="12"/>
  <c r="C1706" i="12"/>
  <c r="C2151" i="12"/>
  <c r="B2286" i="12"/>
  <c r="B1890" i="12"/>
  <c r="C1755" i="12"/>
  <c r="C1837" i="12"/>
  <c r="B1972" i="12"/>
  <c r="B1759" i="12"/>
  <c r="C1624" i="12"/>
  <c r="B1898" i="12"/>
  <c r="C1763" i="12"/>
  <c r="A2140" i="12"/>
  <c r="C2005" i="12"/>
  <c r="B2221" i="12"/>
  <c r="C2086" i="12"/>
  <c r="B2678" i="12"/>
  <c r="C1952" i="12"/>
  <c r="B2087" i="12"/>
  <c r="B2084" i="12"/>
  <c r="C1949" i="12"/>
  <c r="B1961" i="12"/>
  <c r="C1826" i="12"/>
  <c r="B2009" i="12"/>
  <c r="C1874" i="12"/>
  <c r="B2387" i="12"/>
  <c r="C2252" i="12"/>
  <c r="B1795" i="12"/>
  <c r="C1660" i="12"/>
  <c r="B2452" i="12"/>
  <c r="C2317" i="12"/>
  <c r="B2234" i="12"/>
  <c r="C2099" i="12"/>
  <c r="B3329" i="12"/>
  <c r="C3194" i="12"/>
  <c r="B1962" i="12"/>
  <c r="C1827" i="12"/>
  <c r="B2497" i="12"/>
  <c r="C2362" i="12"/>
  <c r="B2663" i="12"/>
  <c r="C2528" i="12"/>
  <c r="B2572" i="12"/>
  <c r="C2437" i="12"/>
  <c r="B3072" i="12"/>
  <c r="C2937" i="12"/>
  <c r="C2011" i="12"/>
  <c r="B2146" i="12"/>
  <c r="C1875" i="12"/>
  <c r="B2010" i="12"/>
  <c r="B3355" i="12"/>
  <c r="B1832" i="12"/>
  <c r="C1697" i="12"/>
  <c r="C1637" i="12"/>
  <c r="B1772" i="12"/>
  <c r="B2298" i="12"/>
  <c r="C2163" i="12"/>
  <c r="B3064" i="12"/>
  <c r="C2929" i="12"/>
  <c r="B2322" i="12"/>
  <c r="C2187" i="12"/>
  <c r="B2635" i="12"/>
  <c r="C2500" i="12"/>
  <c r="B2308" i="12"/>
  <c r="C2173" i="12"/>
  <c r="C1698" i="12"/>
  <c r="B1833" i="12"/>
  <c r="B2975" i="12"/>
  <c r="B2951" i="12"/>
  <c r="B1774" i="12"/>
  <c r="C1639" i="12"/>
  <c r="C2149" i="12"/>
  <c r="B2284" i="12"/>
  <c r="B2068" i="12"/>
  <c r="C1933" i="12"/>
  <c r="B2563" i="12"/>
  <c r="C2428" i="12"/>
  <c r="B1805" i="12"/>
  <c r="C1670" i="12"/>
  <c r="B1850" i="12"/>
  <c r="C1715" i="12"/>
  <c r="B2002" i="12"/>
  <c r="C1867" i="12"/>
  <c r="C3503" i="12"/>
  <c r="B3638" i="12"/>
  <c r="B2511" i="12"/>
  <c r="C2376" i="12"/>
  <c r="C1801" i="12"/>
  <c r="B1936" i="12"/>
  <c r="B1973" i="12"/>
  <c r="C1838" i="12"/>
  <c r="B2054" i="12"/>
  <c r="C1919" i="12"/>
  <c r="C2067" i="12"/>
  <c r="B2202" i="12"/>
  <c r="B2503" i="12"/>
  <c r="C2368" i="12"/>
  <c r="C2650" i="12"/>
  <c r="B2785" i="12"/>
  <c r="C2346" i="12"/>
  <c r="B2481" i="12"/>
  <c r="B2248" i="12"/>
  <c r="C2113" i="12"/>
  <c r="B2450" i="12"/>
  <c r="C2034" i="12"/>
  <c r="B2169" i="12"/>
  <c r="B1803" i="12"/>
  <c r="C1668" i="12"/>
  <c r="C1641" i="12"/>
  <c r="B1776" i="12"/>
  <c r="B1873" i="12"/>
  <c r="C1738" i="12"/>
  <c r="B1904" i="12"/>
  <c r="C1769" i="12"/>
  <c r="B2333" i="12"/>
  <c r="C2198" i="12"/>
  <c r="C2385" i="12"/>
  <c r="B2520" i="12"/>
  <c r="C1802" i="12"/>
  <c r="B1937" i="12"/>
  <c r="A1908" i="12"/>
  <c r="C1773" i="12"/>
  <c r="B1852" i="12"/>
  <c r="C1717" i="12"/>
  <c r="B2674" i="12"/>
  <c r="B1959" i="12"/>
  <c r="C1824" i="12"/>
  <c r="B2007" i="12"/>
  <c r="C1872" i="12"/>
  <c r="B2715" i="12"/>
  <c r="C1830" i="12"/>
  <c r="B1965" i="12"/>
  <c r="B4554" i="12"/>
  <c r="B2575" i="12"/>
  <c r="C2440" i="12"/>
  <c r="C1652" i="12"/>
  <c r="B1787" i="12"/>
  <c r="C2618" i="12"/>
  <c r="B2753" i="12"/>
  <c r="C2209" i="12"/>
  <c r="B2344" i="12"/>
  <c r="C2577" i="12"/>
  <c r="B2712" i="12"/>
  <c r="B1966" i="12"/>
  <c r="C1831" i="12"/>
  <c r="C1946" i="12"/>
  <c r="B2081" i="12"/>
  <c r="B1916" i="12"/>
  <c r="C1781" i="12"/>
  <c r="C2386" i="12"/>
  <c r="B2521" i="12"/>
  <c r="C1915" i="12"/>
  <c r="B2050" i="12"/>
  <c r="C4848" i="12"/>
  <c r="B4983" i="12"/>
  <c r="B2718" i="12"/>
  <c r="B2939" i="12"/>
  <c r="C2804" i="12"/>
  <c r="B2306" i="12"/>
  <c r="B2239" i="12"/>
  <c r="C2104" i="12"/>
  <c r="B2265" i="12"/>
  <c r="B2617" i="12"/>
  <c r="C2482" i="12"/>
  <c r="C2214" i="12"/>
  <c r="B2349" i="12"/>
  <c r="B1799" i="12"/>
  <c r="C1664" i="12"/>
  <c r="B1997" i="12"/>
  <c r="C1862" i="12"/>
  <c r="C2195" i="12"/>
  <c r="B2330" i="12"/>
  <c r="B1771" i="12"/>
  <c r="C1636" i="12"/>
  <c r="C2152" i="12"/>
  <c r="B2287" i="12"/>
  <c r="B2661" i="12"/>
  <c r="B1786" i="12"/>
  <c r="C1651" i="12"/>
  <c r="B1950" i="12"/>
  <c r="C1815" i="12"/>
  <c r="A3510" i="12"/>
  <c r="C1953" i="12"/>
  <c r="B2088" i="12"/>
  <c r="C2494" i="12"/>
  <c r="B2629" i="12"/>
  <c r="B2090" i="12"/>
  <c r="C1955" i="12"/>
  <c r="A2168" i="12"/>
  <c r="B2946" i="12"/>
  <c r="C2811" i="12"/>
  <c r="B2285" i="12"/>
  <c r="C2150" i="12"/>
  <c r="A2394" i="12" l="1"/>
  <c r="C2259" i="12"/>
  <c r="B2159" i="12"/>
  <c r="C2024" i="12"/>
  <c r="B2157" i="12"/>
  <c r="C2022" i="12"/>
  <c r="C2395" i="12"/>
  <c r="B2530" i="12"/>
  <c r="C2464" i="12"/>
  <c r="B2599" i="12"/>
  <c r="B1991" i="12"/>
  <c r="C1856" i="12"/>
  <c r="C3213" i="12"/>
  <c r="B3348" i="12"/>
  <c r="B2379" i="12"/>
  <c r="C2244" i="12"/>
  <c r="A2130" i="12"/>
  <c r="C1995" i="12"/>
  <c r="B1920" i="12"/>
  <c r="C1785" i="12"/>
  <c r="C2000" i="12"/>
  <c r="B2135" i="12"/>
  <c r="C1835" i="12"/>
  <c r="B1970" i="12"/>
  <c r="A2121" i="12"/>
  <c r="C1986" i="12"/>
  <c r="A2539" i="12"/>
  <c r="C2404" i="12"/>
  <c r="A2840" i="12"/>
  <c r="C2705" i="12"/>
  <c r="C1858" i="12"/>
  <c r="B1993" i="12"/>
  <c r="A2276" i="12"/>
  <c r="C2141" i="12"/>
  <c r="C2027" i="12"/>
  <c r="B2162" i="12"/>
  <c r="A2138" i="12"/>
  <c r="C2003" i="12"/>
  <c r="B2166" i="12"/>
  <c r="C2031" i="12"/>
  <c r="B2062" i="12"/>
  <c r="C1927" i="12"/>
  <c r="B1926" i="12"/>
  <c r="C1791" i="12"/>
  <c r="B1935" i="12"/>
  <c r="C1800" i="12"/>
  <c r="B1996" i="12"/>
  <c r="C1861" i="12"/>
  <c r="A2275" i="12"/>
  <c r="C2140" i="12"/>
  <c r="B2025" i="12"/>
  <c r="C1890" i="12"/>
  <c r="B2012" i="12"/>
  <c r="C1877" i="12"/>
  <c r="A2436" i="12"/>
  <c r="B2019" i="12"/>
  <c r="C1884" i="12"/>
  <c r="C2049" i="12"/>
  <c r="B2184" i="12"/>
  <c r="C2286" i="12"/>
  <c r="B2421" i="12"/>
  <c r="C1931" i="12"/>
  <c r="B2066" i="12"/>
  <c r="B2083" i="12"/>
  <c r="C1948" i="12"/>
  <c r="C2004" i="12"/>
  <c r="B2139" i="12"/>
  <c r="B2561" i="12"/>
  <c r="C2426" i="12"/>
  <c r="C1983" i="12"/>
  <c r="B2118" i="12"/>
  <c r="B1894" i="12"/>
  <c r="C1759" i="12"/>
  <c r="C1841" i="12"/>
  <c r="B1976" i="12"/>
  <c r="A2171" i="12"/>
  <c r="C2036" i="12"/>
  <c r="B2217" i="12"/>
  <c r="C2082" i="12"/>
  <c r="C2188" i="12"/>
  <c r="B2323" i="12"/>
  <c r="B2787" i="12"/>
  <c r="C2652" i="12"/>
  <c r="A2865" i="12"/>
  <c r="B2107" i="12"/>
  <c r="C1972" i="12"/>
  <c r="B2226" i="12"/>
  <c r="C2091" i="12"/>
  <c r="C1929" i="12"/>
  <c r="B2064" i="12"/>
  <c r="B2033" i="12"/>
  <c r="C1898" i="12"/>
  <c r="A2180" i="12"/>
  <c r="C2045" i="12"/>
  <c r="C1923" i="12"/>
  <c r="B2058" i="12"/>
  <c r="C3235" i="12"/>
  <c r="B3370" i="12"/>
  <c r="B2356" i="12"/>
  <c r="C2221" i="12"/>
  <c r="A3644" i="12"/>
  <c r="B2093" i="12"/>
  <c r="C1958" i="12"/>
  <c r="B2080" i="12"/>
  <c r="C1945" i="12"/>
  <c r="B3511" i="12"/>
  <c r="C3376" i="12"/>
  <c r="B1913" i="12"/>
  <c r="C1778" i="12"/>
  <c r="A2040" i="12"/>
  <c r="C1905" i="12"/>
  <c r="B2616" i="12"/>
  <c r="C2481" i="12"/>
  <c r="C2087" i="12"/>
  <c r="B2222" i="12"/>
  <c r="A2303" i="12"/>
  <c r="B2085" i="12"/>
  <c r="C1950" i="12"/>
  <c r="B2752" i="12"/>
  <c r="C2617" i="12"/>
  <c r="B2710" i="12"/>
  <c r="C2575" i="12"/>
  <c r="C1852" i="12"/>
  <c r="B1987" i="12"/>
  <c r="B2638" i="12"/>
  <c r="C2503" i="12"/>
  <c r="B2189" i="12"/>
  <c r="C2054" i="12"/>
  <c r="B1985" i="12"/>
  <c r="C1850" i="12"/>
  <c r="B2443" i="12"/>
  <c r="C2308" i="12"/>
  <c r="B2433" i="12"/>
  <c r="C2298" i="12"/>
  <c r="B2632" i="12"/>
  <c r="C2497" i="12"/>
  <c r="B2369" i="12"/>
  <c r="C2234" i="12"/>
  <c r="B1930" i="12"/>
  <c r="C1795" i="12"/>
  <c r="C2712" i="12"/>
  <c r="B2847" i="12"/>
  <c r="B2888" i="12"/>
  <c r="C2753" i="12"/>
  <c r="B2850" i="12"/>
  <c r="B2223" i="12"/>
  <c r="C2088" i="12"/>
  <c r="B3773" i="12"/>
  <c r="C3638" i="12"/>
  <c r="B3110" i="12"/>
  <c r="B1907" i="12"/>
  <c r="C1772" i="12"/>
  <c r="B3490" i="12"/>
  <c r="B2796" i="12"/>
  <c r="B2132" i="12"/>
  <c r="C1997" i="12"/>
  <c r="B2400" i="12"/>
  <c r="B2051" i="12"/>
  <c r="C1916" i="12"/>
  <c r="B2142" i="12"/>
  <c r="C2007" i="12"/>
  <c r="A2043" i="12"/>
  <c r="C1908" i="12"/>
  <c r="C2333" i="12"/>
  <c r="B2468" i="12"/>
  <c r="B2108" i="12"/>
  <c r="C1973" i="12"/>
  <c r="B1940" i="12"/>
  <c r="C1805" i="12"/>
  <c r="B2770" i="12"/>
  <c r="C2635" i="12"/>
  <c r="B3207" i="12"/>
  <c r="C3072" i="12"/>
  <c r="B2097" i="12"/>
  <c r="C1962" i="12"/>
  <c r="B2522" i="12"/>
  <c r="C2387" i="12"/>
  <c r="B2096" i="12"/>
  <c r="C1961" i="12"/>
  <c r="B2764" i="12"/>
  <c r="C2629" i="12"/>
  <c r="C2330" i="12"/>
  <c r="B2465" i="12"/>
  <c r="B5118" i="12"/>
  <c r="C4983" i="12"/>
  <c r="B1911" i="12"/>
  <c r="C1776" i="12"/>
  <c r="B3086" i="12"/>
  <c r="B2441" i="12"/>
  <c r="C2050" i="12"/>
  <c r="B2185" i="12"/>
  <c r="B4689" i="12"/>
  <c r="B2422" i="12"/>
  <c r="C2287" i="12"/>
  <c r="C2521" i="12"/>
  <c r="B2656" i="12"/>
  <c r="B2216" i="12"/>
  <c r="C2081" i="12"/>
  <c r="B2479" i="12"/>
  <c r="C2344" i="12"/>
  <c r="B1922" i="12"/>
  <c r="C1787" i="12"/>
  <c r="B2100" i="12"/>
  <c r="C1965" i="12"/>
  <c r="C1937" i="12"/>
  <c r="B2072" i="12"/>
  <c r="C1936" i="12"/>
  <c r="B2071" i="12"/>
  <c r="B2419" i="12"/>
  <c r="C2284" i="12"/>
  <c r="C2010" i="12"/>
  <c r="B2145" i="12"/>
  <c r="B2813" i="12"/>
  <c r="B2420" i="12"/>
  <c r="C2285" i="12"/>
  <c r="B1934" i="12"/>
  <c r="C1799" i="12"/>
  <c r="B2374" i="12"/>
  <c r="C2239" i="12"/>
  <c r="B3074" i="12"/>
  <c r="C2939" i="12"/>
  <c r="B2094" i="12"/>
  <c r="C1959" i="12"/>
  <c r="B2039" i="12"/>
  <c r="C1904" i="12"/>
  <c r="B1938" i="12"/>
  <c r="C1803" i="12"/>
  <c r="B2585" i="12"/>
  <c r="B2698" i="12"/>
  <c r="C2563" i="12"/>
  <c r="B2457" i="12"/>
  <c r="C2322" i="12"/>
  <c r="C1832" i="12"/>
  <c r="B1967" i="12"/>
  <c r="B2707" i="12"/>
  <c r="C2572" i="12"/>
  <c r="C3329" i="12"/>
  <c r="B3464" i="12"/>
  <c r="B2587" i="12"/>
  <c r="C2452" i="12"/>
  <c r="B2144" i="12"/>
  <c r="C2009" i="12"/>
  <c r="B2219" i="12"/>
  <c r="C2084" i="12"/>
  <c r="B2484" i="12"/>
  <c r="C2349" i="12"/>
  <c r="B2809" i="12"/>
  <c r="C2520" i="12"/>
  <c r="B2655" i="12"/>
  <c r="C2169" i="12"/>
  <c r="B2304" i="12"/>
  <c r="B2920" i="12"/>
  <c r="C2785" i="12"/>
  <c r="B2337" i="12"/>
  <c r="C2202" i="12"/>
  <c r="B1968" i="12"/>
  <c r="C1833" i="12"/>
  <c r="B2281" i="12"/>
  <c r="C2146" i="12"/>
  <c r="C2946" i="12"/>
  <c r="B3081" i="12"/>
  <c r="B2225" i="12"/>
  <c r="C2090" i="12"/>
  <c r="A3645" i="12"/>
  <c r="B1921" i="12"/>
  <c r="C1786" i="12"/>
  <c r="B1906" i="12"/>
  <c r="C1771" i="12"/>
  <c r="B2853" i="12"/>
  <c r="B2101" i="12"/>
  <c r="C1966" i="12"/>
  <c r="B2008" i="12"/>
  <c r="C1873" i="12"/>
  <c r="B2383" i="12"/>
  <c r="C2248" i="12"/>
  <c r="B2646" i="12"/>
  <c r="C2511" i="12"/>
  <c r="C2002" i="12"/>
  <c r="B2137" i="12"/>
  <c r="B2203" i="12"/>
  <c r="C2068" i="12"/>
  <c r="B1909" i="12"/>
  <c r="C1774" i="12"/>
  <c r="C3064" i="12"/>
  <c r="B3199" i="12"/>
  <c r="B2798" i="12"/>
  <c r="C2663" i="12"/>
  <c r="B2292" i="12" l="1"/>
  <c r="C2157" i="12"/>
  <c r="B2294" i="12"/>
  <c r="C2159" i="12"/>
  <c r="C2394" i="12"/>
  <c r="A2529" i="12"/>
  <c r="A2975" i="12"/>
  <c r="C2840" i="12"/>
  <c r="B2270" i="12"/>
  <c r="C2135" i="12"/>
  <c r="B3483" i="12"/>
  <c r="C3348" i="12"/>
  <c r="B2297" i="12"/>
  <c r="C2162" i="12"/>
  <c r="B2061" i="12"/>
  <c r="C1926" i="12"/>
  <c r="A2674" i="12"/>
  <c r="C2539" i="12"/>
  <c r="B2055" i="12"/>
  <c r="C1920" i="12"/>
  <c r="C1991" i="12"/>
  <c r="B2126" i="12"/>
  <c r="C2599" i="12"/>
  <c r="B2734" i="12"/>
  <c r="B2197" i="12"/>
  <c r="C2062" i="12"/>
  <c r="A2411" i="12"/>
  <c r="C2276" i="12"/>
  <c r="A2256" i="12"/>
  <c r="C2121" i="12"/>
  <c r="A2265" i="12"/>
  <c r="C2130" i="12"/>
  <c r="B2128" i="12"/>
  <c r="C1993" i="12"/>
  <c r="B2105" i="12"/>
  <c r="C1970" i="12"/>
  <c r="C2530" i="12"/>
  <c r="B2665" i="12"/>
  <c r="A2273" i="12"/>
  <c r="C2138" i="12"/>
  <c r="B2301" i="12"/>
  <c r="C2166" i="12"/>
  <c r="C2379" i="12"/>
  <c r="B2514" i="12"/>
  <c r="A2175" i="12"/>
  <c r="C2040" i="12"/>
  <c r="B2228" i="12"/>
  <c r="C2093" i="12"/>
  <c r="B2361" i="12"/>
  <c r="C2226" i="12"/>
  <c r="B2029" i="12"/>
  <c r="C1894" i="12"/>
  <c r="B2218" i="12"/>
  <c r="C2083" i="12"/>
  <c r="B2160" i="12"/>
  <c r="C2025" i="12"/>
  <c r="B2253" i="12"/>
  <c r="C2118" i="12"/>
  <c r="B2201" i="12"/>
  <c r="C2066" i="12"/>
  <c r="B2154" i="12"/>
  <c r="C2019" i="12"/>
  <c r="B3646" i="12"/>
  <c r="C3511" i="12"/>
  <c r="B2491" i="12"/>
  <c r="C2356" i="12"/>
  <c r="B2168" i="12"/>
  <c r="C2033" i="12"/>
  <c r="A3000" i="12"/>
  <c r="A2306" i="12"/>
  <c r="C2171" i="12"/>
  <c r="B2696" i="12"/>
  <c r="C2561" i="12"/>
  <c r="A2571" i="12"/>
  <c r="C1996" i="12"/>
  <c r="B2131" i="12"/>
  <c r="C2323" i="12"/>
  <c r="B2458" i="12"/>
  <c r="C2184" i="12"/>
  <c r="B2319" i="12"/>
  <c r="B3505" i="12"/>
  <c r="C3370" i="12"/>
  <c r="B2199" i="12"/>
  <c r="C2064" i="12"/>
  <c r="C1976" i="12"/>
  <c r="B2111" i="12"/>
  <c r="B2274" i="12"/>
  <c r="C2139" i="12"/>
  <c r="B2556" i="12"/>
  <c r="C2421" i="12"/>
  <c r="B2193" i="12"/>
  <c r="C2058" i="12"/>
  <c r="C1913" i="12"/>
  <c r="B2048" i="12"/>
  <c r="A3779" i="12"/>
  <c r="A2315" i="12"/>
  <c r="C2180" i="12"/>
  <c r="C2107" i="12"/>
  <c r="B2242" i="12"/>
  <c r="C2217" i="12"/>
  <c r="B2352" i="12"/>
  <c r="A2410" i="12"/>
  <c r="C2275" i="12"/>
  <c r="C2080" i="12"/>
  <c r="B2215" i="12"/>
  <c r="C2787" i="12"/>
  <c r="B2922" i="12"/>
  <c r="C2012" i="12"/>
  <c r="B2147" i="12"/>
  <c r="B2070" i="12"/>
  <c r="C1935" i="12"/>
  <c r="C2222" i="12"/>
  <c r="B2357" i="12"/>
  <c r="B2044" i="12"/>
  <c r="C1909" i="12"/>
  <c r="C2383" i="12"/>
  <c r="B2518" i="12"/>
  <c r="B2236" i="12"/>
  <c r="C2101" i="12"/>
  <c r="B2041" i="12"/>
  <c r="C1906" i="12"/>
  <c r="C2920" i="12"/>
  <c r="B3055" i="12"/>
  <c r="B2722" i="12"/>
  <c r="C2587" i="12"/>
  <c r="B2592" i="12"/>
  <c r="C2457" i="12"/>
  <c r="B2073" i="12"/>
  <c r="C1938" i="12"/>
  <c r="B2509" i="12"/>
  <c r="C2374" i="12"/>
  <c r="B2555" i="12"/>
  <c r="C2420" i="12"/>
  <c r="C2419" i="12"/>
  <c r="B2554" i="12"/>
  <c r="B2351" i="12"/>
  <c r="C2216" i="12"/>
  <c r="B4824" i="12"/>
  <c r="B3221" i="12"/>
  <c r="C5118" i="12"/>
  <c r="B5253" i="12"/>
  <c r="C5253" i="12" s="1"/>
  <c r="B2231" i="12"/>
  <c r="C2096" i="12"/>
  <c r="B3342" i="12"/>
  <c r="C3207" i="12"/>
  <c r="B2243" i="12"/>
  <c r="C2108" i="12"/>
  <c r="B3625" i="12"/>
  <c r="B3023" i="12"/>
  <c r="C2888" i="12"/>
  <c r="B2504" i="12"/>
  <c r="C2369" i="12"/>
  <c r="B2120" i="12"/>
  <c r="C1985" i="12"/>
  <c r="B2845" i="12"/>
  <c r="C2710" i="12"/>
  <c r="B2931" i="12"/>
  <c r="B2439" i="12"/>
  <c r="C2304" i="12"/>
  <c r="B2948" i="12"/>
  <c r="B2600" i="12"/>
  <c r="C2465" i="12"/>
  <c r="B2603" i="12"/>
  <c r="C2468" i="12"/>
  <c r="B2982" i="12"/>
  <c r="C2847" i="12"/>
  <c r="B2933" i="12"/>
  <c r="C2798" i="12"/>
  <c r="B2338" i="12"/>
  <c r="C2203" i="12"/>
  <c r="C2008" i="12"/>
  <c r="B2143" i="12"/>
  <c r="B2056" i="12"/>
  <c r="C1921" i="12"/>
  <c r="C2281" i="12"/>
  <c r="B2416" i="12"/>
  <c r="B2619" i="12"/>
  <c r="C2484" i="12"/>
  <c r="B2833" i="12"/>
  <c r="C2698" i="12"/>
  <c r="B2174" i="12"/>
  <c r="C2039" i="12"/>
  <c r="B2069" i="12"/>
  <c r="C1934" i="12"/>
  <c r="B2235" i="12"/>
  <c r="C2100" i="12"/>
  <c r="B2657" i="12"/>
  <c r="C2522" i="12"/>
  <c r="C2770" i="12"/>
  <c r="B2905" i="12"/>
  <c r="B2186" i="12"/>
  <c r="C2051" i="12"/>
  <c r="B2042" i="12"/>
  <c r="C1907" i="12"/>
  <c r="B2358" i="12"/>
  <c r="C2223" i="12"/>
  <c r="C2632" i="12"/>
  <c r="B2767" i="12"/>
  <c r="B2324" i="12"/>
  <c r="C2189" i="12"/>
  <c r="B2220" i="12"/>
  <c r="C2085" i="12"/>
  <c r="B2751" i="12"/>
  <c r="C2616" i="12"/>
  <c r="B2207" i="12"/>
  <c r="C2072" i="12"/>
  <c r="B3599" i="12"/>
  <c r="C3464" i="12"/>
  <c r="C2656" i="12"/>
  <c r="B2791" i="12"/>
  <c r="B2320" i="12"/>
  <c r="C2185" i="12"/>
  <c r="B2272" i="12"/>
  <c r="C2137" i="12"/>
  <c r="B2790" i="12"/>
  <c r="C2655" i="12"/>
  <c r="B2280" i="12"/>
  <c r="C2145" i="12"/>
  <c r="C2071" i="12"/>
  <c r="B2206" i="12"/>
  <c r="B2576" i="12"/>
  <c r="B3245" i="12"/>
  <c r="B3216" i="12"/>
  <c r="C3081" i="12"/>
  <c r="B2988" i="12"/>
  <c r="A3780" i="12"/>
  <c r="B2103" i="12"/>
  <c r="C1968" i="12"/>
  <c r="B2354" i="12"/>
  <c r="C2219" i="12"/>
  <c r="B2842" i="12"/>
  <c r="C2707" i="12"/>
  <c r="B2229" i="12"/>
  <c r="C2094" i="12"/>
  <c r="B2057" i="12"/>
  <c r="C1922" i="12"/>
  <c r="C2422" i="12"/>
  <c r="B2557" i="12"/>
  <c r="B2899" i="12"/>
  <c r="C2764" i="12"/>
  <c r="A2178" i="12"/>
  <c r="C2043" i="12"/>
  <c r="B2535" i="12"/>
  <c r="C2433" i="12"/>
  <c r="B2568" i="12"/>
  <c r="B2773" i="12"/>
  <c r="C2638" i="12"/>
  <c r="A2438" i="12"/>
  <c r="B3334" i="12"/>
  <c r="C3199" i="12"/>
  <c r="B2102" i="12"/>
  <c r="C1967" i="12"/>
  <c r="B2720" i="12"/>
  <c r="B2122" i="12"/>
  <c r="C1987" i="12"/>
  <c r="B2781" i="12"/>
  <c r="C2646" i="12"/>
  <c r="C2225" i="12"/>
  <c r="B2360" i="12"/>
  <c r="B2472" i="12"/>
  <c r="C2337" i="12"/>
  <c r="B2944" i="12"/>
  <c r="B2279" i="12"/>
  <c r="C2144" i="12"/>
  <c r="B3209" i="12"/>
  <c r="C3074" i="12"/>
  <c r="B2614" i="12"/>
  <c r="C2479" i="12"/>
  <c r="B2046" i="12"/>
  <c r="C1911" i="12"/>
  <c r="B2232" i="12"/>
  <c r="C2097" i="12"/>
  <c r="B2075" i="12"/>
  <c r="C1940" i="12"/>
  <c r="B2277" i="12"/>
  <c r="C2142" i="12"/>
  <c r="B2267" i="12"/>
  <c r="C2132" i="12"/>
  <c r="B3908" i="12"/>
  <c r="C3773" i="12"/>
  <c r="B2985" i="12"/>
  <c r="B2065" i="12"/>
  <c r="C1930" i="12"/>
  <c r="B2578" i="12"/>
  <c r="C2443" i="12"/>
  <c r="C2752" i="12"/>
  <c r="B2887" i="12"/>
  <c r="A2664" i="12" l="1"/>
  <c r="C2529" i="12"/>
  <c r="B2429" i="12"/>
  <c r="C2294" i="12"/>
  <c r="C2292" i="12"/>
  <c r="B2427" i="12"/>
  <c r="B2800" i="12"/>
  <c r="C2665" i="12"/>
  <c r="B2261" i="12"/>
  <c r="C2126" i="12"/>
  <c r="C2297" i="12"/>
  <c r="B2432" i="12"/>
  <c r="C2105" i="12"/>
  <c r="B2240" i="12"/>
  <c r="A2546" i="12"/>
  <c r="C2411" i="12"/>
  <c r="B2190" i="12"/>
  <c r="C2055" i="12"/>
  <c r="B3618" i="12"/>
  <c r="C3483" i="12"/>
  <c r="A2391" i="12"/>
  <c r="C2256" i="12"/>
  <c r="C2514" i="12"/>
  <c r="B2649" i="12"/>
  <c r="B2436" i="12"/>
  <c r="C2301" i="12"/>
  <c r="C2128" i="12"/>
  <c r="B2263" i="12"/>
  <c r="C2197" i="12"/>
  <c r="B2332" i="12"/>
  <c r="A2809" i="12"/>
  <c r="C2674" i="12"/>
  <c r="C2270" i="12"/>
  <c r="B2405" i="12"/>
  <c r="B2869" i="12"/>
  <c r="C2734" i="12"/>
  <c r="A2408" i="12"/>
  <c r="C2273" i="12"/>
  <c r="A2400" i="12"/>
  <c r="C2265" i="12"/>
  <c r="B2196" i="12"/>
  <c r="C2061" i="12"/>
  <c r="A3110" i="12"/>
  <c r="C2975" i="12"/>
  <c r="A2545" i="12"/>
  <c r="C2410" i="12"/>
  <c r="A3914" i="12"/>
  <c r="B2409" i="12"/>
  <c r="C2274" i="12"/>
  <c r="B2303" i="12"/>
  <c r="C2168" i="12"/>
  <c r="C2201" i="12"/>
  <c r="B2336" i="12"/>
  <c r="C2029" i="12"/>
  <c r="B2164" i="12"/>
  <c r="C2922" i="12"/>
  <c r="B3057" i="12"/>
  <c r="C2352" i="12"/>
  <c r="B2487" i="12"/>
  <c r="C2048" i="12"/>
  <c r="B2183" i="12"/>
  <c r="B2246" i="12"/>
  <c r="C2111" i="12"/>
  <c r="B2593" i="12"/>
  <c r="C2458" i="12"/>
  <c r="B2282" i="12"/>
  <c r="C2147" i="12"/>
  <c r="B2626" i="12"/>
  <c r="C2491" i="12"/>
  <c r="C2131" i="12"/>
  <c r="B2266" i="12"/>
  <c r="B2328" i="12"/>
  <c r="C2193" i="12"/>
  <c r="B2334" i="12"/>
  <c r="C2199" i="12"/>
  <c r="A2441" i="12"/>
  <c r="C2306" i="12"/>
  <c r="B3781" i="12"/>
  <c r="C3646" i="12"/>
  <c r="B2295" i="12"/>
  <c r="C2160" i="12"/>
  <c r="B2363" i="12"/>
  <c r="C2228" i="12"/>
  <c r="B2454" i="12"/>
  <c r="C2319" i="12"/>
  <c r="C2253" i="12"/>
  <c r="B2388" i="12"/>
  <c r="A3135" i="12"/>
  <c r="B2831" i="12"/>
  <c r="C2696" i="12"/>
  <c r="B2496" i="12"/>
  <c r="C2361" i="12"/>
  <c r="B2350" i="12"/>
  <c r="C2215" i="12"/>
  <c r="B2377" i="12"/>
  <c r="C2242" i="12"/>
  <c r="B2205" i="12"/>
  <c r="C2070" i="12"/>
  <c r="A2450" i="12"/>
  <c r="C2315" i="12"/>
  <c r="B2691" i="12"/>
  <c r="C2556" i="12"/>
  <c r="C3505" i="12"/>
  <c r="B3640" i="12"/>
  <c r="A2706" i="12"/>
  <c r="B2289" i="12"/>
  <c r="C2154" i="12"/>
  <c r="C2218" i="12"/>
  <c r="B2353" i="12"/>
  <c r="A2310" i="12"/>
  <c r="C2175" i="12"/>
  <c r="B2551" i="12"/>
  <c r="C2416" i="12"/>
  <c r="C3055" i="12"/>
  <c r="B3190" i="12"/>
  <c r="B2200" i="12"/>
  <c r="C2065" i="12"/>
  <c r="B2412" i="12"/>
  <c r="C2277" i="12"/>
  <c r="C2046" i="12"/>
  <c r="B2181" i="12"/>
  <c r="B2414" i="12"/>
  <c r="C2279" i="12"/>
  <c r="B2257" i="12"/>
  <c r="C2122" i="12"/>
  <c r="B2237" i="12"/>
  <c r="C2102" i="12"/>
  <c r="C2773" i="12"/>
  <c r="B2908" i="12"/>
  <c r="A2313" i="12"/>
  <c r="C2178" i="12"/>
  <c r="A3915" i="12"/>
  <c r="B3351" i="12"/>
  <c r="C3216" i="12"/>
  <c r="C2207" i="12"/>
  <c r="B2342" i="12"/>
  <c r="B2459" i="12"/>
  <c r="C2324" i="12"/>
  <c r="B2792" i="12"/>
  <c r="C2657" i="12"/>
  <c r="B2204" i="12"/>
  <c r="C2069" i="12"/>
  <c r="B2473" i="12"/>
  <c r="C2338" i="12"/>
  <c r="B2738" i="12"/>
  <c r="C2603" i="12"/>
  <c r="B3066" i="12"/>
  <c r="B2639" i="12"/>
  <c r="C2504" i="12"/>
  <c r="C2231" i="12"/>
  <c r="B2366" i="12"/>
  <c r="C2351" i="12"/>
  <c r="B2486" i="12"/>
  <c r="C2073" i="12"/>
  <c r="B2208" i="12"/>
  <c r="B2179" i="12"/>
  <c r="C2044" i="12"/>
  <c r="B3123" i="12"/>
  <c r="B2689" i="12"/>
  <c r="C2554" i="12"/>
  <c r="B2210" i="12"/>
  <c r="C2075" i="12"/>
  <c r="B3079" i="12"/>
  <c r="C3334" i="12"/>
  <c r="B3469" i="12"/>
  <c r="B2192" i="12"/>
  <c r="C2057" i="12"/>
  <c r="C2842" i="12"/>
  <c r="B2977" i="12"/>
  <c r="C2280" i="12"/>
  <c r="B2415" i="12"/>
  <c r="B2455" i="12"/>
  <c r="C2320" i="12"/>
  <c r="B2886" i="12"/>
  <c r="C2751" i="12"/>
  <c r="B2321" i="12"/>
  <c r="C2186" i="12"/>
  <c r="B2309" i="12"/>
  <c r="C2174" i="12"/>
  <c r="C2056" i="12"/>
  <c r="B2191" i="12"/>
  <c r="B3068" i="12"/>
  <c r="C2933" i="12"/>
  <c r="B2735" i="12"/>
  <c r="C2600" i="12"/>
  <c r="B3158" i="12"/>
  <c r="C3023" i="12"/>
  <c r="B2727" i="12"/>
  <c r="C2592" i="12"/>
  <c r="B2176" i="12"/>
  <c r="C2041" i="12"/>
  <c r="B2692" i="12"/>
  <c r="C2557" i="12"/>
  <c r="B2341" i="12"/>
  <c r="C2206" i="12"/>
  <c r="C2568" i="12"/>
  <c r="B2703" i="12"/>
  <c r="B2902" i="12"/>
  <c r="C2767" i="12"/>
  <c r="B3022" i="12"/>
  <c r="C2887" i="12"/>
  <c r="B2926" i="12"/>
  <c r="C2791" i="12"/>
  <c r="B3356" i="12"/>
  <c r="B3120" i="12"/>
  <c r="C3908" i="12"/>
  <c r="B4043" i="12"/>
  <c r="C2232" i="12"/>
  <c r="B2367" i="12"/>
  <c r="B2607" i="12"/>
  <c r="C2472" i="12"/>
  <c r="B2916" i="12"/>
  <c r="C2781" i="12"/>
  <c r="A2573" i="12"/>
  <c r="B3034" i="12"/>
  <c r="C2899" i="12"/>
  <c r="C2354" i="12"/>
  <c r="B2489" i="12"/>
  <c r="C2790" i="12"/>
  <c r="B2925" i="12"/>
  <c r="C2220" i="12"/>
  <c r="B2355" i="12"/>
  <c r="C2358" i="12"/>
  <c r="B2493" i="12"/>
  <c r="B2370" i="12"/>
  <c r="C2235" i="12"/>
  <c r="C2833" i="12"/>
  <c r="B2968" i="12"/>
  <c r="B3083" i="12"/>
  <c r="C2845" i="12"/>
  <c r="B2980" i="12"/>
  <c r="B2378" i="12"/>
  <c r="C2243" i="12"/>
  <c r="B2690" i="12"/>
  <c r="C2555" i="12"/>
  <c r="B2857" i="12"/>
  <c r="C2722" i="12"/>
  <c r="B2371" i="12"/>
  <c r="C2236" i="12"/>
  <c r="C2360" i="12"/>
  <c r="B2495" i="12"/>
  <c r="B3040" i="12"/>
  <c r="C2905" i="12"/>
  <c r="C2143" i="12"/>
  <c r="B2278" i="12"/>
  <c r="B3760" i="12"/>
  <c r="B4959" i="12"/>
  <c r="B2653" i="12"/>
  <c r="C2518" i="12"/>
  <c r="B2492" i="12"/>
  <c r="C2357" i="12"/>
  <c r="B2713" i="12"/>
  <c r="C2578" i="12"/>
  <c r="B2402" i="12"/>
  <c r="C2267" i="12"/>
  <c r="B2749" i="12"/>
  <c r="C2614" i="12"/>
  <c r="B3344" i="12"/>
  <c r="C3209" i="12"/>
  <c r="B2855" i="12"/>
  <c r="B2670" i="12"/>
  <c r="C2229" i="12"/>
  <c r="B2364" i="12"/>
  <c r="C2103" i="12"/>
  <c r="B2238" i="12"/>
  <c r="B3380" i="12"/>
  <c r="B2711" i="12"/>
  <c r="B2407" i="12"/>
  <c r="C2272" i="12"/>
  <c r="C3599" i="12"/>
  <c r="B3734" i="12"/>
  <c r="B2177" i="12"/>
  <c r="C2042" i="12"/>
  <c r="C2619" i="12"/>
  <c r="B2754" i="12"/>
  <c r="C2982" i="12"/>
  <c r="B3117" i="12"/>
  <c r="C2439" i="12"/>
  <c r="B2574" i="12"/>
  <c r="B2255" i="12"/>
  <c r="C2120" i="12"/>
  <c r="C3342" i="12"/>
  <c r="B3477" i="12"/>
  <c r="C2509" i="12"/>
  <c r="B2644" i="12"/>
  <c r="B2564" i="12" l="1"/>
  <c r="C2429" i="12"/>
  <c r="B2562" i="12"/>
  <c r="C2427" i="12"/>
  <c r="A2799" i="12"/>
  <c r="C2664" i="12"/>
  <c r="B2467" i="12"/>
  <c r="C2332" i="12"/>
  <c r="C2240" i="12"/>
  <c r="B2375" i="12"/>
  <c r="B2398" i="12"/>
  <c r="C2263" i="12"/>
  <c r="B2567" i="12"/>
  <c r="C2432" i="12"/>
  <c r="A3245" i="12"/>
  <c r="C3110" i="12"/>
  <c r="B3004" i="12"/>
  <c r="C2869" i="12"/>
  <c r="C3618" i="12"/>
  <c r="B3753" i="12"/>
  <c r="A2526" i="12"/>
  <c r="C2391" i="12"/>
  <c r="B2540" i="12"/>
  <c r="C2405" i="12"/>
  <c r="A2543" i="12"/>
  <c r="C2408" i="12"/>
  <c r="B2331" i="12"/>
  <c r="C2196" i="12"/>
  <c r="B2571" i="12"/>
  <c r="C2436" i="12"/>
  <c r="B2325" i="12"/>
  <c r="C2190" i="12"/>
  <c r="B2396" i="12"/>
  <c r="C2261" i="12"/>
  <c r="B2784" i="12"/>
  <c r="C2649" i="12"/>
  <c r="A2535" i="12"/>
  <c r="C2400" i="12"/>
  <c r="A2944" i="12"/>
  <c r="C2809" i="12"/>
  <c r="A2681" i="12"/>
  <c r="C2546" i="12"/>
  <c r="B2935" i="12"/>
  <c r="C2800" i="12"/>
  <c r="A3270" i="12"/>
  <c r="C2487" i="12"/>
  <c r="B2622" i="12"/>
  <c r="C2691" i="12"/>
  <c r="B2826" i="12"/>
  <c r="B2512" i="12"/>
  <c r="C2377" i="12"/>
  <c r="C2363" i="12"/>
  <c r="B2498" i="12"/>
  <c r="C2334" i="12"/>
  <c r="B2469" i="12"/>
  <c r="C2282" i="12"/>
  <c r="B2417" i="12"/>
  <c r="B2438" i="12"/>
  <c r="C2303" i="12"/>
  <c r="B2523" i="12"/>
  <c r="C2388" i="12"/>
  <c r="B3192" i="12"/>
  <c r="C3057" i="12"/>
  <c r="B2424" i="12"/>
  <c r="C2289" i="12"/>
  <c r="A2585" i="12"/>
  <c r="C2450" i="12"/>
  <c r="B2485" i="12"/>
  <c r="C2350" i="12"/>
  <c r="B2430" i="12"/>
  <c r="C2295" i="12"/>
  <c r="B2463" i="12"/>
  <c r="C2328" i="12"/>
  <c r="B2544" i="12"/>
  <c r="C2409" i="12"/>
  <c r="A2841" i="12"/>
  <c r="B2631" i="12"/>
  <c r="C2496" i="12"/>
  <c r="B3916" i="12"/>
  <c r="C3781" i="12"/>
  <c r="B2381" i="12"/>
  <c r="C2246" i="12"/>
  <c r="C2353" i="12"/>
  <c r="B2488" i="12"/>
  <c r="A4049" i="12"/>
  <c r="C3640" i="12"/>
  <c r="B3775" i="12"/>
  <c r="C2183" i="12"/>
  <c r="B2318" i="12"/>
  <c r="B2471" i="12"/>
  <c r="C2336" i="12"/>
  <c r="C2593" i="12"/>
  <c r="B2728" i="12"/>
  <c r="B2401" i="12"/>
  <c r="C2266" i="12"/>
  <c r="C2164" i="12"/>
  <c r="B2299" i="12"/>
  <c r="A2445" i="12"/>
  <c r="C2310" i="12"/>
  <c r="C2205" i="12"/>
  <c r="B2340" i="12"/>
  <c r="B2966" i="12"/>
  <c r="C2831" i="12"/>
  <c r="B2589" i="12"/>
  <c r="C2454" i="12"/>
  <c r="A2576" i="12"/>
  <c r="C2441" i="12"/>
  <c r="C2626" i="12"/>
  <c r="B2761" i="12"/>
  <c r="A2680" i="12"/>
  <c r="C2545" i="12"/>
  <c r="B2343" i="12"/>
  <c r="C2208" i="12"/>
  <c r="C2342" i="12"/>
  <c r="B2477" i="12"/>
  <c r="C2255" i="12"/>
  <c r="B2390" i="12"/>
  <c r="C2407" i="12"/>
  <c r="B2542" i="12"/>
  <c r="B2537" i="12"/>
  <c r="C2402" i="12"/>
  <c r="B5094" i="12"/>
  <c r="B2506" i="12"/>
  <c r="C2371" i="12"/>
  <c r="B3037" i="12"/>
  <c r="C2902" i="12"/>
  <c r="B3293" i="12"/>
  <c r="C3158" i="12"/>
  <c r="C2455" i="12"/>
  <c r="B2590" i="12"/>
  <c r="B2327" i="12"/>
  <c r="C2192" i="12"/>
  <c r="B2774" i="12"/>
  <c r="C2639" i="12"/>
  <c r="B2339" i="12"/>
  <c r="C2204" i="12"/>
  <c r="B2392" i="12"/>
  <c r="C2257" i="12"/>
  <c r="B2547" i="12"/>
  <c r="C2412" i="12"/>
  <c r="B2326" i="12"/>
  <c r="C2191" i="12"/>
  <c r="C2574" i="12"/>
  <c r="B2709" i="12"/>
  <c r="B3115" i="12"/>
  <c r="C2980" i="12"/>
  <c r="B2490" i="12"/>
  <c r="C2355" i="12"/>
  <c r="B2502" i="12"/>
  <c r="C2367" i="12"/>
  <c r="B2550" i="12"/>
  <c r="C2415" i="12"/>
  <c r="B2312" i="12"/>
  <c r="C2177" i="12"/>
  <c r="B2846" i="12"/>
  <c r="B3479" i="12"/>
  <c r="C3344" i="12"/>
  <c r="B2848" i="12"/>
  <c r="C2713" i="12"/>
  <c r="B3895" i="12"/>
  <c r="B2992" i="12"/>
  <c r="C2857" i="12"/>
  <c r="A2708" i="12"/>
  <c r="B3491" i="12"/>
  <c r="B2476" i="12"/>
  <c r="C2341" i="12"/>
  <c r="C2309" i="12"/>
  <c r="B2444" i="12"/>
  <c r="B3258" i="12"/>
  <c r="B3201" i="12"/>
  <c r="B2927" i="12"/>
  <c r="C2792" i="12"/>
  <c r="A2448" i="12"/>
  <c r="C2313" i="12"/>
  <c r="B2335" i="12"/>
  <c r="C2200" i="12"/>
  <c r="B2373" i="12"/>
  <c r="C2238" i="12"/>
  <c r="C2493" i="12"/>
  <c r="B2628" i="12"/>
  <c r="B2499" i="12"/>
  <c r="C2364" i="12"/>
  <c r="B3103" i="12"/>
  <c r="C2968" i="12"/>
  <c r="B2624" i="12"/>
  <c r="C2489" i="12"/>
  <c r="B3214" i="12"/>
  <c r="C2486" i="12"/>
  <c r="B2621" i="12"/>
  <c r="B2779" i="12"/>
  <c r="C2644" i="12"/>
  <c r="B3252" i="12"/>
  <c r="C3117" i="12"/>
  <c r="B2805" i="12"/>
  <c r="B2413" i="12"/>
  <c r="C2278" i="12"/>
  <c r="B2630" i="12"/>
  <c r="C2495" i="12"/>
  <c r="B3060" i="12"/>
  <c r="C2925" i="12"/>
  <c r="B4178" i="12"/>
  <c r="C4043" i="12"/>
  <c r="B2838" i="12"/>
  <c r="C2703" i="12"/>
  <c r="C3469" i="12"/>
  <c r="B3604" i="12"/>
  <c r="B2501" i="12"/>
  <c r="C2366" i="12"/>
  <c r="B3043" i="12"/>
  <c r="C2908" i="12"/>
  <c r="B3325" i="12"/>
  <c r="C3190" i="12"/>
  <c r="B3515" i="12"/>
  <c r="B2884" i="12"/>
  <c r="C2749" i="12"/>
  <c r="C2492" i="12"/>
  <c r="B2627" i="12"/>
  <c r="B2825" i="12"/>
  <c r="C2690" i="12"/>
  <c r="B3218" i="12"/>
  <c r="B2505" i="12"/>
  <c r="C2370" i="12"/>
  <c r="B3051" i="12"/>
  <c r="C2916" i="12"/>
  <c r="B3061" i="12"/>
  <c r="C2926" i="12"/>
  <c r="B3157" i="12"/>
  <c r="C3022" i="12"/>
  <c r="B2311" i="12"/>
  <c r="C2176" i="12"/>
  <c r="B2870" i="12"/>
  <c r="C2735" i="12"/>
  <c r="B2456" i="12"/>
  <c r="C2321" i="12"/>
  <c r="B2345" i="12"/>
  <c r="C2210" i="12"/>
  <c r="C2738" i="12"/>
  <c r="B2873" i="12"/>
  <c r="B3486" i="12"/>
  <c r="C3351" i="12"/>
  <c r="C2414" i="12"/>
  <c r="B2549" i="12"/>
  <c r="B3612" i="12"/>
  <c r="C3477" i="12"/>
  <c r="B2889" i="12"/>
  <c r="C2754" i="12"/>
  <c r="C3734" i="12"/>
  <c r="B3869" i="12"/>
  <c r="B3112" i="12"/>
  <c r="C2977" i="12"/>
  <c r="C2181" i="12"/>
  <c r="B2316" i="12"/>
  <c r="B2990" i="12"/>
  <c r="B2788" i="12"/>
  <c r="C2653" i="12"/>
  <c r="C3040" i="12"/>
  <c r="B3175" i="12"/>
  <c r="B2513" i="12"/>
  <c r="C2378" i="12"/>
  <c r="B3169" i="12"/>
  <c r="C3034" i="12"/>
  <c r="C2607" i="12"/>
  <c r="B2742" i="12"/>
  <c r="B3255" i="12"/>
  <c r="C2692" i="12"/>
  <c r="B2827" i="12"/>
  <c r="B2862" i="12"/>
  <c r="C2727" i="12"/>
  <c r="B3203" i="12"/>
  <c r="C3068" i="12"/>
  <c r="B3021" i="12"/>
  <c r="C2886" i="12"/>
  <c r="C2689" i="12"/>
  <c r="B2824" i="12"/>
  <c r="B2314" i="12"/>
  <c r="C2179" i="12"/>
  <c r="B2608" i="12"/>
  <c r="C2473" i="12"/>
  <c r="B2594" i="12"/>
  <c r="C2459" i="12"/>
  <c r="A4050" i="12"/>
  <c r="B2372" i="12"/>
  <c r="C2237" i="12"/>
  <c r="C2551" i="12"/>
  <c r="B2686" i="12"/>
  <c r="A2934" i="12" l="1"/>
  <c r="C2799" i="12"/>
  <c r="B2697" i="12"/>
  <c r="C2562" i="12"/>
  <c r="B2699" i="12"/>
  <c r="C2564" i="12"/>
  <c r="A2670" i="12"/>
  <c r="C2535" i="12"/>
  <c r="B2706" i="12"/>
  <c r="C2571" i="12"/>
  <c r="C2935" i="12"/>
  <c r="B3070" i="12"/>
  <c r="B2919" i="12"/>
  <c r="C2784" i="12"/>
  <c r="B2466" i="12"/>
  <c r="C2331" i="12"/>
  <c r="B2533" i="12"/>
  <c r="C2398" i="12"/>
  <c r="C3753" i="12"/>
  <c r="B3888" i="12"/>
  <c r="B2510" i="12"/>
  <c r="C2375" i="12"/>
  <c r="A2661" i="12"/>
  <c r="C2526" i="12"/>
  <c r="A2816" i="12"/>
  <c r="C2681" i="12"/>
  <c r="B2531" i="12"/>
  <c r="C2396" i="12"/>
  <c r="A2678" i="12"/>
  <c r="C2543" i="12"/>
  <c r="C3004" i="12"/>
  <c r="B3139" i="12"/>
  <c r="B2702" i="12"/>
  <c r="C2567" i="12"/>
  <c r="A3079" i="12"/>
  <c r="C2944" i="12"/>
  <c r="B2460" i="12"/>
  <c r="C2325" i="12"/>
  <c r="C2540" i="12"/>
  <c r="B2675" i="12"/>
  <c r="A3380" i="12"/>
  <c r="C3245" i="12"/>
  <c r="B2602" i="12"/>
  <c r="C2467" i="12"/>
  <c r="A4184" i="12"/>
  <c r="B2679" i="12"/>
  <c r="C2544" i="12"/>
  <c r="A2720" i="12"/>
  <c r="C2585" i="12"/>
  <c r="B2573" i="12"/>
  <c r="C2438" i="12"/>
  <c r="C2512" i="12"/>
  <c r="B2647" i="12"/>
  <c r="B2623" i="12"/>
  <c r="C2488" i="12"/>
  <c r="C2417" i="12"/>
  <c r="B2552" i="12"/>
  <c r="B2961" i="12"/>
  <c r="C2826" i="12"/>
  <c r="A2711" i="12"/>
  <c r="C2576" i="12"/>
  <c r="C2471" i="12"/>
  <c r="B2606" i="12"/>
  <c r="B2434" i="12"/>
  <c r="C2299" i="12"/>
  <c r="C2318" i="12"/>
  <c r="B2453" i="12"/>
  <c r="C2589" i="12"/>
  <c r="B2724" i="12"/>
  <c r="B2516" i="12"/>
  <c r="C2381" i="12"/>
  <c r="B2565" i="12"/>
  <c r="C2430" i="12"/>
  <c r="B3327" i="12"/>
  <c r="C3192" i="12"/>
  <c r="A2580" i="12"/>
  <c r="C2445" i="12"/>
  <c r="C2469" i="12"/>
  <c r="B2604" i="12"/>
  <c r="C3775" i="12"/>
  <c r="B3910" i="12"/>
  <c r="B2633" i="12"/>
  <c r="C2498" i="12"/>
  <c r="A3405" i="12"/>
  <c r="C2761" i="12"/>
  <c r="B2896" i="12"/>
  <c r="B2475" i="12"/>
  <c r="C2340" i="12"/>
  <c r="C2728" i="12"/>
  <c r="B2863" i="12"/>
  <c r="B2766" i="12"/>
  <c r="C2631" i="12"/>
  <c r="B2598" i="12"/>
  <c r="C2463" i="12"/>
  <c r="B2559" i="12"/>
  <c r="C2424" i="12"/>
  <c r="C2622" i="12"/>
  <c r="B2757" i="12"/>
  <c r="A2815" i="12"/>
  <c r="C2680" i="12"/>
  <c r="B3101" i="12"/>
  <c r="C2966" i="12"/>
  <c r="C2401" i="12"/>
  <c r="B2536" i="12"/>
  <c r="B4051" i="12"/>
  <c r="C3916" i="12"/>
  <c r="A2976" i="12"/>
  <c r="C2485" i="12"/>
  <c r="B2620" i="12"/>
  <c r="B2658" i="12"/>
  <c r="C2523" i="12"/>
  <c r="B2844" i="12"/>
  <c r="C2709" i="12"/>
  <c r="B2729" i="12"/>
  <c r="C2594" i="12"/>
  <c r="C2862" i="12"/>
  <c r="B2997" i="12"/>
  <c r="B3304" i="12"/>
  <c r="C3169" i="12"/>
  <c r="B2648" i="12"/>
  <c r="C2513" i="12"/>
  <c r="B3247" i="12"/>
  <c r="C3112" i="12"/>
  <c r="C3486" i="12"/>
  <c r="B3621" i="12"/>
  <c r="C2456" i="12"/>
  <c r="B2591" i="12"/>
  <c r="B3292" i="12"/>
  <c r="C3157" i="12"/>
  <c r="C2505" i="12"/>
  <c r="B2640" i="12"/>
  <c r="C2884" i="12"/>
  <c r="B3019" i="12"/>
  <c r="C3043" i="12"/>
  <c r="B3178" i="12"/>
  <c r="B2765" i="12"/>
  <c r="C2630" i="12"/>
  <c r="B2914" i="12"/>
  <c r="C2779" i="12"/>
  <c r="B2759" i="12"/>
  <c r="C2624" i="12"/>
  <c r="B2508" i="12"/>
  <c r="C2373" i="12"/>
  <c r="B3336" i="12"/>
  <c r="B4030" i="12"/>
  <c r="B2447" i="12"/>
  <c r="C2312" i="12"/>
  <c r="B2637" i="12"/>
  <c r="C2502" i="12"/>
  <c r="B2527" i="12"/>
  <c r="C2392" i="12"/>
  <c r="B2641" i="12"/>
  <c r="C2506" i="12"/>
  <c r="C2824" i="12"/>
  <c r="B2959" i="12"/>
  <c r="B4004" i="12"/>
  <c r="C3869" i="12"/>
  <c r="B2821" i="12"/>
  <c r="C2686" i="12"/>
  <c r="C2827" i="12"/>
  <c r="B2962" i="12"/>
  <c r="B3008" i="12"/>
  <c r="C2873" i="12"/>
  <c r="B3393" i="12"/>
  <c r="B2677" i="12"/>
  <c r="C2542" i="12"/>
  <c r="C2477" i="12"/>
  <c r="B2612" i="12"/>
  <c r="C2608" i="12"/>
  <c r="B2743" i="12"/>
  <c r="C2889" i="12"/>
  <c r="B3024" i="12"/>
  <c r="B3005" i="12"/>
  <c r="C2870" i="12"/>
  <c r="C3061" i="12"/>
  <c r="B3196" i="12"/>
  <c r="B3353" i="12"/>
  <c r="C2838" i="12"/>
  <c r="B2973" i="12"/>
  <c r="C2413" i="12"/>
  <c r="B2548" i="12"/>
  <c r="C3103" i="12"/>
  <c r="B3238" i="12"/>
  <c r="B2470" i="12"/>
  <c r="C2335" i="12"/>
  <c r="B3626" i="12"/>
  <c r="C2848" i="12"/>
  <c r="B2983" i="12"/>
  <c r="B2625" i="12"/>
  <c r="C2490" i="12"/>
  <c r="B2461" i="12"/>
  <c r="C2326" i="12"/>
  <c r="B2474" i="12"/>
  <c r="C2339" i="12"/>
  <c r="B2462" i="12"/>
  <c r="C2327" i="12"/>
  <c r="C3037" i="12"/>
  <c r="B3172" i="12"/>
  <c r="B3125" i="12"/>
  <c r="B3390" i="12"/>
  <c r="B3310" i="12"/>
  <c r="C3175" i="12"/>
  <c r="B2756" i="12"/>
  <c r="C2621" i="12"/>
  <c r="B2725" i="12"/>
  <c r="C2590" i="12"/>
  <c r="B3650" i="12"/>
  <c r="B2507" i="12"/>
  <c r="C2372" i="12"/>
  <c r="B3156" i="12"/>
  <c r="C3021" i="12"/>
  <c r="B3747" i="12"/>
  <c r="C3612" i="12"/>
  <c r="B2446" i="12"/>
  <c r="C2311" i="12"/>
  <c r="B3186" i="12"/>
  <c r="C3051" i="12"/>
  <c r="C2825" i="12"/>
  <c r="B2960" i="12"/>
  <c r="C2501" i="12"/>
  <c r="B2636" i="12"/>
  <c r="C4178" i="12"/>
  <c r="B4313" i="12"/>
  <c r="B2940" i="12"/>
  <c r="C2499" i="12"/>
  <c r="B2634" i="12"/>
  <c r="A2583" i="12"/>
  <c r="C2448" i="12"/>
  <c r="B2611" i="12"/>
  <c r="C2476" i="12"/>
  <c r="A2843" i="12"/>
  <c r="B3614" i="12"/>
  <c r="C3479" i="12"/>
  <c r="C3115" i="12"/>
  <c r="B3250" i="12"/>
  <c r="C2774" i="12"/>
  <c r="B2909" i="12"/>
  <c r="B5229" i="12"/>
  <c r="B2478" i="12"/>
  <c r="C2343" i="12"/>
  <c r="B2877" i="12"/>
  <c r="C2742" i="12"/>
  <c r="B2451" i="12"/>
  <c r="C2316" i="12"/>
  <c r="B2684" i="12"/>
  <c r="C2549" i="12"/>
  <c r="C2627" i="12"/>
  <c r="B2762" i="12"/>
  <c r="B3739" i="12"/>
  <c r="C3604" i="12"/>
  <c r="C2628" i="12"/>
  <c r="B2763" i="12"/>
  <c r="B2579" i="12"/>
  <c r="C2444" i="12"/>
  <c r="B2525" i="12"/>
  <c r="C2390" i="12"/>
  <c r="A4185" i="12"/>
  <c r="B2449" i="12"/>
  <c r="C2314" i="12"/>
  <c r="B3338" i="12"/>
  <c r="C3203" i="12"/>
  <c r="C2788" i="12"/>
  <c r="B2923" i="12"/>
  <c r="C2345" i="12"/>
  <c r="B2480" i="12"/>
  <c r="B3460" i="12"/>
  <c r="C3325" i="12"/>
  <c r="B3195" i="12"/>
  <c r="C3060" i="12"/>
  <c r="C3252" i="12"/>
  <c r="B3387" i="12"/>
  <c r="B3349" i="12"/>
  <c r="B3062" i="12"/>
  <c r="C2927" i="12"/>
  <c r="B3127" i="12"/>
  <c r="C2992" i="12"/>
  <c r="B2981" i="12"/>
  <c r="B2685" i="12"/>
  <c r="C2550" i="12"/>
  <c r="C2547" i="12"/>
  <c r="B2682" i="12"/>
  <c r="B3428" i="12"/>
  <c r="C3293" i="12"/>
  <c r="B2672" i="12"/>
  <c r="C2537" i="12"/>
  <c r="B2834" i="12" l="1"/>
  <c r="C2699" i="12"/>
  <c r="B2832" i="12"/>
  <c r="C2697" i="12"/>
  <c r="A3069" i="12"/>
  <c r="C2934" i="12"/>
  <c r="C2510" i="12"/>
  <c r="B2645" i="12"/>
  <c r="B4023" i="12"/>
  <c r="C3888" i="12"/>
  <c r="C3070" i="12"/>
  <c r="B3205" i="12"/>
  <c r="C2602" i="12"/>
  <c r="B2737" i="12"/>
  <c r="A3214" i="12"/>
  <c r="C3079" i="12"/>
  <c r="C2531" i="12"/>
  <c r="B2666" i="12"/>
  <c r="A2813" i="12"/>
  <c r="C2678" i="12"/>
  <c r="A3515" i="12"/>
  <c r="C3380" i="12"/>
  <c r="B2837" i="12"/>
  <c r="C2702" i="12"/>
  <c r="A2951" i="12"/>
  <c r="C2816" i="12"/>
  <c r="C2533" i="12"/>
  <c r="B2668" i="12"/>
  <c r="B2841" i="12"/>
  <c r="C2706" i="12"/>
  <c r="B3054" i="12"/>
  <c r="C2919" i="12"/>
  <c r="B2810" i="12"/>
  <c r="C2675" i="12"/>
  <c r="B3274" i="12"/>
  <c r="C3139" i="12"/>
  <c r="B2595" i="12"/>
  <c r="C2460" i="12"/>
  <c r="A2796" i="12"/>
  <c r="C2661" i="12"/>
  <c r="B2601" i="12"/>
  <c r="C2466" i="12"/>
  <c r="A2805" i="12"/>
  <c r="C2670" i="12"/>
  <c r="B3236" i="12"/>
  <c r="C3101" i="12"/>
  <c r="B2733" i="12"/>
  <c r="C2598" i="12"/>
  <c r="C2434" i="12"/>
  <c r="B2569" i="12"/>
  <c r="A2855" i="12"/>
  <c r="C2720" i="12"/>
  <c r="A3540" i="12"/>
  <c r="C2606" i="12"/>
  <c r="B2741" i="12"/>
  <c r="B2755" i="12"/>
  <c r="C2620" i="12"/>
  <c r="A3111" i="12"/>
  <c r="A2950" i="12"/>
  <c r="C2815" i="12"/>
  <c r="C2766" i="12"/>
  <c r="B2901" i="12"/>
  <c r="A2715" i="12"/>
  <c r="C2580" i="12"/>
  <c r="C2623" i="12"/>
  <c r="B2758" i="12"/>
  <c r="B4186" i="12"/>
  <c r="C4051" i="12"/>
  <c r="B2768" i="12"/>
  <c r="C2633" i="12"/>
  <c r="B3462" i="12"/>
  <c r="C3327" i="12"/>
  <c r="A2846" i="12"/>
  <c r="C2711" i="12"/>
  <c r="C2516" i="12"/>
  <c r="B2651" i="12"/>
  <c r="B2814" i="12"/>
  <c r="C2679" i="12"/>
  <c r="B2892" i="12"/>
  <c r="C2757" i="12"/>
  <c r="C2863" i="12"/>
  <c r="B2998" i="12"/>
  <c r="C2536" i="12"/>
  <c r="B2671" i="12"/>
  <c r="B4045" i="12"/>
  <c r="C3910" i="12"/>
  <c r="B2588" i="12"/>
  <c r="C2453" i="12"/>
  <c r="A4319" i="12"/>
  <c r="C2896" i="12"/>
  <c r="B3031" i="12"/>
  <c r="B2739" i="12"/>
  <c r="C2604" i="12"/>
  <c r="B2687" i="12"/>
  <c r="C2552" i="12"/>
  <c r="B2859" i="12"/>
  <c r="C2724" i="12"/>
  <c r="C2647" i="12"/>
  <c r="B2782" i="12"/>
  <c r="B2793" i="12"/>
  <c r="C2658" i="12"/>
  <c r="B2694" i="12"/>
  <c r="C2559" i="12"/>
  <c r="C2475" i="12"/>
  <c r="B2610" i="12"/>
  <c r="B2700" i="12"/>
  <c r="C2565" i="12"/>
  <c r="B3096" i="12"/>
  <c r="C2961" i="12"/>
  <c r="B2708" i="12"/>
  <c r="C2573" i="12"/>
  <c r="B2898" i="12"/>
  <c r="C2763" i="12"/>
  <c r="B3044" i="12"/>
  <c r="C2909" i="12"/>
  <c r="B2771" i="12"/>
  <c r="C2636" i="12"/>
  <c r="B3118" i="12"/>
  <c r="C2983" i="12"/>
  <c r="C3238" i="12"/>
  <c r="B3373" i="12"/>
  <c r="B3097" i="12"/>
  <c r="C2962" i="12"/>
  <c r="B3563" i="12"/>
  <c r="C3428" i="12"/>
  <c r="C3127" i="12"/>
  <c r="B3262" i="12"/>
  <c r="B3330" i="12"/>
  <c r="C3195" i="12"/>
  <c r="C2449" i="12"/>
  <c r="B2584" i="12"/>
  <c r="C2684" i="12"/>
  <c r="B2819" i="12"/>
  <c r="B3749" i="12"/>
  <c r="C3614" i="12"/>
  <c r="A2718" i="12"/>
  <c r="C2583" i="12"/>
  <c r="C2446" i="12"/>
  <c r="B2581" i="12"/>
  <c r="B2642" i="12"/>
  <c r="C2507" i="12"/>
  <c r="B3445" i="12"/>
  <c r="C3310" i="12"/>
  <c r="B2609" i="12"/>
  <c r="C2474" i="12"/>
  <c r="B3488" i="12"/>
  <c r="C2677" i="12"/>
  <c r="B2812" i="12"/>
  <c r="C4004" i="12"/>
  <c r="B4139" i="12"/>
  <c r="B2582" i="12"/>
  <c r="C2447" i="12"/>
  <c r="C2508" i="12"/>
  <c r="B2643" i="12"/>
  <c r="B3427" i="12"/>
  <c r="C3292" i="12"/>
  <c r="B2864" i="12"/>
  <c r="C2729" i="12"/>
  <c r="B2817" i="12"/>
  <c r="C2682" i="12"/>
  <c r="B3058" i="12"/>
  <c r="C2923" i="12"/>
  <c r="C2634" i="12"/>
  <c r="B2769" i="12"/>
  <c r="B3525" i="12"/>
  <c r="B3761" i="12"/>
  <c r="B3331" i="12"/>
  <c r="C3196" i="12"/>
  <c r="B3094" i="12"/>
  <c r="C2959" i="12"/>
  <c r="B3313" i="12"/>
  <c r="C3178" i="12"/>
  <c r="C2591" i="12"/>
  <c r="B2726" i="12"/>
  <c r="C3062" i="12"/>
  <c r="B3197" i="12"/>
  <c r="C3460" i="12"/>
  <c r="B3595" i="12"/>
  <c r="A4320" i="12"/>
  <c r="B3874" i="12"/>
  <c r="C3739" i="12"/>
  <c r="B2586" i="12"/>
  <c r="C2451" i="12"/>
  <c r="A2978" i="12"/>
  <c r="B3785" i="12"/>
  <c r="C2461" i="12"/>
  <c r="B2596" i="12"/>
  <c r="B3528" i="12"/>
  <c r="B4165" i="12"/>
  <c r="B2894" i="12"/>
  <c r="C2759" i="12"/>
  <c r="B2783" i="12"/>
  <c r="C2648" i="12"/>
  <c r="C2762" i="12"/>
  <c r="B2897" i="12"/>
  <c r="C3250" i="12"/>
  <c r="B3385" i="12"/>
  <c r="B3075" i="12"/>
  <c r="C2960" i="12"/>
  <c r="B3095" i="12"/>
  <c r="C3172" i="12"/>
  <c r="B3307" i="12"/>
  <c r="B2683" i="12"/>
  <c r="C2548" i="12"/>
  <c r="B2878" i="12"/>
  <c r="C2743" i="12"/>
  <c r="B3154" i="12"/>
  <c r="C3019" i="12"/>
  <c r="C3621" i="12"/>
  <c r="B3756" i="12"/>
  <c r="C2672" i="12"/>
  <c r="B2807" i="12"/>
  <c r="B2820" i="12"/>
  <c r="C2685" i="12"/>
  <c r="B3484" i="12"/>
  <c r="B2660" i="12"/>
  <c r="C2525" i="12"/>
  <c r="C2877" i="12"/>
  <c r="B3012" i="12"/>
  <c r="C2611" i="12"/>
  <c r="B2746" i="12"/>
  <c r="B3882" i="12"/>
  <c r="C3747" i="12"/>
  <c r="B3291" i="12"/>
  <c r="C3156" i="12"/>
  <c r="B2860" i="12"/>
  <c r="C2725" i="12"/>
  <c r="B2760" i="12"/>
  <c r="C2625" i="12"/>
  <c r="B3140" i="12"/>
  <c r="C3005" i="12"/>
  <c r="B2956" i="12"/>
  <c r="C2821" i="12"/>
  <c r="B2662" i="12"/>
  <c r="C2527" i="12"/>
  <c r="C2914" i="12"/>
  <c r="B3049" i="12"/>
  <c r="B3439" i="12"/>
  <c r="C3304" i="12"/>
  <c r="C3387" i="12"/>
  <c r="B3522" i="12"/>
  <c r="B2615" i="12"/>
  <c r="C2480" i="12"/>
  <c r="C4313" i="12"/>
  <c r="B4448" i="12"/>
  <c r="B3108" i="12"/>
  <c r="C2973" i="12"/>
  <c r="B3159" i="12"/>
  <c r="C3024" i="12"/>
  <c r="B2747" i="12"/>
  <c r="C2612" i="12"/>
  <c r="B3471" i="12"/>
  <c r="B2775" i="12"/>
  <c r="C2640" i="12"/>
  <c r="B3132" i="12"/>
  <c r="C2997" i="12"/>
  <c r="B3116" i="12"/>
  <c r="B3473" i="12"/>
  <c r="C3338" i="12"/>
  <c r="B2714" i="12"/>
  <c r="C2579" i="12"/>
  <c r="B2613" i="12"/>
  <c r="C2478" i="12"/>
  <c r="B3321" i="12"/>
  <c r="C3186" i="12"/>
  <c r="B2891" i="12"/>
  <c r="C2756" i="12"/>
  <c r="B3260" i="12"/>
  <c r="B2597" i="12"/>
  <c r="C2462" i="12"/>
  <c r="C2470" i="12"/>
  <c r="B2605" i="12"/>
  <c r="B3143" i="12"/>
  <c r="C3008" i="12"/>
  <c r="B2776" i="12"/>
  <c r="C2641" i="12"/>
  <c r="C2637" i="12"/>
  <c r="B2772" i="12"/>
  <c r="B2900" i="12"/>
  <c r="C2765" i="12"/>
  <c r="B3382" i="12"/>
  <c r="C3247" i="12"/>
  <c r="B2979" i="12"/>
  <c r="C2844" i="12"/>
  <c r="C3069" i="12" l="1"/>
  <c r="A3204" i="12"/>
  <c r="C2832" i="12"/>
  <c r="B2967" i="12"/>
  <c r="B2969" i="12"/>
  <c r="C2834" i="12"/>
  <c r="B2872" i="12"/>
  <c r="C2737" i="12"/>
  <c r="B2803" i="12"/>
  <c r="C2668" i="12"/>
  <c r="B3340" i="12"/>
  <c r="C3205" i="12"/>
  <c r="A2940" i="12"/>
  <c r="C2805" i="12"/>
  <c r="C3274" i="12"/>
  <c r="B3409" i="12"/>
  <c r="A2948" i="12"/>
  <c r="C2813" i="12"/>
  <c r="B2801" i="12"/>
  <c r="C2666" i="12"/>
  <c r="B2976" i="12"/>
  <c r="C2841" i="12"/>
  <c r="B2736" i="12"/>
  <c r="C2601" i="12"/>
  <c r="B2945" i="12"/>
  <c r="C2810" i="12"/>
  <c r="A3086" i="12"/>
  <c r="C2951" i="12"/>
  <c r="C4023" i="12"/>
  <c r="B4158" i="12"/>
  <c r="B2780" i="12"/>
  <c r="C2645" i="12"/>
  <c r="B2730" i="12"/>
  <c r="C2595" i="12"/>
  <c r="A3650" i="12"/>
  <c r="C3515" i="12"/>
  <c r="A2931" i="12"/>
  <c r="C2796" i="12"/>
  <c r="C3054" i="12"/>
  <c r="B3189" i="12"/>
  <c r="C2837" i="12"/>
  <c r="B2972" i="12"/>
  <c r="A3349" i="12"/>
  <c r="C3214" i="12"/>
  <c r="C2569" i="12"/>
  <c r="B2704" i="12"/>
  <c r="C3096" i="12"/>
  <c r="B3231" i="12"/>
  <c r="C2739" i="12"/>
  <c r="B2874" i="12"/>
  <c r="C2814" i="12"/>
  <c r="B2949" i="12"/>
  <c r="A2850" i="12"/>
  <c r="C2715" i="12"/>
  <c r="B2917" i="12"/>
  <c r="C2782" i="12"/>
  <c r="C3031" i="12"/>
  <c r="B3166" i="12"/>
  <c r="B2806" i="12"/>
  <c r="C2671" i="12"/>
  <c r="C2651" i="12"/>
  <c r="B2786" i="12"/>
  <c r="C2901" i="12"/>
  <c r="B3036" i="12"/>
  <c r="B2876" i="12"/>
  <c r="C2741" i="12"/>
  <c r="B2928" i="12"/>
  <c r="C2793" i="12"/>
  <c r="B4180" i="12"/>
  <c r="C4045" i="12"/>
  <c r="B3597" i="12"/>
  <c r="C3462" i="12"/>
  <c r="C2755" i="12"/>
  <c r="B2890" i="12"/>
  <c r="B2835" i="12"/>
  <c r="C2700" i="12"/>
  <c r="C2768" i="12"/>
  <c r="B2903" i="12"/>
  <c r="B2745" i="12"/>
  <c r="C2610" i="12"/>
  <c r="C2998" i="12"/>
  <c r="B3133" i="12"/>
  <c r="C2859" i="12"/>
  <c r="B2994" i="12"/>
  <c r="A4454" i="12"/>
  <c r="B4321" i="12"/>
  <c r="C4186" i="12"/>
  <c r="A3085" i="12"/>
  <c r="C2950" i="12"/>
  <c r="A3675" i="12"/>
  <c r="B2868" i="12"/>
  <c r="C2733" i="12"/>
  <c r="B2893" i="12"/>
  <c r="C2758" i="12"/>
  <c r="B2843" i="12"/>
  <c r="C2708" i="12"/>
  <c r="B2829" i="12"/>
  <c r="C2694" i="12"/>
  <c r="C2687" i="12"/>
  <c r="B2822" i="12"/>
  <c r="B2723" i="12"/>
  <c r="C2588" i="12"/>
  <c r="B3027" i="12"/>
  <c r="C2892" i="12"/>
  <c r="A2981" i="12"/>
  <c r="C2846" i="12"/>
  <c r="A3246" i="12"/>
  <c r="A2990" i="12"/>
  <c r="C2855" i="12"/>
  <c r="B3371" i="12"/>
  <c r="C3236" i="12"/>
  <c r="B3608" i="12"/>
  <c r="C3473" i="12"/>
  <c r="B3606" i="12"/>
  <c r="B2797" i="12"/>
  <c r="C2662" i="12"/>
  <c r="C2760" i="12"/>
  <c r="B2895" i="12"/>
  <c r="B4017" i="12"/>
  <c r="C3882" i="12"/>
  <c r="C4139" i="12"/>
  <c r="B4274" i="12"/>
  <c r="B2716" i="12"/>
  <c r="C2581" i="12"/>
  <c r="C3262" i="12"/>
  <c r="B3397" i="12"/>
  <c r="B3517" i="12"/>
  <c r="C3382" i="12"/>
  <c r="B2732" i="12"/>
  <c r="C2597" i="12"/>
  <c r="B3456" i="12"/>
  <c r="C3321" i="12"/>
  <c r="B2748" i="12"/>
  <c r="C2613" i="12"/>
  <c r="B4583" i="12"/>
  <c r="C4448" i="12"/>
  <c r="B2881" i="12"/>
  <c r="C2746" i="12"/>
  <c r="B3520" i="12"/>
  <c r="C3385" i="12"/>
  <c r="C2596" i="12"/>
  <c r="B2731" i="12"/>
  <c r="B4009" i="12"/>
  <c r="C3874" i="12"/>
  <c r="C3331" i="12"/>
  <c r="B3466" i="12"/>
  <c r="B3193" i="12"/>
  <c r="C3058" i="12"/>
  <c r="B3562" i="12"/>
  <c r="C3427" i="12"/>
  <c r="C2609" i="12"/>
  <c r="B2744" i="12"/>
  <c r="C3097" i="12"/>
  <c r="B3232" i="12"/>
  <c r="C2771" i="12"/>
  <c r="B2906" i="12"/>
  <c r="B3029" i="12"/>
  <c r="C2894" i="12"/>
  <c r="B3395" i="12"/>
  <c r="B2795" i="12"/>
  <c r="C2660" i="12"/>
  <c r="B3289" i="12"/>
  <c r="C3154" i="12"/>
  <c r="C2726" i="12"/>
  <c r="B2861" i="12"/>
  <c r="B2904" i="12"/>
  <c r="C2769" i="12"/>
  <c r="B2719" i="12"/>
  <c r="C2584" i="12"/>
  <c r="B3508" i="12"/>
  <c r="C3373" i="12"/>
  <c r="B3035" i="12"/>
  <c r="C2900" i="12"/>
  <c r="C3143" i="12"/>
  <c r="B3278" i="12"/>
  <c r="B3184" i="12"/>
  <c r="C3049" i="12"/>
  <c r="B2942" i="12"/>
  <c r="C2807" i="12"/>
  <c r="B3442" i="12"/>
  <c r="C3307" i="12"/>
  <c r="B3032" i="12"/>
  <c r="C2897" i="12"/>
  <c r="A4455" i="12"/>
  <c r="B2952" i="12"/>
  <c r="C2817" i="12"/>
  <c r="B3580" i="12"/>
  <c r="C3445" i="12"/>
  <c r="A2853" i="12"/>
  <c r="C2718" i="12"/>
  <c r="B3698" i="12"/>
  <c r="C3563" i="12"/>
  <c r="B3179" i="12"/>
  <c r="C3044" i="12"/>
  <c r="B2818" i="12"/>
  <c r="C2683" i="12"/>
  <c r="B3251" i="12"/>
  <c r="B2882" i="12"/>
  <c r="C2747" i="12"/>
  <c r="C3439" i="12"/>
  <c r="B3574" i="12"/>
  <c r="C2820" i="12"/>
  <c r="B2955" i="12"/>
  <c r="B4300" i="12"/>
  <c r="B2778" i="12"/>
  <c r="C2643" i="12"/>
  <c r="B2947" i="12"/>
  <c r="C2812" i="12"/>
  <c r="B2907" i="12"/>
  <c r="C2772" i="12"/>
  <c r="B2740" i="12"/>
  <c r="C2605" i="12"/>
  <c r="B2849" i="12"/>
  <c r="C2714" i="12"/>
  <c r="B3267" i="12"/>
  <c r="C3132" i="12"/>
  <c r="B3294" i="12"/>
  <c r="C3159" i="12"/>
  <c r="B2750" i="12"/>
  <c r="C2615" i="12"/>
  <c r="B3091" i="12"/>
  <c r="C2956" i="12"/>
  <c r="B2995" i="12"/>
  <c r="C2860" i="12"/>
  <c r="A3113" i="12"/>
  <c r="B3730" i="12"/>
  <c r="C3595" i="12"/>
  <c r="B3210" i="12"/>
  <c r="C2891" i="12"/>
  <c r="B3026" i="12"/>
  <c r="B3657" i="12"/>
  <c r="C3522" i="12"/>
  <c r="B3147" i="12"/>
  <c r="C3012" i="12"/>
  <c r="B3230" i="12"/>
  <c r="C3095" i="12"/>
  <c r="B3663" i="12"/>
  <c r="B3448" i="12"/>
  <c r="C3313" i="12"/>
  <c r="B3896" i="12"/>
  <c r="C2582" i="12"/>
  <c r="B2717" i="12"/>
  <c r="B2777" i="12"/>
  <c r="C2642" i="12"/>
  <c r="B3884" i="12"/>
  <c r="C3749" i="12"/>
  <c r="C3118" i="12"/>
  <c r="B3253" i="12"/>
  <c r="B2910" i="12"/>
  <c r="C2775" i="12"/>
  <c r="C3108" i="12"/>
  <c r="B3243" i="12"/>
  <c r="B3275" i="12"/>
  <c r="C3140" i="12"/>
  <c r="B3426" i="12"/>
  <c r="C3291" i="12"/>
  <c r="C2878" i="12"/>
  <c r="B3013" i="12"/>
  <c r="B2918" i="12"/>
  <c r="C2783" i="12"/>
  <c r="B3920" i="12"/>
  <c r="C3197" i="12"/>
  <c r="B3332" i="12"/>
  <c r="B3660" i="12"/>
  <c r="B3623" i="12"/>
  <c r="B2954" i="12"/>
  <c r="C2819" i="12"/>
  <c r="B3114" i="12"/>
  <c r="C2979" i="12"/>
  <c r="B2911" i="12"/>
  <c r="C2776" i="12"/>
  <c r="B3619" i="12"/>
  <c r="C3756" i="12"/>
  <c r="B3891" i="12"/>
  <c r="B2721" i="12"/>
  <c r="C2586" i="12"/>
  <c r="B3229" i="12"/>
  <c r="C3094" i="12"/>
  <c r="B2999" i="12"/>
  <c r="C2864" i="12"/>
  <c r="C3330" i="12"/>
  <c r="B3465" i="12"/>
  <c r="B3033" i="12"/>
  <c r="C2898" i="12"/>
  <c r="B3104" i="12" l="1"/>
  <c r="C2969" i="12"/>
  <c r="B3102" i="12"/>
  <c r="C2967" i="12"/>
  <c r="C3204" i="12"/>
  <c r="A3339" i="12"/>
  <c r="C4158" i="12"/>
  <c r="B4293" i="12"/>
  <c r="A3075" i="12"/>
  <c r="C2940" i="12"/>
  <c r="A3484" i="12"/>
  <c r="C3349" i="12"/>
  <c r="A3785" i="12"/>
  <c r="C3650" i="12"/>
  <c r="A3221" i="12"/>
  <c r="C3086" i="12"/>
  <c r="C2801" i="12"/>
  <c r="B2936" i="12"/>
  <c r="C3340" i="12"/>
  <c r="B3475" i="12"/>
  <c r="B3107" i="12"/>
  <c r="C2972" i="12"/>
  <c r="A3066" i="12"/>
  <c r="C2931" i="12"/>
  <c r="B2865" i="12"/>
  <c r="C2730" i="12"/>
  <c r="B3080" i="12"/>
  <c r="C2945" i="12"/>
  <c r="A3083" i="12"/>
  <c r="C2948" i="12"/>
  <c r="B2938" i="12"/>
  <c r="C2803" i="12"/>
  <c r="C3189" i="12"/>
  <c r="B3324" i="12"/>
  <c r="C3409" i="12"/>
  <c r="B3544" i="12"/>
  <c r="B3111" i="12"/>
  <c r="C2976" i="12"/>
  <c r="C2780" i="12"/>
  <c r="B2915" i="12"/>
  <c r="B2871" i="12"/>
  <c r="C2736" i="12"/>
  <c r="B3007" i="12"/>
  <c r="C2872" i="12"/>
  <c r="B3268" i="12"/>
  <c r="C3133" i="12"/>
  <c r="C2949" i="12"/>
  <c r="B3084" i="12"/>
  <c r="A3125" i="12"/>
  <c r="C2990" i="12"/>
  <c r="B2858" i="12"/>
  <c r="C2723" i="12"/>
  <c r="C2893" i="12"/>
  <c r="B3028" i="12"/>
  <c r="B4456" i="12"/>
  <c r="C4321" i="12"/>
  <c r="B2970" i="12"/>
  <c r="C2835" i="12"/>
  <c r="C2928" i="12"/>
  <c r="B3063" i="12"/>
  <c r="C2806" i="12"/>
  <c r="B2941" i="12"/>
  <c r="B2957" i="12"/>
  <c r="C2822" i="12"/>
  <c r="C3166" i="12"/>
  <c r="B3301" i="12"/>
  <c r="A3381" i="12"/>
  <c r="A3810" i="12"/>
  <c r="B3171" i="12"/>
  <c r="C3036" i="12"/>
  <c r="C3231" i="12"/>
  <c r="B3366" i="12"/>
  <c r="A3116" i="12"/>
  <c r="C2981" i="12"/>
  <c r="B2964" i="12"/>
  <c r="C2829" i="12"/>
  <c r="B3732" i="12"/>
  <c r="C3597" i="12"/>
  <c r="B3052" i="12"/>
  <c r="C2917" i="12"/>
  <c r="B3025" i="12"/>
  <c r="C2890" i="12"/>
  <c r="B3009" i="12"/>
  <c r="C2874" i="12"/>
  <c r="C2868" i="12"/>
  <c r="B3003" i="12"/>
  <c r="A4589" i="12"/>
  <c r="C2745" i="12"/>
  <c r="B2880" i="12"/>
  <c r="C2903" i="12"/>
  <c r="B3038" i="12"/>
  <c r="B2921" i="12"/>
  <c r="C2786" i="12"/>
  <c r="B2839" i="12"/>
  <c r="C2704" i="12"/>
  <c r="C2876" i="12"/>
  <c r="B3011" i="12"/>
  <c r="C2994" i="12"/>
  <c r="B3129" i="12"/>
  <c r="B3506" i="12"/>
  <c r="C3371" i="12"/>
  <c r="B3162" i="12"/>
  <c r="C3027" i="12"/>
  <c r="B2978" i="12"/>
  <c r="C2843" i="12"/>
  <c r="A3220" i="12"/>
  <c r="C3085" i="12"/>
  <c r="C4180" i="12"/>
  <c r="B4315" i="12"/>
  <c r="A2985" i="12"/>
  <c r="C2850" i="12"/>
  <c r="B4055" i="12"/>
  <c r="B3378" i="12"/>
  <c r="C3243" i="12"/>
  <c r="C3253" i="12"/>
  <c r="B3388" i="12"/>
  <c r="A3248" i="12"/>
  <c r="B2885" i="12"/>
  <c r="C2750" i="12"/>
  <c r="B2875" i="12"/>
  <c r="C2740" i="12"/>
  <c r="B4435" i="12"/>
  <c r="B3386" i="12"/>
  <c r="C3508" i="12"/>
  <c r="B3643" i="12"/>
  <c r="B3367" i="12"/>
  <c r="C3232" i="12"/>
  <c r="B3532" i="12"/>
  <c r="C3397" i="12"/>
  <c r="C3033" i="12"/>
  <c r="B3168" i="12"/>
  <c r="B2856" i="12"/>
  <c r="C2721" i="12"/>
  <c r="C2911" i="12"/>
  <c r="B3046" i="12"/>
  <c r="B3758" i="12"/>
  <c r="B3583" i="12"/>
  <c r="C3448" i="12"/>
  <c r="B3792" i="12"/>
  <c r="C3657" i="12"/>
  <c r="A2988" i="12"/>
  <c r="C2853" i="12"/>
  <c r="C3032" i="12"/>
  <c r="B3167" i="12"/>
  <c r="B3530" i="12"/>
  <c r="C2732" i="12"/>
  <c r="B2867" i="12"/>
  <c r="B2932" i="12"/>
  <c r="C2797" i="12"/>
  <c r="B3134" i="12"/>
  <c r="C2999" i="12"/>
  <c r="B3249" i="12"/>
  <c r="C3114" i="12"/>
  <c r="B3053" i="12"/>
  <c r="C2918" i="12"/>
  <c r="B3561" i="12"/>
  <c r="C3426" i="12"/>
  <c r="C2910" i="12"/>
  <c r="B3045" i="12"/>
  <c r="B3798" i="12"/>
  <c r="B2953" i="12"/>
  <c r="C2818" i="12"/>
  <c r="B3715" i="12"/>
  <c r="C3580" i="12"/>
  <c r="B3577" i="12"/>
  <c r="C3442" i="12"/>
  <c r="C4583" i="12"/>
  <c r="B4718" i="12"/>
  <c r="B2852" i="12"/>
  <c r="C2717" i="12"/>
  <c r="B3429" i="12"/>
  <c r="C3294" i="12"/>
  <c r="B3042" i="12"/>
  <c r="C2907" i="12"/>
  <c r="C2955" i="12"/>
  <c r="B3090" i="12"/>
  <c r="B3413" i="12"/>
  <c r="C3278" i="12"/>
  <c r="B2854" i="12"/>
  <c r="C2719" i="12"/>
  <c r="B2879" i="12"/>
  <c r="C2744" i="12"/>
  <c r="C3466" i="12"/>
  <c r="B3601" i="12"/>
  <c r="C2731" i="12"/>
  <c r="B2866" i="12"/>
  <c r="C3891" i="12"/>
  <c r="B4026" i="12"/>
  <c r="B3148" i="12"/>
  <c r="C3013" i="12"/>
  <c r="B3161" i="12"/>
  <c r="C3026" i="12"/>
  <c r="B3130" i="12"/>
  <c r="C2995" i="12"/>
  <c r="B3402" i="12"/>
  <c r="C3267" i="12"/>
  <c r="B3709" i="12"/>
  <c r="C3574" i="12"/>
  <c r="B3039" i="12"/>
  <c r="C2904" i="12"/>
  <c r="C3289" i="12"/>
  <c r="B3424" i="12"/>
  <c r="C3275" i="12"/>
  <c r="B3410" i="12"/>
  <c r="B4019" i="12"/>
  <c r="C3884" i="12"/>
  <c r="B3365" i="12"/>
  <c r="C3230" i="12"/>
  <c r="B3314" i="12"/>
  <c r="C3179" i="12"/>
  <c r="B3087" i="12"/>
  <c r="C2952" i="12"/>
  <c r="B3077" i="12"/>
  <c r="C2942" i="12"/>
  <c r="C3035" i="12"/>
  <c r="B3170" i="12"/>
  <c r="B3164" i="12"/>
  <c r="C3029" i="12"/>
  <c r="C3562" i="12"/>
  <c r="B3697" i="12"/>
  <c r="B3655" i="12"/>
  <c r="C3520" i="12"/>
  <c r="B2883" i="12"/>
  <c r="C2748" i="12"/>
  <c r="B3652" i="12"/>
  <c r="C3517" i="12"/>
  <c r="B2851" i="12"/>
  <c r="C2716" i="12"/>
  <c r="B3741" i="12"/>
  <c r="B3600" i="12"/>
  <c r="C3465" i="12"/>
  <c r="B3467" i="12"/>
  <c r="C3332" i="12"/>
  <c r="B4031" i="12"/>
  <c r="C3730" i="12"/>
  <c r="B3865" i="12"/>
  <c r="C3091" i="12"/>
  <c r="B3226" i="12"/>
  <c r="B2984" i="12"/>
  <c r="C2849" i="12"/>
  <c r="B2930" i="12"/>
  <c r="C2795" i="12"/>
  <c r="C2906" i="12"/>
  <c r="B3041" i="12"/>
  <c r="C4274" i="12"/>
  <c r="B4409" i="12"/>
  <c r="C2895" i="12"/>
  <c r="B3030" i="12"/>
  <c r="B3795" i="12"/>
  <c r="C2947" i="12"/>
  <c r="B3082" i="12"/>
  <c r="B4152" i="12"/>
  <c r="C4017" i="12"/>
  <c r="B3364" i="12"/>
  <c r="C3229" i="12"/>
  <c r="B3754" i="12"/>
  <c r="B3089" i="12"/>
  <c r="C2954" i="12"/>
  <c r="C2777" i="12"/>
  <c r="B2912" i="12"/>
  <c r="C3147" i="12"/>
  <c r="B3282" i="12"/>
  <c r="B3345" i="12"/>
  <c r="C2778" i="12"/>
  <c r="B2913" i="12"/>
  <c r="B3017" i="12"/>
  <c r="C2882" i="12"/>
  <c r="C3698" i="12"/>
  <c r="B3833" i="12"/>
  <c r="A4590" i="12"/>
  <c r="B3319" i="12"/>
  <c r="C3184" i="12"/>
  <c r="C2861" i="12"/>
  <c r="B2996" i="12"/>
  <c r="C3193" i="12"/>
  <c r="B3328" i="12"/>
  <c r="B4144" i="12"/>
  <c r="C4009" i="12"/>
  <c r="B3016" i="12"/>
  <c r="C2881" i="12"/>
  <c r="B3591" i="12"/>
  <c r="C3456" i="12"/>
  <c r="B3743" i="12"/>
  <c r="C3608" i="12"/>
  <c r="C3339" i="12" l="1"/>
  <c r="A3474" i="12"/>
  <c r="C3102" i="12"/>
  <c r="B3237" i="12"/>
  <c r="B3239" i="12"/>
  <c r="C3104" i="12"/>
  <c r="B3679" i="12"/>
  <c r="C3544" i="12"/>
  <c r="C3475" i="12"/>
  <c r="B3610" i="12"/>
  <c r="B3142" i="12"/>
  <c r="C3007" i="12"/>
  <c r="B3215" i="12"/>
  <c r="C3080" i="12"/>
  <c r="A3619" i="12"/>
  <c r="C3484" i="12"/>
  <c r="C3107" i="12"/>
  <c r="B3242" i="12"/>
  <c r="B3459" i="12"/>
  <c r="C3324" i="12"/>
  <c r="C2936" i="12"/>
  <c r="B3071" i="12"/>
  <c r="A3218" i="12"/>
  <c r="C3083" i="12"/>
  <c r="A3920" i="12"/>
  <c r="C3785" i="12"/>
  <c r="B3006" i="12"/>
  <c r="C2871" i="12"/>
  <c r="B3000" i="12"/>
  <c r="C2865" i="12"/>
  <c r="A3210" i="12"/>
  <c r="C3075" i="12"/>
  <c r="B3050" i="12"/>
  <c r="C2915" i="12"/>
  <c r="B4428" i="12"/>
  <c r="C4293" i="12"/>
  <c r="B3246" i="12"/>
  <c r="C3111" i="12"/>
  <c r="B3073" i="12"/>
  <c r="C2938" i="12"/>
  <c r="A3201" i="12"/>
  <c r="C3066" i="12"/>
  <c r="A3356" i="12"/>
  <c r="C3221" i="12"/>
  <c r="C4315" i="12"/>
  <c r="B4450" i="12"/>
  <c r="C3366" i="12"/>
  <c r="B3501" i="12"/>
  <c r="B3198" i="12"/>
  <c r="C3063" i="12"/>
  <c r="B3641" i="12"/>
  <c r="C3506" i="12"/>
  <c r="B3056" i="12"/>
  <c r="C2921" i="12"/>
  <c r="A4724" i="12"/>
  <c r="C3052" i="12"/>
  <c r="B3187" i="12"/>
  <c r="A3516" i="12"/>
  <c r="C2858" i="12"/>
  <c r="B2993" i="12"/>
  <c r="A3355" i="12"/>
  <c r="C3220" i="12"/>
  <c r="B3219" i="12"/>
  <c r="C3084" i="12"/>
  <c r="B3113" i="12"/>
  <c r="C2978" i="12"/>
  <c r="B3144" i="12"/>
  <c r="C3009" i="12"/>
  <c r="B3099" i="12"/>
  <c r="C2964" i="12"/>
  <c r="C2957" i="12"/>
  <c r="B3092" i="12"/>
  <c r="B4591" i="12"/>
  <c r="C4456" i="12"/>
  <c r="B3264" i="12"/>
  <c r="C3129" i="12"/>
  <c r="B3436" i="12"/>
  <c r="C3301" i="12"/>
  <c r="C3732" i="12"/>
  <c r="B3867" i="12"/>
  <c r="C3171" i="12"/>
  <c r="B3306" i="12"/>
  <c r="A3260" i="12"/>
  <c r="C3125" i="12"/>
  <c r="B3146" i="12"/>
  <c r="C3011" i="12"/>
  <c r="B3015" i="12"/>
  <c r="C2880" i="12"/>
  <c r="C2941" i="12"/>
  <c r="B3076" i="12"/>
  <c r="B3163" i="12"/>
  <c r="C3028" i="12"/>
  <c r="B3173" i="12"/>
  <c r="C3038" i="12"/>
  <c r="C3003" i="12"/>
  <c r="B3138" i="12"/>
  <c r="B3105" i="12"/>
  <c r="C2970" i="12"/>
  <c r="A3120" i="12"/>
  <c r="C2985" i="12"/>
  <c r="B3297" i="12"/>
  <c r="C3162" i="12"/>
  <c r="B2974" i="12"/>
  <c r="C2839" i="12"/>
  <c r="B3160" i="12"/>
  <c r="C3025" i="12"/>
  <c r="A3251" i="12"/>
  <c r="C3116" i="12"/>
  <c r="A3945" i="12"/>
  <c r="C3268" i="12"/>
  <c r="B3403" i="12"/>
  <c r="B3559" i="12"/>
  <c r="C3424" i="12"/>
  <c r="C2866" i="12"/>
  <c r="B3001" i="12"/>
  <c r="B4570" i="12"/>
  <c r="B3878" i="12"/>
  <c r="C3743" i="12"/>
  <c r="A4725" i="12"/>
  <c r="B3499" i="12"/>
  <c r="C3364" i="12"/>
  <c r="B3119" i="12"/>
  <c r="C2984" i="12"/>
  <c r="B2986" i="12"/>
  <c r="C2851" i="12"/>
  <c r="B3222" i="12"/>
  <c r="C3087" i="12"/>
  <c r="B4154" i="12"/>
  <c r="C4019" i="12"/>
  <c r="C3130" i="12"/>
  <c r="B3265" i="12"/>
  <c r="B3283" i="12"/>
  <c r="C3148" i="12"/>
  <c r="C2854" i="12"/>
  <c r="B2989" i="12"/>
  <c r="B3564" i="12"/>
  <c r="C3429" i="12"/>
  <c r="B2987" i="12"/>
  <c r="C2852" i="12"/>
  <c r="C2953" i="12"/>
  <c r="B3088" i="12"/>
  <c r="B3696" i="12"/>
  <c r="C3561" i="12"/>
  <c r="C2932" i="12"/>
  <c r="B3067" i="12"/>
  <c r="A3123" i="12"/>
  <c r="C2988" i="12"/>
  <c r="C2856" i="12"/>
  <c r="B2991" i="12"/>
  <c r="A3383" i="12"/>
  <c r="B3832" i="12"/>
  <c r="C3697" i="12"/>
  <c r="C4718" i="12"/>
  <c r="B4853" i="12"/>
  <c r="B3893" i="12"/>
  <c r="B3523" i="12"/>
  <c r="C3388" i="12"/>
  <c r="B3726" i="12"/>
  <c r="C3591" i="12"/>
  <c r="C3089" i="12"/>
  <c r="B3224" i="12"/>
  <c r="B4287" i="12"/>
  <c r="C4152" i="12"/>
  <c r="B3602" i="12"/>
  <c r="C3467" i="12"/>
  <c r="B3787" i="12"/>
  <c r="C3652" i="12"/>
  <c r="B3299" i="12"/>
  <c r="C3164" i="12"/>
  <c r="C3314" i="12"/>
  <c r="B3449" i="12"/>
  <c r="B3174" i="12"/>
  <c r="C3039" i="12"/>
  <c r="C3413" i="12"/>
  <c r="B3548" i="12"/>
  <c r="B3188" i="12"/>
  <c r="C3053" i="12"/>
  <c r="B3665" i="12"/>
  <c r="C3792" i="12"/>
  <c r="B3927" i="12"/>
  <c r="B3502" i="12"/>
  <c r="C3367" i="12"/>
  <c r="B3010" i="12"/>
  <c r="C2875" i="12"/>
  <c r="B3480" i="12"/>
  <c r="B4544" i="12"/>
  <c r="C4409" i="12"/>
  <c r="B3968" i="12"/>
  <c r="C3833" i="12"/>
  <c r="B3417" i="12"/>
  <c r="C3282" i="12"/>
  <c r="B4161" i="12"/>
  <c r="C4026" i="12"/>
  <c r="C3601" i="12"/>
  <c r="B3736" i="12"/>
  <c r="B3131" i="12"/>
  <c r="C2996" i="12"/>
  <c r="B3047" i="12"/>
  <c r="C2912" i="12"/>
  <c r="C3865" i="12"/>
  <c r="B4000" i="12"/>
  <c r="C3170" i="12"/>
  <c r="B3305" i="12"/>
  <c r="C3090" i="12"/>
  <c r="B3225" i="12"/>
  <c r="B3933" i="12"/>
  <c r="B3002" i="12"/>
  <c r="C2867" i="12"/>
  <c r="C3046" i="12"/>
  <c r="B3181" i="12"/>
  <c r="B3303" i="12"/>
  <c r="C3168" i="12"/>
  <c r="B3778" i="12"/>
  <c r="C3643" i="12"/>
  <c r="B3463" i="12"/>
  <c r="C3328" i="12"/>
  <c r="B3176" i="12"/>
  <c r="C3041" i="12"/>
  <c r="C3226" i="12"/>
  <c r="B3361" i="12"/>
  <c r="B3545" i="12"/>
  <c r="C3410" i="12"/>
  <c r="B3151" i="12"/>
  <c r="C3016" i="12"/>
  <c r="B3152" i="12"/>
  <c r="C3017" i="12"/>
  <c r="B3930" i="12"/>
  <c r="B3065" i="12"/>
  <c r="C2930" i="12"/>
  <c r="C3600" i="12"/>
  <c r="B3735" i="12"/>
  <c r="B3018" i="12"/>
  <c r="C2883" i="12"/>
  <c r="C3365" i="12"/>
  <c r="B3500" i="12"/>
  <c r="C3709" i="12"/>
  <c r="B3844" i="12"/>
  <c r="B3014" i="12"/>
  <c r="C2879" i="12"/>
  <c r="B3712" i="12"/>
  <c r="C3577" i="12"/>
  <c r="B3269" i="12"/>
  <c r="C3134" i="12"/>
  <c r="B3718" i="12"/>
  <c r="C3583" i="12"/>
  <c r="B3020" i="12"/>
  <c r="C2885" i="12"/>
  <c r="B3513" i="12"/>
  <c r="C3378" i="12"/>
  <c r="B3048" i="12"/>
  <c r="C2913" i="12"/>
  <c r="B3217" i="12"/>
  <c r="C3082" i="12"/>
  <c r="B3165" i="12"/>
  <c r="C3030" i="12"/>
  <c r="B4166" i="12"/>
  <c r="C3045" i="12"/>
  <c r="B3180" i="12"/>
  <c r="C3167" i="12"/>
  <c r="B3302" i="12"/>
  <c r="B3521" i="12"/>
  <c r="B4190" i="12"/>
  <c r="B4279" i="12"/>
  <c r="C4144" i="12"/>
  <c r="B3454" i="12"/>
  <c r="C3319" i="12"/>
  <c r="B3889" i="12"/>
  <c r="B3876" i="12"/>
  <c r="C3655" i="12"/>
  <c r="B3790" i="12"/>
  <c r="B3212" i="12"/>
  <c r="C3077" i="12"/>
  <c r="C3402" i="12"/>
  <c r="B3537" i="12"/>
  <c r="B3296" i="12"/>
  <c r="C3161" i="12"/>
  <c r="B3177" i="12"/>
  <c r="C3042" i="12"/>
  <c r="C3715" i="12"/>
  <c r="B3850" i="12"/>
  <c r="B3384" i="12"/>
  <c r="C3249" i="12"/>
  <c r="B3667" i="12"/>
  <c r="C3532" i="12"/>
  <c r="B3374" i="12" l="1"/>
  <c r="C3239" i="12"/>
  <c r="C3237" i="12"/>
  <c r="B3372" i="12"/>
  <c r="A3609" i="12"/>
  <c r="C3474" i="12"/>
  <c r="B3381" i="12"/>
  <c r="C3246" i="12"/>
  <c r="B3206" i="12"/>
  <c r="C3071" i="12"/>
  <c r="A3491" i="12"/>
  <c r="C3356" i="12"/>
  <c r="B4563" i="12"/>
  <c r="C4428" i="12"/>
  <c r="B3141" i="12"/>
  <c r="C3006" i="12"/>
  <c r="B3594" i="12"/>
  <c r="C3459" i="12"/>
  <c r="C3142" i="12"/>
  <c r="B3277" i="12"/>
  <c r="C3242" i="12"/>
  <c r="B3377" i="12"/>
  <c r="B3745" i="12"/>
  <c r="C3610" i="12"/>
  <c r="B3350" i="12"/>
  <c r="C3215" i="12"/>
  <c r="A3336" i="12"/>
  <c r="C3201" i="12"/>
  <c r="C3050" i="12"/>
  <c r="B3185" i="12"/>
  <c r="A4055" i="12"/>
  <c r="C3920" i="12"/>
  <c r="B3135" i="12"/>
  <c r="C3000" i="12"/>
  <c r="B3208" i="12"/>
  <c r="C3073" i="12"/>
  <c r="A3345" i="12"/>
  <c r="C3210" i="12"/>
  <c r="A3353" i="12"/>
  <c r="C3218" i="12"/>
  <c r="A3754" i="12"/>
  <c r="C3619" i="12"/>
  <c r="B3814" i="12"/>
  <c r="C3679" i="12"/>
  <c r="A4080" i="12"/>
  <c r="B3432" i="12"/>
  <c r="C3297" i="12"/>
  <c r="C3173" i="12"/>
  <c r="B3308" i="12"/>
  <c r="C3146" i="12"/>
  <c r="B3281" i="12"/>
  <c r="B3571" i="12"/>
  <c r="C3436" i="12"/>
  <c r="B3248" i="12"/>
  <c r="C3113" i="12"/>
  <c r="A3651" i="12"/>
  <c r="B3776" i="12"/>
  <c r="C3641" i="12"/>
  <c r="A3386" i="12"/>
  <c r="C3251" i="12"/>
  <c r="C3163" i="12"/>
  <c r="B3298" i="12"/>
  <c r="C3264" i="12"/>
  <c r="B3399" i="12"/>
  <c r="C3219" i="12"/>
  <c r="B3354" i="12"/>
  <c r="B3211" i="12"/>
  <c r="C3076" i="12"/>
  <c r="C3306" i="12"/>
  <c r="B3441" i="12"/>
  <c r="B3636" i="12"/>
  <c r="C3501" i="12"/>
  <c r="C3160" i="12"/>
  <c r="B3295" i="12"/>
  <c r="B3240" i="12"/>
  <c r="C3105" i="12"/>
  <c r="B4726" i="12"/>
  <c r="C4591" i="12"/>
  <c r="B3279" i="12"/>
  <c r="C3144" i="12"/>
  <c r="A3490" i="12"/>
  <c r="C3355" i="12"/>
  <c r="B3538" i="12"/>
  <c r="C3403" i="12"/>
  <c r="C3138" i="12"/>
  <c r="B3273" i="12"/>
  <c r="B4002" i="12"/>
  <c r="C3867" i="12"/>
  <c r="B3227" i="12"/>
  <c r="C3092" i="12"/>
  <c r="C2993" i="12"/>
  <c r="B3128" i="12"/>
  <c r="B4585" i="12"/>
  <c r="C4450" i="12"/>
  <c r="B3322" i="12"/>
  <c r="C3187" i="12"/>
  <c r="A3255" i="12"/>
  <c r="C3120" i="12"/>
  <c r="A3395" i="12"/>
  <c r="C3260" i="12"/>
  <c r="B3234" i="12"/>
  <c r="C3099" i="12"/>
  <c r="B3333" i="12"/>
  <c r="C3198" i="12"/>
  <c r="A4859" i="12"/>
  <c r="C2974" i="12"/>
  <c r="B3109" i="12"/>
  <c r="C3015" i="12"/>
  <c r="B3150" i="12"/>
  <c r="B3191" i="12"/>
  <c r="C3056" i="12"/>
  <c r="B3672" i="12"/>
  <c r="C3537" i="12"/>
  <c r="C3302" i="12"/>
  <c r="B3437" i="12"/>
  <c r="B3800" i="12"/>
  <c r="C4853" i="12"/>
  <c r="B4988" i="12"/>
  <c r="C2991" i="12"/>
  <c r="B3126" i="12"/>
  <c r="B3312" i="12"/>
  <c r="C3177" i="12"/>
  <c r="C4279" i="12"/>
  <c r="B4414" i="12"/>
  <c r="B3183" i="12"/>
  <c r="C3048" i="12"/>
  <c r="C3018" i="12"/>
  <c r="B3153" i="12"/>
  <c r="B3680" i="12"/>
  <c r="C3545" i="12"/>
  <c r="B3913" i="12"/>
  <c r="C3778" i="12"/>
  <c r="B4068" i="12"/>
  <c r="B3182" i="12"/>
  <c r="C3047" i="12"/>
  <c r="B3552" i="12"/>
  <c r="C3417" i="12"/>
  <c r="C3010" i="12"/>
  <c r="B3145" i="12"/>
  <c r="B3922" i="12"/>
  <c r="C3787" i="12"/>
  <c r="B3831" i="12"/>
  <c r="C3696" i="12"/>
  <c r="B3699" i="12"/>
  <c r="C3564" i="12"/>
  <c r="B4289" i="12"/>
  <c r="C4154" i="12"/>
  <c r="B3254" i="12"/>
  <c r="C3119" i="12"/>
  <c r="A4860" i="12"/>
  <c r="B4301" i="12"/>
  <c r="B3979" i="12"/>
  <c r="C3844" i="12"/>
  <c r="B3360" i="12"/>
  <c r="C3225" i="12"/>
  <c r="B3223" i="12"/>
  <c r="C3088" i="12"/>
  <c r="B3124" i="12"/>
  <c r="C2989" i="12"/>
  <c r="B3802" i="12"/>
  <c r="C3667" i="12"/>
  <c r="B3519" i="12"/>
  <c r="C3384" i="12"/>
  <c r="B4325" i="12"/>
  <c r="C3165" i="12"/>
  <c r="B3300" i="12"/>
  <c r="B3648" i="12"/>
  <c r="C3513" i="12"/>
  <c r="B3404" i="12"/>
  <c r="C3269" i="12"/>
  <c r="B3438" i="12"/>
  <c r="C3303" i="12"/>
  <c r="B3266" i="12"/>
  <c r="C3131" i="12"/>
  <c r="B4103" i="12"/>
  <c r="C3968" i="12"/>
  <c r="B3637" i="12"/>
  <c r="C3502" i="12"/>
  <c r="B3309" i="12"/>
  <c r="C3174" i="12"/>
  <c r="C3602" i="12"/>
  <c r="B3737" i="12"/>
  <c r="B3861" i="12"/>
  <c r="C3726" i="12"/>
  <c r="A3258" i="12"/>
  <c r="C3123" i="12"/>
  <c r="B3357" i="12"/>
  <c r="C3222" i="12"/>
  <c r="B4013" i="12"/>
  <c r="C3878" i="12"/>
  <c r="B4011" i="12"/>
  <c r="B3315" i="12"/>
  <c r="C3180" i="12"/>
  <c r="B3870" i="12"/>
  <c r="C3735" i="12"/>
  <c r="B3496" i="12"/>
  <c r="C3361" i="12"/>
  <c r="B3985" i="12"/>
  <c r="C3850" i="12"/>
  <c r="B3316" i="12"/>
  <c r="C3181" i="12"/>
  <c r="C3305" i="12"/>
  <c r="B3440" i="12"/>
  <c r="B3871" i="12"/>
  <c r="C3736" i="12"/>
  <c r="B3584" i="12"/>
  <c r="C3449" i="12"/>
  <c r="B3136" i="12"/>
  <c r="C3001" i="12"/>
  <c r="B3347" i="12"/>
  <c r="C3212" i="12"/>
  <c r="B4024" i="12"/>
  <c r="B3656" i="12"/>
  <c r="B3352" i="12"/>
  <c r="C3217" i="12"/>
  <c r="B3155" i="12"/>
  <c r="C3020" i="12"/>
  <c r="B3149" i="12"/>
  <c r="C3014" i="12"/>
  <c r="B3200" i="12"/>
  <c r="C3065" i="12"/>
  <c r="B3287" i="12"/>
  <c r="C3152" i="12"/>
  <c r="B3311" i="12"/>
  <c r="C3176" i="12"/>
  <c r="B4679" i="12"/>
  <c r="C4544" i="12"/>
  <c r="B4422" i="12"/>
  <c r="C4287" i="12"/>
  <c r="B3658" i="12"/>
  <c r="C3523" i="12"/>
  <c r="B3967" i="12"/>
  <c r="C3832" i="12"/>
  <c r="C3283" i="12"/>
  <c r="B3418" i="12"/>
  <c r="B3121" i="12"/>
  <c r="C2986" i="12"/>
  <c r="C3499" i="12"/>
  <c r="B3634" i="12"/>
  <c r="B4705" i="12"/>
  <c r="B3925" i="12"/>
  <c r="C3790" i="12"/>
  <c r="C3500" i="12"/>
  <c r="B3635" i="12"/>
  <c r="B4065" i="12"/>
  <c r="C4000" i="12"/>
  <c r="B4135" i="12"/>
  <c r="B4062" i="12"/>
  <c r="C3927" i="12"/>
  <c r="B3683" i="12"/>
  <c r="C3548" i="12"/>
  <c r="C3224" i="12"/>
  <c r="B3359" i="12"/>
  <c r="C3067" i="12"/>
  <c r="B3202" i="12"/>
  <c r="B3400" i="12"/>
  <c r="C3265" i="12"/>
  <c r="B3431" i="12"/>
  <c r="C3296" i="12"/>
  <c r="C3454" i="12"/>
  <c r="B3589" i="12"/>
  <c r="C3718" i="12"/>
  <c r="B3853" i="12"/>
  <c r="B3847" i="12"/>
  <c r="C3712" i="12"/>
  <c r="B3286" i="12"/>
  <c r="C3151" i="12"/>
  <c r="C3463" i="12"/>
  <c r="B3598" i="12"/>
  <c r="C3002" i="12"/>
  <c r="B3137" i="12"/>
  <c r="C4161" i="12"/>
  <c r="B4296" i="12"/>
  <c r="B3615" i="12"/>
  <c r="B3323" i="12"/>
  <c r="C3188" i="12"/>
  <c r="B3434" i="12"/>
  <c r="C3299" i="12"/>
  <c r="B4028" i="12"/>
  <c r="A3518" i="12"/>
  <c r="B3122" i="12"/>
  <c r="C2987" i="12"/>
  <c r="B3694" i="12"/>
  <c r="C3559" i="12"/>
  <c r="A3744" i="12" l="1"/>
  <c r="C3609" i="12"/>
  <c r="B3507" i="12"/>
  <c r="C3372" i="12"/>
  <c r="B3509" i="12"/>
  <c r="C3374" i="12"/>
  <c r="B3320" i="12"/>
  <c r="C3185" i="12"/>
  <c r="C3377" i="12"/>
  <c r="B3512" i="12"/>
  <c r="C3277" i="12"/>
  <c r="B3412" i="12"/>
  <c r="C3814" i="12"/>
  <c r="B3949" i="12"/>
  <c r="B3343" i="12"/>
  <c r="C3208" i="12"/>
  <c r="A3471" i="12"/>
  <c r="C3336" i="12"/>
  <c r="A3626" i="12"/>
  <c r="C3491" i="12"/>
  <c r="A3480" i="12"/>
  <c r="C3345" i="12"/>
  <c r="C4563" i="12"/>
  <c r="B4698" i="12"/>
  <c r="A3889" i="12"/>
  <c r="C3754" i="12"/>
  <c r="B3270" i="12"/>
  <c r="C3135" i="12"/>
  <c r="C3350" i="12"/>
  <c r="B3485" i="12"/>
  <c r="C3594" i="12"/>
  <c r="B3729" i="12"/>
  <c r="B3341" i="12"/>
  <c r="C3206" i="12"/>
  <c r="A3488" i="12"/>
  <c r="C3353" i="12"/>
  <c r="A4190" i="12"/>
  <c r="C4055" i="12"/>
  <c r="B3880" i="12"/>
  <c r="C3745" i="12"/>
  <c r="B3276" i="12"/>
  <c r="C3141" i="12"/>
  <c r="B3516" i="12"/>
  <c r="C3381" i="12"/>
  <c r="B3534" i="12"/>
  <c r="C3399" i="12"/>
  <c r="C3281" i="12"/>
  <c r="B3416" i="12"/>
  <c r="C3333" i="12"/>
  <c r="B3468" i="12"/>
  <c r="B3457" i="12"/>
  <c r="C3322" i="12"/>
  <c r="B4137" i="12"/>
  <c r="C4002" i="12"/>
  <c r="B3414" i="12"/>
  <c r="C3279" i="12"/>
  <c r="B3771" i="12"/>
  <c r="C3636" i="12"/>
  <c r="A3786" i="12"/>
  <c r="B3408" i="12"/>
  <c r="C3273" i="12"/>
  <c r="B3433" i="12"/>
  <c r="C3298" i="12"/>
  <c r="B3383" i="12"/>
  <c r="C3248" i="12"/>
  <c r="B3263" i="12"/>
  <c r="C3128" i="12"/>
  <c r="A3530" i="12"/>
  <c r="C3395" i="12"/>
  <c r="B3673" i="12"/>
  <c r="C3538" i="12"/>
  <c r="B3375" i="12"/>
  <c r="C3240" i="12"/>
  <c r="C3211" i="12"/>
  <c r="B3346" i="12"/>
  <c r="A3521" i="12"/>
  <c r="C3386" i="12"/>
  <c r="B3567" i="12"/>
  <c r="C3432" i="12"/>
  <c r="B3244" i="12"/>
  <c r="C3109" i="12"/>
  <c r="B3430" i="12"/>
  <c r="C3295" i="12"/>
  <c r="C3354" i="12"/>
  <c r="B3489" i="12"/>
  <c r="C3150" i="12"/>
  <c r="B3285" i="12"/>
  <c r="B3576" i="12"/>
  <c r="C3441" i="12"/>
  <c r="B3443" i="12"/>
  <c r="C3308" i="12"/>
  <c r="B3369" i="12"/>
  <c r="C3234" i="12"/>
  <c r="B4720" i="12"/>
  <c r="C4585" i="12"/>
  <c r="B4861" i="12"/>
  <c r="C4726" i="12"/>
  <c r="C3191" i="12"/>
  <c r="B3326" i="12"/>
  <c r="A4994" i="12"/>
  <c r="A3390" i="12"/>
  <c r="C3255" i="12"/>
  <c r="B3362" i="12"/>
  <c r="C3227" i="12"/>
  <c r="A3625" i="12"/>
  <c r="C3490" i="12"/>
  <c r="C3776" i="12"/>
  <c r="B3911" i="12"/>
  <c r="B3706" i="12"/>
  <c r="C3571" i="12"/>
  <c r="A4215" i="12"/>
  <c r="B3724" i="12"/>
  <c r="C3589" i="12"/>
  <c r="B3553" i="12"/>
  <c r="C3418" i="12"/>
  <c r="B4436" i="12"/>
  <c r="B3829" i="12"/>
  <c r="C3694" i="12"/>
  <c r="A3653" i="12"/>
  <c r="B3750" i="12"/>
  <c r="B3421" i="12"/>
  <c r="C3286" i="12"/>
  <c r="B3535" i="12"/>
  <c r="C3400" i="12"/>
  <c r="B4197" i="12"/>
  <c r="C4062" i="12"/>
  <c r="C3658" i="12"/>
  <c r="B3793" i="12"/>
  <c r="B4814" i="12"/>
  <c r="C4679" i="12"/>
  <c r="B3487" i="12"/>
  <c r="C3352" i="12"/>
  <c r="B4006" i="12"/>
  <c r="C3871" i="12"/>
  <c r="C3315" i="12"/>
  <c r="B3450" i="12"/>
  <c r="C3861" i="12"/>
  <c r="B3996" i="12"/>
  <c r="B3573" i="12"/>
  <c r="C3438" i="12"/>
  <c r="B3783" i="12"/>
  <c r="C3648" i="12"/>
  <c r="C3124" i="12"/>
  <c r="B3259" i="12"/>
  <c r="B4424" i="12"/>
  <c r="C4289" i="12"/>
  <c r="B4057" i="12"/>
  <c r="C3922" i="12"/>
  <c r="C3182" i="12"/>
  <c r="B3317" i="12"/>
  <c r="C4296" i="12"/>
  <c r="B4431" i="12"/>
  <c r="B3337" i="12"/>
  <c r="C3202" i="12"/>
  <c r="B4270" i="12"/>
  <c r="C4135" i="12"/>
  <c r="C3440" i="12"/>
  <c r="B3575" i="12"/>
  <c r="B3872" i="12"/>
  <c r="C3737" i="12"/>
  <c r="B3435" i="12"/>
  <c r="C3300" i="12"/>
  <c r="B4203" i="12"/>
  <c r="C3153" i="12"/>
  <c r="B3288" i="12"/>
  <c r="B3935" i="12"/>
  <c r="B4163" i="12"/>
  <c r="C3847" i="12"/>
  <c r="B3982" i="12"/>
  <c r="C3431" i="12"/>
  <c r="B3566" i="12"/>
  <c r="B4840" i="12"/>
  <c r="C4422" i="12"/>
  <c r="B4557" i="12"/>
  <c r="B3446" i="12"/>
  <c r="C3311" i="12"/>
  <c r="B3284" i="12"/>
  <c r="C3149" i="12"/>
  <c r="B3791" i="12"/>
  <c r="B3271" i="12"/>
  <c r="C3136" i="12"/>
  <c r="B4120" i="12"/>
  <c r="C3985" i="12"/>
  <c r="B4146" i="12"/>
  <c r="C3357" i="12"/>
  <c r="B3492" i="12"/>
  <c r="C3637" i="12"/>
  <c r="B3772" i="12"/>
  <c r="B3358" i="12"/>
  <c r="C3223" i="12"/>
  <c r="B3834" i="12"/>
  <c r="C3699" i="12"/>
  <c r="B3318" i="12"/>
  <c r="C3183" i="12"/>
  <c r="B4549" i="12"/>
  <c r="C4414" i="12"/>
  <c r="B3261" i="12"/>
  <c r="C3126" i="12"/>
  <c r="B3572" i="12"/>
  <c r="C3437" i="12"/>
  <c r="B3569" i="12"/>
  <c r="C3434" i="12"/>
  <c r="B3422" i="12"/>
  <c r="C3287" i="12"/>
  <c r="B4159" i="12"/>
  <c r="B3719" i="12"/>
  <c r="C3584" i="12"/>
  <c r="B3451" i="12"/>
  <c r="C3316" i="12"/>
  <c r="C3496" i="12"/>
  <c r="B3631" i="12"/>
  <c r="A3393" i="12"/>
  <c r="C3258" i="12"/>
  <c r="B3444" i="12"/>
  <c r="C3309" i="12"/>
  <c r="C4103" i="12"/>
  <c r="B4238" i="12"/>
  <c r="B4460" i="12"/>
  <c r="C3519" i="12"/>
  <c r="B3654" i="12"/>
  <c r="B3495" i="12"/>
  <c r="C3360" i="12"/>
  <c r="A4995" i="12"/>
  <c r="B3966" i="12"/>
  <c r="C3831" i="12"/>
  <c r="B4048" i="12"/>
  <c r="C3913" i="12"/>
  <c r="C3598" i="12"/>
  <c r="B3733" i="12"/>
  <c r="B3770" i="12"/>
  <c r="C3635" i="12"/>
  <c r="C4988" i="12"/>
  <c r="B5123" i="12"/>
  <c r="B3272" i="12"/>
  <c r="C3137" i="12"/>
  <c r="B3988" i="12"/>
  <c r="C3853" i="12"/>
  <c r="C3359" i="12"/>
  <c r="B3494" i="12"/>
  <c r="B4200" i="12"/>
  <c r="C3634" i="12"/>
  <c r="B3769" i="12"/>
  <c r="C3145" i="12"/>
  <c r="B3280" i="12"/>
  <c r="B3257" i="12"/>
  <c r="C3122" i="12"/>
  <c r="B3458" i="12"/>
  <c r="C3323" i="12"/>
  <c r="B3818" i="12"/>
  <c r="C3683" i="12"/>
  <c r="B4060" i="12"/>
  <c r="C3925" i="12"/>
  <c r="B3256" i="12"/>
  <c r="C3121" i="12"/>
  <c r="B4102" i="12"/>
  <c r="C3967" i="12"/>
  <c r="B3335" i="12"/>
  <c r="C3200" i="12"/>
  <c r="C3155" i="12"/>
  <c r="B3290" i="12"/>
  <c r="C3347" i="12"/>
  <c r="B3482" i="12"/>
  <c r="C3870" i="12"/>
  <c r="B4005" i="12"/>
  <c r="B4148" i="12"/>
  <c r="C4013" i="12"/>
  <c r="B3401" i="12"/>
  <c r="C3266" i="12"/>
  <c r="B3539" i="12"/>
  <c r="C3404" i="12"/>
  <c r="B3937" i="12"/>
  <c r="C3802" i="12"/>
  <c r="B4114" i="12"/>
  <c r="C3979" i="12"/>
  <c r="C3254" i="12"/>
  <c r="B3389" i="12"/>
  <c r="B3687" i="12"/>
  <c r="C3552" i="12"/>
  <c r="B3815" i="12"/>
  <c r="C3680" i="12"/>
  <c r="C3312" i="12"/>
  <c r="B3447" i="12"/>
  <c r="B3807" i="12"/>
  <c r="C3672" i="12"/>
  <c r="B3644" i="12" l="1"/>
  <c r="C3509" i="12"/>
  <c r="C3507" i="12"/>
  <c r="B3642" i="12"/>
  <c r="A3879" i="12"/>
  <c r="C3744" i="12"/>
  <c r="B3620" i="12"/>
  <c r="C3485" i="12"/>
  <c r="B4084" i="12"/>
  <c r="C3949" i="12"/>
  <c r="A3615" i="12"/>
  <c r="C3480" i="12"/>
  <c r="B3547" i="12"/>
  <c r="C3412" i="12"/>
  <c r="B3651" i="12"/>
  <c r="C3516" i="12"/>
  <c r="A3623" i="12"/>
  <c r="C3488" i="12"/>
  <c r="B3405" i="12"/>
  <c r="C3270" i="12"/>
  <c r="A3761" i="12"/>
  <c r="C3626" i="12"/>
  <c r="B3647" i="12"/>
  <c r="C3512" i="12"/>
  <c r="C3276" i="12"/>
  <c r="B3411" i="12"/>
  <c r="B3476" i="12"/>
  <c r="C3341" i="12"/>
  <c r="A4024" i="12"/>
  <c r="C3889" i="12"/>
  <c r="A3606" i="12"/>
  <c r="C3471" i="12"/>
  <c r="A4325" i="12"/>
  <c r="C4190" i="12"/>
  <c r="B3864" i="12"/>
  <c r="C3729" i="12"/>
  <c r="B4833" i="12"/>
  <c r="C4698" i="12"/>
  <c r="C3880" i="12"/>
  <c r="B4015" i="12"/>
  <c r="C3343" i="12"/>
  <c r="B3478" i="12"/>
  <c r="B3455" i="12"/>
  <c r="C3320" i="12"/>
  <c r="C3285" i="12"/>
  <c r="B3420" i="12"/>
  <c r="B3603" i="12"/>
  <c r="C3468" i="12"/>
  <c r="C3706" i="12"/>
  <c r="B3841" i="12"/>
  <c r="A3525" i="12"/>
  <c r="C3390" i="12"/>
  <c r="C4720" i="12"/>
  <c r="B4855" i="12"/>
  <c r="C3567" i="12"/>
  <c r="B3702" i="12"/>
  <c r="C3673" i="12"/>
  <c r="B3808" i="12"/>
  <c r="B3518" i="12"/>
  <c r="C3383" i="12"/>
  <c r="C3771" i="12"/>
  <c r="B3906" i="12"/>
  <c r="C3489" i="12"/>
  <c r="B3624" i="12"/>
  <c r="A3656" i="12"/>
  <c r="C3521" i="12"/>
  <c r="A3665" i="12"/>
  <c r="C3530" i="12"/>
  <c r="B3549" i="12"/>
  <c r="C3414" i="12"/>
  <c r="B3481" i="12"/>
  <c r="C3346" i="12"/>
  <c r="B3551" i="12"/>
  <c r="C3416" i="12"/>
  <c r="A3760" i="12"/>
  <c r="C3625" i="12"/>
  <c r="C3443" i="12"/>
  <c r="B3578" i="12"/>
  <c r="B3565" i="12"/>
  <c r="C3430" i="12"/>
  <c r="B3543" i="12"/>
  <c r="C3408" i="12"/>
  <c r="B4272" i="12"/>
  <c r="C4137" i="12"/>
  <c r="A5129" i="12"/>
  <c r="B3504" i="12"/>
  <c r="C3369" i="12"/>
  <c r="B3568" i="12"/>
  <c r="C3433" i="12"/>
  <c r="C3911" i="12"/>
  <c r="B4046" i="12"/>
  <c r="C3326" i="12"/>
  <c r="B3461" i="12"/>
  <c r="A4350" i="12"/>
  <c r="B3497" i="12"/>
  <c r="C3362" i="12"/>
  <c r="B4996" i="12"/>
  <c r="C4861" i="12"/>
  <c r="B3711" i="12"/>
  <c r="C3576" i="12"/>
  <c r="C3244" i="12"/>
  <c r="B3379" i="12"/>
  <c r="B3510" i="12"/>
  <c r="C3375" i="12"/>
  <c r="B3398" i="12"/>
  <c r="C3263" i="12"/>
  <c r="A3921" i="12"/>
  <c r="C3457" i="12"/>
  <c r="B3592" i="12"/>
  <c r="B3669" i="12"/>
  <c r="C3534" i="12"/>
  <c r="B3524" i="12"/>
  <c r="C3389" i="12"/>
  <c r="C5123" i="12"/>
  <c r="B5258" i="12"/>
  <c r="C5258" i="12" s="1"/>
  <c r="B3536" i="12"/>
  <c r="C3401" i="12"/>
  <c r="B3470" i="12"/>
  <c r="C3335" i="12"/>
  <c r="B4195" i="12"/>
  <c r="C4060" i="12"/>
  <c r="B3593" i="12"/>
  <c r="C3458" i="12"/>
  <c r="B4335" i="12"/>
  <c r="B3905" i="12"/>
  <c r="C3770" i="12"/>
  <c r="B4183" i="12"/>
  <c r="C4048" i="12"/>
  <c r="C3444" i="12"/>
  <c r="B3579" i="12"/>
  <c r="B3586" i="12"/>
  <c r="C3451" i="12"/>
  <c r="C3422" i="12"/>
  <c r="B3557" i="12"/>
  <c r="C3572" i="12"/>
  <c r="B3707" i="12"/>
  <c r="C3318" i="12"/>
  <c r="B3453" i="12"/>
  <c r="C3271" i="12"/>
  <c r="B3406" i="12"/>
  <c r="B4405" i="12"/>
  <c r="C4270" i="12"/>
  <c r="B4192" i="12"/>
  <c r="C4057" i="12"/>
  <c r="B3918" i="12"/>
  <c r="C3783" i="12"/>
  <c r="B4332" i="12"/>
  <c r="C4197" i="12"/>
  <c r="A3788" i="12"/>
  <c r="B3789" i="12"/>
  <c r="C3654" i="12"/>
  <c r="B4692" i="12"/>
  <c r="C4557" i="12"/>
  <c r="C3982" i="12"/>
  <c r="B4117" i="12"/>
  <c r="C3733" i="12"/>
  <c r="B3868" i="12"/>
  <c r="B4249" i="12"/>
  <c r="C4114" i="12"/>
  <c r="B3953" i="12"/>
  <c r="C3818" i="12"/>
  <c r="B3392" i="12"/>
  <c r="C3257" i="12"/>
  <c r="B4101" i="12"/>
  <c r="C3966" i="12"/>
  <c r="B4595" i="12"/>
  <c r="A3528" i="12"/>
  <c r="C3393" i="12"/>
  <c r="B3854" i="12"/>
  <c r="C3719" i="12"/>
  <c r="C3261" i="12"/>
  <c r="B3396" i="12"/>
  <c r="B3969" i="12"/>
  <c r="C3834" i="12"/>
  <c r="B3926" i="12"/>
  <c r="B4298" i="12"/>
  <c r="B4007" i="12"/>
  <c r="C3872" i="12"/>
  <c r="B3472" i="12"/>
  <c r="C3337" i="12"/>
  <c r="B4559" i="12"/>
  <c r="C4424" i="12"/>
  <c r="B3708" i="12"/>
  <c r="C3573" i="12"/>
  <c r="B4141" i="12"/>
  <c r="C4006" i="12"/>
  <c r="C4814" i="12"/>
  <c r="B4949" i="12"/>
  <c r="B3670" i="12"/>
  <c r="C3535" i="12"/>
  <c r="B3964" i="12"/>
  <c r="C3829" i="12"/>
  <c r="B3688" i="12"/>
  <c r="C3553" i="12"/>
  <c r="C3772" i="12"/>
  <c r="B3907" i="12"/>
  <c r="C3450" i="12"/>
  <c r="B3585" i="12"/>
  <c r="B3629" i="12"/>
  <c r="C3494" i="12"/>
  <c r="B3627" i="12"/>
  <c r="C3492" i="12"/>
  <c r="B3617" i="12"/>
  <c r="C3482" i="12"/>
  <c r="B3415" i="12"/>
  <c r="C3280" i="12"/>
  <c r="B3710" i="12"/>
  <c r="C3575" i="12"/>
  <c r="B4566" i="12"/>
  <c r="C4431" i="12"/>
  <c r="C3259" i="12"/>
  <c r="B3394" i="12"/>
  <c r="B3928" i="12"/>
  <c r="C3793" i="12"/>
  <c r="C3447" i="12"/>
  <c r="B3582" i="12"/>
  <c r="B4338" i="12"/>
  <c r="B3950" i="12"/>
  <c r="C3815" i="12"/>
  <c r="C3937" i="12"/>
  <c r="B4072" i="12"/>
  <c r="B4283" i="12"/>
  <c r="C4148" i="12"/>
  <c r="B4237" i="12"/>
  <c r="C4102" i="12"/>
  <c r="B4123" i="12"/>
  <c r="C3988" i="12"/>
  <c r="A5130" i="12"/>
  <c r="B4294" i="12"/>
  <c r="B4684" i="12"/>
  <c r="C4549" i="12"/>
  <c r="B4281" i="12"/>
  <c r="B3419" i="12"/>
  <c r="C3284" i="12"/>
  <c r="B4975" i="12"/>
  <c r="B4070" i="12"/>
  <c r="B3556" i="12"/>
  <c r="C3421" i="12"/>
  <c r="C4005" i="12"/>
  <c r="B4140" i="12"/>
  <c r="B3425" i="12"/>
  <c r="C3290" i="12"/>
  <c r="C3769" i="12"/>
  <c r="B3904" i="12"/>
  <c r="B4373" i="12"/>
  <c r="C4238" i="12"/>
  <c r="B3766" i="12"/>
  <c r="C3631" i="12"/>
  <c r="C3566" i="12"/>
  <c r="B3701" i="12"/>
  <c r="C3288" i="12"/>
  <c r="B3423" i="12"/>
  <c r="B3452" i="12"/>
  <c r="C3317" i="12"/>
  <c r="C3996" i="12"/>
  <c r="B4131" i="12"/>
  <c r="C3807" i="12"/>
  <c r="B3942" i="12"/>
  <c r="B3822" i="12"/>
  <c r="C3687" i="12"/>
  <c r="B3674" i="12"/>
  <c r="C3539" i="12"/>
  <c r="C3256" i="12"/>
  <c r="B3391" i="12"/>
  <c r="B3407" i="12"/>
  <c r="C3272" i="12"/>
  <c r="B3630" i="12"/>
  <c r="C3495" i="12"/>
  <c r="B3704" i="12"/>
  <c r="C3569" i="12"/>
  <c r="C3358" i="12"/>
  <c r="B3493" i="12"/>
  <c r="B4255" i="12"/>
  <c r="C4120" i="12"/>
  <c r="C3446" i="12"/>
  <c r="B3581" i="12"/>
  <c r="C3435" i="12"/>
  <c r="B3570" i="12"/>
  <c r="B3622" i="12"/>
  <c r="C3487" i="12"/>
  <c r="B3885" i="12"/>
  <c r="B4571" i="12"/>
  <c r="C3724" i="12"/>
  <c r="B3859" i="12"/>
  <c r="A4014" i="12" l="1"/>
  <c r="C3879" i="12"/>
  <c r="B3777" i="12"/>
  <c r="C3642" i="12"/>
  <c r="B3779" i="12"/>
  <c r="C3644" i="12"/>
  <c r="A4159" i="12"/>
  <c r="C4024" i="12"/>
  <c r="B3590" i="12"/>
  <c r="C3455" i="12"/>
  <c r="B3999" i="12"/>
  <c r="C3864" i="12"/>
  <c r="C3476" i="12"/>
  <c r="B3611" i="12"/>
  <c r="B3540" i="12"/>
  <c r="C3405" i="12"/>
  <c r="A3750" i="12"/>
  <c r="C3615" i="12"/>
  <c r="C3478" i="12"/>
  <c r="B3613" i="12"/>
  <c r="C3411" i="12"/>
  <c r="B3546" i="12"/>
  <c r="B3682" i="12"/>
  <c r="C3547" i="12"/>
  <c r="A4460" i="12"/>
  <c r="C4325" i="12"/>
  <c r="A3758" i="12"/>
  <c r="C3623" i="12"/>
  <c r="B4219" i="12"/>
  <c r="C4084" i="12"/>
  <c r="B4968" i="12"/>
  <c r="C4833" i="12"/>
  <c r="C4015" i="12"/>
  <c r="B4150" i="12"/>
  <c r="A3896" i="12"/>
  <c r="C3761" i="12"/>
  <c r="A3741" i="12"/>
  <c r="C3606" i="12"/>
  <c r="B3782" i="12"/>
  <c r="C3647" i="12"/>
  <c r="B3786" i="12"/>
  <c r="C3651" i="12"/>
  <c r="C3620" i="12"/>
  <c r="B3755" i="12"/>
  <c r="C3592" i="12"/>
  <c r="B3727" i="12"/>
  <c r="C3379" i="12"/>
  <c r="B3514" i="12"/>
  <c r="A4485" i="12"/>
  <c r="B3639" i="12"/>
  <c r="C3504" i="12"/>
  <c r="C3551" i="12"/>
  <c r="B3686" i="12"/>
  <c r="A3791" i="12"/>
  <c r="C3656" i="12"/>
  <c r="B3653" i="12"/>
  <c r="C3518" i="12"/>
  <c r="A3660" i="12"/>
  <c r="C3525" i="12"/>
  <c r="A4056" i="12"/>
  <c r="C3711" i="12"/>
  <c r="B3846" i="12"/>
  <c r="B3700" i="12"/>
  <c r="C3565" i="12"/>
  <c r="C3578" i="12"/>
  <c r="B3713" i="12"/>
  <c r="B3837" i="12"/>
  <c r="C3702" i="12"/>
  <c r="B3533" i="12"/>
  <c r="C3398" i="12"/>
  <c r="B5131" i="12"/>
  <c r="C4996" i="12"/>
  <c r="B4407" i="12"/>
  <c r="C4272" i="12"/>
  <c r="B3684" i="12"/>
  <c r="C3549" i="12"/>
  <c r="B3738" i="12"/>
  <c r="C3603" i="12"/>
  <c r="C3461" i="12"/>
  <c r="B3596" i="12"/>
  <c r="A5264" i="12"/>
  <c r="B3976" i="12"/>
  <c r="C3841" i="12"/>
  <c r="B4181" i="12"/>
  <c r="C4046" i="12"/>
  <c r="C3906" i="12"/>
  <c r="B4041" i="12"/>
  <c r="B4990" i="12"/>
  <c r="C4855" i="12"/>
  <c r="B3555" i="12"/>
  <c r="C3420" i="12"/>
  <c r="B3943" i="12"/>
  <c r="C3808" i="12"/>
  <c r="B3616" i="12"/>
  <c r="C3481" i="12"/>
  <c r="B3759" i="12"/>
  <c r="C3624" i="12"/>
  <c r="B3804" i="12"/>
  <c r="C3669" i="12"/>
  <c r="B3645" i="12"/>
  <c r="C3510" i="12"/>
  <c r="B3632" i="12"/>
  <c r="C3497" i="12"/>
  <c r="C3568" i="12"/>
  <c r="B3703" i="12"/>
  <c r="B3678" i="12"/>
  <c r="C3543" i="12"/>
  <c r="A3895" i="12"/>
  <c r="C3760" i="12"/>
  <c r="A3800" i="12"/>
  <c r="C3665" i="12"/>
  <c r="C3394" i="12"/>
  <c r="B3529" i="12"/>
  <c r="B5084" i="12"/>
  <c r="C4949" i="12"/>
  <c r="C3396" i="12"/>
  <c r="B3531" i="12"/>
  <c r="B4730" i="12"/>
  <c r="C3557" i="12"/>
  <c r="B3692" i="12"/>
  <c r="C3622" i="12"/>
  <c r="B3757" i="12"/>
  <c r="C3674" i="12"/>
  <c r="B3809" i="12"/>
  <c r="C3452" i="12"/>
  <c r="B3587" i="12"/>
  <c r="B4508" i="12"/>
  <c r="C4373" i="12"/>
  <c r="B3554" i="12"/>
  <c r="C3419" i="12"/>
  <c r="B4429" i="12"/>
  <c r="B4418" i="12"/>
  <c r="C4283" i="12"/>
  <c r="C3629" i="12"/>
  <c r="B3764" i="12"/>
  <c r="B4433" i="12"/>
  <c r="B3924" i="12"/>
  <c r="C3789" i="12"/>
  <c r="B4053" i="12"/>
  <c r="C3918" i="12"/>
  <c r="B4040" i="12"/>
  <c r="C3905" i="12"/>
  <c r="B3605" i="12"/>
  <c r="C3470" i="12"/>
  <c r="B3705" i="12"/>
  <c r="C3570" i="12"/>
  <c r="B3716" i="12"/>
  <c r="C3581" i="12"/>
  <c r="B4207" i="12"/>
  <c r="C4072" i="12"/>
  <c r="B4003" i="12"/>
  <c r="C3868" i="12"/>
  <c r="B4470" i="12"/>
  <c r="C3704" i="12"/>
  <c r="B3839" i="12"/>
  <c r="C3822" i="12"/>
  <c r="B3957" i="12"/>
  <c r="B4416" i="12"/>
  <c r="C4123" i="12"/>
  <c r="B4258" i="12"/>
  <c r="B4701" i="12"/>
  <c r="C4566" i="12"/>
  <c r="B3550" i="12"/>
  <c r="C3415" i="12"/>
  <c r="B3823" i="12"/>
  <c r="C3688" i="12"/>
  <c r="C4141" i="12"/>
  <c r="B4276" i="12"/>
  <c r="B3607" i="12"/>
  <c r="C3472" i="12"/>
  <c r="B4236" i="12"/>
  <c r="C4101" i="12"/>
  <c r="A3923" i="12"/>
  <c r="B4327" i="12"/>
  <c r="C4192" i="12"/>
  <c r="B3721" i="12"/>
  <c r="C3586" i="12"/>
  <c r="C3536" i="12"/>
  <c r="B3671" i="12"/>
  <c r="B3994" i="12"/>
  <c r="C3859" i="12"/>
  <c r="B4275" i="12"/>
  <c r="C4140" i="12"/>
  <c r="B3717" i="12"/>
  <c r="C3582" i="12"/>
  <c r="B4706" i="12"/>
  <c r="B3558" i="12"/>
  <c r="C3423" i="12"/>
  <c r="C3904" i="12"/>
  <c r="B4039" i="12"/>
  <c r="B3541" i="12"/>
  <c r="C3406" i="12"/>
  <c r="B4020" i="12"/>
  <c r="C3942" i="12"/>
  <c r="B4077" i="12"/>
  <c r="B3836" i="12"/>
  <c r="C3701" i="12"/>
  <c r="B3720" i="12"/>
  <c r="C3585" i="12"/>
  <c r="B4061" i="12"/>
  <c r="C4117" i="12"/>
  <c r="B4252" i="12"/>
  <c r="C3453" i="12"/>
  <c r="B3588" i="12"/>
  <c r="B3714" i="12"/>
  <c r="C3579" i="12"/>
  <c r="B4390" i="12"/>
  <c r="C4255" i="12"/>
  <c r="C3407" i="12"/>
  <c r="B3542" i="12"/>
  <c r="C3556" i="12"/>
  <c r="B3691" i="12"/>
  <c r="B4205" i="12"/>
  <c r="C3950" i="12"/>
  <c r="B4085" i="12"/>
  <c r="B4063" i="12"/>
  <c r="C3928" i="12"/>
  <c r="B3845" i="12"/>
  <c r="C3710" i="12"/>
  <c r="B3752" i="12"/>
  <c r="C3617" i="12"/>
  <c r="C3964" i="12"/>
  <c r="B4099" i="12"/>
  <c r="C3708" i="12"/>
  <c r="B3843" i="12"/>
  <c r="B4142" i="12"/>
  <c r="C4007" i="12"/>
  <c r="B3989" i="12"/>
  <c r="C3854" i="12"/>
  <c r="B3527" i="12"/>
  <c r="C3392" i="12"/>
  <c r="B4467" i="12"/>
  <c r="C4332" i="12"/>
  <c r="B3728" i="12"/>
  <c r="C3593" i="12"/>
  <c r="C3493" i="12"/>
  <c r="B3628" i="12"/>
  <c r="B3526" i="12"/>
  <c r="C3391" i="12"/>
  <c r="B4266" i="12"/>
  <c r="C4131" i="12"/>
  <c r="B4473" i="12"/>
  <c r="C3907" i="12"/>
  <c r="B4042" i="12"/>
  <c r="C3707" i="12"/>
  <c r="B3842" i="12"/>
  <c r="B3765" i="12"/>
  <c r="C3630" i="12"/>
  <c r="B3901" i="12"/>
  <c r="C3766" i="12"/>
  <c r="C3425" i="12"/>
  <c r="B3560" i="12"/>
  <c r="B5110" i="12"/>
  <c r="B4819" i="12"/>
  <c r="C4684" i="12"/>
  <c r="A5265" i="12"/>
  <c r="C4237" i="12"/>
  <c r="B4372" i="12"/>
  <c r="B3762" i="12"/>
  <c r="C3627" i="12"/>
  <c r="C3670" i="12"/>
  <c r="B3805" i="12"/>
  <c r="B4694" i="12"/>
  <c r="C4559" i="12"/>
  <c r="C3969" i="12"/>
  <c r="B4104" i="12"/>
  <c r="A3663" i="12"/>
  <c r="C3528" i="12"/>
  <c r="C3953" i="12"/>
  <c r="B4088" i="12"/>
  <c r="B4384" i="12"/>
  <c r="C4249" i="12"/>
  <c r="C4692" i="12"/>
  <c r="B4827" i="12"/>
  <c r="B4540" i="12"/>
  <c r="C4405" i="12"/>
  <c r="C4183" i="12"/>
  <c r="B4318" i="12"/>
  <c r="C4195" i="12"/>
  <c r="B4330" i="12"/>
  <c r="B3659" i="12"/>
  <c r="C3524" i="12"/>
  <c r="B3914" i="12" l="1"/>
  <c r="C3779" i="12"/>
  <c r="B3912" i="12"/>
  <c r="C3777" i="12"/>
  <c r="C4014" i="12"/>
  <c r="A4149" i="12"/>
  <c r="C3546" i="12"/>
  <c r="B3681" i="12"/>
  <c r="B3746" i="12"/>
  <c r="C3611" i="12"/>
  <c r="A4031" i="12"/>
  <c r="C3896" i="12"/>
  <c r="A3893" i="12"/>
  <c r="C3758" i="12"/>
  <c r="B4134" i="12"/>
  <c r="C3999" i="12"/>
  <c r="C3755" i="12"/>
  <c r="B3890" i="12"/>
  <c r="C4150" i="12"/>
  <c r="B4285" i="12"/>
  <c r="C4219" i="12"/>
  <c r="B4354" i="12"/>
  <c r="C3613" i="12"/>
  <c r="B3748" i="12"/>
  <c r="B3921" i="12"/>
  <c r="C3786" i="12"/>
  <c r="A4595" i="12"/>
  <c r="C4460" i="12"/>
  <c r="A3885" i="12"/>
  <c r="C3750" i="12"/>
  <c r="B3725" i="12"/>
  <c r="C3590" i="12"/>
  <c r="A3876" i="12"/>
  <c r="C3741" i="12"/>
  <c r="B3917" i="12"/>
  <c r="C3782" i="12"/>
  <c r="C4968" i="12"/>
  <c r="B5103" i="12"/>
  <c r="B3817" i="12"/>
  <c r="C3682" i="12"/>
  <c r="B3675" i="12"/>
  <c r="C3540" i="12"/>
  <c r="A4294" i="12"/>
  <c r="C4159" i="12"/>
  <c r="B4176" i="12"/>
  <c r="C4041" i="12"/>
  <c r="C3596" i="12"/>
  <c r="B3731" i="12"/>
  <c r="A4030" i="12"/>
  <c r="C3895" i="12"/>
  <c r="B3780" i="12"/>
  <c r="C3645" i="12"/>
  <c r="C3616" i="12"/>
  <c r="B3751" i="12"/>
  <c r="B5266" i="12"/>
  <c r="C5266" i="12" s="1"/>
  <c r="C5131" i="12"/>
  <c r="C3700" i="12"/>
  <c r="B3835" i="12"/>
  <c r="B3788" i="12"/>
  <c r="C3653" i="12"/>
  <c r="B3774" i="12"/>
  <c r="C3639" i="12"/>
  <c r="B4078" i="12"/>
  <c r="C3943" i="12"/>
  <c r="A3926" i="12"/>
  <c r="C3791" i="12"/>
  <c r="C3759" i="12"/>
  <c r="B3894" i="12"/>
  <c r="C3555" i="12"/>
  <c r="B3690" i="12"/>
  <c r="B4111" i="12"/>
  <c r="C3976" i="12"/>
  <c r="B3819" i="12"/>
  <c r="C3684" i="12"/>
  <c r="B3972" i="12"/>
  <c r="C3837" i="12"/>
  <c r="A4191" i="12"/>
  <c r="B3838" i="12"/>
  <c r="C3703" i="12"/>
  <c r="B3649" i="12"/>
  <c r="C3514" i="12"/>
  <c r="B3848" i="12"/>
  <c r="C3713" i="12"/>
  <c r="C3727" i="12"/>
  <c r="B3862" i="12"/>
  <c r="B3981" i="12"/>
  <c r="C3846" i="12"/>
  <c r="B3813" i="12"/>
  <c r="C3678" i="12"/>
  <c r="C3804" i="12"/>
  <c r="B3939" i="12"/>
  <c r="C4181" i="12"/>
  <c r="B4316" i="12"/>
  <c r="C3738" i="12"/>
  <c r="B3873" i="12"/>
  <c r="C3533" i="12"/>
  <c r="B3668" i="12"/>
  <c r="A4620" i="12"/>
  <c r="C3686" i="12"/>
  <c r="B3821" i="12"/>
  <c r="A3935" i="12"/>
  <c r="C3800" i="12"/>
  <c r="C3632" i="12"/>
  <c r="B3767" i="12"/>
  <c r="C4990" i="12"/>
  <c r="B5125" i="12"/>
  <c r="C4407" i="12"/>
  <c r="B4542" i="12"/>
  <c r="A3795" i="12"/>
  <c r="C3660" i="12"/>
  <c r="B4174" i="12"/>
  <c r="C4039" i="12"/>
  <c r="B3806" i="12"/>
  <c r="C3671" i="12"/>
  <c r="B3899" i="12"/>
  <c r="C3764" i="12"/>
  <c r="C3809" i="12"/>
  <c r="B3944" i="12"/>
  <c r="B4519" i="12"/>
  <c r="C4384" i="12"/>
  <c r="C4063" i="12"/>
  <c r="B4198" i="12"/>
  <c r="B4340" i="12"/>
  <c r="B4525" i="12"/>
  <c r="C4390" i="12"/>
  <c r="B4155" i="12"/>
  <c r="B3742" i="12"/>
  <c r="C3607" i="12"/>
  <c r="B3685" i="12"/>
  <c r="C3550" i="12"/>
  <c r="B4551" i="12"/>
  <c r="B4605" i="12"/>
  <c r="C3716" i="12"/>
  <c r="B3851" i="12"/>
  <c r="B4175" i="12"/>
  <c r="C4040" i="12"/>
  <c r="B3689" i="12"/>
  <c r="C3554" i="12"/>
  <c r="B4865" i="12"/>
  <c r="B4234" i="12"/>
  <c r="C4099" i="12"/>
  <c r="B3826" i="12"/>
  <c r="C3691" i="12"/>
  <c r="B4387" i="12"/>
  <c r="C4252" i="12"/>
  <c r="C3957" i="12"/>
  <c r="B4092" i="12"/>
  <c r="B3666" i="12"/>
  <c r="C3531" i="12"/>
  <c r="C4540" i="12"/>
  <c r="B4675" i="12"/>
  <c r="B4829" i="12"/>
  <c r="C4694" i="12"/>
  <c r="B3662" i="12"/>
  <c r="C3527" i="12"/>
  <c r="C3541" i="12"/>
  <c r="B3676" i="12"/>
  <c r="C3558" i="12"/>
  <c r="B3693" i="12"/>
  <c r="B4410" i="12"/>
  <c r="C4275" i="12"/>
  <c r="C3721" i="12"/>
  <c r="B3856" i="12"/>
  <c r="B4371" i="12"/>
  <c r="C4236" i="12"/>
  <c r="C4701" i="12"/>
  <c r="B4836" i="12"/>
  <c r="B4138" i="12"/>
  <c r="C4003" i="12"/>
  <c r="B3763" i="12"/>
  <c r="C3628" i="12"/>
  <c r="B3978" i="12"/>
  <c r="C3843" i="12"/>
  <c r="B4223" i="12"/>
  <c r="C4088" i="12"/>
  <c r="B3695" i="12"/>
  <c r="C3560" i="12"/>
  <c r="B3977" i="12"/>
  <c r="C3842" i="12"/>
  <c r="B4608" i="12"/>
  <c r="B4220" i="12"/>
  <c r="C4085" i="12"/>
  <c r="C4276" i="12"/>
  <c r="B4411" i="12"/>
  <c r="C3805" i="12"/>
  <c r="B3940" i="12"/>
  <c r="B4177" i="12"/>
  <c r="C4042" i="12"/>
  <c r="C3542" i="12"/>
  <c r="B3677" i="12"/>
  <c r="B4841" i="12"/>
  <c r="B4393" i="12"/>
  <c r="C4258" i="12"/>
  <c r="B4568" i="12"/>
  <c r="B3892" i="12"/>
  <c r="C3757" i="12"/>
  <c r="B4453" i="12"/>
  <c r="C4318" i="12"/>
  <c r="C4372" i="12"/>
  <c r="B4507" i="12"/>
  <c r="B3794" i="12"/>
  <c r="C3659" i="12"/>
  <c r="A3798" i="12"/>
  <c r="C3663" i="12"/>
  <c r="C4819" i="12"/>
  <c r="B4954" i="12"/>
  <c r="C3901" i="12"/>
  <c r="B4036" i="12"/>
  <c r="B4401" i="12"/>
  <c r="C4266" i="12"/>
  <c r="B3863" i="12"/>
  <c r="C3728" i="12"/>
  <c r="C3989" i="12"/>
  <c r="B4124" i="12"/>
  <c r="C3752" i="12"/>
  <c r="B3887" i="12"/>
  <c r="C3714" i="12"/>
  <c r="B3849" i="12"/>
  <c r="B4196" i="12"/>
  <c r="B3971" i="12"/>
  <c r="C3836" i="12"/>
  <c r="C4327" i="12"/>
  <c r="B4462" i="12"/>
  <c r="B3958" i="12"/>
  <c r="C3823" i="12"/>
  <c r="B3840" i="12"/>
  <c r="C3705" i="12"/>
  <c r="B4188" i="12"/>
  <c r="C4053" i="12"/>
  <c r="B4553" i="12"/>
  <c r="C4418" i="12"/>
  <c r="B4643" i="12"/>
  <c r="C4508" i="12"/>
  <c r="B5219" i="12"/>
  <c r="C5219" i="12" s="1"/>
  <c r="C5084" i="12"/>
  <c r="B4465" i="12"/>
  <c r="C4330" i="12"/>
  <c r="B4962" i="12"/>
  <c r="C4827" i="12"/>
  <c r="C4104" i="12"/>
  <c r="B4239" i="12"/>
  <c r="C3588" i="12"/>
  <c r="B3723" i="12"/>
  <c r="C4077" i="12"/>
  <c r="B4212" i="12"/>
  <c r="C3839" i="12"/>
  <c r="B3974" i="12"/>
  <c r="B3722" i="12"/>
  <c r="C3587" i="12"/>
  <c r="B3827" i="12"/>
  <c r="C3692" i="12"/>
  <c r="B3664" i="12"/>
  <c r="C3529" i="12"/>
  <c r="B3897" i="12"/>
  <c r="C3762" i="12"/>
  <c r="B5245" i="12"/>
  <c r="B3900" i="12"/>
  <c r="C3765" i="12"/>
  <c r="C3526" i="12"/>
  <c r="B3661" i="12"/>
  <c r="B4602" i="12"/>
  <c r="C4467" i="12"/>
  <c r="B4277" i="12"/>
  <c r="C4142" i="12"/>
  <c r="B3980" i="12"/>
  <c r="C3845" i="12"/>
  <c r="C3720" i="12"/>
  <c r="B3855" i="12"/>
  <c r="B3852" i="12"/>
  <c r="C3717" i="12"/>
  <c r="C3994" i="12"/>
  <c r="B4129" i="12"/>
  <c r="A4058" i="12"/>
  <c r="B4342" i="12"/>
  <c r="C4207" i="12"/>
  <c r="B3740" i="12"/>
  <c r="C3605" i="12"/>
  <c r="B4059" i="12"/>
  <c r="C3924" i="12"/>
  <c r="B4564" i="12"/>
  <c r="C3912" i="12" l="1"/>
  <c r="B4047" i="12"/>
  <c r="A4284" i="12"/>
  <c r="C4149" i="12"/>
  <c r="B4049" i="12"/>
  <c r="C3914" i="12"/>
  <c r="B5238" i="12"/>
  <c r="C5238" i="12" s="1"/>
  <c r="C5103" i="12"/>
  <c r="B4489" i="12"/>
  <c r="C4354" i="12"/>
  <c r="B4420" i="12"/>
  <c r="C4285" i="12"/>
  <c r="A4429" i="12"/>
  <c r="C4294" i="12"/>
  <c r="B4052" i="12"/>
  <c r="C3917" i="12"/>
  <c r="A4730" i="12"/>
  <c r="C4595" i="12"/>
  <c r="A4166" i="12"/>
  <c r="C4031" i="12"/>
  <c r="A4020" i="12"/>
  <c r="C3885" i="12"/>
  <c r="B4025" i="12"/>
  <c r="C3890" i="12"/>
  <c r="B3810" i="12"/>
  <c r="C3675" i="12"/>
  <c r="A4011" i="12"/>
  <c r="C3876" i="12"/>
  <c r="B4056" i="12"/>
  <c r="C3921" i="12"/>
  <c r="C3746" i="12"/>
  <c r="B3881" i="12"/>
  <c r="B3883" i="12"/>
  <c r="C3748" i="12"/>
  <c r="B3816" i="12"/>
  <c r="C3681" i="12"/>
  <c r="A4028" i="12"/>
  <c r="C3893" i="12"/>
  <c r="B3952" i="12"/>
  <c r="C3817" i="12"/>
  <c r="C3725" i="12"/>
  <c r="B3860" i="12"/>
  <c r="B4269" i="12"/>
  <c r="C4134" i="12"/>
  <c r="A3930" i="12"/>
  <c r="C3795" i="12"/>
  <c r="A4755" i="12"/>
  <c r="B3983" i="12"/>
  <c r="C3848" i="12"/>
  <c r="B4029" i="12"/>
  <c r="C3894" i="12"/>
  <c r="B3902" i="12"/>
  <c r="C3767" i="12"/>
  <c r="B3803" i="12"/>
  <c r="C3668" i="12"/>
  <c r="B4107" i="12"/>
  <c r="C3972" i="12"/>
  <c r="B3923" i="12"/>
  <c r="C3788" i="12"/>
  <c r="B3915" i="12"/>
  <c r="C3780" i="12"/>
  <c r="B3948" i="12"/>
  <c r="C3813" i="12"/>
  <c r="C3649" i="12"/>
  <c r="B3784" i="12"/>
  <c r="B3970" i="12"/>
  <c r="C3835" i="12"/>
  <c r="B3954" i="12"/>
  <c r="C3819" i="12"/>
  <c r="A4165" i="12"/>
  <c r="C4030" i="12"/>
  <c r="B4116" i="12"/>
  <c r="C3981" i="12"/>
  <c r="B3973" i="12"/>
  <c r="C3838" i="12"/>
  <c r="C3731" i="12"/>
  <c r="B3866" i="12"/>
  <c r="B5260" i="12"/>
  <c r="C5260" i="12" s="1"/>
  <c r="C5125" i="12"/>
  <c r="B3956" i="12"/>
  <c r="C3821" i="12"/>
  <c r="B4451" i="12"/>
  <c r="C4316" i="12"/>
  <c r="B3997" i="12"/>
  <c r="C3862" i="12"/>
  <c r="C4111" i="12"/>
  <c r="B4246" i="12"/>
  <c r="B4213" i="12"/>
  <c r="C4078" i="12"/>
  <c r="A4061" i="12"/>
  <c r="C3926" i="12"/>
  <c r="A4070" i="12"/>
  <c r="C3935" i="12"/>
  <c r="C3690" i="12"/>
  <c r="B3825" i="12"/>
  <c r="B3886" i="12"/>
  <c r="C3751" i="12"/>
  <c r="B4677" i="12"/>
  <c r="C4542" i="12"/>
  <c r="B4008" i="12"/>
  <c r="C3873" i="12"/>
  <c r="B4074" i="12"/>
  <c r="C3939" i="12"/>
  <c r="A4326" i="12"/>
  <c r="B3909" i="12"/>
  <c r="C3774" i="12"/>
  <c r="C4176" i="12"/>
  <c r="B4311" i="12"/>
  <c r="C4129" i="12"/>
  <c r="B4264" i="12"/>
  <c r="B3796" i="12"/>
  <c r="C3661" i="12"/>
  <c r="B4109" i="12"/>
  <c r="C3974" i="12"/>
  <c r="B4374" i="12"/>
  <c r="C4239" i="12"/>
  <c r="C3940" i="12"/>
  <c r="B4075" i="12"/>
  <c r="B3991" i="12"/>
  <c r="C3856" i="12"/>
  <c r="B4475" i="12"/>
  <c r="B4032" i="12"/>
  <c r="C3897" i="12"/>
  <c r="C4643" i="12"/>
  <c r="B4778" i="12"/>
  <c r="C3958" i="12"/>
  <c r="B4093" i="12"/>
  <c r="B4536" i="12"/>
  <c r="C4401" i="12"/>
  <c r="B4027" i="12"/>
  <c r="C3892" i="12"/>
  <c r="C4393" i="12"/>
  <c r="B4528" i="12"/>
  <c r="C4220" i="12"/>
  <c r="B4355" i="12"/>
  <c r="B4358" i="12"/>
  <c r="C4223" i="12"/>
  <c r="B3797" i="12"/>
  <c r="C3662" i="12"/>
  <c r="C3666" i="12"/>
  <c r="B3801" i="12"/>
  <c r="B3961" i="12"/>
  <c r="C3826" i="12"/>
  <c r="B4310" i="12"/>
  <c r="C4175" i="12"/>
  <c r="B3820" i="12"/>
  <c r="C3685" i="12"/>
  <c r="B4290" i="12"/>
  <c r="B4034" i="12"/>
  <c r="C3899" i="12"/>
  <c r="B4227" i="12"/>
  <c r="C4092" i="12"/>
  <c r="B4194" i="12"/>
  <c r="C4059" i="12"/>
  <c r="C3852" i="12"/>
  <c r="B3987" i="12"/>
  <c r="C3980" i="12"/>
  <c r="B4115" i="12"/>
  <c r="B3799" i="12"/>
  <c r="C3664" i="12"/>
  <c r="B5097" i="12"/>
  <c r="C4962" i="12"/>
  <c r="C4553" i="12"/>
  <c r="B4688" i="12"/>
  <c r="B4106" i="12"/>
  <c r="C3971" i="12"/>
  <c r="B3929" i="12"/>
  <c r="C3794" i="12"/>
  <c r="B4703" i="12"/>
  <c r="B4976" i="12"/>
  <c r="B4743" i="12"/>
  <c r="B4113" i="12"/>
  <c r="C3978" i="12"/>
  <c r="B4273" i="12"/>
  <c r="C4138" i="12"/>
  <c r="C4410" i="12"/>
  <c r="B4545" i="12"/>
  <c r="B4369" i="12"/>
  <c r="C4234" i="12"/>
  <c r="B3877" i="12"/>
  <c r="C3742" i="12"/>
  <c r="C4212" i="12"/>
  <c r="B4347" i="12"/>
  <c r="C3887" i="12"/>
  <c r="B4022" i="12"/>
  <c r="C4036" i="12"/>
  <c r="B4171" i="12"/>
  <c r="B3986" i="12"/>
  <c r="C3851" i="12"/>
  <c r="B3858" i="12"/>
  <c r="C3723" i="12"/>
  <c r="B4597" i="12"/>
  <c r="C4462" i="12"/>
  <c r="B4259" i="12"/>
  <c r="C4124" i="12"/>
  <c r="B5089" i="12"/>
  <c r="C4954" i="12"/>
  <c r="C4507" i="12"/>
  <c r="B4642" i="12"/>
  <c r="C3677" i="12"/>
  <c r="B3812" i="12"/>
  <c r="C4411" i="12"/>
  <c r="B4546" i="12"/>
  <c r="B4971" i="12"/>
  <c r="C4836" i="12"/>
  <c r="C3693" i="12"/>
  <c r="B3828" i="12"/>
  <c r="B4740" i="12"/>
  <c r="B4333" i="12"/>
  <c r="C4198" i="12"/>
  <c r="B3875" i="12"/>
  <c r="C3740" i="12"/>
  <c r="B4412" i="12"/>
  <c r="C4277" i="12"/>
  <c r="B4035" i="12"/>
  <c r="C3900" i="12"/>
  <c r="B3962" i="12"/>
  <c r="C3827" i="12"/>
  <c r="B4600" i="12"/>
  <c r="C4465" i="12"/>
  <c r="B4323" i="12"/>
  <c r="C4188" i="12"/>
  <c r="B4331" i="12"/>
  <c r="C3977" i="12"/>
  <c r="B4112" i="12"/>
  <c r="B3898" i="12"/>
  <c r="C3763" i="12"/>
  <c r="B4964" i="12"/>
  <c r="C4829" i="12"/>
  <c r="B5000" i="12"/>
  <c r="B4654" i="12"/>
  <c r="C4519" i="12"/>
  <c r="B3941" i="12"/>
  <c r="C3806" i="12"/>
  <c r="B3990" i="12"/>
  <c r="C3855" i="12"/>
  <c r="C3849" i="12"/>
  <c r="B3984" i="12"/>
  <c r="C3676" i="12"/>
  <c r="B3811" i="12"/>
  <c r="B4810" i="12"/>
  <c r="C4675" i="12"/>
  <c r="B4079" i="12"/>
  <c r="C3944" i="12"/>
  <c r="B4699" i="12"/>
  <c r="B4477" i="12"/>
  <c r="C4342" i="12"/>
  <c r="A4193" i="12"/>
  <c r="C4602" i="12"/>
  <c r="B4737" i="12"/>
  <c r="C3722" i="12"/>
  <c r="B3857" i="12"/>
  <c r="B3975" i="12"/>
  <c r="C3840" i="12"/>
  <c r="B3998" i="12"/>
  <c r="C3863" i="12"/>
  <c r="A3933" i="12"/>
  <c r="C3798" i="12"/>
  <c r="B4588" i="12"/>
  <c r="C4453" i="12"/>
  <c r="B4312" i="12"/>
  <c r="C4177" i="12"/>
  <c r="B3830" i="12"/>
  <c r="C3695" i="12"/>
  <c r="C4371" i="12"/>
  <c r="B4506" i="12"/>
  <c r="C4387" i="12"/>
  <c r="B4522" i="12"/>
  <c r="B3824" i="12"/>
  <c r="C3689" i="12"/>
  <c r="B4686" i="12"/>
  <c r="B4660" i="12"/>
  <c r="C4525" i="12"/>
  <c r="C4174" i="12"/>
  <c r="B4309" i="12"/>
  <c r="B4184" i="12" l="1"/>
  <c r="C4049" i="12"/>
  <c r="A4419" i="12"/>
  <c r="C4284" i="12"/>
  <c r="B4182" i="12"/>
  <c r="C4047" i="12"/>
  <c r="A4155" i="12"/>
  <c r="C4020" i="12"/>
  <c r="C4269" i="12"/>
  <c r="B4404" i="12"/>
  <c r="C3816" i="12"/>
  <c r="B3951" i="12"/>
  <c r="A4146" i="12"/>
  <c r="C4011" i="12"/>
  <c r="A4301" i="12"/>
  <c r="C4166" i="12"/>
  <c r="C4420" i="12"/>
  <c r="B4555" i="12"/>
  <c r="A4163" i="12"/>
  <c r="C4028" i="12"/>
  <c r="B4191" i="12"/>
  <c r="C4056" i="12"/>
  <c r="B3995" i="12"/>
  <c r="C3860" i="12"/>
  <c r="A4564" i="12"/>
  <c r="C4429" i="12"/>
  <c r="B4018" i="12"/>
  <c r="C3883" i="12"/>
  <c r="B3945" i="12"/>
  <c r="C3810" i="12"/>
  <c r="A4865" i="12"/>
  <c r="C4730" i="12"/>
  <c r="B4624" i="12"/>
  <c r="C4489" i="12"/>
  <c r="B4016" i="12"/>
  <c r="C3881" i="12"/>
  <c r="C3952" i="12"/>
  <c r="B4087" i="12"/>
  <c r="C4025" i="12"/>
  <c r="B4160" i="12"/>
  <c r="C4052" i="12"/>
  <c r="B4187" i="12"/>
  <c r="B4083" i="12"/>
  <c r="C3948" i="12"/>
  <c r="C4074" i="12"/>
  <c r="B4209" i="12"/>
  <c r="C3886" i="12"/>
  <c r="B4021" i="12"/>
  <c r="B4348" i="12"/>
  <c r="C4213" i="12"/>
  <c r="B4091" i="12"/>
  <c r="C3956" i="12"/>
  <c r="B4251" i="12"/>
  <c r="C4116" i="12"/>
  <c r="C4107" i="12"/>
  <c r="B4242" i="12"/>
  <c r="B4118" i="12"/>
  <c r="C3983" i="12"/>
  <c r="B4446" i="12"/>
  <c r="C4311" i="12"/>
  <c r="C3825" i="12"/>
  <c r="B3960" i="12"/>
  <c r="C4246" i="12"/>
  <c r="B4381" i="12"/>
  <c r="A4890" i="12"/>
  <c r="C3909" i="12"/>
  <c r="B4044" i="12"/>
  <c r="C3954" i="12"/>
  <c r="B4089" i="12"/>
  <c r="B4050" i="12"/>
  <c r="C3915" i="12"/>
  <c r="B3938" i="12"/>
  <c r="C3803" i="12"/>
  <c r="B4143" i="12"/>
  <c r="C4008" i="12"/>
  <c r="A4205" i="12"/>
  <c r="C4070" i="12"/>
  <c r="B4132" i="12"/>
  <c r="C3997" i="12"/>
  <c r="C3902" i="12"/>
  <c r="B4037" i="12"/>
  <c r="A4461" i="12"/>
  <c r="B4812" i="12"/>
  <c r="C4677" i="12"/>
  <c r="A4196" i="12"/>
  <c r="C4061" i="12"/>
  <c r="B4586" i="12"/>
  <c r="C4451" i="12"/>
  <c r="B4108" i="12"/>
  <c r="C3973" i="12"/>
  <c r="C3970" i="12"/>
  <c r="B4105" i="12"/>
  <c r="B4058" i="12"/>
  <c r="C3923" i="12"/>
  <c r="B4164" i="12"/>
  <c r="C4029" i="12"/>
  <c r="A4300" i="12"/>
  <c r="C4165" i="12"/>
  <c r="C3866" i="12"/>
  <c r="B4001" i="12"/>
  <c r="C3784" i="12"/>
  <c r="B3919" i="12"/>
  <c r="A4065" i="12"/>
  <c r="C3930" i="12"/>
  <c r="B4641" i="12"/>
  <c r="C4506" i="12"/>
  <c r="B3992" i="12"/>
  <c r="C3857" i="12"/>
  <c r="B3946" i="12"/>
  <c r="C3811" i="12"/>
  <c r="C4112" i="12"/>
  <c r="B4247" i="12"/>
  <c r="C3812" i="12"/>
  <c r="B3947" i="12"/>
  <c r="C4688" i="12"/>
  <c r="B4823" i="12"/>
  <c r="C3987" i="12"/>
  <c r="B4122" i="12"/>
  <c r="B4490" i="12"/>
  <c r="C4355" i="12"/>
  <c r="B4210" i="12"/>
  <c r="C4075" i="12"/>
  <c r="B4795" i="12"/>
  <c r="C4660" i="12"/>
  <c r="B4447" i="12"/>
  <c r="C4312" i="12"/>
  <c r="B4133" i="12"/>
  <c r="C3998" i="12"/>
  <c r="B4834" i="12"/>
  <c r="C3941" i="12"/>
  <c r="B4076" i="12"/>
  <c r="B5135" i="12"/>
  <c r="B4735" i="12"/>
  <c r="C4600" i="12"/>
  <c r="B4875" i="12"/>
  <c r="B4732" i="12"/>
  <c r="C4597" i="12"/>
  <c r="C4369" i="12"/>
  <c r="B4504" i="12"/>
  <c r="B4248" i="12"/>
  <c r="C4113" i="12"/>
  <c r="B4838" i="12"/>
  <c r="B3955" i="12"/>
  <c r="C3820" i="12"/>
  <c r="B3932" i="12"/>
  <c r="C3797" i="12"/>
  <c r="B4671" i="12"/>
  <c r="C4536" i="12"/>
  <c r="C4109" i="12"/>
  <c r="B4244" i="12"/>
  <c r="C4737" i="12"/>
  <c r="B4872" i="12"/>
  <c r="B3963" i="12"/>
  <c r="C3828" i="12"/>
  <c r="B4306" i="12"/>
  <c r="C4171" i="12"/>
  <c r="B4680" i="12"/>
  <c r="C4545" i="12"/>
  <c r="B4821" i="12"/>
  <c r="C4079" i="12"/>
  <c r="B4214" i="12"/>
  <c r="C4654" i="12"/>
  <c r="B4789" i="12"/>
  <c r="B5099" i="12"/>
  <c r="C4964" i="12"/>
  <c r="B4097" i="12"/>
  <c r="C3962" i="12"/>
  <c r="B4010" i="12"/>
  <c r="C3875" i="12"/>
  <c r="B3993" i="12"/>
  <c r="C3858" i="12"/>
  <c r="B4878" i="12"/>
  <c r="B4064" i="12"/>
  <c r="C3929" i="12"/>
  <c r="B5232" i="12"/>
  <c r="C5232" i="12" s="1"/>
  <c r="C5097" i="12"/>
  <c r="B4169" i="12"/>
  <c r="C4034" i="12"/>
  <c r="C4310" i="12"/>
  <c r="B4445" i="12"/>
  <c r="C3796" i="12"/>
  <c r="B3931" i="12"/>
  <c r="B4777" i="12"/>
  <c r="C4642" i="12"/>
  <c r="C4528" i="12"/>
  <c r="B4663" i="12"/>
  <c r="B4228" i="12"/>
  <c r="C4093" i="12"/>
  <c r="B4444" i="12"/>
  <c r="C4309" i="12"/>
  <c r="C3984" i="12"/>
  <c r="B4119" i="12"/>
  <c r="C4022" i="12"/>
  <c r="B4157" i="12"/>
  <c r="B4913" i="12"/>
  <c r="C4778" i="12"/>
  <c r="B4399" i="12"/>
  <c r="C4264" i="12"/>
  <c r="B3959" i="12"/>
  <c r="C3824" i="12"/>
  <c r="C3830" i="12"/>
  <c r="B3965" i="12"/>
  <c r="B4723" i="12"/>
  <c r="C4588" i="12"/>
  <c r="B4110" i="12"/>
  <c r="C3975" i="12"/>
  <c r="A4328" i="12"/>
  <c r="B4466" i="12"/>
  <c r="B4170" i="12"/>
  <c r="C4035" i="12"/>
  <c r="B4468" i="12"/>
  <c r="C4333" i="12"/>
  <c r="C4971" i="12"/>
  <c r="B5106" i="12"/>
  <c r="C5089" i="12"/>
  <c r="B5224" i="12"/>
  <c r="C5224" i="12" s="1"/>
  <c r="C4273" i="12"/>
  <c r="B4408" i="12"/>
  <c r="B4241" i="12"/>
  <c r="C4106" i="12"/>
  <c r="C3799" i="12"/>
  <c r="B3934" i="12"/>
  <c r="B4329" i="12"/>
  <c r="C4194" i="12"/>
  <c r="B4096" i="12"/>
  <c r="C3961" i="12"/>
  <c r="B4162" i="12"/>
  <c r="C4027" i="12"/>
  <c r="B4610" i="12"/>
  <c r="C4522" i="12"/>
  <c r="B4657" i="12"/>
  <c r="B4681" i="12"/>
  <c r="C4546" i="12"/>
  <c r="B4482" i="12"/>
  <c r="C4347" i="12"/>
  <c r="B5111" i="12"/>
  <c r="C4115" i="12"/>
  <c r="B4250" i="12"/>
  <c r="B3936" i="12"/>
  <c r="C3801" i="12"/>
  <c r="A4068" i="12"/>
  <c r="C3933" i="12"/>
  <c r="B4612" i="12"/>
  <c r="C4477" i="12"/>
  <c r="B4945" i="12"/>
  <c r="C4810" i="12"/>
  <c r="B4125" i="12"/>
  <c r="C3990" i="12"/>
  <c r="B4033" i="12"/>
  <c r="C3898" i="12"/>
  <c r="C4323" i="12"/>
  <c r="B4458" i="12"/>
  <c r="B4547" i="12"/>
  <c r="C4412" i="12"/>
  <c r="C4259" i="12"/>
  <c r="B4394" i="12"/>
  <c r="B4121" i="12"/>
  <c r="C3986" i="12"/>
  <c r="C3877" i="12"/>
  <c r="B4012" i="12"/>
  <c r="C4227" i="12"/>
  <c r="B4362" i="12"/>
  <c r="B4425" i="12"/>
  <c r="B4493" i="12"/>
  <c r="C4358" i="12"/>
  <c r="B4167" i="12"/>
  <c r="C4032" i="12"/>
  <c r="B4126" i="12"/>
  <c r="C3991" i="12"/>
  <c r="B4509" i="12"/>
  <c r="C4374" i="12"/>
  <c r="B4317" i="12" l="1"/>
  <c r="C4182" i="12"/>
  <c r="A4554" i="12"/>
  <c r="C4419" i="12"/>
  <c r="B4319" i="12"/>
  <c r="C4184" i="12"/>
  <c r="B4326" i="12"/>
  <c r="C4191" i="12"/>
  <c r="B4222" i="12"/>
  <c r="C4087" i="12"/>
  <c r="B4086" i="12"/>
  <c r="C3951" i="12"/>
  <c r="B4151" i="12"/>
  <c r="C4016" i="12"/>
  <c r="B4153" i="12"/>
  <c r="C4018" i="12"/>
  <c r="A4298" i="12"/>
  <c r="C4163" i="12"/>
  <c r="A4281" i="12"/>
  <c r="C4146" i="12"/>
  <c r="B4322" i="12"/>
  <c r="C4187" i="12"/>
  <c r="C4555" i="12"/>
  <c r="B4690" i="12"/>
  <c r="C4404" i="12"/>
  <c r="B4539" i="12"/>
  <c r="C4624" i="12"/>
  <c r="B4759" i="12"/>
  <c r="A4699" i="12"/>
  <c r="C4564" i="12"/>
  <c r="B4295" i="12"/>
  <c r="C4160" i="12"/>
  <c r="B4080" i="12"/>
  <c r="C3945" i="12"/>
  <c r="A5000" i="12"/>
  <c r="C4865" i="12"/>
  <c r="B4130" i="12"/>
  <c r="C3995" i="12"/>
  <c r="A4436" i="12"/>
  <c r="C4301" i="12"/>
  <c r="A4290" i="12"/>
  <c r="C4155" i="12"/>
  <c r="C4001" i="12"/>
  <c r="B4136" i="12"/>
  <c r="B4193" i="12"/>
  <c r="C4058" i="12"/>
  <c r="A4331" i="12"/>
  <c r="C4196" i="12"/>
  <c r="B4267" i="12"/>
  <c r="C4132" i="12"/>
  <c r="A5025" i="12"/>
  <c r="C4118" i="12"/>
  <c r="B4253" i="12"/>
  <c r="B4483" i="12"/>
  <c r="C4348" i="12"/>
  <c r="B4240" i="12"/>
  <c r="C4105" i="12"/>
  <c r="B4377" i="12"/>
  <c r="C4242" i="12"/>
  <c r="C4209" i="12"/>
  <c r="B4344" i="12"/>
  <c r="A4200" i="12"/>
  <c r="C4065" i="12"/>
  <c r="C4108" i="12"/>
  <c r="B4243" i="12"/>
  <c r="A4596" i="12"/>
  <c r="C4143" i="12"/>
  <c r="B4278" i="12"/>
  <c r="B4386" i="12"/>
  <c r="C4251" i="12"/>
  <c r="B4516" i="12"/>
  <c r="C4381" i="12"/>
  <c r="B4224" i="12"/>
  <c r="C4089" i="12"/>
  <c r="B4095" i="12"/>
  <c r="C3960" i="12"/>
  <c r="B4054" i="12"/>
  <c r="C3919" i="12"/>
  <c r="B4172" i="12"/>
  <c r="C4037" i="12"/>
  <c r="C4044" i="12"/>
  <c r="B4179" i="12"/>
  <c r="C4021" i="12"/>
  <c r="B4156" i="12"/>
  <c r="A4435" i="12"/>
  <c r="C4300" i="12"/>
  <c r="B4947" i="12"/>
  <c r="C4812" i="12"/>
  <c r="A4340" i="12"/>
  <c r="C4205" i="12"/>
  <c r="B4185" i="12"/>
  <c r="C4050" i="12"/>
  <c r="C4164" i="12"/>
  <c r="B4299" i="12"/>
  <c r="B4721" i="12"/>
  <c r="C4586" i="12"/>
  <c r="C3938" i="12"/>
  <c r="B4073" i="12"/>
  <c r="B4581" i="12"/>
  <c r="C4446" i="12"/>
  <c r="B4226" i="12"/>
  <c r="C4091" i="12"/>
  <c r="C4083" i="12"/>
  <c r="B4218" i="12"/>
  <c r="B4302" i="12"/>
  <c r="C4167" i="12"/>
  <c r="C4033" i="12"/>
  <c r="B4168" i="12"/>
  <c r="A4203" i="12"/>
  <c r="C4068" i="12"/>
  <c r="C4657" i="12"/>
  <c r="B4792" i="12"/>
  <c r="B4601" i="12"/>
  <c r="C4110" i="12"/>
  <c r="B4245" i="12"/>
  <c r="C4119" i="12"/>
  <c r="B4254" i="12"/>
  <c r="B4066" i="12"/>
  <c r="C3931" i="12"/>
  <c r="B4924" i="12"/>
  <c r="C4789" i="12"/>
  <c r="C4680" i="12"/>
  <c r="B4815" i="12"/>
  <c r="C4671" i="12"/>
  <c r="B4806" i="12"/>
  <c r="B4973" i="12"/>
  <c r="B5010" i="12"/>
  <c r="B4930" i="12"/>
  <c r="C4795" i="12"/>
  <c r="B4958" i="12"/>
  <c r="C4823" i="12"/>
  <c r="B4382" i="12"/>
  <c r="C4247" i="12"/>
  <c r="C3936" i="12"/>
  <c r="B4071" i="12"/>
  <c r="B4617" i="12"/>
  <c r="C4482" i="12"/>
  <c r="B4231" i="12"/>
  <c r="C4096" i="12"/>
  <c r="C4241" i="12"/>
  <c r="B4376" i="12"/>
  <c r="B5241" i="12"/>
  <c r="C5241" i="12" s="1"/>
  <c r="C5106" i="12"/>
  <c r="B4534" i="12"/>
  <c r="C4399" i="12"/>
  <c r="B4363" i="12"/>
  <c r="C4228" i="12"/>
  <c r="C3993" i="12"/>
  <c r="B4128" i="12"/>
  <c r="B4969" i="12"/>
  <c r="C4125" i="12"/>
  <c r="B4260" i="12"/>
  <c r="C4250" i="12"/>
  <c r="B4385" i="12"/>
  <c r="C4723" i="12"/>
  <c r="B4858" i="12"/>
  <c r="B4798" i="12"/>
  <c r="C4663" i="12"/>
  <c r="B4956" i="12"/>
  <c r="B4441" i="12"/>
  <c r="C4306" i="12"/>
  <c r="B4067" i="12"/>
  <c r="C3932" i="12"/>
  <c r="B4383" i="12"/>
  <c r="C4248" i="12"/>
  <c r="B4147" i="12"/>
  <c r="C4012" i="12"/>
  <c r="C4681" i="12"/>
  <c r="B4816" i="12"/>
  <c r="B4543" i="12"/>
  <c r="C4408" i="12"/>
  <c r="B4100" i="12"/>
  <c r="C3965" i="12"/>
  <c r="B5048" i="12"/>
  <c r="C4913" i="12"/>
  <c r="C4444" i="12"/>
  <c r="B4579" i="12"/>
  <c r="B4199" i="12"/>
  <c r="C4064" i="12"/>
  <c r="B4145" i="12"/>
  <c r="C4010" i="12"/>
  <c r="B4379" i="12"/>
  <c r="C4244" i="12"/>
  <c r="C4504" i="12"/>
  <c r="B4639" i="12"/>
  <c r="B4345" i="12"/>
  <c r="C4210" i="12"/>
  <c r="B4081" i="12"/>
  <c r="C3946" i="12"/>
  <c r="B4644" i="12"/>
  <c r="C4509" i="12"/>
  <c r="B4098" i="12"/>
  <c r="C3963" i="12"/>
  <c r="B4593" i="12"/>
  <c r="C4458" i="12"/>
  <c r="B4745" i="12"/>
  <c r="C4329" i="12"/>
  <c r="B4464" i="12"/>
  <c r="B4232" i="12"/>
  <c r="C4097" i="12"/>
  <c r="B4625" i="12"/>
  <c r="C4490" i="12"/>
  <c r="B4127" i="12"/>
  <c r="C3992" i="12"/>
  <c r="B5246" i="12"/>
  <c r="C4468" i="12"/>
  <c r="B4603" i="12"/>
  <c r="C4445" i="12"/>
  <c r="B4580" i="12"/>
  <c r="B4349" i="12"/>
  <c r="C4214" i="12"/>
  <c r="B4870" i="12"/>
  <c r="C4735" i="12"/>
  <c r="B4268" i="12"/>
  <c r="C4133" i="12"/>
  <c r="C4126" i="12"/>
  <c r="B4261" i="12"/>
  <c r="B4560" i="12"/>
  <c r="C4121" i="12"/>
  <c r="B4256" i="12"/>
  <c r="B4747" i="12"/>
  <c r="C4612" i="12"/>
  <c r="B4069" i="12"/>
  <c r="C3934" i="12"/>
  <c r="C4170" i="12"/>
  <c r="B4305" i="12"/>
  <c r="A4463" i="12"/>
  <c r="B4094" i="12"/>
  <c r="C3959" i="12"/>
  <c r="C4732" i="12"/>
  <c r="B4867" i="12"/>
  <c r="C4447" i="12"/>
  <c r="B4582" i="12"/>
  <c r="B4257" i="12"/>
  <c r="C4122" i="12"/>
  <c r="B4082" i="12"/>
  <c r="C3947" i="12"/>
  <c r="C4493" i="12"/>
  <c r="B4628" i="12"/>
  <c r="C4547" i="12"/>
  <c r="B4682" i="12"/>
  <c r="B5080" i="12"/>
  <c r="C4945" i="12"/>
  <c r="C4157" i="12"/>
  <c r="B4292" i="12"/>
  <c r="B5013" i="12"/>
  <c r="B4090" i="12"/>
  <c r="C3955" i="12"/>
  <c r="C4362" i="12"/>
  <c r="B4497" i="12"/>
  <c r="C4394" i="12"/>
  <c r="B4529" i="12"/>
  <c r="C4162" i="12"/>
  <c r="B4297" i="12"/>
  <c r="B4912" i="12"/>
  <c r="C4777" i="12"/>
  <c r="B4304" i="12"/>
  <c r="C4169" i="12"/>
  <c r="B5234" i="12"/>
  <c r="C5234" i="12" s="1"/>
  <c r="C5099" i="12"/>
  <c r="B5007" i="12"/>
  <c r="C4872" i="12"/>
  <c r="B4211" i="12"/>
  <c r="C4076" i="12"/>
  <c r="B4776" i="12"/>
  <c r="C4641" i="12"/>
  <c r="B4454" i="12" l="1"/>
  <c r="C4319" i="12"/>
  <c r="A4689" i="12"/>
  <c r="C4554" i="12"/>
  <c r="B4452" i="12"/>
  <c r="C4317" i="12"/>
  <c r="A5135" i="12"/>
  <c r="C5135" i="12" s="1"/>
  <c r="C5000" i="12"/>
  <c r="C4130" i="12"/>
  <c r="B4265" i="12"/>
  <c r="A4834" i="12"/>
  <c r="C4699" i="12"/>
  <c r="C4322" i="12"/>
  <c r="B4457" i="12"/>
  <c r="B4286" i="12"/>
  <c r="C4151" i="12"/>
  <c r="A4416" i="12"/>
  <c r="C4281" i="12"/>
  <c r="B4674" i="12"/>
  <c r="C4539" i="12"/>
  <c r="C4086" i="12"/>
  <c r="B4221" i="12"/>
  <c r="A4425" i="12"/>
  <c r="C4290" i="12"/>
  <c r="B4215" i="12"/>
  <c r="C4080" i="12"/>
  <c r="A4433" i="12"/>
  <c r="C4298" i="12"/>
  <c r="B4825" i="12"/>
  <c r="C4690" i="12"/>
  <c r="B4357" i="12"/>
  <c r="C4222" i="12"/>
  <c r="A4571" i="12"/>
  <c r="C4436" i="12"/>
  <c r="B4430" i="12"/>
  <c r="C4295" i="12"/>
  <c r="C4153" i="12"/>
  <c r="B4288" i="12"/>
  <c r="B4894" i="12"/>
  <c r="C4759" i="12"/>
  <c r="B4461" i="12"/>
  <c r="C4326" i="12"/>
  <c r="B4716" i="12"/>
  <c r="C4581" i="12"/>
  <c r="A4570" i="12"/>
  <c r="C4435" i="12"/>
  <c r="B4189" i="12"/>
  <c r="C4054" i="12"/>
  <c r="C4386" i="12"/>
  <c r="B4521" i="12"/>
  <c r="A4335" i="12"/>
  <c r="C4200" i="12"/>
  <c r="B4618" i="12"/>
  <c r="C4483" i="12"/>
  <c r="B4402" i="12"/>
  <c r="C4267" i="12"/>
  <c r="C4073" i="12"/>
  <c r="B4208" i="12"/>
  <c r="C4156" i="12"/>
  <c r="B4291" i="12"/>
  <c r="B4413" i="12"/>
  <c r="C4278" i="12"/>
  <c r="C4344" i="12"/>
  <c r="B4479" i="12"/>
  <c r="B4388" i="12"/>
  <c r="C4253" i="12"/>
  <c r="B4320" i="12"/>
  <c r="C4185" i="12"/>
  <c r="C4721" i="12"/>
  <c r="B4856" i="12"/>
  <c r="A4475" i="12"/>
  <c r="C4340" i="12"/>
  <c r="B4359" i="12"/>
  <c r="C4224" i="12"/>
  <c r="A4731" i="12"/>
  <c r="B4512" i="12"/>
  <c r="C4377" i="12"/>
  <c r="B4328" i="12"/>
  <c r="C4193" i="12"/>
  <c r="C4095" i="12"/>
  <c r="B4230" i="12"/>
  <c r="B4314" i="12"/>
  <c r="C4179" i="12"/>
  <c r="A5160" i="12"/>
  <c r="B4434" i="12"/>
  <c r="C4299" i="12"/>
  <c r="C4243" i="12"/>
  <c r="B4378" i="12"/>
  <c r="B4271" i="12"/>
  <c r="C4136" i="12"/>
  <c r="A4466" i="12"/>
  <c r="C4331" i="12"/>
  <c r="C4218" i="12"/>
  <c r="B4353" i="12"/>
  <c r="C4226" i="12"/>
  <c r="B4361" i="12"/>
  <c r="C4947" i="12"/>
  <c r="B5082" i="12"/>
  <c r="C4172" i="12"/>
  <c r="B4307" i="12"/>
  <c r="C4516" i="12"/>
  <c r="B4651" i="12"/>
  <c r="C4240" i="12"/>
  <c r="B4375" i="12"/>
  <c r="B4632" i="12"/>
  <c r="C4497" i="12"/>
  <c r="B4391" i="12"/>
  <c r="C4256" i="12"/>
  <c r="B4738" i="12"/>
  <c r="C4603" i="12"/>
  <c r="C4385" i="12"/>
  <c r="B4520" i="12"/>
  <c r="B4263" i="12"/>
  <c r="C4128" i="12"/>
  <c r="C4376" i="12"/>
  <c r="B4511" i="12"/>
  <c r="C4792" i="12"/>
  <c r="B4927" i="12"/>
  <c r="B4911" i="12"/>
  <c r="C4776" i="12"/>
  <c r="C5080" i="12"/>
  <c r="B5215" i="12"/>
  <c r="C5215" i="12" s="1"/>
  <c r="B4392" i="12"/>
  <c r="C4257" i="12"/>
  <c r="C4094" i="12"/>
  <c r="B4229" i="12"/>
  <c r="C4069" i="12"/>
  <c r="B4204" i="12"/>
  <c r="B5005" i="12"/>
  <c r="C4870" i="12"/>
  <c r="B4728" i="12"/>
  <c r="C4593" i="12"/>
  <c r="C4345" i="12"/>
  <c r="B4480" i="12"/>
  <c r="B4334" i="12"/>
  <c r="C4199" i="12"/>
  <c r="B4678" i="12"/>
  <c r="C4543" i="12"/>
  <c r="B4202" i="12"/>
  <c r="C4067" i="12"/>
  <c r="C4382" i="12"/>
  <c r="B4517" i="12"/>
  <c r="B5108" i="12"/>
  <c r="B4201" i="12"/>
  <c r="C4066" i="12"/>
  <c r="B4817" i="12"/>
  <c r="C4682" i="12"/>
  <c r="C4582" i="12"/>
  <c r="B4717" i="12"/>
  <c r="B4599" i="12"/>
  <c r="C4464" i="12"/>
  <c r="B4774" i="12"/>
  <c r="C4639" i="12"/>
  <c r="B4714" i="12"/>
  <c r="C4579" i="12"/>
  <c r="B4941" i="12"/>
  <c r="C4806" i="12"/>
  <c r="C4254" i="12"/>
  <c r="B4389" i="12"/>
  <c r="B4346" i="12"/>
  <c r="C4211" i="12"/>
  <c r="C4090" i="12"/>
  <c r="B4225" i="12"/>
  <c r="A4598" i="12"/>
  <c r="B4695" i="12"/>
  <c r="C4349" i="12"/>
  <c r="B4484" i="12"/>
  <c r="C4098" i="12"/>
  <c r="B4233" i="12"/>
  <c r="B4282" i="12"/>
  <c r="C4147" i="12"/>
  <c r="C4798" i="12"/>
  <c r="B4933" i="12"/>
  <c r="B4498" i="12"/>
  <c r="C4363" i="12"/>
  <c r="C4231" i="12"/>
  <c r="B4366" i="12"/>
  <c r="C4958" i="12"/>
  <c r="B5093" i="12"/>
  <c r="A4338" i="12"/>
  <c r="C4203" i="12"/>
  <c r="C4815" i="12"/>
  <c r="B4950" i="12"/>
  <c r="B5142" i="12"/>
  <c r="C5142" i="12" s="1"/>
  <c r="C5007" i="12"/>
  <c r="C4304" i="12"/>
  <c r="B4439" i="12"/>
  <c r="B5148" i="12"/>
  <c r="C4127" i="12"/>
  <c r="B4262" i="12"/>
  <c r="B4880" i="12"/>
  <c r="B4779" i="12"/>
  <c r="C4644" i="12"/>
  <c r="B4514" i="12"/>
  <c r="C4379" i="12"/>
  <c r="B5183" i="12"/>
  <c r="C5183" i="12" s="1"/>
  <c r="C5048" i="12"/>
  <c r="B4576" i="12"/>
  <c r="C4441" i="12"/>
  <c r="B5104" i="12"/>
  <c r="C4534" i="12"/>
  <c r="B4669" i="12"/>
  <c r="B4752" i="12"/>
  <c r="C4617" i="12"/>
  <c r="B5065" i="12"/>
  <c r="C4930" i="12"/>
  <c r="C4580" i="12"/>
  <c r="B4715" i="12"/>
  <c r="B4993" i="12"/>
  <c r="C4858" i="12"/>
  <c r="B4395" i="12"/>
  <c r="C4260" i="12"/>
  <c r="B4303" i="12"/>
  <c r="C4168" i="12"/>
  <c r="C4529" i="12"/>
  <c r="B4664" i="12"/>
  <c r="B4427" i="12"/>
  <c r="C4292" i="12"/>
  <c r="B4951" i="12"/>
  <c r="C4816" i="12"/>
  <c r="C4071" i="12"/>
  <c r="B4206" i="12"/>
  <c r="B4432" i="12"/>
  <c r="C4297" i="12"/>
  <c r="C4628" i="12"/>
  <c r="B4763" i="12"/>
  <c r="B5002" i="12"/>
  <c r="C4867" i="12"/>
  <c r="B4440" i="12"/>
  <c r="C4305" i="12"/>
  <c r="B4396" i="12"/>
  <c r="C4261" i="12"/>
  <c r="B4380" i="12"/>
  <c r="C4245" i="12"/>
  <c r="C4912" i="12"/>
  <c r="B5047" i="12"/>
  <c r="C4082" i="12"/>
  <c r="B4217" i="12"/>
  <c r="C4747" i="12"/>
  <c r="B4882" i="12"/>
  <c r="B4403" i="12"/>
  <c r="C4268" i="12"/>
  <c r="B4760" i="12"/>
  <c r="C4625" i="12"/>
  <c r="C4232" i="12"/>
  <c r="B4367" i="12"/>
  <c r="B4216" i="12"/>
  <c r="C4081" i="12"/>
  <c r="B4280" i="12"/>
  <c r="C4145" i="12"/>
  <c r="C4100" i="12"/>
  <c r="B4235" i="12"/>
  <c r="B4518" i="12"/>
  <c r="C4383" i="12"/>
  <c r="B5091" i="12"/>
  <c r="B5145" i="12"/>
  <c r="C4924" i="12"/>
  <c r="B5059" i="12"/>
  <c r="B4736" i="12"/>
  <c r="B4437" i="12"/>
  <c r="C4302" i="12"/>
  <c r="C4452" i="12" l="1"/>
  <c r="B4587" i="12"/>
  <c r="C4689" i="12"/>
  <c r="A4824" i="12"/>
  <c r="B4589" i="12"/>
  <c r="C4454" i="12"/>
  <c r="B4960" i="12"/>
  <c r="C4825" i="12"/>
  <c r="B4356" i="12"/>
  <c r="C4221" i="12"/>
  <c r="B4592" i="12"/>
  <c r="C4457" i="12"/>
  <c r="B4565" i="12"/>
  <c r="C4430" i="12"/>
  <c r="B4809" i="12"/>
  <c r="C4674" i="12"/>
  <c r="A4969" i="12"/>
  <c r="C4834" i="12"/>
  <c r="B4596" i="12"/>
  <c r="C4461" i="12"/>
  <c r="A4706" i="12"/>
  <c r="C4571" i="12"/>
  <c r="B4350" i="12"/>
  <c r="C4215" i="12"/>
  <c r="C4265" i="12"/>
  <c r="B4400" i="12"/>
  <c r="A4551" i="12"/>
  <c r="C4416" i="12"/>
  <c r="A4568" i="12"/>
  <c r="C4433" i="12"/>
  <c r="C4894" i="12"/>
  <c r="B5029" i="12"/>
  <c r="B4492" i="12"/>
  <c r="C4357" i="12"/>
  <c r="A4560" i="12"/>
  <c r="C4425" i="12"/>
  <c r="C4288" i="12"/>
  <c r="B4423" i="12"/>
  <c r="C4286" i="12"/>
  <c r="B4421" i="12"/>
  <c r="B4614" i="12"/>
  <c r="C4479" i="12"/>
  <c r="A4601" i="12"/>
  <c r="C4466" i="12"/>
  <c r="C4434" i="12"/>
  <c r="B4569" i="12"/>
  <c r="B4463" i="12"/>
  <c r="C4328" i="12"/>
  <c r="A4610" i="12"/>
  <c r="C4475" i="12"/>
  <c r="B4537" i="12"/>
  <c r="C4402" i="12"/>
  <c r="B4324" i="12"/>
  <c r="C4189" i="12"/>
  <c r="C5082" i="12"/>
  <c r="B5217" i="12"/>
  <c r="C5217" i="12" s="1"/>
  <c r="B4991" i="12"/>
  <c r="C4856" i="12"/>
  <c r="C4271" i="12"/>
  <c r="B4406" i="12"/>
  <c r="B4647" i="12"/>
  <c r="C4512" i="12"/>
  <c r="B4753" i="12"/>
  <c r="C4618" i="12"/>
  <c r="B4426" i="12"/>
  <c r="C4291" i="12"/>
  <c r="C4314" i="12"/>
  <c r="B4449" i="12"/>
  <c r="A4866" i="12"/>
  <c r="B4455" i="12"/>
  <c r="C4320" i="12"/>
  <c r="A4470" i="12"/>
  <c r="C4335" i="12"/>
  <c r="C4716" i="12"/>
  <c r="B4851" i="12"/>
  <c r="C4307" i="12"/>
  <c r="B4442" i="12"/>
  <c r="A4705" i="12"/>
  <c r="C4570" i="12"/>
  <c r="B4510" i="12"/>
  <c r="C4375" i="12"/>
  <c r="C4361" i="12"/>
  <c r="B4496" i="12"/>
  <c r="B4786" i="12"/>
  <c r="C4651" i="12"/>
  <c r="C4353" i="12"/>
  <c r="B4488" i="12"/>
  <c r="C4378" i="12"/>
  <c r="B4513" i="12"/>
  <c r="C4230" i="12"/>
  <c r="B4365" i="12"/>
  <c r="B4343" i="12"/>
  <c r="C4208" i="12"/>
  <c r="C4521" i="12"/>
  <c r="B4656" i="12"/>
  <c r="B4548" i="12"/>
  <c r="C4413" i="12"/>
  <c r="C4359" i="12"/>
  <c r="B4494" i="12"/>
  <c r="C4388" i="12"/>
  <c r="B4523" i="12"/>
  <c r="C4217" i="12"/>
  <c r="B4352" i="12"/>
  <c r="C4206" i="12"/>
  <c r="B4341" i="12"/>
  <c r="C4664" i="12"/>
  <c r="B4799" i="12"/>
  <c r="B4804" i="12"/>
  <c r="C4669" i="12"/>
  <c r="B5015" i="12"/>
  <c r="C5093" i="12"/>
  <c r="B5228" i="12"/>
  <c r="C5228" i="12" s="1"/>
  <c r="B5068" i="12"/>
  <c r="C4933" i="12"/>
  <c r="C4225" i="12"/>
  <c r="B4360" i="12"/>
  <c r="B4652" i="12"/>
  <c r="C4517" i="12"/>
  <c r="B4646" i="12"/>
  <c r="C4511" i="12"/>
  <c r="B4871" i="12"/>
  <c r="B5226" i="12"/>
  <c r="C4216" i="12"/>
  <c r="B4351" i="12"/>
  <c r="C4440" i="12"/>
  <c r="B4575" i="12"/>
  <c r="C4993" i="12"/>
  <c r="B5128" i="12"/>
  <c r="B5076" i="12"/>
  <c r="C4941" i="12"/>
  <c r="B4909" i="12"/>
  <c r="C4774" i="12"/>
  <c r="B4952" i="12"/>
  <c r="C4817" i="12"/>
  <c r="B4863" i="12"/>
  <c r="C4728" i="12"/>
  <c r="B4527" i="12"/>
  <c r="C4392" i="12"/>
  <c r="C5059" i="12"/>
  <c r="B5194" i="12"/>
  <c r="C5194" i="12" s="1"/>
  <c r="B5182" i="12"/>
  <c r="C5182" i="12" s="1"/>
  <c r="C5047" i="12"/>
  <c r="B4619" i="12"/>
  <c r="C4484" i="12"/>
  <c r="C4518" i="12"/>
  <c r="B4653" i="12"/>
  <c r="B5239" i="12"/>
  <c r="B4417" i="12"/>
  <c r="C4282" i="12"/>
  <c r="B4734" i="12"/>
  <c r="C4599" i="12"/>
  <c r="C4678" i="12"/>
  <c r="B4813" i="12"/>
  <c r="B5140" i="12"/>
  <c r="C5140" i="12" s="1"/>
  <c r="C5005" i="12"/>
  <c r="B4398" i="12"/>
  <c r="C4263" i="12"/>
  <c r="B4873" i="12"/>
  <c r="C4738" i="12"/>
  <c r="C4235" i="12"/>
  <c r="B4370" i="12"/>
  <c r="B4502" i="12"/>
  <c r="C4367" i="12"/>
  <c r="B5017" i="12"/>
  <c r="C4882" i="12"/>
  <c r="C4763" i="12"/>
  <c r="B4898" i="12"/>
  <c r="B4339" i="12"/>
  <c r="C4204" i="12"/>
  <c r="B4655" i="12"/>
  <c r="C4520" i="12"/>
  <c r="C4715" i="12"/>
  <c r="B4850" i="12"/>
  <c r="C4950" i="12"/>
  <c r="B5085" i="12"/>
  <c r="B4538" i="12"/>
  <c r="C4403" i="12"/>
  <c r="B4515" i="12"/>
  <c r="C4380" i="12"/>
  <c r="B5086" i="12"/>
  <c r="C4951" i="12"/>
  <c r="C4303" i="12"/>
  <c r="B4438" i="12"/>
  <c r="C5065" i="12"/>
  <c r="B5200" i="12"/>
  <c r="C5200" i="12" s="1"/>
  <c r="B4711" i="12"/>
  <c r="C4576" i="12"/>
  <c r="B4649" i="12"/>
  <c r="C4514" i="12"/>
  <c r="C4498" i="12"/>
  <c r="B4633" i="12"/>
  <c r="B4830" i="12"/>
  <c r="B4481" i="12"/>
  <c r="C4346" i="12"/>
  <c r="C4201" i="12"/>
  <c r="B4336" i="12"/>
  <c r="B4469" i="12"/>
  <c r="C4334" i="12"/>
  <c r="B5046" i="12"/>
  <c r="C4911" i="12"/>
  <c r="C4391" i="12"/>
  <c r="B4526" i="12"/>
  <c r="B4397" i="12"/>
  <c r="C4262" i="12"/>
  <c r="C4366" i="12"/>
  <c r="B4501" i="12"/>
  <c r="B5137" i="12"/>
  <c r="C5137" i="12" s="1"/>
  <c r="C5002" i="12"/>
  <c r="B4574" i="12"/>
  <c r="C4439" i="12"/>
  <c r="C4233" i="12"/>
  <c r="B4368" i="12"/>
  <c r="C4389" i="12"/>
  <c r="B4524" i="12"/>
  <c r="B4852" i="12"/>
  <c r="C4717" i="12"/>
  <c r="B4615" i="12"/>
  <c r="C4480" i="12"/>
  <c r="C4229" i="12"/>
  <c r="B4364" i="12"/>
  <c r="C4927" i="12"/>
  <c r="B5062" i="12"/>
  <c r="B4572" i="12"/>
  <c r="C4437" i="12"/>
  <c r="C4280" i="12"/>
  <c r="B4415" i="12"/>
  <c r="B4895" i="12"/>
  <c r="C4760" i="12"/>
  <c r="B4531" i="12"/>
  <c r="C4396" i="12"/>
  <c r="C4432" i="12"/>
  <c r="B4567" i="12"/>
  <c r="B4562" i="12"/>
  <c r="C4427" i="12"/>
  <c r="B4530" i="12"/>
  <c r="C4395" i="12"/>
  <c r="B4887" i="12"/>
  <c r="C4752" i="12"/>
  <c r="B4914" i="12"/>
  <c r="C4779" i="12"/>
  <c r="A4473" i="12"/>
  <c r="C4338" i="12"/>
  <c r="A4733" i="12"/>
  <c r="B4849" i="12"/>
  <c r="C4714" i="12"/>
  <c r="B5243" i="12"/>
  <c r="B4337" i="12"/>
  <c r="C4202" i="12"/>
  <c r="B4767" i="12"/>
  <c r="C4632" i="12"/>
  <c r="B4724" i="12" l="1"/>
  <c r="C4589" i="12"/>
  <c r="C4824" i="12"/>
  <c r="A4959" i="12"/>
  <c r="B4722" i="12"/>
  <c r="C4587" i="12"/>
  <c r="A4686" i="12"/>
  <c r="C4551" i="12"/>
  <c r="B4731" i="12"/>
  <c r="C4596" i="12"/>
  <c r="C4592" i="12"/>
  <c r="B4727" i="12"/>
  <c r="C4565" i="12"/>
  <c r="B4700" i="12"/>
  <c r="B4627" i="12"/>
  <c r="C4492" i="12"/>
  <c r="C4400" i="12"/>
  <c r="B4535" i="12"/>
  <c r="A4703" i="12"/>
  <c r="C4568" i="12"/>
  <c r="A4695" i="12"/>
  <c r="C4560" i="12"/>
  <c r="C4421" i="12"/>
  <c r="B4556" i="12"/>
  <c r="C5029" i="12"/>
  <c r="B5164" i="12"/>
  <c r="C5164" i="12" s="1"/>
  <c r="A5104" i="12"/>
  <c r="C4969" i="12"/>
  <c r="B4491" i="12"/>
  <c r="C4356" i="12"/>
  <c r="A4841" i="12"/>
  <c r="C4706" i="12"/>
  <c r="B4558" i="12"/>
  <c r="C4423" i="12"/>
  <c r="B4485" i="12"/>
  <c r="C4350" i="12"/>
  <c r="C4809" i="12"/>
  <c r="B4944" i="12"/>
  <c r="B5095" i="12"/>
  <c r="C4960" i="12"/>
  <c r="C4343" i="12"/>
  <c r="B4478" i="12"/>
  <c r="B4921" i="12"/>
  <c r="C4786" i="12"/>
  <c r="A5001" i="12"/>
  <c r="B4888" i="12"/>
  <c r="C4753" i="12"/>
  <c r="B4629" i="12"/>
  <c r="C4494" i="12"/>
  <c r="C4365" i="12"/>
  <c r="B4500" i="12"/>
  <c r="C4496" i="12"/>
  <c r="B4631" i="12"/>
  <c r="C4851" i="12"/>
  <c r="B4986" i="12"/>
  <c r="C4449" i="12"/>
  <c r="B4584" i="12"/>
  <c r="B4598" i="12"/>
  <c r="C4463" i="12"/>
  <c r="C4647" i="12"/>
  <c r="B4782" i="12"/>
  <c r="C4569" i="12"/>
  <c r="B4704" i="12"/>
  <c r="B4791" i="12"/>
  <c r="C4656" i="12"/>
  <c r="C4488" i="12"/>
  <c r="B4623" i="12"/>
  <c r="B4672" i="12"/>
  <c r="C4537" i="12"/>
  <c r="A4736" i="12"/>
  <c r="C4601" i="12"/>
  <c r="C4513" i="12"/>
  <c r="B4648" i="12"/>
  <c r="B4541" i="12"/>
  <c r="C4406" i="12"/>
  <c r="B4459" i="12"/>
  <c r="C4324" i="12"/>
  <c r="C4510" i="12"/>
  <c r="B4645" i="12"/>
  <c r="A4605" i="12"/>
  <c r="C4470" i="12"/>
  <c r="A4840" i="12"/>
  <c r="C4705" i="12"/>
  <c r="B4590" i="12"/>
  <c r="C4455" i="12"/>
  <c r="B4561" i="12"/>
  <c r="C4426" i="12"/>
  <c r="C4991" i="12"/>
  <c r="B5126" i="12"/>
  <c r="C4548" i="12"/>
  <c r="B4683" i="12"/>
  <c r="B4658" i="12"/>
  <c r="C4523" i="12"/>
  <c r="C4442" i="12"/>
  <c r="B4577" i="12"/>
  <c r="A4745" i="12"/>
  <c r="C4610" i="12"/>
  <c r="B4749" i="12"/>
  <c r="C4614" i="12"/>
  <c r="B4902" i="12"/>
  <c r="C4767" i="12"/>
  <c r="B4984" i="12"/>
  <c r="C4849" i="12"/>
  <c r="C4914" i="12"/>
  <c r="B5049" i="12"/>
  <c r="C4562" i="12"/>
  <c r="B4697" i="12"/>
  <c r="B5030" i="12"/>
  <c r="C4895" i="12"/>
  <c r="B4987" i="12"/>
  <c r="C4852" i="12"/>
  <c r="B5181" i="12"/>
  <c r="C5181" i="12" s="1"/>
  <c r="C5046" i="12"/>
  <c r="B4616" i="12"/>
  <c r="C4481" i="12"/>
  <c r="C4575" i="12"/>
  <c r="B4710" i="12"/>
  <c r="C4360" i="12"/>
  <c r="B4495" i="12"/>
  <c r="B4702" i="12"/>
  <c r="C4567" i="12"/>
  <c r="B4550" i="12"/>
  <c r="C4415" i="12"/>
  <c r="C5062" i="12"/>
  <c r="B5197" i="12"/>
  <c r="C5197" i="12" s="1"/>
  <c r="B4659" i="12"/>
  <c r="C4524" i="12"/>
  <c r="C4501" i="12"/>
  <c r="B4636" i="12"/>
  <c r="B4965" i="12"/>
  <c r="B4985" i="12"/>
  <c r="C4850" i="12"/>
  <c r="B4637" i="12"/>
  <c r="C4502" i="12"/>
  <c r="B4552" i="12"/>
  <c r="C4417" i="12"/>
  <c r="B4754" i="12"/>
  <c r="C4619" i="12"/>
  <c r="B5044" i="12"/>
  <c r="C4909" i="12"/>
  <c r="B5006" i="12"/>
  <c r="B4939" i="12"/>
  <c r="C4804" i="12"/>
  <c r="B4604" i="12"/>
  <c r="C4469" i="12"/>
  <c r="C4649" i="12"/>
  <c r="B4784" i="12"/>
  <c r="B4505" i="12"/>
  <c r="C4370" i="12"/>
  <c r="B4499" i="12"/>
  <c r="C4364" i="12"/>
  <c r="C4368" i="12"/>
  <c r="B4503" i="12"/>
  <c r="B4662" i="12"/>
  <c r="C4527" i="12"/>
  <c r="B5211" i="12"/>
  <c r="C5211" i="12" s="1"/>
  <c r="C5076" i="12"/>
  <c r="B4781" i="12"/>
  <c r="C4646" i="12"/>
  <c r="C5068" i="12"/>
  <c r="B5203" i="12"/>
  <c r="C5203" i="12" s="1"/>
  <c r="B4472" i="12"/>
  <c r="C4337" i="12"/>
  <c r="C4887" i="12"/>
  <c r="B5022" i="12"/>
  <c r="B4666" i="12"/>
  <c r="C4531" i="12"/>
  <c r="B4532" i="12"/>
  <c r="C4397" i="12"/>
  <c r="B4846" i="12"/>
  <c r="C4711" i="12"/>
  <c r="B4650" i="12"/>
  <c r="C4515" i="12"/>
  <c r="C4655" i="12"/>
  <c r="B4790" i="12"/>
  <c r="C4898" i="12"/>
  <c r="B5033" i="12"/>
  <c r="B4486" i="12"/>
  <c r="C4351" i="12"/>
  <c r="C4341" i="12"/>
  <c r="B4476" i="12"/>
  <c r="A4868" i="12"/>
  <c r="B5221" i="12"/>
  <c r="C5221" i="12" s="1"/>
  <c r="C5086" i="12"/>
  <c r="C4813" i="12"/>
  <c r="B4948" i="12"/>
  <c r="B4661" i="12"/>
  <c r="C4526" i="12"/>
  <c r="C4336" i="12"/>
  <c r="B4471" i="12"/>
  <c r="C4633" i="12"/>
  <c r="B4768" i="12"/>
  <c r="C4873" i="12"/>
  <c r="B5008" i="12"/>
  <c r="B4998" i="12"/>
  <c r="C4863" i="12"/>
  <c r="A4608" i="12"/>
  <c r="C4473" i="12"/>
  <c r="B4665" i="12"/>
  <c r="C4530" i="12"/>
  <c r="B4707" i="12"/>
  <c r="C4572" i="12"/>
  <c r="C4615" i="12"/>
  <c r="B4750" i="12"/>
  <c r="B4709" i="12"/>
  <c r="C4574" i="12"/>
  <c r="B4673" i="12"/>
  <c r="C4538" i="12"/>
  <c r="C4339" i="12"/>
  <c r="B4474" i="12"/>
  <c r="C4653" i="12"/>
  <c r="B4788" i="12"/>
  <c r="C5128" i="12"/>
  <c r="B5263" i="12"/>
  <c r="C5263" i="12" s="1"/>
  <c r="B5150" i="12"/>
  <c r="B4487" i="12"/>
  <c r="C4352" i="12"/>
  <c r="B4934" i="12"/>
  <c r="C4799" i="12"/>
  <c r="C4438" i="12"/>
  <c r="B4573" i="12"/>
  <c r="B5220" i="12"/>
  <c r="C5220" i="12" s="1"/>
  <c r="C5085" i="12"/>
  <c r="C5017" i="12"/>
  <c r="B5152" i="12"/>
  <c r="C5152" i="12" s="1"/>
  <c r="C4398" i="12"/>
  <c r="B4533" i="12"/>
  <c r="B4869" i="12"/>
  <c r="C4734" i="12"/>
  <c r="B5087" i="12"/>
  <c r="C4952" i="12"/>
  <c r="B4787" i="12"/>
  <c r="C4652" i="12"/>
  <c r="C4722" i="12" l="1"/>
  <c r="B4857" i="12"/>
  <c r="A5094" i="12"/>
  <c r="C4959" i="12"/>
  <c r="B4859" i="12"/>
  <c r="C4724" i="12"/>
  <c r="B4620" i="12"/>
  <c r="C4485" i="12"/>
  <c r="A4830" i="12"/>
  <c r="C4695" i="12"/>
  <c r="C4700" i="12"/>
  <c r="B4835" i="12"/>
  <c r="B4670" i="12"/>
  <c r="C4535" i="12"/>
  <c r="A5239" i="12"/>
  <c r="C5239" i="12" s="1"/>
  <c r="C5104" i="12"/>
  <c r="A4838" i="12"/>
  <c r="C4703" i="12"/>
  <c r="B5230" i="12"/>
  <c r="C5230" i="12" s="1"/>
  <c r="C5095" i="12"/>
  <c r="B4691" i="12"/>
  <c r="C4556" i="12"/>
  <c r="C4558" i="12"/>
  <c r="B4693" i="12"/>
  <c r="B4862" i="12"/>
  <c r="C4727" i="12"/>
  <c r="C4944" i="12"/>
  <c r="B5079" i="12"/>
  <c r="A4976" i="12"/>
  <c r="C4841" i="12"/>
  <c r="B4866" i="12"/>
  <c r="C4731" i="12"/>
  <c r="B4762" i="12"/>
  <c r="C4627" i="12"/>
  <c r="C4491" i="12"/>
  <c r="B4626" i="12"/>
  <c r="A4821" i="12"/>
  <c r="C4686" i="12"/>
  <c r="B5261" i="12"/>
  <c r="C5261" i="12" s="1"/>
  <c r="C5126" i="12"/>
  <c r="A4871" i="12"/>
  <c r="C4736" i="12"/>
  <c r="C4888" i="12"/>
  <c r="B5023" i="12"/>
  <c r="A4880" i="12"/>
  <c r="C4745" i="12"/>
  <c r="B4917" i="12"/>
  <c r="C4782" i="12"/>
  <c r="C4631" i="12"/>
  <c r="B4766" i="12"/>
  <c r="A4975" i="12"/>
  <c r="C4840" i="12"/>
  <c r="C4986" i="12"/>
  <c r="B5121" i="12"/>
  <c r="C4561" i="12"/>
  <c r="B4696" i="12"/>
  <c r="C4541" i="12"/>
  <c r="B4676" i="12"/>
  <c r="B4733" i="12"/>
  <c r="C4598" i="12"/>
  <c r="B5056" i="12"/>
  <c r="C4921" i="12"/>
  <c r="C4645" i="12"/>
  <c r="B4780" i="12"/>
  <c r="C4459" i="12"/>
  <c r="B4594" i="12"/>
  <c r="C4672" i="12"/>
  <c r="B4807" i="12"/>
  <c r="A5136" i="12"/>
  <c r="B4758" i="12"/>
  <c r="C4623" i="12"/>
  <c r="B4635" i="12"/>
  <c r="C4500" i="12"/>
  <c r="B4793" i="12"/>
  <c r="C4658" i="12"/>
  <c r="B4725" i="12"/>
  <c r="C4590" i="12"/>
  <c r="B4783" i="12"/>
  <c r="C4648" i="12"/>
  <c r="B4719" i="12"/>
  <c r="C4584" i="12"/>
  <c r="B4613" i="12"/>
  <c r="C4478" i="12"/>
  <c r="B4884" i="12"/>
  <c r="C4749" i="12"/>
  <c r="B4839" i="12"/>
  <c r="C4704" i="12"/>
  <c r="B4712" i="12"/>
  <c r="C4577" i="12"/>
  <c r="B4818" i="12"/>
  <c r="C4683" i="12"/>
  <c r="A4740" i="12"/>
  <c r="C4605" i="12"/>
  <c r="C4791" i="12"/>
  <c r="B4926" i="12"/>
  <c r="B4764" i="12"/>
  <c r="C4629" i="12"/>
  <c r="B4638" i="12"/>
  <c r="C4503" i="12"/>
  <c r="B4919" i="12"/>
  <c r="C4784" i="12"/>
  <c r="C4495" i="12"/>
  <c r="B4630" i="12"/>
  <c r="B4832" i="12"/>
  <c r="C4697" i="12"/>
  <c r="B5222" i="12"/>
  <c r="C5222" i="12" s="1"/>
  <c r="C5087" i="12"/>
  <c r="B4808" i="12"/>
  <c r="C4673" i="12"/>
  <c r="C4665" i="12"/>
  <c r="B4800" i="12"/>
  <c r="B4796" i="12"/>
  <c r="C4661" i="12"/>
  <c r="C4846" i="12"/>
  <c r="B4981" i="12"/>
  <c r="B4801" i="12"/>
  <c r="C4666" i="12"/>
  <c r="B5141" i="12"/>
  <c r="B4772" i="12"/>
  <c r="C4637" i="12"/>
  <c r="C4659" i="12"/>
  <c r="B4794" i="12"/>
  <c r="C5033" i="12"/>
  <c r="B5168" i="12"/>
  <c r="C5168" i="12" s="1"/>
  <c r="B5004" i="12"/>
  <c r="C4869" i="12"/>
  <c r="B4844" i="12"/>
  <c r="C4709" i="12"/>
  <c r="A4743" i="12"/>
  <c r="C4608" i="12"/>
  <c r="A5003" i="12"/>
  <c r="B4916" i="12"/>
  <c r="C4781" i="12"/>
  <c r="B4634" i="12"/>
  <c r="C4499" i="12"/>
  <c r="B4739" i="12"/>
  <c r="C4604" i="12"/>
  <c r="B5179" i="12"/>
  <c r="C5179" i="12" s="1"/>
  <c r="C5044" i="12"/>
  <c r="B5120" i="12"/>
  <c r="C4985" i="12"/>
  <c r="B5122" i="12"/>
  <c r="C4987" i="12"/>
  <c r="B4668" i="12"/>
  <c r="C4533" i="12"/>
  <c r="B4923" i="12"/>
  <c r="C4788" i="12"/>
  <c r="B4885" i="12"/>
  <c r="C4750" i="12"/>
  <c r="B4903" i="12"/>
  <c r="C4768" i="12"/>
  <c r="B5083" i="12"/>
  <c r="C4948" i="12"/>
  <c r="B4611" i="12"/>
  <c r="C4476" i="12"/>
  <c r="C4790" i="12"/>
  <c r="B4925" i="12"/>
  <c r="C4573" i="12"/>
  <c r="B4708" i="12"/>
  <c r="B5069" i="12"/>
  <c r="C4934" i="12"/>
  <c r="C4532" i="12"/>
  <c r="B4667" i="12"/>
  <c r="B4640" i="12"/>
  <c r="C4505" i="12"/>
  <c r="B4889" i="12"/>
  <c r="C4754" i="12"/>
  <c r="B5100" i="12"/>
  <c r="B4685" i="12"/>
  <c r="C4550" i="12"/>
  <c r="B5119" i="12"/>
  <c r="C4984" i="12"/>
  <c r="C5008" i="12"/>
  <c r="B5143" i="12"/>
  <c r="C5143" i="12" s="1"/>
  <c r="B4845" i="12"/>
  <c r="C4710" i="12"/>
  <c r="C4474" i="12"/>
  <c r="B4609" i="12"/>
  <c r="B4606" i="12"/>
  <c r="C4471" i="12"/>
  <c r="C4636" i="12"/>
  <c r="B4771" i="12"/>
  <c r="B5157" i="12"/>
  <c r="C5157" i="12" s="1"/>
  <c r="C5022" i="12"/>
  <c r="C5049" i="12"/>
  <c r="B5184" i="12"/>
  <c r="C5184" i="12" s="1"/>
  <c r="C4787" i="12"/>
  <c r="B4922" i="12"/>
  <c r="B4622" i="12"/>
  <c r="C4487" i="12"/>
  <c r="B4842" i="12"/>
  <c r="C4707" i="12"/>
  <c r="B5133" i="12"/>
  <c r="C5133" i="12" s="1"/>
  <c r="C4998" i="12"/>
  <c r="B4621" i="12"/>
  <c r="C4486" i="12"/>
  <c r="B4785" i="12"/>
  <c r="C4650" i="12"/>
  <c r="B4607" i="12"/>
  <c r="C4472" i="12"/>
  <c r="B4797" i="12"/>
  <c r="C4662" i="12"/>
  <c r="C4939" i="12"/>
  <c r="B5074" i="12"/>
  <c r="C4552" i="12"/>
  <c r="B4687" i="12"/>
  <c r="C4702" i="12"/>
  <c r="B4837" i="12"/>
  <c r="B4751" i="12"/>
  <c r="C4616" i="12"/>
  <c r="B5165" i="12"/>
  <c r="C5165" i="12" s="1"/>
  <c r="C5030" i="12"/>
  <c r="B5037" i="12"/>
  <c r="C4902" i="12"/>
  <c r="B4994" i="12" l="1"/>
  <c r="C4859" i="12"/>
  <c r="C4857" i="12"/>
  <c r="B4992" i="12"/>
  <c r="C5094" i="12"/>
  <c r="A5229" i="12"/>
  <c r="C5229" i="12" s="1"/>
  <c r="A5111" i="12"/>
  <c r="C4976" i="12"/>
  <c r="C4835" i="12"/>
  <c r="B4970" i="12"/>
  <c r="A4956" i="12"/>
  <c r="C4821" i="12"/>
  <c r="C4670" i="12"/>
  <c r="B4805" i="12"/>
  <c r="B5214" i="12"/>
  <c r="C5214" i="12" s="1"/>
  <c r="C5079" i="12"/>
  <c r="C4626" i="12"/>
  <c r="B4761" i="12"/>
  <c r="C4762" i="12"/>
  <c r="B4897" i="12"/>
  <c r="C4862" i="12"/>
  <c r="B4997" i="12"/>
  <c r="A4973" i="12"/>
  <c r="C4838" i="12"/>
  <c r="A4965" i="12"/>
  <c r="C4830" i="12"/>
  <c r="C4691" i="12"/>
  <c r="B4826" i="12"/>
  <c r="B4828" i="12"/>
  <c r="C4693" i="12"/>
  <c r="B5001" i="12"/>
  <c r="C4866" i="12"/>
  <c r="B4755" i="12"/>
  <c r="C4620" i="12"/>
  <c r="C5121" i="12"/>
  <c r="B5256" i="12"/>
  <c r="C5256" i="12" s="1"/>
  <c r="C4613" i="12"/>
  <c r="B4748" i="12"/>
  <c r="C4793" i="12"/>
  <c r="B4928" i="12"/>
  <c r="B4868" i="12"/>
  <c r="C4733" i="12"/>
  <c r="A5015" i="12"/>
  <c r="C4880" i="12"/>
  <c r="B4899" i="12"/>
  <c r="C4764" i="12"/>
  <c r="C4594" i="12"/>
  <c r="B4729" i="12"/>
  <c r="C4676" i="12"/>
  <c r="B4811" i="12"/>
  <c r="B5158" i="12"/>
  <c r="C5158" i="12" s="1"/>
  <c r="C5023" i="12"/>
  <c r="C4839" i="12"/>
  <c r="B4974" i="12"/>
  <c r="C4783" i="12"/>
  <c r="B4918" i="12"/>
  <c r="C4758" i="12"/>
  <c r="B4893" i="12"/>
  <c r="A5006" i="12"/>
  <c r="C4871" i="12"/>
  <c r="C4818" i="12"/>
  <c r="B4953" i="12"/>
  <c r="B4942" i="12"/>
  <c r="C4807" i="12"/>
  <c r="A5110" i="12"/>
  <c r="C4975" i="12"/>
  <c r="A4875" i="12"/>
  <c r="C4740" i="12"/>
  <c r="B4831" i="12"/>
  <c r="C4696" i="12"/>
  <c r="C4926" i="12"/>
  <c r="B5061" i="12"/>
  <c r="C4712" i="12"/>
  <c r="B4847" i="12"/>
  <c r="B4854" i="12"/>
  <c r="C4719" i="12"/>
  <c r="B4770" i="12"/>
  <c r="C4635" i="12"/>
  <c r="C4780" i="12"/>
  <c r="B4915" i="12"/>
  <c r="B4901" i="12"/>
  <c r="C4766" i="12"/>
  <c r="C4884" i="12"/>
  <c r="B5019" i="12"/>
  <c r="B4860" i="12"/>
  <c r="C4725" i="12"/>
  <c r="C5056" i="12"/>
  <c r="B5191" i="12"/>
  <c r="C5191" i="12" s="1"/>
  <c r="B5052" i="12"/>
  <c r="C4917" i="12"/>
  <c r="B5172" i="12"/>
  <c r="C5172" i="12" s="1"/>
  <c r="C5037" i="12"/>
  <c r="B4977" i="12"/>
  <c r="C4842" i="12"/>
  <c r="C4685" i="12"/>
  <c r="B4820" i="12"/>
  <c r="C4611" i="12"/>
  <c r="B4746" i="12"/>
  <c r="C4923" i="12"/>
  <c r="B5058" i="12"/>
  <c r="A5138" i="12"/>
  <c r="B4936" i="12"/>
  <c r="C4801" i="12"/>
  <c r="C4832" i="12"/>
  <c r="B4967" i="12"/>
  <c r="B4822" i="12"/>
  <c r="C4687" i="12"/>
  <c r="C4981" i="12"/>
  <c r="B5116" i="12"/>
  <c r="B4920" i="12"/>
  <c r="C4785" i="12"/>
  <c r="C4622" i="12"/>
  <c r="B4757" i="12"/>
  <c r="C5083" i="12"/>
  <c r="B5218" i="12"/>
  <c r="C5218" i="12" s="1"/>
  <c r="B4803" i="12"/>
  <c r="C4668" i="12"/>
  <c r="B4874" i="12"/>
  <c r="C4739" i="12"/>
  <c r="A4878" i="12"/>
  <c r="C4743" i="12"/>
  <c r="C4922" i="12"/>
  <c r="B5057" i="12"/>
  <c r="B4906" i="12"/>
  <c r="C4771" i="12"/>
  <c r="B4802" i="12"/>
  <c r="C4667" i="12"/>
  <c r="B4929" i="12"/>
  <c r="C4794" i="12"/>
  <c r="B4980" i="12"/>
  <c r="C4845" i="12"/>
  <c r="B4886" i="12"/>
  <c r="C4751" i="12"/>
  <c r="B4932" i="12"/>
  <c r="C4797" i="12"/>
  <c r="C4621" i="12"/>
  <c r="B4756" i="12"/>
  <c r="C4889" i="12"/>
  <c r="B5024" i="12"/>
  <c r="B5204" i="12"/>
  <c r="C5204" i="12" s="1"/>
  <c r="C5069" i="12"/>
  <c r="B5038" i="12"/>
  <c r="C4903" i="12"/>
  <c r="C5122" i="12"/>
  <c r="B5257" i="12"/>
  <c r="C5257" i="12" s="1"/>
  <c r="C4634" i="12"/>
  <c r="B4769" i="12"/>
  <c r="B4979" i="12"/>
  <c r="C4844" i="12"/>
  <c r="B4907" i="12"/>
  <c r="C4772" i="12"/>
  <c r="B4943" i="12"/>
  <c r="C4808" i="12"/>
  <c r="B5054" i="12"/>
  <c r="C4919" i="12"/>
  <c r="B5209" i="12"/>
  <c r="C5209" i="12" s="1"/>
  <c r="C5074" i="12"/>
  <c r="B4935" i="12"/>
  <c r="C4800" i="12"/>
  <c r="B5235" i="12"/>
  <c r="B4972" i="12"/>
  <c r="C4837" i="12"/>
  <c r="C4708" i="12"/>
  <c r="B4843" i="12"/>
  <c r="C4925" i="12"/>
  <c r="B5060" i="12"/>
  <c r="C4609" i="12"/>
  <c r="B4744" i="12"/>
  <c r="C4630" i="12"/>
  <c r="B4765" i="12"/>
  <c r="B4742" i="12"/>
  <c r="C4607" i="12"/>
  <c r="C4606" i="12"/>
  <c r="B4741" i="12"/>
  <c r="B5254" i="12"/>
  <c r="C5254" i="12" s="1"/>
  <c r="C5119" i="12"/>
  <c r="C4640" i="12"/>
  <c r="B4775" i="12"/>
  <c r="C4885" i="12"/>
  <c r="B5020" i="12"/>
  <c r="C5120" i="12"/>
  <c r="B5255" i="12"/>
  <c r="C5255" i="12" s="1"/>
  <c r="C4916" i="12"/>
  <c r="B5051" i="12"/>
  <c r="B5139" i="12"/>
  <c r="C5139" i="12" s="1"/>
  <c r="C5004" i="12"/>
  <c r="B4931" i="12"/>
  <c r="C4796" i="12"/>
  <c r="C4638" i="12"/>
  <c r="B4773" i="12"/>
  <c r="C4992" i="12" l="1"/>
  <c r="B5127" i="12"/>
  <c r="B5129" i="12"/>
  <c r="C4994" i="12"/>
  <c r="B5132" i="12"/>
  <c r="C5132" i="12" s="1"/>
  <c r="C4997" i="12"/>
  <c r="C4805" i="12"/>
  <c r="B4940" i="12"/>
  <c r="B4961" i="12"/>
  <c r="C4826" i="12"/>
  <c r="B5032" i="12"/>
  <c r="C4897" i="12"/>
  <c r="A5091" i="12"/>
  <c r="C4956" i="12"/>
  <c r="B4890" i="12"/>
  <c r="C4755" i="12"/>
  <c r="B4896" i="12"/>
  <c r="C4761" i="12"/>
  <c r="B5105" i="12"/>
  <c r="C4970" i="12"/>
  <c r="A5100" i="12"/>
  <c r="C4965" i="12"/>
  <c r="C4828" i="12"/>
  <c r="B4963" i="12"/>
  <c r="B5136" i="12"/>
  <c r="C5136" i="12" s="1"/>
  <c r="C5001" i="12"/>
  <c r="A5108" i="12"/>
  <c r="C4973" i="12"/>
  <c r="A5246" i="12"/>
  <c r="C5246" i="12" s="1"/>
  <c r="C5111" i="12"/>
  <c r="C4915" i="12"/>
  <c r="B5050" i="12"/>
  <c r="B4946" i="12"/>
  <c r="C4811" i="12"/>
  <c r="B5077" i="12"/>
  <c r="C4942" i="12"/>
  <c r="B5003" i="12"/>
  <c r="C4868" i="12"/>
  <c r="B4995" i="12"/>
  <c r="C4860" i="12"/>
  <c r="C4953" i="12"/>
  <c r="B5088" i="12"/>
  <c r="C4918" i="12"/>
  <c r="B5053" i="12"/>
  <c r="C4729" i="12"/>
  <c r="B4864" i="12"/>
  <c r="B5063" i="12"/>
  <c r="C4928" i="12"/>
  <c r="C4854" i="12"/>
  <c r="B4989" i="12"/>
  <c r="A5010" i="12"/>
  <c r="C4875" i="12"/>
  <c r="A5141" i="12"/>
  <c r="C5141" i="12" s="1"/>
  <c r="C5006" i="12"/>
  <c r="C4899" i="12"/>
  <c r="B5034" i="12"/>
  <c r="B4883" i="12"/>
  <c r="C4748" i="12"/>
  <c r="B5187" i="12"/>
  <c r="C5187" i="12" s="1"/>
  <c r="C5052" i="12"/>
  <c r="C4847" i="12"/>
  <c r="B4982" i="12"/>
  <c r="B5196" i="12"/>
  <c r="C5196" i="12" s="1"/>
  <c r="C5061" i="12"/>
  <c r="B5028" i="12"/>
  <c r="C4893" i="12"/>
  <c r="C5019" i="12"/>
  <c r="B5154" i="12"/>
  <c r="C5154" i="12" s="1"/>
  <c r="B4905" i="12"/>
  <c r="C4770" i="12"/>
  <c r="C4831" i="12"/>
  <c r="B4966" i="12"/>
  <c r="C4974" i="12"/>
  <c r="B5109" i="12"/>
  <c r="C4901" i="12"/>
  <c r="B5036" i="12"/>
  <c r="A5245" i="12"/>
  <c r="C5245" i="12" s="1"/>
  <c r="C5110" i="12"/>
  <c r="A5150" i="12"/>
  <c r="C5150" i="12" s="1"/>
  <c r="C5015" i="12"/>
  <c r="C5024" i="12"/>
  <c r="B5159" i="12"/>
  <c r="C5159" i="12" s="1"/>
  <c r="B5192" i="12"/>
  <c r="C5192" i="12" s="1"/>
  <c r="C5057" i="12"/>
  <c r="C5116" i="12"/>
  <c r="B5251" i="12"/>
  <c r="C5251" i="12" s="1"/>
  <c r="B5078" i="12"/>
  <c r="C4943" i="12"/>
  <c r="B5115" i="12"/>
  <c r="C4980" i="12"/>
  <c r="B5071" i="12"/>
  <c r="C4936" i="12"/>
  <c r="B4879" i="12"/>
  <c r="C4744" i="12"/>
  <c r="C5060" i="12"/>
  <c r="B5195" i="12"/>
  <c r="C5195" i="12" s="1"/>
  <c r="C4756" i="12"/>
  <c r="B4891" i="12"/>
  <c r="B5070" i="12"/>
  <c r="C4935" i="12"/>
  <c r="C4907" i="12"/>
  <c r="B5042" i="12"/>
  <c r="C5038" i="12"/>
  <c r="B5173" i="12"/>
  <c r="C5173" i="12" s="1"/>
  <c r="B5064" i="12"/>
  <c r="C4929" i="12"/>
  <c r="B5155" i="12"/>
  <c r="C5155" i="12" s="1"/>
  <c r="C5020" i="12"/>
  <c r="B4978" i="12"/>
  <c r="C4843" i="12"/>
  <c r="C4757" i="12"/>
  <c r="B4892" i="12"/>
  <c r="B5102" i="12"/>
  <c r="C4967" i="12"/>
  <c r="B5193" i="12"/>
  <c r="C5193" i="12" s="1"/>
  <c r="C5058" i="12"/>
  <c r="C4820" i="12"/>
  <c r="B4955" i="12"/>
  <c r="B5066" i="12"/>
  <c r="C4931" i="12"/>
  <c r="B4877" i="12"/>
  <c r="C4742" i="12"/>
  <c r="B5114" i="12"/>
  <c r="C4979" i="12"/>
  <c r="B5067" i="12"/>
  <c r="C4932" i="12"/>
  <c r="C4802" i="12"/>
  <c r="B4937" i="12"/>
  <c r="B5009" i="12"/>
  <c r="C4874" i="12"/>
  <c r="B5112" i="12"/>
  <c r="C4977" i="12"/>
  <c r="B5186" i="12"/>
  <c r="C5186" i="12" s="1"/>
  <c r="C5051" i="12"/>
  <c r="B4908" i="12"/>
  <c r="C4773" i="12"/>
  <c r="C4741" i="12"/>
  <c r="B4876" i="12"/>
  <c r="A5013" i="12"/>
  <c r="C4878" i="12"/>
  <c r="C4775" i="12"/>
  <c r="B4910" i="12"/>
  <c r="C4765" i="12"/>
  <c r="B4900" i="12"/>
  <c r="C4769" i="12"/>
  <c r="B4904" i="12"/>
  <c r="B4881" i="12"/>
  <c r="C4746" i="12"/>
  <c r="C4822" i="12"/>
  <c r="B4957" i="12"/>
  <c r="B5107" i="12"/>
  <c r="C4972" i="12"/>
  <c r="B5189" i="12"/>
  <c r="C5189" i="12" s="1"/>
  <c r="C5054" i="12"/>
  <c r="B5021" i="12"/>
  <c r="C4886" i="12"/>
  <c r="B5041" i="12"/>
  <c r="C4906" i="12"/>
  <c r="C4803" i="12"/>
  <c r="B4938" i="12"/>
  <c r="B5055" i="12"/>
  <c r="C4920" i="12"/>
  <c r="C5127" i="12" l="1"/>
  <c r="B5262" i="12"/>
  <c r="C5262" i="12" s="1"/>
  <c r="B5264" i="12"/>
  <c r="C5264" i="12" s="1"/>
  <c r="C5129" i="12"/>
  <c r="A5243" i="12"/>
  <c r="C5243" i="12" s="1"/>
  <c r="C5108" i="12"/>
  <c r="B5240" i="12"/>
  <c r="C5240" i="12" s="1"/>
  <c r="C5105" i="12"/>
  <c r="B5031" i="12"/>
  <c r="C4896" i="12"/>
  <c r="C4961" i="12"/>
  <c r="B5096" i="12"/>
  <c r="B5098" i="12"/>
  <c r="C4963" i="12"/>
  <c r="B5075" i="12"/>
  <c r="C4940" i="12"/>
  <c r="B5025" i="12"/>
  <c r="C4890" i="12"/>
  <c r="C5032" i="12"/>
  <c r="B5167" i="12"/>
  <c r="C5167" i="12" s="1"/>
  <c r="A5235" i="12"/>
  <c r="C5235" i="12" s="1"/>
  <c r="C5100" i="12"/>
  <c r="A5226" i="12"/>
  <c r="C5226" i="12" s="1"/>
  <c r="C5091" i="12"/>
  <c r="B5163" i="12"/>
  <c r="C5163" i="12" s="1"/>
  <c r="C5028" i="12"/>
  <c r="B5188" i="12"/>
  <c r="C5188" i="12" s="1"/>
  <c r="C5053" i="12"/>
  <c r="B5101" i="12"/>
  <c r="C4966" i="12"/>
  <c r="A5145" i="12"/>
  <c r="C5145" i="12" s="1"/>
  <c r="C5010" i="12"/>
  <c r="C5077" i="12"/>
  <c r="B5212" i="12"/>
  <c r="C5212" i="12" s="1"/>
  <c r="C4883" i="12"/>
  <c r="B5018" i="12"/>
  <c r="B5081" i="12"/>
  <c r="C4946" i="12"/>
  <c r="B5124" i="12"/>
  <c r="C4989" i="12"/>
  <c r="B5223" i="12"/>
  <c r="C5223" i="12" s="1"/>
  <c r="C5088" i="12"/>
  <c r="B5040" i="12"/>
  <c r="C4905" i="12"/>
  <c r="B5169" i="12"/>
  <c r="C5169" i="12" s="1"/>
  <c r="C5034" i="12"/>
  <c r="B5185" i="12"/>
  <c r="C5185" i="12" s="1"/>
  <c r="C5050" i="12"/>
  <c r="C4864" i="12"/>
  <c r="B4999" i="12"/>
  <c r="B5244" i="12"/>
  <c r="C5244" i="12" s="1"/>
  <c r="C5109" i="12"/>
  <c r="B5138" i="12"/>
  <c r="C5138" i="12" s="1"/>
  <c r="C5003" i="12"/>
  <c r="C5036" i="12"/>
  <c r="B5171" i="12"/>
  <c r="C5171" i="12" s="1"/>
  <c r="B5117" i="12"/>
  <c r="C4982" i="12"/>
  <c r="B5198" i="12"/>
  <c r="C5198" i="12" s="1"/>
  <c r="C5063" i="12"/>
  <c r="B5130" i="12"/>
  <c r="C4995" i="12"/>
  <c r="B5092" i="12"/>
  <c r="C4957" i="12"/>
  <c r="C4910" i="12"/>
  <c r="B5045" i="12"/>
  <c r="B5072" i="12"/>
  <c r="C4937" i="12"/>
  <c r="B5027" i="12"/>
  <c r="C4892" i="12"/>
  <c r="C5041" i="12"/>
  <c r="B5176" i="12"/>
  <c r="C5176" i="12" s="1"/>
  <c r="C4908" i="12"/>
  <c r="B5043" i="12"/>
  <c r="C5066" i="12"/>
  <c r="B5201" i="12"/>
  <c r="C5201" i="12" s="1"/>
  <c r="B5213" i="12"/>
  <c r="C5213" i="12" s="1"/>
  <c r="C5078" i="12"/>
  <c r="B5156" i="12"/>
  <c r="C5156" i="12" s="1"/>
  <c r="C5021" i="12"/>
  <c r="B5016" i="12"/>
  <c r="C4881" i="12"/>
  <c r="A5148" i="12"/>
  <c r="C5148" i="12" s="1"/>
  <c r="C5013" i="12"/>
  <c r="B5202" i="12"/>
  <c r="C5202" i="12" s="1"/>
  <c r="C5067" i="12"/>
  <c r="C4978" i="12"/>
  <c r="B5113" i="12"/>
  <c r="C4879" i="12"/>
  <c r="B5014" i="12"/>
  <c r="B5090" i="12"/>
  <c r="C4955" i="12"/>
  <c r="C4904" i="12"/>
  <c r="B5039" i="12"/>
  <c r="B5177" i="12"/>
  <c r="C5177" i="12" s="1"/>
  <c r="C5042" i="12"/>
  <c r="B5190" i="12"/>
  <c r="C5190" i="12" s="1"/>
  <c r="C5055" i="12"/>
  <c r="B5247" i="12"/>
  <c r="C5247" i="12" s="1"/>
  <c r="C5112" i="12"/>
  <c r="C5114" i="12"/>
  <c r="B5249" i="12"/>
  <c r="C5249" i="12" s="1"/>
  <c r="C5070" i="12"/>
  <c r="B5205" i="12"/>
  <c r="C5205" i="12" s="1"/>
  <c r="C5071" i="12"/>
  <c r="B5206" i="12"/>
  <c r="C5206" i="12" s="1"/>
  <c r="B5073" i="12"/>
  <c r="C4938" i="12"/>
  <c r="B5035" i="12"/>
  <c r="C4900" i="12"/>
  <c r="B5011" i="12"/>
  <c r="C4876" i="12"/>
  <c r="B5026" i="12"/>
  <c r="C4891" i="12"/>
  <c r="B5242" i="12"/>
  <c r="C5242" i="12" s="1"/>
  <c r="C5107" i="12"/>
  <c r="B5144" i="12"/>
  <c r="C5144" i="12" s="1"/>
  <c r="C5009" i="12"/>
  <c r="C4877" i="12"/>
  <c r="B5012" i="12"/>
  <c r="C5102" i="12"/>
  <c r="B5237" i="12"/>
  <c r="C5237" i="12" s="1"/>
  <c r="C5064" i="12"/>
  <c r="B5199" i="12"/>
  <c r="C5199" i="12" s="1"/>
  <c r="C5115" i="12"/>
  <c r="B5250" i="12"/>
  <c r="C5250" i="12" s="1"/>
  <c r="C5096" i="12" l="1"/>
  <c r="B5231" i="12"/>
  <c r="C5231" i="12" s="1"/>
  <c r="B5160" i="12"/>
  <c r="C5160" i="12" s="1"/>
  <c r="C5025" i="12"/>
  <c r="B5166" i="12"/>
  <c r="C5166" i="12" s="1"/>
  <c r="C5031" i="12"/>
  <c r="C5075" i="12"/>
  <c r="B5210" i="12"/>
  <c r="C5210" i="12" s="1"/>
  <c r="C5098" i="12"/>
  <c r="B5233" i="12"/>
  <c r="C5233" i="12" s="1"/>
  <c r="B5265" i="12"/>
  <c r="C5265" i="12" s="1"/>
  <c r="C5130" i="12"/>
  <c r="C5081" i="12"/>
  <c r="B5216" i="12"/>
  <c r="C5216" i="12" s="1"/>
  <c r="B5236" i="12"/>
  <c r="C5236" i="12" s="1"/>
  <c r="C5101" i="12"/>
  <c r="C5040" i="12"/>
  <c r="B5175" i="12"/>
  <c r="C5175" i="12" s="1"/>
  <c r="C5124" i="12"/>
  <c r="B5259" i="12"/>
  <c r="C5259" i="12" s="1"/>
  <c r="C4999" i="12"/>
  <c r="B5134" i="12"/>
  <c r="C5134" i="12" s="1"/>
  <c r="B5153" i="12"/>
  <c r="C5153" i="12" s="1"/>
  <c r="C5018" i="12"/>
  <c r="C5117" i="12"/>
  <c r="B5252" i="12"/>
  <c r="C5252" i="12" s="1"/>
  <c r="B5174" i="12"/>
  <c r="C5174" i="12" s="1"/>
  <c r="C5039" i="12"/>
  <c r="C5035" i="12"/>
  <c r="B5170" i="12"/>
  <c r="C5170" i="12" s="1"/>
  <c r="C5027" i="12"/>
  <c r="B5162" i="12"/>
  <c r="C5162" i="12" s="1"/>
  <c r="B5208" i="12"/>
  <c r="C5208" i="12" s="1"/>
  <c r="C5073" i="12"/>
  <c r="C5090" i="12"/>
  <c r="B5225" i="12"/>
  <c r="C5225" i="12" s="1"/>
  <c r="C5072" i="12"/>
  <c r="B5207" i="12"/>
  <c r="C5207" i="12" s="1"/>
  <c r="B5178" i="12"/>
  <c r="C5178" i="12" s="1"/>
  <c r="C5043" i="12"/>
  <c r="B5161" i="12"/>
  <c r="C5161" i="12" s="1"/>
  <c r="C5026" i="12"/>
  <c r="C5016" i="12"/>
  <c r="B5151" i="12"/>
  <c r="C5151" i="12" s="1"/>
  <c r="B5147" i="12"/>
  <c r="C5147" i="12" s="1"/>
  <c r="C5012" i="12"/>
  <c r="B5248" i="12"/>
  <c r="C5248" i="12" s="1"/>
  <c r="C5113" i="12"/>
  <c r="B5149" i="12"/>
  <c r="C5149" i="12" s="1"/>
  <c r="C5014" i="12"/>
  <c r="C5045" i="12"/>
  <c r="B5180" i="12"/>
  <c r="C5180" i="12" s="1"/>
  <c r="C5011" i="12"/>
  <c r="B5146" i="12"/>
  <c r="C5146" i="12" s="1"/>
  <c r="B5227" i="12"/>
  <c r="C5227" i="12" s="1"/>
  <c r="C5092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O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P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R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P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R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W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X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Y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Z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<sst xmlns="http://schemas.openxmlformats.org/spreadsheetml/2006/main" count="9362" uniqueCount="2722">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</sst>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3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" fontId="7" fillId="66" borderId="0" xfId="0" applyNumberFormat="1" applyFont="1" applyFill="1" applyAlignment="1">
      <alignment horizontal="right"/>
    </xf>
    <xf numFmtId="3" fontId="5" fillId="0" borderId="0" xfId="0" applyNumberFormat="1" applyFont="1"/>
    <xf numFmtId="3" fontId="6" fillId="0" borderId="0" xfId="0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5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[48. Capacidade Instalada Total de Eólica limitada a 50 GW no horizonte.xlsx]Plan1!Tabela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69E-4E3C-A636-0865FB4CF3F4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9E-4E3C-A636-0865FB4CF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794048"/>
        <c:axId val="305796224"/>
      </c:barChart>
      <c:catAx>
        <c:axId val="305794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305796224"/>
        <c:crosses val="autoZero"/>
        <c:auto val="1"/>
        <c:lblAlgn val="ctr"/>
        <c:lblOffset val="100"/>
        <c:noMultiLvlLbl val="0"/>
      </c:catAx>
      <c:valAx>
        <c:axId val="3057962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3057940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 formatCode="0">
                  <c:v>1784</c:v>
                </c:pt>
                <c:pt idx="9" formatCode="0">
                  <c:v>1890</c:v>
                </c:pt>
                <c:pt idx="10" formatCode="0">
                  <c:v>2003</c:v>
                </c:pt>
                <c:pt idx="11" formatCode="0">
                  <c:v>2125</c:v>
                </c:pt>
                <c:pt idx="12" formatCode="0">
                  <c:v>2254</c:v>
                </c:pt>
                <c:pt idx="13" formatCode="0">
                  <c:v>2391</c:v>
                </c:pt>
                <c:pt idx="14" formatCode="0">
                  <c:v>2537</c:v>
                </c:pt>
                <c:pt idx="15" formatCode="0">
                  <c:v>2693</c:v>
                </c:pt>
                <c:pt idx="16" formatCode="0">
                  <c:v>2859</c:v>
                </c:pt>
                <c:pt idx="17" formatCode="0">
                  <c:v>3035</c:v>
                </c:pt>
                <c:pt idx="18" formatCode="0">
                  <c:v>3223</c:v>
                </c:pt>
                <c:pt idx="19" formatCode="0">
                  <c:v>3423</c:v>
                </c:pt>
                <c:pt idx="20" formatCode="0">
                  <c:v>3635</c:v>
                </c:pt>
                <c:pt idx="21" formatCode="0">
                  <c:v>3862</c:v>
                </c:pt>
                <c:pt idx="22" formatCode="0">
                  <c:v>4104</c:v>
                </c:pt>
                <c:pt idx="23" formatCode="0">
                  <c:v>4361</c:v>
                </c:pt>
                <c:pt idx="24" formatCode="0">
                  <c:v>4635</c:v>
                </c:pt>
                <c:pt idx="25" formatCode="0">
                  <c:v>4871</c:v>
                </c:pt>
                <c:pt idx="26" formatCode="0">
                  <c:v>4871</c:v>
                </c:pt>
                <c:pt idx="27" formatCode="0">
                  <c:v>4871</c:v>
                </c:pt>
                <c:pt idx="28" formatCode="0">
                  <c:v>4871</c:v>
                </c:pt>
                <c:pt idx="29" formatCode="0">
                  <c:v>4871</c:v>
                </c:pt>
                <c:pt idx="30" formatCode="0">
                  <c:v>4871</c:v>
                </c:pt>
                <c:pt idx="31" formatCode="0">
                  <c:v>4871</c:v>
                </c:pt>
                <c:pt idx="32" formatCode="0">
                  <c:v>4871</c:v>
                </c:pt>
                <c:pt idx="33" formatCode="0">
                  <c:v>4871</c:v>
                </c:pt>
                <c:pt idx="34" formatCode="0">
                  <c:v>4871</c:v>
                </c:pt>
                <c:pt idx="35" formatCode="0">
                  <c:v>4871</c:v>
                </c:pt>
                <c:pt idx="36" formatCode="0">
                  <c:v>4871</c:v>
                </c:pt>
                <c:pt idx="37" formatCode="0">
                  <c:v>4871</c:v>
                </c:pt>
                <c:pt idx="38" formatCode="0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1D-43A5-9F52-05A068F1E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676992"/>
        <c:axId val="318678528"/>
      </c:lineChart>
      <c:catAx>
        <c:axId val="318676992"/>
        <c:scaling>
          <c:orientation val="minMax"/>
        </c:scaling>
        <c:delete val="0"/>
        <c:axPos val="b"/>
        <c:majorTickMark val="out"/>
        <c:minorTickMark val="none"/>
        <c:tickLblPos val="nextTo"/>
        <c:crossAx val="318678528"/>
        <c:crosses val="autoZero"/>
        <c:auto val="1"/>
        <c:lblAlgn val="ctr"/>
        <c:lblOffset val="100"/>
        <c:noMultiLvlLbl val="0"/>
      </c:catAx>
      <c:valAx>
        <c:axId val="31867852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8676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EOL%2050GW_com%20interfer&#234;ncia250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07000000}">
  <cacheSource type="worksheet">
    <worksheetSource ref="A1:BH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31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4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3.1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7" t="s">
        <v>9</v>
      </c>
      <c r="K3" s="648"/>
      <c r="L3" s="647" t="s">
        <v>10</v>
      </c>
      <c r="M3" s="648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H1661"/>
  <sheetViews>
    <sheetView zoomScale="90" zoomScaleNormal="90" workbookViewId="0">
      <pane xSplit="6" ySplit="1" topLeftCell="AD2" activePane="bottomRight" state="frozen"/>
      <selection pane="bottomRight" activeCell="AG2" sqref="AG2:AG216"/>
      <selection pane="bottomLeft" activeCell="A2" sqref="A2"/>
      <selection pane="topRight" activeCell="F1" sqref="F1"/>
    </sheetView>
  </sheetViews>
  <sheetFormatPr defaultColWidth="9.140625" defaultRowHeight="13.15"/>
  <cols>
    <col min="1" max="1" width="18.7109375" style="125" customWidth="1"/>
    <col min="2" max="2" width="14.140625" style="125" customWidth="1"/>
    <col min="3" max="3" width="28.7109375" style="3" bestFit="1" customWidth="1"/>
    <col min="4" max="5" width="28.5703125" style="3" customWidth="1"/>
    <col min="6" max="6" width="12" style="505" customWidth="1"/>
    <col min="7" max="7" width="29.42578125" style="3" customWidth="1"/>
    <col min="8" max="8" width="14.85546875" style="3" customWidth="1"/>
    <col min="9" max="10" width="18.7109375" style="3" customWidth="1"/>
    <col min="11" max="11" width="6" style="125" customWidth="1"/>
    <col min="12" max="12" width="7.5703125" style="125" customWidth="1"/>
    <col min="13" max="13" width="6.42578125" style="125" customWidth="1"/>
    <col min="14" max="14" width="10.5703125" style="3" customWidth="1"/>
    <col min="15" max="15" width="7.85546875" style="3" customWidth="1"/>
    <col min="16" max="16" width="7.140625" style="3" customWidth="1"/>
    <col min="17" max="18" width="18.7109375" style="3" customWidth="1"/>
    <col min="19" max="19" width="10.7109375" style="3" bestFit="1" customWidth="1"/>
    <col min="20" max="32" width="18.7109375" style="3" customWidth="1"/>
    <col min="33" max="34" width="18.7109375" style="125" customWidth="1"/>
    <col min="35" max="35" width="13.85546875" style="125" customWidth="1"/>
    <col min="36" max="36" width="20" style="3" customWidth="1"/>
    <col min="37" max="37" width="20.85546875" style="3" customWidth="1"/>
    <col min="38" max="38" width="18.5703125" style="3" customWidth="1"/>
    <col min="39" max="39" width="10.42578125" style="125" customWidth="1"/>
    <col min="40" max="40" width="16.42578125" style="3" customWidth="1"/>
    <col min="41" max="41" width="8.5703125" style="3" customWidth="1"/>
    <col min="42" max="42" width="12.140625" style="3" customWidth="1"/>
    <col min="43" max="43" width="15.85546875" style="422" customWidth="1"/>
    <col min="44" max="53" width="18.7109375" style="3" customWidth="1"/>
    <col min="54" max="54" width="17.85546875" style="3" customWidth="1"/>
    <col min="55" max="55" width="25.140625" style="3" bestFit="1" customWidth="1"/>
    <col min="56" max="56" width="18" style="3" customWidth="1"/>
    <col min="57" max="57" width="25.7109375" style="3" customWidth="1"/>
    <col min="58" max="58" width="13" style="3" customWidth="1"/>
    <col min="59" max="59" width="12.5703125" style="3" customWidth="1"/>
    <col min="60" max="60" width="33.140625" style="3" bestFit="1" customWidth="1"/>
    <col min="61" max="16384" width="9.140625" style="3"/>
  </cols>
  <sheetData>
    <row r="1" spans="1:60" s="125" customFormat="1" ht="13.9" thickBot="1">
      <c r="A1" s="15" t="s">
        <v>2160</v>
      </c>
      <c r="B1" s="2" t="s">
        <v>267</v>
      </c>
      <c r="C1" s="2" t="s">
        <v>269</v>
      </c>
      <c r="D1" s="2" t="s">
        <v>1961</v>
      </c>
      <c r="E1" s="2"/>
      <c r="F1" s="521" t="s">
        <v>162</v>
      </c>
      <c r="G1" s="2" t="s">
        <v>1962</v>
      </c>
      <c r="H1" s="2" t="s">
        <v>1963</v>
      </c>
      <c r="I1" s="2" t="s">
        <v>1964</v>
      </c>
      <c r="J1" s="2" t="s">
        <v>1965</v>
      </c>
      <c r="K1" s="2" t="s">
        <v>2161</v>
      </c>
      <c r="L1" s="2" t="s">
        <v>137</v>
      </c>
      <c r="M1" s="2" t="s">
        <v>138</v>
      </c>
      <c r="N1" s="522" t="s">
        <v>2162</v>
      </c>
      <c r="O1" s="2" t="s">
        <v>177</v>
      </c>
      <c r="P1" s="2" t="s">
        <v>178</v>
      </c>
      <c r="Q1" s="2" t="s">
        <v>2163</v>
      </c>
      <c r="R1" s="337" t="s">
        <v>1966</v>
      </c>
      <c r="S1" s="337" t="s">
        <v>2164</v>
      </c>
      <c r="T1" s="13" t="s">
        <v>1967</v>
      </c>
      <c r="U1" s="13" t="s">
        <v>1968</v>
      </c>
      <c r="V1" s="13" t="s">
        <v>1969</v>
      </c>
      <c r="W1" s="13" t="s">
        <v>1970</v>
      </c>
      <c r="X1" s="13" t="s">
        <v>2165</v>
      </c>
      <c r="Y1" s="337" t="s">
        <v>1971</v>
      </c>
      <c r="Z1" s="337" t="s">
        <v>2166</v>
      </c>
      <c r="AA1" s="13" t="s">
        <v>1972</v>
      </c>
      <c r="AB1" s="13" t="s">
        <v>1973</v>
      </c>
      <c r="AC1" s="13" t="s">
        <v>1974</v>
      </c>
      <c r="AD1" s="13" t="s">
        <v>1975</v>
      </c>
      <c r="AE1" s="15" t="s">
        <v>141</v>
      </c>
      <c r="AF1" s="27" t="s">
        <v>2167</v>
      </c>
      <c r="AG1" s="2" t="s">
        <v>143</v>
      </c>
      <c r="AH1" s="2" t="s">
        <v>144</v>
      </c>
      <c r="AI1" s="26" t="s">
        <v>2168</v>
      </c>
      <c r="AJ1" s="2" t="s">
        <v>187</v>
      </c>
      <c r="AK1" s="2" t="s">
        <v>188</v>
      </c>
      <c r="AL1" s="2" t="s">
        <v>189</v>
      </c>
      <c r="AM1" s="15" t="s">
        <v>190</v>
      </c>
      <c r="AN1" s="2" t="s">
        <v>2169</v>
      </c>
      <c r="AO1" s="2" t="s">
        <v>192</v>
      </c>
      <c r="AP1" s="27" t="s">
        <v>193</v>
      </c>
      <c r="AQ1" s="392" t="s">
        <v>2170</v>
      </c>
      <c r="AR1" s="338" t="s">
        <v>2171</v>
      </c>
      <c r="AS1" s="338" t="s">
        <v>2172</v>
      </c>
      <c r="AT1" s="339" t="s">
        <v>195</v>
      </c>
      <c r="AU1" s="339" t="s">
        <v>196</v>
      </c>
      <c r="AV1" s="339" t="s">
        <v>2173</v>
      </c>
      <c r="AW1" s="339" t="s">
        <v>198</v>
      </c>
      <c r="AX1" s="28" t="s">
        <v>199</v>
      </c>
      <c r="AY1" s="29" t="s">
        <v>200</v>
      </c>
      <c r="AZ1" s="71" t="s">
        <v>201</v>
      </c>
      <c r="BA1" s="15" t="s">
        <v>135</v>
      </c>
      <c r="BB1" s="16" t="s">
        <v>2174</v>
      </c>
      <c r="BC1" s="340" t="s">
        <v>2175</v>
      </c>
      <c r="BD1" s="125" t="s">
        <v>40</v>
      </c>
      <c r="BE1" s="523" t="s">
        <v>2176</v>
      </c>
      <c r="BF1" s="523" t="s">
        <v>2177</v>
      </c>
      <c r="BG1" s="524" t="s">
        <v>2178</v>
      </c>
      <c r="BH1" s="524" t="s">
        <v>2179</v>
      </c>
    </row>
    <row r="2" spans="1:60" ht="15" thickTop="1">
      <c r="A2" s="125">
        <v>1001</v>
      </c>
      <c r="B2" s="125">
        <v>1001</v>
      </c>
      <c r="C2" s="525" t="s">
        <v>2180</v>
      </c>
      <c r="D2" s="525" t="s">
        <v>2180</v>
      </c>
      <c r="E2" s="546"/>
      <c r="F2" s="526">
        <v>225.7</v>
      </c>
      <c r="G2" s="3" t="s">
        <v>2181</v>
      </c>
      <c r="H2" s="3" t="s">
        <v>2182</v>
      </c>
      <c r="I2" s="527">
        <v>-53.770277999999998</v>
      </c>
      <c r="J2" s="527">
        <v>-0.207203</v>
      </c>
      <c r="K2" s="528" t="s">
        <v>155</v>
      </c>
      <c r="L2" s="528" t="s">
        <v>155</v>
      </c>
      <c r="M2" s="554">
        <v>4</v>
      </c>
      <c r="N2" s="107"/>
      <c r="O2" s="529">
        <v>1.9820000000000001E-2</v>
      </c>
      <c r="P2" s="529">
        <v>5.2919999999999995E-2</v>
      </c>
      <c r="Q2" s="288">
        <f t="shared" ref="Q2:Q33" si="0">R2/$F2</f>
        <v>0.64443464248792115</v>
      </c>
      <c r="R2" s="30">
        <f t="shared" ref="R2:R65" si="1">AVERAGE(T2:W2)</f>
        <v>145.4488988095238</v>
      </c>
      <c r="S2" s="30">
        <f t="shared" ref="S2:S33" si="2">F2-R2</f>
        <v>80.251101190476192</v>
      </c>
      <c r="T2" s="107">
        <v>173.54857142857142</v>
      </c>
      <c r="U2" s="107">
        <v>198.64827380952377</v>
      </c>
      <c r="V2" s="107">
        <v>117.06374999999998</v>
      </c>
      <c r="W2" s="107">
        <v>92.535000000000011</v>
      </c>
      <c r="X2" s="288">
        <f t="shared" ref="X2:X33" si="3">Y2/$F2</f>
        <v>0.59020602569782876</v>
      </c>
      <c r="Y2" s="289">
        <f t="shared" ref="Y2:Y65" si="4">AVERAGE(AA2:AD2)</f>
        <v>133.20949999999993</v>
      </c>
      <c r="Z2" s="289">
        <f t="shared" ref="Z2:Z65" si="5">Y2-R2</f>
        <v>-12.239398809523863</v>
      </c>
      <c r="AA2" s="107">
        <v>153.61364705882346</v>
      </c>
      <c r="AB2" s="107">
        <v>194.86137254901942</v>
      </c>
      <c r="AC2" s="107">
        <v>121.02274509803915</v>
      </c>
      <c r="AD2" s="107">
        <v>63.34023529411764</v>
      </c>
      <c r="AE2" s="106">
        <v>1</v>
      </c>
      <c r="AF2" s="32" t="str">
        <f>IF(AE2=0,"",VLOOKUP(AE2,tab_tipo_expansao!$A$2:$B$4,2,0))</f>
        <v>opcional</v>
      </c>
      <c r="AG2" s="125">
        <v>2030</v>
      </c>
      <c r="AH2" s="125">
        <v>2100</v>
      </c>
      <c r="AI2" s="125">
        <v>30</v>
      </c>
      <c r="AJ2" s="530">
        <v>1919.0294896418484</v>
      </c>
      <c r="AK2" s="24">
        <f>AL2/constantes!$B$4</f>
        <v>2180.145518377979</v>
      </c>
      <c r="AL2" s="33">
        <f t="shared" ref="AL2:AL33" si="6">AJ2/F2*1000</f>
        <v>8502.5675216741183</v>
      </c>
      <c r="AM2" s="87">
        <v>2</v>
      </c>
      <c r="AN2" s="531">
        <v>0</v>
      </c>
      <c r="AO2" s="23"/>
      <c r="AP2" s="532">
        <f t="shared" ref="AP2:AP65" si="7">AJ2+AN2+AO2</f>
        <v>1919.0294896418484</v>
      </c>
      <c r="AQ2" s="34"/>
      <c r="AR2" s="35">
        <f t="shared" ref="AR2:AR33" si="8">AP2*1000/F2</f>
        <v>8502.5675216741183</v>
      </c>
      <c r="AS2" s="36">
        <f ca="1">OFFSET(cod_desembolso!$A$1,AM2,23)</f>
        <v>1.1245293369208682</v>
      </c>
      <c r="AT2" s="37">
        <f ca="1">IF(AP2=0,0,AP2*(OFFSET(cod_desembolso!$A$1,AM2,23)))</f>
        <v>2158.0049595185401</v>
      </c>
      <c r="AU2" s="38">
        <f>(constantes!$B$3*(1+constantes!$B$3)^(AI2))/((1+constantes!$B$3)^(AI2)-1)</f>
        <v>8.8827433387272267E-2</v>
      </c>
      <c r="AV2" s="37">
        <f t="shared" ref="AV2:AV65" ca="1" si="9">IF(AND(AP2=0,AY2=0),0,AT2*AU2+AY2)</f>
        <v>202.97504179103629</v>
      </c>
      <c r="AW2" s="37">
        <f ca="1">IF(AP2=0,AY2/constantes!$B$3,AV2/constantes!$B$3)</f>
        <v>2537.1880223879534</v>
      </c>
      <c r="AX2" s="39">
        <f ca="1">IF(AP2=0,0,PV(constantes!$B$3,AI2,-AV2)*constantes!$B$3)</f>
        <v>182.80392356365869</v>
      </c>
      <c r="AY2" s="40">
        <f>constantes!$B$10*F2/1000</f>
        <v>11.285</v>
      </c>
      <c r="AZ2" s="533">
        <f>constantes!$B$12</f>
        <v>0</v>
      </c>
      <c r="BA2" s="20">
        <v>318</v>
      </c>
      <c r="BB2" s="43"/>
      <c r="BC2" s="3" t="s">
        <v>2183</v>
      </c>
      <c r="BE2" s="534">
        <v>1</v>
      </c>
      <c r="BF2" s="535">
        <v>2027</v>
      </c>
      <c r="BG2" s="536">
        <v>1</v>
      </c>
      <c r="BH2" s="537">
        <v>2027</v>
      </c>
    </row>
    <row r="3" spans="1:60" ht="14.45">
      <c r="A3" s="125">
        <v>1002</v>
      </c>
      <c r="B3" s="125">
        <v>1002</v>
      </c>
      <c r="C3" s="538" t="s">
        <v>2184</v>
      </c>
      <c r="D3" s="538" t="s">
        <v>2184</v>
      </c>
      <c r="E3" s="546"/>
      <c r="F3" s="526">
        <v>140.5</v>
      </c>
      <c r="G3" s="3" t="s">
        <v>2181</v>
      </c>
      <c r="H3" s="3" t="s">
        <v>2182</v>
      </c>
      <c r="I3" s="527">
        <v>-53.840142999999998</v>
      </c>
      <c r="J3" s="527">
        <v>-5.8097999999999997E-2</v>
      </c>
      <c r="K3" s="539" t="s">
        <v>155</v>
      </c>
      <c r="L3" s="539" t="s">
        <v>155</v>
      </c>
      <c r="M3" s="554">
        <v>4</v>
      </c>
      <c r="N3" s="107"/>
      <c r="O3" s="529">
        <v>1.6379999999999999E-2</v>
      </c>
      <c r="P3" s="529">
        <v>6.1409999999999999E-2</v>
      </c>
      <c r="Q3" s="288">
        <f t="shared" si="0"/>
        <v>0.52086627266564989</v>
      </c>
      <c r="R3" s="30">
        <f t="shared" si="1"/>
        <v>73.181711309523806</v>
      </c>
      <c r="S3" s="30">
        <f t="shared" si="2"/>
        <v>67.318288690476194</v>
      </c>
      <c r="T3" s="107">
        <v>91.557619047619042</v>
      </c>
      <c r="U3" s="107">
        <v>112.32255952380952</v>
      </c>
      <c r="V3" s="107">
        <v>51.911666666666662</v>
      </c>
      <c r="W3" s="107">
        <v>36.934999999999995</v>
      </c>
      <c r="X3" s="288">
        <f t="shared" si="3"/>
        <v>0.46787942223152607</v>
      </c>
      <c r="Y3" s="289">
        <f t="shared" si="4"/>
        <v>65.737058823529409</v>
      </c>
      <c r="Z3" s="289">
        <f t="shared" si="5"/>
        <v>-7.4446524859943963</v>
      </c>
      <c r="AA3" s="107">
        <v>74.862313725490182</v>
      </c>
      <c r="AB3" s="107">
        <v>108.9846274509804</v>
      </c>
      <c r="AC3" s="107">
        <v>53.718784313725486</v>
      </c>
      <c r="AD3" s="107">
        <v>25.382509803921561</v>
      </c>
      <c r="AE3" s="106">
        <v>1</v>
      </c>
      <c r="AF3" s="32" t="str">
        <f>IF(AE3=0,"",VLOOKUP(AE3,tab_tipo_expansao!$A$2:$B$4,2,0))</f>
        <v>opcional</v>
      </c>
      <c r="AG3" s="125">
        <v>2030</v>
      </c>
      <c r="AH3" s="125">
        <v>2100</v>
      </c>
      <c r="AI3" s="125">
        <v>30</v>
      </c>
      <c r="AJ3" s="530">
        <v>1499.5630440458831</v>
      </c>
      <c r="AK3" s="24">
        <f>AL3/constantes!$B$4</f>
        <v>2736.6786094459039</v>
      </c>
      <c r="AL3" s="33">
        <f t="shared" si="6"/>
        <v>10673.046576839026</v>
      </c>
      <c r="AM3" s="87">
        <v>2</v>
      </c>
      <c r="AN3" s="531">
        <v>0</v>
      </c>
      <c r="AO3" s="23"/>
      <c r="AP3" s="532">
        <f t="shared" si="7"/>
        <v>1499.5630440458831</v>
      </c>
      <c r="AR3" s="35">
        <f t="shared" si="8"/>
        <v>10673.046576839024</v>
      </c>
      <c r="AS3" s="36">
        <f ca="1">OFFSET(cod_desembolso!$A$1,AM3,23)</f>
        <v>1.1245293369208682</v>
      </c>
      <c r="AT3" s="37">
        <f ca="1">IF(AP3=0,0,AP3*(OFFSET(cod_desembolso!$A$1,AM3,23)))</f>
        <v>1686.3026355919555</v>
      </c>
      <c r="AU3" s="38">
        <f>(constantes!$B$3*(1+constantes!$B$3)^(AI3))/((1+constantes!$B$3)^(AI3)-1)</f>
        <v>8.8827433387272267E-2</v>
      </c>
      <c r="AV3" s="37">
        <f t="shared" ca="1" si="9"/>
        <v>156.81493503382609</v>
      </c>
      <c r="AW3" s="37">
        <f ca="1">IF(AP3=0,AY3/constantes!$B$3,AV3/constantes!$B$3)</f>
        <v>1960.186687922826</v>
      </c>
      <c r="AX3" s="39">
        <f ca="1">IF(AP3=0,0,PV(constantes!$B$3,AI3,-AV3)*constantes!$B$3)</f>
        <v>141.2310850861941</v>
      </c>
      <c r="AY3" s="40">
        <f>constantes!$B$10*F3/1000</f>
        <v>7.0250000000000004</v>
      </c>
      <c r="AZ3" s="533">
        <f>constantes!$B$12</f>
        <v>0</v>
      </c>
      <c r="BA3" s="20">
        <v>318</v>
      </c>
      <c r="BB3" s="43"/>
      <c r="BC3" s="3" t="s">
        <v>2185</v>
      </c>
      <c r="BE3" s="534">
        <v>1</v>
      </c>
      <c r="BF3" s="535">
        <v>2030</v>
      </c>
      <c r="BG3" s="536">
        <v>1</v>
      </c>
      <c r="BH3" s="537">
        <v>2030</v>
      </c>
    </row>
    <row r="4" spans="1:60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46"/>
      <c r="F4" s="526">
        <v>186.3</v>
      </c>
      <c r="G4" s="3" t="s">
        <v>2181</v>
      </c>
      <c r="H4" s="3" t="s">
        <v>2182</v>
      </c>
      <c r="I4" s="527">
        <v>-53.841644000000002</v>
      </c>
      <c r="J4" s="527">
        <v>2.1526E-2</v>
      </c>
      <c r="K4" s="539" t="s">
        <v>155</v>
      </c>
      <c r="L4" s="539" t="s">
        <v>155</v>
      </c>
      <c r="M4" s="554">
        <v>4</v>
      </c>
      <c r="N4" s="107"/>
      <c r="O4" s="529">
        <v>1.6379999999999999E-2</v>
      </c>
      <c r="P4" s="529">
        <v>6.1409999999999999E-2</v>
      </c>
      <c r="Q4" s="288">
        <f t="shared" si="0"/>
        <v>0.48225244740945217</v>
      </c>
      <c r="R4" s="30">
        <f t="shared" si="1"/>
        <v>89.843630952380948</v>
      </c>
      <c r="S4" s="30">
        <f t="shared" si="2"/>
        <v>96.456369047619063</v>
      </c>
      <c r="T4" s="107">
        <v>112.1947619047619</v>
      </c>
      <c r="U4" s="107">
        <v>136.68886904761905</v>
      </c>
      <c r="V4" s="107">
        <v>64.421250000000001</v>
      </c>
      <c r="W4" s="107">
        <v>46.06964285714286</v>
      </c>
      <c r="X4" s="288">
        <f t="shared" si="3"/>
        <v>0.43390778104048916</v>
      </c>
      <c r="Y4" s="289">
        <f t="shared" si="4"/>
        <v>80.837019607843132</v>
      </c>
      <c r="Z4" s="289">
        <f t="shared" si="5"/>
        <v>-9.0066113445378164</v>
      </c>
      <c r="AA4" s="107">
        <v>92.238196078431358</v>
      </c>
      <c r="AB4" s="107">
        <v>132.83905882352943</v>
      </c>
      <c r="AC4" s="107">
        <v>66.606117647058838</v>
      </c>
      <c r="AD4" s="107">
        <v>31.664705882352933</v>
      </c>
      <c r="AE4" s="106">
        <v>1</v>
      </c>
      <c r="AF4" s="32" t="str">
        <f>IF(AE4=0,"",VLOOKUP(AE4,tab_tipo_expansao!$A$2:$B$4,2,0))</f>
        <v>opcional</v>
      </c>
      <c r="AG4" s="125">
        <v>2030</v>
      </c>
      <c r="AH4" s="125">
        <v>2100</v>
      </c>
      <c r="AI4" s="125">
        <v>30</v>
      </c>
      <c r="AJ4" s="530">
        <v>1680.3260658097868</v>
      </c>
      <c r="AK4" s="24">
        <f>AL4/constantes!$B$4</f>
        <v>2312.6829704086144</v>
      </c>
      <c r="AL4" s="33">
        <f t="shared" si="6"/>
        <v>9019.4635845935954</v>
      </c>
      <c r="AM4" s="87">
        <v>2</v>
      </c>
      <c r="AN4" s="531">
        <v>0</v>
      </c>
      <c r="AO4" s="23"/>
      <c r="AP4" s="532">
        <f t="shared" si="7"/>
        <v>1680.3260658097868</v>
      </c>
      <c r="AR4" s="35">
        <f t="shared" si="8"/>
        <v>9019.4635845935954</v>
      </c>
      <c r="AS4" s="36">
        <f ca="1">OFFSET(cod_desembolso!$A$1,AM4,23)</f>
        <v>1.1245293369208682</v>
      </c>
      <c r="AT4" s="37">
        <f ca="1">IF(AP4=0,0,AP4*(OFFSET(cod_desembolso!$A$1,AM4,23)))</f>
        <v>1889.5759565959306</v>
      </c>
      <c r="AU4" s="38">
        <f>(constantes!$B$3*(1+constantes!$B$3)^(AI4))/((1+constantes!$B$3)^(AI4)-1)</f>
        <v>8.8827433387272267E-2</v>
      </c>
      <c r="AV4" s="37">
        <f t="shared" ca="1" si="9"/>
        <v>177.16118241471631</v>
      </c>
      <c r="AW4" s="37">
        <f ca="1">IF(AP4=0,AY4/constantes!$B$3,AV4/constantes!$B$3)</f>
        <v>2214.5147801839539</v>
      </c>
      <c r="AX4" s="39">
        <f ca="1">IF(AP4=0,0,PV(constantes!$B$3,AI4,-AV4)*constantes!$B$3)</f>
        <v>159.55537667497308</v>
      </c>
      <c r="AY4" s="40">
        <f>constantes!$B$10*F4/1000</f>
        <v>9.3149999999999995</v>
      </c>
      <c r="AZ4" s="533">
        <f>constantes!$B$12</f>
        <v>0</v>
      </c>
      <c r="BA4" s="20">
        <v>318</v>
      </c>
      <c r="BB4" s="43"/>
      <c r="BC4" s="3" t="s">
        <v>2183</v>
      </c>
      <c r="BE4" s="534">
        <v>1</v>
      </c>
      <c r="BF4" s="535">
        <v>2027</v>
      </c>
      <c r="BG4" s="536">
        <v>1</v>
      </c>
      <c r="BH4" s="537">
        <v>2027</v>
      </c>
    </row>
    <row r="5" spans="1:60" ht="14.45">
      <c r="A5" s="125">
        <v>1004</v>
      </c>
      <c r="B5" s="125">
        <v>1004</v>
      </c>
      <c r="C5" s="538" t="s">
        <v>2187</v>
      </c>
      <c r="D5" s="538" t="s">
        <v>2187</v>
      </c>
      <c r="E5" s="546"/>
      <c r="F5" s="526">
        <v>104.1</v>
      </c>
      <c r="G5" s="3" t="s">
        <v>2181</v>
      </c>
      <c r="H5" s="3" t="s">
        <v>2182</v>
      </c>
      <c r="I5" s="527">
        <v>-53.814917999999999</v>
      </c>
      <c r="J5" s="527">
        <v>0.102156</v>
      </c>
      <c r="K5" s="539" t="s">
        <v>155</v>
      </c>
      <c r="L5" s="539" t="s">
        <v>155</v>
      </c>
      <c r="M5" s="554">
        <v>4</v>
      </c>
      <c r="N5" s="107"/>
      <c r="O5" s="529">
        <v>1.9820000000000001E-2</v>
      </c>
      <c r="P5" s="529">
        <v>5.2919999999999995E-2</v>
      </c>
      <c r="Q5" s="288">
        <f t="shared" si="0"/>
        <v>0.41709608435112755</v>
      </c>
      <c r="R5" s="30">
        <f t="shared" si="1"/>
        <v>43.419702380952373</v>
      </c>
      <c r="S5" s="30">
        <f t="shared" si="2"/>
        <v>60.680297619047622</v>
      </c>
      <c r="T5" s="107">
        <v>54.339523809523804</v>
      </c>
      <c r="U5" s="107">
        <v>66.708571428571418</v>
      </c>
      <c r="V5" s="107">
        <v>30.785416666666666</v>
      </c>
      <c r="W5" s="107">
        <v>21.845297619047617</v>
      </c>
      <c r="X5" s="288">
        <f t="shared" si="3"/>
        <v>0.37465012902375161</v>
      </c>
      <c r="Y5" s="289">
        <f t="shared" si="4"/>
        <v>39.001078431372541</v>
      </c>
      <c r="Z5" s="289">
        <f t="shared" si="5"/>
        <v>-4.4186239495798318</v>
      </c>
      <c r="AA5" s="107">
        <v>44.399647058823518</v>
      </c>
      <c r="AB5" s="107">
        <v>64.752784313725485</v>
      </c>
      <c r="AC5" s="107">
        <v>31.825647058823535</v>
      </c>
      <c r="AD5" s="107">
        <v>15.026235294117646</v>
      </c>
      <c r="AE5" s="106">
        <v>1</v>
      </c>
      <c r="AF5" s="32" t="str">
        <f>IF(AE5=0,"",VLOOKUP(AE5,tab_tipo_expansao!$A$2:$B$4,2,0))</f>
        <v>opcional</v>
      </c>
      <c r="AG5" s="125">
        <v>2030</v>
      </c>
      <c r="AH5" s="125">
        <v>2100</v>
      </c>
      <c r="AI5" s="125">
        <v>30</v>
      </c>
      <c r="AJ5" s="530">
        <v>1251.0995301877967</v>
      </c>
      <c r="AK5" s="24">
        <f>AL5/constantes!$B$4</f>
        <v>3081.6018379462471</v>
      </c>
      <c r="AL5" s="33">
        <f t="shared" si="6"/>
        <v>12018.247167990363</v>
      </c>
      <c r="AM5" s="87">
        <v>2</v>
      </c>
      <c r="AN5" s="531">
        <v>0</v>
      </c>
      <c r="AO5" s="23"/>
      <c r="AP5" s="532">
        <f t="shared" si="7"/>
        <v>1251.0995301877967</v>
      </c>
      <c r="AR5" s="35">
        <f t="shared" si="8"/>
        <v>12018.247167990365</v>
      </c>
      <c r="AS5" s="36">
        <f ca="1">OFFSET(cod_desembolso!$A$1,AM5,23)</f>
        <v>1.1245293369208682</v>
      </c>
      <c r="AT5" s="37">
        <f ca="1">IF(AP5=0,0,AP5*(OFFSET(cod_desembolso!$A$1,AM5,23)))</f>
        <v>1406.8981251040927</v>
      </c>
      <c r="AU5" s="38">
        <f>(constantes!$B$3*(1+constantes!$B$3)^(AI5))/((1+constantes!$B$3)^(AI5)-1)</f>
        <v>8.8827433387272267E-2</v>
      </c>
      <c r="AV5" s="37">
        <f t="shared" ca="1" si="9"/>
        <v>130.17614949036204</v>
      </c>
      <c r="AW5" s="37">
        <f ca="1">IF(AP5=0,AY5/constantes!$B$3,AV5/constantes!$B$3)</f>
        <v>1627.2018686295255</v>
      </c>
      <c r="AX5" s="39">
        <f ca="1">IF(AP5=0,0,PV(constantes!$B$3,AI5,-AV5)*constantes!$B$3)</f>
        <v>117.23959099240571</v>
      </c>
      <c r="AY5" s="40">
        <f>constantes!$B$10*F5/1000</f>
        <v>5.2050000000000001</v>
      </c>
      <c r="AZ5" s="533">
        <f>constantes!$B$12</f>
        <v>0</v>
      </c>
      <c r="BA5" s="20">
        <v>318</v>
      </c>
      <c r="BB5" s="43"/>
      <c r="BC5" s="3" t="s">
        <v>2185</v>
      </c>
      <c r="BE5" s="534">
        <v>1</v>
      </c>
      <c r="BF5" s="535">
        <v>2030</v>
      </c>
      <c r="BG5" s="536">
        <v>1</v>
      </c>
      <c r="BH5" s="537">
        <v>2030</v>
      </c>
    </row>
    <row r="6" spans="1:60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46"/>
      <c r="F6" s="526">
        <v>177.8</v>
      </c>
      <c r="G6" s="3" t="s">
        <v>2181</v>
      </c>
      <c r="H6" s="3" t="s">
        <v>2182</v>
      </c>
      <c r="I6" s="527">
        <v>-53.365701000000001</v>
      </c>
      <c r="J6" s="527">
        <v>-0.67624200000000001</v>
      </c>
      <c r="K6" s="539" t="s">
        <v>155</v>
      </c>
      <c r="L6" s="539" t="s">
        <v>155</v>
      </c>
      <c r="M6" s="554">
        <v>4</v>
      </c>
      <c r="N6" s="107"/>
      <c r="O6" s="529">
        <v>1.6379999999999999E-2</v>
      </c>
      <c r="P6" s="529">
        <v>6.1409999999999999E-2</v>
      </c>
      <c r="Q6" s="288">
        <f t="shared" si="0"/>
        <v>0.48795730890781502</v>
      </c>
      <c r="R6" s="30">
        <f t="shared" si="1"/>
        <v>86.758809523809518</v>
      </c>
      <c r="S6" s="30">
        <f t="shared" si="2"/>
        <v>91.041190476190494</v>
      </c>
      <c r="T6" s="107">
        <v>108.07000000000001</v>
      </c>
      <c r="U6" s="107">
        <v>134.18946428571428</v>
      </c>
      <c r="V6" s="107">
        <v>58.524583333333339</v>
      </c>
      <c r="W6" s="107">
        <v>46.25119047619048</v>
      </c>
      <c r="X6" s="288">
        <f t="shared" si="3"/>
        <v>0.42745489534396452</v>
      </c>
      <c r="Y6" s="289">
        <f t="shared" si="4"/>
        <v>76.001480392156893</v>
      </c>
      <c r="Z6" s="289">
        <f t="shared" si="5"/>
        <v>-10.757329131652625</v>
      </c>
      <c r="AA6" s="107">
        <v>85.058313725490208</v>
      </c>
      <c r="AB6" s="107">
        <v>129.46129411764716</v>
      </c>
      <c r="AC6" s="107">
        <v>59.889725490196078</v>
      </c>
      <c r="AD6" s="107">
        <v>29.596588235294121</v>
      </c>
      <c r="AE6" s="106">
        <v>1</v>
      </c>
      <c r="AF6" s="32" t="str">
        <f>IF(AE6=0,"",VLOOKUP(AE6,tab_tipo_expansao!$A$2:$B$4,2,0))</f>
        <v>opcional</v>
      </c>
      <c r="AG6" s="125">
        <v>2030</v>
      </c>
      <c r="AH6" s="125">
        <v>2100</v>
      </c>
      <c r="AI6" s="125">
        <v>30</v>
      </c>
      <c r="AJ6" s="530">
        <v>1882.903775790257</v>
      </c>
      <c r="AK6" s="24">
        <f>AL6/constantes!$B$4</f>
        <v>2715.3871763004486</v>
      </c>
      <c r="AL6" s="33">
        <f t="shared" si="6"/>
        <v>10590.00998757175</v>
      </c>
      <c r="AM6" s="87">
        <v>2</v>
      </c>
      <c r="AN6" s="531">
        <v>0</v>
      </c>
      <c r="AO6" s="23"/>
      <c r="AP6" s="532">
        <f t="shared" si="7"/>
        <v>1882.903775790257</v>
      </c>
      <c r="AR6" s="35">
        <f t="shared" si="8"/>
        <v>10590.009987571748</v>
      </c>
      <c r="AS6" s="36">
        <f ca="1">OFFSET(cod_desembolso!$A$1,AM6,23)</f>
        <v>1.1245293369208682</v>
      </c>
      <c r="AT6" s="37">
        <f ca="1">IF(AP6=0,0,AP6*(OFFSET(cod_desembolso!$A$1,AM6,23)))</f>
        <v>2117.3805344752168</v>
      </c>
      <c r="AU6" s="38">
        <f>(constantes!$B$3*(1+constantes!$B$3)^(AI6))/((1+constantes!$B$3)^(AI6)-1)</f>
        <v>8.8827433387272267E-2</v>
      </c>
      <c r="AV6" s="37">
        <f t="shared" ca="1" si="9"/>
        <v>196.97147838160424</v>
      </c>
      <c r="AW6" s="37">
        <f ca="1">IF(AP6=0,AY6/constantes!$B$3,AV6/constantes!$B$3)</f>
        <v>2462.1434797700531</v>
      </c>
      <c r="AX6" s="39">
        <f ca="1">IF(AP6=0,0,PV(constantes!$B$3,AI6,-AV6)*constantes!$B$3)</f>
        <v>177.39697827164957</v>
      </c>
      <c r="AY6" s="40">
        <f>constantes!$B$10*F6/1000</f>
        <v>8.89</v>
      </c>
      <c r="AZ6" s="533">
        <f>constantes!$B$12</f>
        <v>0</v>
      </c>
      <c r="BA6" s="20">
        <v>318</v>
      </c>
      <c r="BB6" s="43"/>
      <c r="BC6" s="3" t="s">
        <v>2183</v>
      </c>
      <c r="BE6" s="534">
        <v>1</v>
      </c>
      <c r="BF6" s="535">
        <v>2027</v>
      </c>
      <c r="BG6" s="536">
        <v>1</v>
      </c>
      <c r="BH6" s="537">
        <v>2027</v>
      </c>
    </row>
    <row r="7" spans="1:60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46"/>
      <c r="F7" s="526">
        <v>870.4</v>
      </c>
      <c r="G7" s="3" t="s">
        <v>2181</v>
      </c>
      <c r="H7" s="3" t="s">
        <v>2182</v>
      </c>
      <c r="I7" s="527">
        <v>-53.159303999999999</v>
      </c>
      <c r="J7" s="527">
        <v>-1.0408999999999999</v>
      </c>
      <c r="K7" s="539" t="s">
        <v>155</v>
      </c>
      <c r="L7" s="539" t="s">
        <v>155</v>
      </c>
      <c r="M7" s="554">
        <v>4</v>
      </c>
      <c r="N7" s="107"/>
      <c r="O7" s="529">
        <v>1.6379999999999999E-2</v>
      </c>
      <c r="P7" s="529">
        <v>6.1409999999999999E-2</v>
      </c>
      <c r="Q7" s="288">
        <f t="shared" si="0"/>
        <v>0.5393438942959996</v>
      </c>
      <c r="R7" s="30">
        <f t="shared" si="1"/>
        <v>469.44492559523809</v>
      </c>
      <c r="S7" s="30">
        <f t="shared" si="2"/>
        <v>400.95507440476189</v>
      </c>
      <c r="T7" s="107">
        <v>555.1847619047619</v>
      </c>
      <c r="U7" s="107">
        <v>732.18488095238092</v>
      </c>
      <c r="V7" s="107">
        <v>354.67624999999998</v>
      </c>
      <c r="W7" s="107">
        <v>235.73380952380953</v>
      </c>
      <c r="X7" s="288">
        <f t="shared" si="3"/>
        <v>0.4833150974084488</v>
      </c>
      <c r="Y7" s="289">
        <f t="shared" si="4"/>
        <v>420.67746078431384</v>
      </c>
      <c r="Z7" s="289">
        <f t="shared" si="5"/>
        <v>-48.767464810924253</v>
      </c>
      <c r="AA7" s="107">
        <v>469.55643137254918</v>
      </c>
      <c r="AB7" s="107">
        <v>707.90094117647084</v>
      </c>
      <c r="AC7" s="107">
        <v>352.09639215686281</v>
      </c>
      <c r="AD7" s="107">
        <v>153.15607843137255</v>
      </c>
      <c r="AE7" s="106">
        <v>1</v>
      </c>
      <c r="AF7" s="32" t="str">
        <f>IF(AE7=0,"",VLOOKUP(AE7,tab_tipo_expansao!$A$2:$B$4,2,0))</f>
        <v>opcional</v>
      </c>
      <c r="AG7" s="125">
        <v>2030</v>
      </c>
      <c r="AH7" s="125">
        <v>2100</v>
      </c>
      <c r="AI7" s="125">
        <v>30</v>
      </c>
      <c r="AJ7" s="530">
        <v>4788.7684501263866</v>
      </c>
      <c r="AK7" s="24">
        <f>AL7/constantes!$B$4</f>
        <v>1410.7184583941325</v>
      </c>
      <c r="AL7" s="33">
        <f t="shared" si="6"/>
        <v>5501.8019877371171</v>
      </c>
      <c r="AM7" s="87">
        <v>3</v>
      </c>
      <c r="AN7" s="531">
        <v>0</v>
      </c>
      <c r="AO7" s="23"/>
      <c r="AP7" s="532">
        <f t="shared" si="7"/>
        <v>4788.7684501263866</v>
      </c>
      <c r="AR7" s="35">
        <f t="shared" si="8"/>
        <v>5501.8019877371171</v>
      </c>
      <c r="AS7" s="36">
        <f ca="1">OFFSET(cod_desembolso!$A$1,AM7,23)</f>
        <v>1.1255071012622904</v>
      </c>
      <c r="AT7" s="37">
        <f ca="1">IF(AP7=0,0,AP7*(OFFSET(cod_desembolso!$A$1,AM7,23)))</f>
        <v>5389.7928969180603</v>
      </c>
      <c r="AU7" s="38">
        <f>(constantes!$B$3*(1+constantes!$B$3)^(AI7))/((1+constantes!$B$3)^(AI7)-1)</f>
        <v>8.8827433387272267E-2</v>
      </c>
      <c r="AV7" s="37">
        <f t="shared" ca="1" si="9"/>
        <v>522.28146952218219</v>
      </c>
      <c r="AW7" s="37">
        <f ca="1">IF(AP7=0,AY7/constantes!$B$3,AV7/constantes!$B$3)</f>
        <v>6528.518369027277</v>
      </c>
      <c r="AX7" s="39">
        <f ca="1">IF(AP7=0,0,PV(constantes!$B$3,AI7,-AV7)*constantes!$B$3)</f>
        <v>470.37853024087747</v>
      </c>
      <c r="AY7" s="40">
        <f>constantes!$B$10*F7/1000</f>
        <v>43.52</v>
      </c>
      <c r="AZ7" s="533">
        <f>constantes!$B$12</f>
        <v>0</v>
      </c>
      <c r="BA7" s="20">
        <v>318</v>
      </c>
      <c r="BB7" s="43"/>
      <c r="BC7" s="3" t="s">
        <v>2185</v>
      </c>
      <c r="BE7" s="534">
        <v>1</v>
      </c>
      <c r="BF7" s="535">
        <v>2030</v>
      </c>
      <c r="BG7" s="536">
        <v>1</v>
      </c>
      <c r="BH7" s="537">
        <v>2030</v>
      </c>
    </row>
    <row r="8" spans="1:60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46"/>
      <c r="F8" s="526">
        <v>831.1</v>
      </c>
      <c r="G8" s="3" t="s">
        <v>2181</v>
      </c>
      <c r="H8" s="3" t="s">
        <v>2192</v>
      </c>
      <c r="I8" s="527">
        <v>-52.670506000000003</v>
      </c>
      <c r="J8" s="527">
        <v>-0.55420700000000001</v>
      </c>
      <c r="K8" s="539" t="s">
        <v>2001</v>
      </c>
      <c r="L8" s="539" t="s">
        <v>2001</v>
      </c>
      <c r="M8" s="554">
        <v>4</v>
      </c>
      <c r="N8" s="107"/>
      <c r="O8" s="529">
        <v>1.6379999999999999E-2</v>
      </c>
      <c r="P8" s="529">
        <v>6.1409999999999999E-2</v>
      </c>
      <c r="Q8" s="288">
        <f t="shared" si="0"/>
        <v>0.52647108536592357</v>
      </c>
      <c r="R8" s="30">
        <f t="shared" si="1"/>
        <v>437.55011904761909</v>
      </c>
      <c r="S8" s="30">
        <f t="shared" si="2"/>
        <v>393.54988095238093</v>
      </c>
      <c r="T8" s="107">
        <v>474.72666666666669</v>
      </c>
      <c r="U8" s="107">
        <v>727.57047619047626</v>
      </c>
      <c r="V8" s="107">
        <v>408.88666666666671</v>
      </c>
      <c r="W8" s="107">
        <v>139.01666666666668</v>
      </c>
      <c r="X8" s="288">
        <f t="shared" si="3"/>
        <v>0.47421776242683311</v>
      </c>
      <c r="Y8" s="289">
        <f t="shared" si="4"/>
        <v>394.12238235294103</v>
      </c>
      <c r="Z8" s="289">
        <f t="shared" si="5"/>
        <v>-43.42773669467806</v>
      </c>
      <c r="AA8" s="107">
        <v>390.4068627450979</v>
      </c>
      <c r="AB8" s="107">
        <v>691.71980392156831</v>
      </c>
      <c r="AC8" s="107">
        <v>378.76435294117636</v>
      </c>
      <c r="AD8" s="107">
        <v>115.59850980392156</v>
      </c>
      <c r="AE8" s="106">
        <v>1</v>
      </c>
      <c r="AF8" s="32" t="str">
        <f>IF(AE8=0,"",VLOOKUP(AE8,tab_tipo_expansao!$A$2:$B$4,2,0))</f>
        <v>opcional</v>
      </c>
      <c r="AG8" s="125">
        <v>2030</v>
      </c>
      <c r="AH8" s="125">
        <v>2100</v>
      </c>
      <c r="AI8" s="125">
        <v>30</v>
      </c>
      <c r="AJ8" s="530">
        <v>4769.7313944676198</v>
      </c>
      <c r="AK8" s="24">
        <f>AL8/constantes!$B$4</f>
        <v>1471.5534230098569</v>
      </c>
      <c r="AL8" s="33">
        <f t="shared" si="6"/>
        <v>5739.0583497384423</v>
      </c>
      <c r="AM8" s="87">
        <v>3</v>
      </c>
      <c r="AN8" s="531">
        <v>0</v>
      </c>
      <c r="AO8" s="23"/>
      <c r="AP8" s="532">
        <f t="shared" si="7"/>
        <v>4769.7313944676198</v>
      </c>
      <c r="AR8" s="35">
        <f t="shared" si="8"/>
        <v>5739.0583497384432</v>
      </c>
      <c r="AS8" s="36">
        <f ca="1">OFFSET(cod_desembolso!$A$1,AM8,23)</f>
        <v>1.1255071012622904</v>
      </c>
      <c r="AT8" s="37">
        <f ca="1">IF(AP8=0,0,AP8*(OFFSET(cod_desembolso!$A$1,AM8,23)))</f>
        <v>5368.3665555869929</v>
      </c>
      <c r="AU8" s="38">
        <f>(constantes!$B$3*(1+constantes!$B$3)^(AI8))/((1+constantes!$B$3)^(AI8)-1)</f>
        <v>8.8827433387272267E-2</v>
      </c>
      <c r="AV8" s="37">
        <f t="shared" ca="1" si="9"/>
        <v>518.41322261486391</v>
      </c>
      <c r="AW8" s="37">
        <f ca="1">IF(AP8=0,AY8/constantes!$B$3,AV8/constantes!$B$3)</f>
        <v>6480.165282685799</v>
      </c>
      <c r="AX8" s="39">
        <f ca="1">IF(AP8=0,0,PV(constantes!$B$3,AI8,-AV8)*constantes!$B$3)</f>
        <v>466.89469939285249</v>
      </c>
      <c r="AY8" s="40">
        <f>constantes!$B$10*F8/1000</f>
        <v>41.555</v>
      </c>
      <c r="AZ8" s="533">
        <f>constantes!$B$12</f>
        <v>0</v>
      </c>
      <c r="BA8" s="20">
        <v>318</v>
      </c>
      <c r="BB8" s="43"/>
      <c r="BC8" s="3" t="s">
        <v>2185</v>
      </c>
      <c r="BE8" s="534">
        <v>1</v>
      </c>
      <c r="BF8" s="535">
        <v>2030</v>
      </c>
      <c r="BG8" s="536">
        <v>1</v>
      </c>
      <c r="BH8" s="537">
        <v>2030</v>
      </c>
    </row>
    <row r="9" spans="1:60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46"/>
      <c r="F9" s="526">
        <v>73</v>
      </c>
      <c r="G9" s="3" t="s">
        <v>2181</v>
      </c>
      <c r="H9" s="3" t="s">
        <v>2194</v>
      </c>
      <c r="I9" s="527">
        <v>-52.023097999999997</v>
      </c>
      <c r="J9" s="527">
        <v>0.95645999999999998</v>
      </c>
      <c r="K9" s="539" t="s">
        <v>2001</v>
      </c>
      <c r="L9" s="539" t="s">
        <v>2001</v>
      </c>
      <c r="M9" s="554">
        <v>4</v>
      </c>
      <c r="N9" s="107"/>
      <c r="O9" s="529">
        <v>1.9820000000000001E-2</v>
      </c>
      <c r="P9" s="529">
        <v>5.2919999999999995E-2</v>
      </c>
      <c r="Q9" s="288">
        <f t="shared" si="0"/>
        <v>0.47693555361105217</v>
      </c>
      <c r="R9" s="30">
        <f t="shared" si="1"/>
        <v>34.816295413606809</v>
      </c>
      <c r="S9" s="30">
        <f t="shared" si="2"/>
        <v>38.183704586393191</v>
      </c>
      <c r="T9" s="107">
        <v>47.433326879263355</v>
      </c>
      <c r="U9" s="107">
        <v>53.865729375286399</v>
      </c>
      <c r="V9" s="107">
        <v>20.598248173075799</v>
      </c>
      <c r="W9" s="107">
        <v>17.367877226801678</v>
      </c>
      <c r="X9" s="288">
        <f t="shared" si="3"/>
        <v>0.49042921298242015</v>
      </c>
      <c r="Y9" s="289">
        <f t="shared" si="4"/>
        <v>35.801332547716669</v>
      </c>
      <c r="Z9" s="289">
        <f t="shared" si="5"/>
        <v>0.98503713410985938</v>
      </c>
      <c r="AA9" s="107">
        <v>52.664204277829789</v>
      </c>
      <c r="AB9" s="107">
        <v>52.932001941424311</v>
      </c>
      <c r="AC9" s="107">
        <v>19.43744671678888</v>
      </c>
      <c r="AD9" s="107">
        <v>18.171677254823688</v>
      </c>
      <c r="AE9" s="106">
        <v>1</v>
      </c>
      <c r="AF9" s="32" t="str">
        <f>IF(AE9=0,"",VLOOKUP(AE9,tab_tipo_expansao!$A$2:$B$4,2,0))</f>
        <v>opcional</v>
      </c>
      <c r="AG9" s="125">
        <v>2030</v>
      </c>
      <c r="AH9" s="125">
        <v>2100</v>
      </c>
      <c r="AI9" s="125">
        <v>30</v>
      </c>
      <c r="AJ9" s="530">
        <v>740.65365674820032</v>
      </c>
      <c r="AK9" s="24">
        <f>AL9/constantes!$B$4</f>
        <v>2601.5232060000012</v>
      </c>
      <c r="AL9" s="33">
        <f t="shared" si="6"/>
        <v>10145.940503400005</v>
      </c>
      <c r="AM9" s="87">
        <v>2</v>
      </c>
      <c r="AN9" s="531">
        <v>0</v>
      </c>
      <c r="AO9" s="23"/>
      <c r="AP9" s="532">
        <f t="shared" si="7"/>
        <v>740.65365674820032</v>
      </c>
      <c r="AR9" s="35">
        <f t="shared" si="8"/>
        <v>10145.940503400005</v>
      </c>
      <c r="AS9" s="36">
        <f ca="1">OFFSET(cod_desembolso!$A$1,AM9,23)</f>
        <v>1.1245293369208682</v>
      </c>
      <c r="AT9" s="37">
        <f ca="1">IF(AP9=0,0,AP9*(OFFSET(cod_desembolso!$A$1,AM9,23)))</f>
        <v>832.88676551107005</v>
      </c>
      <c r="AU9" s="38">
        <f>(constantes!$B$3*(1+constantes!$B$3)^(AI9))/((1+constantes!$B$3)^(AI9)-1)</f>
        <v>8.8827433387272267E-2</v>
      </c>
      <c r="AV9" s="37">
        <f t="shared" ca="1" si="9"/>
        <v>77.633193682575239</v>
      </c>
      <c r="AW9" s="37">
        <f ca="1">IF(AP9=0,AY9/constantes!$B$3,AV9/constantes!$B$3)</f>
        <v>970.41492103219048</v>
      </c>
      <c r="AX9" s="39">
        <f ca="1">IF(AP9=0,0,PV(constantes!$B$3,AI9,-AV9)*constantes!$B$3)</f>
        <v>69.918213977078835</v>
      </c>
      <c r="AY9" s="40">
        <f>constantes!$B$10*F9/1000</f>
        <v>3.65</v>
      </c>
      <c r="AZ9" s="533">
        <f>constantes!$B$12</f>
        <v>0</v>
      </c>
      <c r="BA9" s="20">
        <v>318</v>
      </c>
      <c r="BB9" s="43"/>
      <c r="BC9" s="3" t="s">
        <v>2185</v>
      </c>
      <c r="BE9" s="534">
        <v>1</v>
      </c>
      <c r="BF9" s="535">
        <v>2030</v>
      </c>
      <c r="BG9" s="536">
        <v>1</v>
      </c>
      <c r="BH9" s="537">
        <v>2030</v>
      </c>
    </row>
    <row r="10" spans="1:60" ht="15" hidden="1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46"/>
      <c r="F10" s="526">
        <v>32.799999999999997</v>
      </c>
      <c r="G10" s="3" t="s">
        <v>2196</v>
      </c>
      <c r="H10" s="3" t="s">
        <v>2127</v>
      </c>
      <c r="I10" s="527">
        <v>-52.930658000000001</v>
      </c>
      <c r="J10" s="527">
        <v>-20.413506999999999</v>
      </c>
      <c r="K10" s="539" t="s">
        <v>2092</v>
      </c>
      <c r="L10" s="539" t="s">
        <v>2092</v>
      </c>
      <c r="M10" s="554">
        <v>1</v>
      </c>
      <c r="N10" s="107"/>
      <c r="O10" s="529">
        <v>2.068E-2</v>
      </c>
      <c r="P10" s="529">
        <v>4.6600000000000003E-2</v>
      </c>
      <c r="Q10" s="288">
        <f t="shared" si="0"/>
        <v>0.532119300920186</v>
      </c>
      <c r="R10" s="30">
        <f t="shared" si="1"/>
        <v>17.453513070182098</v>
      </c>
      <c r="S10" s="30">
        <f t="shared" si="2"/>
        <v>15.3464869298179</v>
      </c>
      <c r="T10" s="107">
        <v>21.872200265426574</v>
      </c>
      <c r="U10" s="107">
        <v>19.200468190721523</v>
      </c>
      <c r="V10" s="107">
        <v>13.619883664765503</v>
      </c>
      <c r="W10" s="107">
        <v>15.121500159814795</v>
      </c>
      <c r="X10" s="288">
        <f t="shared" si="3"/>
        <v>0.56765074645560576</v>
      </c>
      <c r="Y10" s="289">
        <f t="shared" si="4"/>
        <v>18.618944483743867</v>
      </c>
      <c r="Z10" s="289">
        <f t="shared" si="5"/>
        <v>1.1654314135617696</v>
      </c>
      <c r="AA10" s="107">
        <v>24.335985049705119</v>
      </c>
      <c r="AB10" s="107">
        <v>20.245868703225792</v>
      </c>
      <c r="AC10" s="107">
        <v>13.938946109956314</v>
      </c>
      <c r="AD10" s="107">
        <v>15.954978072088243</v>
      </c>
      <c r="AE10" s="106">
        <v>1</v>
      </c>
      <c r="AF10" s="32" t="str">
        <f>IF(AE10=0,"",VLOOKUP(AE10,tab_tipo_expansao!$A$2:$B$4,2,0))</f>
        <v>opcional</v>
      </c>
      <c r="AG10" s="125">
        <v>2028</v>
      </c>
      <c r="AH10" s="125">
        <v>2100</v>
      </c>
      <c r="AI10" s="125">
        <v>30</v>
      </c>
      <c r="AJ10" s="530">
        <v>350.00082686605094</v>
      </c>
      <c r="AK10" s="24">
        <f>AL10/constantes!$B$4</f>
        <v>2736.0915170892044</v>
      </c>
      <c r="AL10" s="33">
        <f t="shared" si="6"/>
        <v>10670.756916647897</v>
      </c>
      <c r="AM10" s="87">
        <v>2</v>
      </c>
      <c r="AN10" s="531">
        <v>0</v>
      </c>
      <c r="AO10" s="23"/>
      <c r="AP10" s="532">
        <f t="shared" si="7"/>
        <v>350.00082686605094</v>
      </c>
      <c r="AR10" s="35">
        <f t="shared" si="8"/>
        <v>10670.756916647895</v>
      </c>
      <c r="AS10" s="36">
        <f ca="1">OFFSET(cod_desembolso!$A$1,AM10,23)</f>
        <v>1.1245293369208682</v>
      </c>
      <c r="AT10" s="37">
        <f ca="1">IF(AP10=0,0,AP10*(OFFSET(cod_desembolso!$A$1,AM10,23)))</f>
        <v>393.58619775743585</v>
      </c>
      <c r="AU10" s="38">
        <f>(constantes!$B$3*(1+constantes!$B$3)^(AI10))/((1+constantes!$B$3)^(AI10)-1)</f>
        <v>8.8827433387272267E-2</v>
      </c>
      <c r="AV10" s="37">
        <f t="shared" ca="1" si="9"/>
        <v>36.601251763448403</v>
      </c>
      <c r="AW10" s="37">
        <f ca="1">IF(AP10=0,AY10/constantes!$B$3,AV10/constantes!$B$3)</f>
        <v>457.51564704310505</v>
      </c>
      <c r="AX10" s="39">
        <f ca="1">IF(AP10=0,0,PV(constantes!$B$3,AI10,-AV10)*constantes!$B$3)</f>
        <v>32.963916995213197</v>
      </c>
      <c r="AY10" s="40">
        <f>constantes!$B$10*F10/1000</f>
        <v>1.6399999999999997</v>
      </c>
      <c r="AZ10" s="533">
        <f>constantes!$B$12</f>
        <v>0</v>
      </c>
      <c r="BA10" s="20">
        <v>318</v>
      </c>
      <c r="BB10" s="43"/>
      <c r="BC10" s="3" t="s">
        <v>2197</v>
      </c>
      <c r="BE10" s="534">
        <v>1</v>
      </c>
      <c r="BF10" s="535">
        <v>2027</v>
      </c>
      <c r="BG10" s="536">
        <v>1</v>
      </c>
      <c r="BH10" s="537">
        <v>2027</v>
      </c>
    </row>
    <row r="11" spans="1:60" ht="15" hidden="1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46"/>
      <c r="F11" s="526">
        <v>380</v>
      </c>
      <c r="G11" s="3" t="s">
        <v>2199</v>
      </c>
      <c r="H11" s="3" t="s">
        <v>2200</v>
      </c>
      <c r="I11" s="527">
        <v>-53.369421000000003</v>
      </c>
      <c r="J11" s="527">
        <v>-15.371221999999999</v>
      </c>
      <c r="K11" s="539" t="s">
        <v>160</v>
      </c>
      <c r="L11" s="539" t="s">
        <v>160</v>
      </c>
      <c r="M11" s="554">
        <v>1</v>
      </c>
      <c r="N11" s="107"/>
      <c r="O11" s="529">
        <v>1.6379999999999999E-2</v>
      </c>
      <c r="P11" s="529">
        <v>6.1409999999999999E-2</v>
      </c>
      <c r="Q11" s="288">
        <f t="shared" si="0"/>
        <v>0.60040319548872167</v>
      </c>
      <c r="R11" s="30">
        <f t="shared" si="1"/>
        <v>228.15321428571426</v>
      </c>
      <c r="S11" s="30">
        <f t="shared" si="2"/>
        <v>151.84678571428574</v>
      </c>
      <c r="T11" s="107">
        <v>300.05</v>
      </c>
      <c r="U11" s="107">
        <v>248.39874999999998</v>
      </c>
      <c r="V11" s="107">
        <v>167.14249999999998</v>
      </c>
      <c r="W11" s="107">
        <v>197.02160714285711</v>
      </c>
      <c r="X11" s="288">
        <f t="shared" si="3"/>
        <v>0.61439703302373572</v>
      </c>
      <c r="Y11" s="289">
        <f t="shared" si="4"/>
        <v>233.47087254901959</v>
      </c>
      <c r="Z11" s="289">
        <f t="shared" si="5"/>
        <v>5.3176582633053329</v>
      </c>
      <c r="AA11" s="107">
        <v>307.16607843137251</v>
      </c>
      <c r="AB11" s="107">
        <v>248.08301960784308</v>
      </c>
      <c r="AC11" s="107">
        <v>162.55168627450982</v>
      </c>
      <c r="AD11" s="107">
        <v>216.08270588235291</v>
      </c>
      <c r="AE11" s="106">
        <v>1</v>
      </c>
      <c r="AF11" s="32" t="str">
        <f>IF(AE11=0,"",VLOOKUP(AE11,tab_tipo_expansao!$A$2:$B$4,2,0))</f>
        <v>opcional</v>
      </c>
      <c r="AG11" s="125">
        <v>2028</v>
      </c>
      <c r="AH11" s="125">
        <v>2100</v>
      </c>
      <c r="AI11" s="125">
        <v>30</v>
      </c>
      <c r="AJ11" s="530">
        <v>3707.811775825829</v>
      </c>
      <c r="AK11" s="24">
        <f>AL11/constantes!$B$4</f>
        <v>2501.8972846328134</v>
      </c>
      <c r="AL11" s="33">
        <f t="shared" si="6"/>
        <v>9757.399410067972</v>
      </c>
      <c r="AM11" s="87">
        <v>2</v>
      </c>
      <c r="AN11" s="531">
        <v>0</v>
      </c>
      <c r="AO11" s="23"/>
      <c r="AP11" s="532">
        <f t="shared" si="7"/>
        <v>3707.811775825829</v>
      </c>
      <c r="AR11" s="35">
        <f t="shared" si="8"/>
        <v>9757.399410067972</v>
      </c>
      <c r="AS11" s="36">
        <f ca="1">OFFSET(cod_desembolso!$A$1,AM11,23)</f>
        <v>1.1245293369208682</v>
      </c>
      <c r="AT11" s="37">
        <f ca="1">IF(AP11=0,0,AP11*(OFFSET(cod_desembolso!$A$1,AM11,23)))</f>
        <v>4169.5431176968068</v>
      </c>
      <c r="AU11" s="38">
        <f>(constantes!$B$3*(1+constantes!$B$3)^(AI11))/((1+constantes!$B$3)^(AI11)-1)</f>
        <v>8.8827433387272267E-2</v>
      </c>
      <c r="AV11" s="37">
        <f t="shared" ca="1" si="9"/>
        <v>389.36981354257262</v>
      </c>
      <c r="AW11" s="37">
        <f ca="1">IF(AP11=0,AY11/constantes!$B$3,AV11/constantes!$B$3)</f>
        <v>4867.1226692821574</v>
      </c>
      <c r="AX11" s="39">
        <f ca="1">IF(AP11=0,0,PV(constantes!$B$3,AI11,-AV11)*constantes!$B$3)</f>
        <v>350.67528009729824</v>
      </c>
      <c r="AY11" s="40">
        <f>constantes!$B$10*F11/1000</f>
        <v>19</v>
      </c>
      <c r="AZ11" s="533">
        <f>constantes!$B$12</f>
        <v>0</v>
      </c>
      <c r="BA11" s="20">
        <v>318</v>
      </c>
      <c r="BB11" s="43"/>
      <c r="BC11" s="3" t="s">
        <v>2197</v>
      </c>
      <c r="BE11" s="534">
        <v>1</v>
      </c>
      <c r="BF11" s="535">
        <v>2027</v>
      </c>
      <c r="BG11" s="536">
        <v>1</v>
      </c>
      <c r="BH11" s="537">
        <v>2027</v>
      </c>
    </row>
    <row r="12" spans="1:60" ht="15" hidden="1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46"/>
      <c r="F12" s="526">
        <v>42</v>
      </c>
      <c r="G12" s="3" t="s">
        <v>2097</v>
      </c>
      <c r="H12" s="3" t="s">
        <v>2202</v>
      </c>
      <c r="I12" s="527">
        <v>-52.969864000000001</v>
      </c>
      <c r="J12" s="527">
        <v>-27.062424</v>
      </c>
      <c r="K12" s="539" t="s">
        <v>1991</v>
      </c>
      <c r="L12" s="539" t="s">
        <v>1991</v>
      </c>
      <c r="M12" s="554">
        <v>2</v>
      </c>
      <c r="N12" s="107"/>
      <c r="O12" s="529">
        <v>2.068E-2</v>
      </c>
      <c r="P12" s="529">
        <v>4.6600000000000003E-2</v>
      </c>
      <c r="Q12" s="288">
        <f t="shared" si="0"/>
        <v>0.49730513038548757</v>
      </c>
      <c r="R12" s="30">
        <f t="shared" si="1"/>
        <v>20.886815476190478</v>
      </c>
      <c r="S12" s="30">
        <f t="shared" si="2"/>
        <v>21.113184523809522</v>
      </c>
      <c r="T12" s="107">
        <v>14.337142857142858</v>
      </c>
      <c r="U12" s="107">
        <v>21.904583333333335</v>
      </c>
      <c r="V12" s="107">
        <v>24.02</v>
      </c>
      <c r="W12" s="107">
        <v>23.285535714285714</v>
      </c>
      <c r="X12" s="288">
        <f t="shared" si="3"/>
        <v>0.56798599439775921</v>
      </c>
      <c r="Y12" s="289">
        <f t="shared" si="4"/>
        <v>23.855411764705885</v>
      </c>
      <c r="Z12" s="289">
        <f t="shared" si="5"/>
        <v>2.9685962885154069</v>
      </c>
      <c r="AA12" s="107">
        <v>18.553647058823522</v>
      </c>
      <c r="AB12" s="107">
        <v>23.273568627450985</v>
      </c>
      <c r="AC12" s="107">
        <v>27.772666666666669</v>
      </c>
      <c r="AD12" s="107">
        <v>25.821764705882355</v>
      </c>
      <c r="AE12" s="106">
        <v>1</v>
      </c>
      <c r="AF12" s="32" t="str">
        <f>IF(AE12=0,"",VLOOKUP(AE12,tab_tipo_expansao!$A$2:$B$4,2,0))</f>
        <v>opcional</v>
      </c>
      <c r="AG12" s="125">
        <v>2028</v>
      </c>
      <c r="AH12" s="125">
        <v>2100</v>
      </c>
      <c r="AI12" s="125">
        <v>30</v>
      </c>
      <c r="AJ12" s="530">
        <v>673.68708017606536</v>
      </c>
      <c r="AK12" s="24">
        <f>AL12/constantes!$B$4</f>
        <v>4112.8637373386164</v>
      </c>
      <c r="AL12" s="33">
        <f t="shared" si="6"/>
        <v>16040.168575620604</v>
      </c>
      <c r="AM12" s="87">
        <v>2</v>
      </c>
      <c r="AN12" s="531">
        <v>0</v>
      </c>
      <c r="AO12" s="23"/>
      <c r="AP12" s="532">
        <f t="shared" si="7"/>
        <v>673.68708017606536</v>
      </c>
      <c r="AR12" s="35">
        <f t="shared" si="8"/>
        <v>16040.168575620602</v>
      </c>
      <c r="AS12" s="36">
        <f ca="1">OFFSET(cod_desembolso!$A$1,AM12,23)</f>
        <v>1.1245293369208682</v>
      </c>
      <c r="AT12" s="37">
        <f ca="1">IF(AP12=0,0,AP12*(OFFSET(cod_desembolso!$A$1,AM12,23)))</f>
        <v>757.58088556254654</v>
      </c>
      <c r="AU12" s="38">
        <f>(constantes!$B$3*(1+constantes!$B$3)^(AI12))/((1+constantes!$B$3)^(AI12)-1)</f>
        <v>8.8827433387272267E-2</v>
      </c>
      <c r="AV12" s="37">
        <f t="shared" ca="1" si="9"/>
        <v>69.393965647777833</v>
      </c>
      <c r="AW12" s="37">
        <f ca="1">IF(AP12=0,AY12/constantes!$B$3,AV12/constantes!$B$3)</f>
        <v>867.4245705972229</v>
      </c>
      <c r="AX12" s="39">
        <f ca="1">IF(AP12=0,0,PV(constantes!$B$3,AI12,-AV12)*constantes!$B$3)</f>
        <v>62.497778446649136</v>
      </c>
      <c r="AY12" s="40">
        <f>constantes!$B$10*F12/1000</f>
        <v>2.1</v>
      </c>
      <c r="AZ12" s="533">
        <f>constantes!$B$12</f>
        <v>0</v>
      </c>
      <c r="BA12" s="20">
        <v>318</v>
      </c>
      <c r="BB12" s="43"/>
      <c r="BC12" s="3" t="s">
        <v>2197</v>
      </c>
      <c r="BE12" s="534">
        <v>1</v>
      </c>
      <c r="BF12" s="535">
        <v>2027</v>
      </c>
      <c r="BG12" s="536">
        <v>1</v>
      </c>
      <c r="BH12" s="537">
        <v>2027</v>
      </c>
    </row>
    <row r="13" spans="1:60" ht="15" hidden="1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46"/>
      <c r="F13" s="526">
        <v>40</v>
      </c>
      <c r="G13" s="3" t="s">
        <v>2181</v>
      </c>
      <c r="H13" s="3" t="s">
        <v>2204</v>
      </c>
      <c r="I13" s="527">
        <v>-55.419454999999999</v>
      </c>
      <c r="J13" s="527">
        <v>-4.1925840000000001</v>
      </c>
      <c r="K13" s="539" t="s">
        <v>155</v>
      </c>
      <c r="L13" s="539" t="s">
        <v>155</v>
      </c>
      <c r="M13" s="554">
        <v>9</v>
      </c>
      <c r="N13" s="107"/>
      <c r="O13" s="529">
        <v>2.068E-2</v>
      </c>
      <c r="P13" s="529">
        <v>4.6600000000000003E-2</v>
      </c>
      <c r="Q13" s="288">
        <f t="shared" si="0"/>
        <v>0.47693555361105222</v>
      </c>
      <c r="R13" s="30">
        <f t="shared" si="1"/>
        <v>19.077422144442089</v>
      </c>
      <c r="S13" s="30">
        <f t="shared" si="2"/>
        <v>20.922577855557911</v>
      </c>
      <c r="T13" s="107">
        <v>25.99086404343198</v>
      </c>
      <c r="U13" s="107">
        <v>29.515468150841865</v>
      </c>
      <c r="V13" s="107">
        <v>11.286711327712766</v>
      </c>
      <c r="W13" s="107">
        <v>9.5166450557817388</v>
      </c>
      <c r="X13" s="288">
        <f t="shared" si="3"/>
        <v>0.49042921298242009</v>
      </c>
      <c r="Y13" s="289">
        <f t="shared" si="4"/>
        <v>19.617168519296804</v>
      </c>
      <c r="Z13" s="289">
        <f t="shared" si="5"/>
        <v>0.53974637485471533</v>
      </c>
      <c r="AA13" s="107">
        <v>28.857098234427287</v>
      </c>
      <c r="AB13" s="107">
        <v>29.003836680232496</v>
      </c>
      <c r="AC13" s="107">
        <v>10.650655735226783</v>
      </c>
      <c r="AD13" s="107">
        <v>9.9570834273006525</v>
      </c>
      <c r="AE13" s="106">
        <v>1</v>
      </c>
      <c r="AF13" s="32" t="str">
        <f>IF(AE13=0,"",VLOOKUP(AE13,tab_tipo_expansao!$A$2:$B$4,2,0))</f>
        <v>opcional</v>
      </c>
      <c r="AG13" s="125">
        <v>2028</v>
      </c>
      <c r="AH13" s="125">
        <v>2100</v>
      </c>
      <c r="AI13" s="125">
        <v>30</v>
      </c>
      <c r="AJ13" s="530">
        <v>358.69976385605344</v>
      </c>
      <c r="AK13" s="24">
        <f>AL13/constantes!$B$4</f>
        <v>2299.3574606157272</v>
      </c>
      <c r="AL13" s="33">
        <f t="shared" si="6"/>
        <v>8967.4940964013349</v>
      </c>
      <c r="AM13" s="87">
        <v>2</v>
      </c>
      <c r="AN13" s="531">
        <v>0</v>
      </c>
      <c r="AO13" s="23"/>
      <c r="AP13" s="532">
        <f t="shared" si="7"/>
        <v>358.69976385605344</v>
      </c>
      <c r="AR13" s="35">
        <f t="shared" si="8"/>
        <v>8967.4940964013349</v>
      </c>
      <c r="AS13" s="36">
        <f ca="1">OFFSET(cod_desembolso!$A$1,AM13,23)</f>
        <v>1.1245293369208682</v>
      </c>
      <c r="AT13" s="37">
        <f ca="1">IF(AP13=0,0,AP13*(OFFSET(cod_desembolso!$A$1,AM13,23)))</f>
        <v>403.3684076027198</v>
      </c>
      <c r="AU13" s="38">
        <f>(constantes!$B$3*(1+constantes!$B$3)^(AI13))/((1+constantes!$B$3)^(AI13)-1)</f>
        <v>8.8827433387272267E-2</v>
      </c>
      <c r="AV13" s="37">
        <f t="shared" ca="1" si="9"/>
        <v>37.83018035686068</v>
      </c>
      <c r="AW13" s="37">
        <f ca="1">IF(AP13=0,AY13/constantes!$B$3,AV13/constantes!$B$3)</f>
        <v>472.87725446075848</v>
      </c>
      <c r="AX13" s="39">
        <f ca="1">IF(AP13=0,0,PV(constantes!$B$3,AI13,-AV13)*constantes!$B$3)</f>
        <v>34.070717943117977</v>
      </c>
      <c r="AY13" s="40">
        <f>constantes!$B$10*F13/1000</f>
        <v>2</v>
      </c>
      <c r="AZ13" s="533">
        <f>constantes!$B$12</f>
        <v>0</v>
      </c>
      <c r="BA13" s="20">
        <v>318</v>
      </c>
      <c r="BB13" s="43"/>
      <c r="BC13" s="3" t="s">
        <v>2197</v>
      </c>
      <c r="BE13" s="534">
        <v>1</v>
      </c>
      <c r="BF13" s="535">
        <v>2027</v>
      </c>
      <c r="BG13" s="536">
        <v>1</v>
      </c>
      <c r="BH13" s="537">
        <v>2027</v>
      </c>
    </row>
    <row r="14" spans="1:60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46"/>
      <c r="F14" s="526">
        <v>116.79</v>
      </c>
      <c r="G14" s="3" t="s">
        <v>2206</v>
      </c>
      <c r="H14" s="3" t="s">
        <v>2207</v>
      </c>
      <c r="I14" s="527">
        <v>-40.715055999999997</v>
      </c>
      <c r="J14" s="527">
        <v>-16.186295999999999</v>
      </c>
      <c r="K14" s="539" t="s">
        <v>152</v>
      </c>
      <c r="L14" s="539" t="s">
        <v>152</v>
      </c>
      <c r="M14" s="554">
        <v>1</v>
      </c>
      <c r="N14" s="107"/>
      <c r="O14" s="529">
        <v>1.9820000000000001E-2</v>
      </c>
      <c r="P14" s="529">
        <v>5.2919999999999995E-2</v>
      </c>
      <c r="Q14" s="288">
        <f t="shared" si="0"/>
        <v>0.48892752151806862</v>
      </c>
      <c r="R14" s="30">
        <f t="shared" si="1"/>
        <v>57.101845238095237</v>
      </c>
      <c r="S14" s="30">
        <f t="shared" si="2"/>
        <v>59.688154761904769</v>
      </c>
      <c r="T14" s="107">
        <v>36.002857142857145</v>
      </c>
      <c r="U14" s="107">
        <v>33.331369047619042</v>
      </c>
      <c r="V14" s="107">
        <v>78.638333333333335</v>
      </c>
      <c r="W14" s="107">
        <v>80.434821428571425</v>
      </c>
      <c r="X14" s="288">
        <f t="shared" si="3"/>
        <v>0.50182504545614803</v>
      </c>
      <c r="Y14" s="289">
        <f t="shared" si="4"/>
        <v>58.608147058823533</v>
      </c>
      <c r="Z14" s="289">
        <f t="shared" si="5"/>
        <v>1.5063018207282965</v>
      </c>
      <c r="AA14" s="107">
        <v>66.052980392156869</v>
      </c>
      <c r="AB14" s="107">
        <v>38.804039215686267</v>
      </c>
      <c r="AC14" s="107">
        <v>61.332823529411776</v>
      </c>
      <c r="AD14" s="107">
        <v>68.242745098039208</v>
      </c>
      <c r="AE14" s="106">
        <v>1</v>
      </c>
      <c r="AF14" s="32" t="str">
        <f>IF(AE14=0,"",VLOOKUP(AE14,tab_tipo_expansao!$A$2:$B$4,2,0))</f>
        <v>opcional</v>
      </c>
      <c r="AG14" s="125">
        <v>2030</v>
      </c>
      <c r="AH14" s="125">
        <v>2100</v>
      </c>
      <c r="AI14" s="125">
        <v>30</v>
      </c>
      <c r="AJ14" s="530">
        <v>1771.6635580086472</v>
      </c>
      <c r="AK14" s="24">
        <f>AL14/constantes!$B$4</f>
        <v>3889.6541414650605</v>
      </c>
      <c r="AL14" s="33">
        <f t="shared" si="6"/>
        <v>15169.651151713735</v>
      </c>
      <c r="AM14" s="87">
        <v>2</v>
      </c>
      <c r="AN14" s="531">
        <v>0</v>
      </c>
      <c r="AO14" s="23"/>
      <c r="AP14" s="532">
        <f t="shared" si="7"/>
        <v>1771.6635580086472</v>
      </c>
      <c r="AR14" s="35">
        <f t="shared" si="8"/>
        <v>15169.651151713735</v>
      </c>
      <c r="AS14" s="36">
        <f ca="1">OFFSET(cod_desembolso!$A$1,AM14,23)</f>
        <v>1.1245293369208682</v>
      </c>
      <c r="AT14" s="37">
        <f ca="1">IF(AP14=0,0,AP14*(OFFSET(cod_desembolso!$A$1,AM14,23)))</f>
        <v>1992.2876461343301</v>
      </c>
      <c r="AU14" s="38">
        <f>(constantes!$B$3*(1+constantes!$B$3)^(AI14))/((1+constantes!$B$3)^(AI14)-1)</f>
        <v>8.8827433387272267E-2</v>
      </c>
      <c r="AV14" s="37">
        <f t="shared" ca="1" si="9"/>
        <v>182.80929817528266</v>
      </c>
      <c r="AW14" s="37">
        <f ca="1">IF(AP14=0,AY14/constantes!$B$3,AV14/constantes!$B$3)</f>
        <v>2285.1162271910334</v>
      </c>
      <c r="AX14" s="39">
        <f ca="1">IF(AP14=0,0,PV(constantes!$B$3,AI14,-AV14)*constantes!$B$3)</f>
        <v>164.64219775732184</v>
      </c>
      <c r="AY14" s="40">
        <f>constantes!$B$10*F14/1000</f>
        <v>5.8395000000000001</v>
      </c>
      <c r="AZ14" s="533">
        <f>constantes!$B$12</f>
        <v>0</v>
      </c>
      <c r="BA14" s="20">
        <v>318</v>
      </c>
      <c r="BB14" s="43"/>
      <c r="BC14" s="3" t="s">
        <v>2185</v>
      </c>
      <c r="BE14" s="534">
        <v>1</v>
      </c>
      <c r="BF14" s="535">
        <v>2030</v>
      </c>
      <c r="BG14" s="536">
        <v>1</v>
      </c>
      <c r="BH14" s="537">
        <v>2030</v>
      </c>
    </row>
    <row r="15" spans="1:60" ht="15" hidden="1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46"/>
      <c r="F15" s="526">
        <v>127.8</v>
      </c>
      <c r="G15" s="3" t="s">
        <v>2181</v>
      </c>
      <c r="H15" s="3" t="s">
        <v>2154</v>
      </c>
      <c r="I15" s="527">
        <v>-55.56279</v>
      </c>
      <c r="J15" s="527">
        <v>-10.087645999999999</v>
      </c>
      <c r="K15" s="539" t="s">
        <v>160</v>
      </c>
      <c r="L15" s="539" t="s">
        <v>160</v>
      </c>
      <c r="M15" s="554">
        <v>10</v>
      </c>
      <c r="N15" s="107"/>
      <c r="O15" s="529">
        <v>1.6379999999999999E-2</v>
      </c>
      <c r="P15" s="529">
        <v>6.1409999999999999E-2</v>
      </c>
      <c r="Q15" s="288">
        <f t="shared" si="0"/>
        <v>0.532119300920186</v>
      </c>
      <c r="R15" s="30">
        <f t="shared" si="1"/>
        <v>68.004846657599771</v>
      </c>
      <c r="S15" s="30">
        <f t="shared" si="2"/>
        <v>59.795153342400226</v>
      </c>
      <c r="T15" s="107">
        <v>85.221560790290127</v>
      </c>
      <c r="U15" s="107">
        <v>74.811580328482037</v>
      </c>
      <c r="V15" s="107">
        <v>53.067717449909502</v>
      </c>
      <c r="W15" s="107">
        <v>58.91852806171741</v>
      </c>
      <c r="X15" s="288">
        <f t="shared" si="3"/>
        <v>0.56765074645560576</v>
      </c>
      <c r="Y15" s="289">
        <f t="shared" si="4"/>
        <v>72.545765397026415</v>
      </c>
      <c r="Z15" s="289">
        <f t="shared" si="5"/>
        <v>4.5409187394266439</v>
      </c>
      <c r="AA15" s="107">
        <v>94.821307602204726</v>
      </c>
      <c r="AB15" s="107">
        <v>78.88481769122734</v>
      </c>
      <c r="AC15" s="107">
        <v>54.310893684524906</v>
      </c>
      <c r="AD15" s="107">
        <v>62.1660426101487</v>
      </c>
      <c r="AE15" s="106">
        <v>1</v>
      </c>
      <c r="AF15" s="32" t="str">
        <f>IF(AE15=0,"",VLOOKUP(AE15,tab_tipo_expansao!$A$2:$B$4,2,0))</f>
        <v>opcional</v>
      </c>
      <c r="AG15" s="125">
        <v>2028</v>
      </c>
      <c r="AH15" s="125">
        <v>2100</v>
      </c>
      <c r="AI15" s="125">
        <v>30</v>
      </c>
      <c r="AJ15" s="530">
        <v>1946.5889369611953</v>
      </c>
      <c r="AK15" s="24">
        <f>AL15/constantes!$B$4</f>
        <v>3905.5193149576567</v>
      </c>
      <c r="AL15" s="33">
        <f t="shared" si="6"/>
        <v>15231.525328334861</v>
      </c>
      <c r="AM15" s="87">
        <v>2</v>
      </c>
      <c r="AN15" s="531">
        <v>0</v>
      </c>
      <c r="AO15" s="23"/>
      <c r="AP15" s="532">
        <f t="shared" si="7"/>
        <v>1946.5889369611953</v>
      </c>
      <c r="AR15" s="35">
        <f t="shared" si="8"/>
        <v>15231.525328334861</v>
      </c>
      <c r="AS15" s="36">
        <f ca="1">OFFSET(cod_desembolso!$A$1,AM15,23)</f>
        <v>1.1245293369208682</v>
      </c>
      <c r="AT15" s="37">
        <f ca="1">IF(AP15=0,0,AP15*(OFFSET(cod_desembolso!$A$1,AM15,23)))</f>
        <v>2188.9963665384707</v>
      </c>
      <c r="AU15" s="38">
        <f>(constantes!$B$3*(1+constantes!$B$3)^(AI15))/((1+constantes!$B$3)^(AI15)-1)</f>
        <v>8.8827433387272267E-2</v>
      </c>
      <c r="AV15" s="37">
        <f t="shared" ca="1" si="9"/>
        <v>200.83292893367701</v>
      </c>
      <c r="AW15" s="37">
        <f ca="1">IF(AP15=0,AY15/constantes!$B$3,AV15/constantes!$B$3)</f>
        <v>2510.4116116709624</v>
      </c>
      <c r="AX15" s="39">
        <f ca="1">IF(AP15=0,0,PV(constantes!$B$3,AI15,-AV15)*constantes!$B$3)</f>
        <v>180.87468816808439</v>
      </c>
      <c r="AY15" s="40">
        <f>constantes!$B$10*F15/1000</f>
        <v>6.39</v>
      </c>
      <c r="AZ15" s="533">
        <f>constantes!$B$12</f>
        <v>0</v>
      </c>
      <c r="BA15" s="20">
        <v>318</v>
      </c>
      <c r="BB15" s="43"/>
      <c r="BC15" s="3" t="s">
        <v>2209</v>
      </c>
      <c r="BE15" s="534">
        <v>1</v>
      </c>
      <c r="BF15" s="535">
        <v>2026</v>
      </c>
      <c r="BG15" s="536">
        <v>1</v>
      </c>
      <c r="BH15" s="537">
        <v>2026</v>
      </c>
    </row>
    <row r="16" spans="1:60" ht="15" hidden="1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46"/>
      <c r="F16" s="526">
        <v>53.9</v>
      </c>
      <c r="G16" s="3" t="s">
        <v>2211</v>
      </c>
      <c r="H16" s="3" t="s">
        <v>2212</v>
      </c>
      <c r="I16" s="527">
        <v>-44.677104</v>
      </c>
      <c r="J16" s="527">
        <v>-19.163523000000001</v>
      </c>
      <c r="K16" s="539" t="s">
        <v>152</v>
      </c>
      <c r="L16" s="539" t="s">
        <v>152</v>
      </c>
      <c r="M16" s="554">
        <v>1</v>
      </c>
      <c r="N16" s="107"/>
      <c r="O16" s="529">
        <v>2.068E-2</v>
      </c>
      <c r="P16" s="529">
        <v>4.6600000000000003E-2</v>
      </c>
      <c r="Q16" s="288">
        <f t="shared" si="0"/>
        <v>0.43291285670112201</v>
      </c>
      <c r="R16" s="30">
        <f t="shared" si="1"/>
        <v>23.334002976190476</v>
      </c>
      <c r="S16" s="30">
        <f t="shared" si="2"/>
        <v>30.565997023809523</v>
      </c>
      <c r="T16" s="107">
        <v>33.341428571428573</v>
      </c>
      <c r="U16" s="107">
        <v>21.045178571428568</v>
      </c>
      <c r="V16" s="107">
        <v>16.130416666666665</v>
      </c>
      <c r="W16" s="107">
        <v>22.818988095238097</v>
      </c>
      <c r="X16" s="288">
        <f t="shared" si="3"/>
        <v>0.49237531376186833</v>
      </c>
      <c r="Y16" s="289">
        <f t="shared" si="4"/>
        <v>26.539029411764702</v>
      </c>
      <c r="Z16" s="289">
        <f t="shared" si="5"/>
        <v>3.2050264355742257</v>
      </c>
      <c r="AA16" s="107">
        <v>40.511098039215675</v>
      </c>
      <c r="AB16" s="107">
        <v>22.019686274509798</v>
      </c>
      <c r="AC16" s="107">
        <v>16.782901960784312</v>
      </c>
      <c r="AD16" s="107">
        <v>26.842431372549015</v>
      </c>
      <c r="AE16" s="106">
        <v>1</v>
      </c>
      <c r="AF16" s="32" t="str">
        <f>IF(AE16=0,"",VLOOKUP(AE16,tab_tipo_expansao!$A$2:$B$4,2,0))</f>
        <v>opcional</v>
      </c>
      <c r="AG16" s="125">
        <v>2028</v>
      </c>
      <c r="AH16" s="125">
        <v>2100</v>
      </c>
      <c r="AI16" s="125">
        <v>30</v>
      </c>
      <c r="AJ16" s="530">
        <v>751.06484489152785</v>
      </c>
      <c r="AK16" s="24">
        <f>AL16/constantes!$B$4</f>
        <v>3572.9263350531751</v>
      </c>
      <c r="AL16" s="33">
        <f t="shared" si="6"/>
        <v>13934.412706707382</v>
      </c>
      <c r="AM16" s="87">
        <v>2</v>
      </c>
      <c r="AN16" s="531">
        <v>0</v>
      </c>
      <c r="AO16" s="23"/>
      <c r="AP16" s="532">
        <f t="shared" si="7"/>
        <v>751.06484489152785</v>
      </c>
      <c r="AR16" s="35">
        <f t="shared" si="8"/>
        <v>13934.412706707382</v>
      </c>
      <c r="AS16" s="36">
        <f ca="1">OFFSET(cod_desembolso!$A$1,AM16,23)</f>
        <v>1.1245293369208682</v>
      </c>
      <c r="AT16" s="37">
        <f ca="1">IF(AP16=0,0,AP16*(OFFSET(cod_desembolso!$A$1,AM16,23)))</f>
        <v>844.59445201044457</v>
      </c>
      <c r="AU16" s="38">
        <f>(constantes!$B$3*(1+constantes!$B$3)^(AI16))/((1+constantes!$B$3)^(AI16)-1)</f>
        <v>8.8827433387272267E-2</v>
      </c>
      <c r="AV16" s="37">
        <f t="shared" ca="1" si="9"/>
        <v>77.718157425217484</v>
      </c>
      <c r="AW16" s="37">
        <f ca="1">IF(AP16=0,AY16/constantes!$B$3,AV16/constantes!$B$3)</f>
        <v>971.47696781521859</v>
      </c>
      <c r="AX16" s="39">
        <f ca="1">IF(AP16=0,0,PV(constantes!$B$3,AI16,-AV16)*constantes!$B$3)</f>
        <v>69.994734249613842</v>
      </c>
      <c r="AY16" s="40">
        <f>constantes!$B$10*F16/1000</f>
        <v>2.6949999999999998</v>
      </c>
      <c r="AZ16" s="533">
        <f>constantes!$B$12</f>
        <v>0</v>
      </c>
      <c r="BA16" s="20">
        <v>318</v>
      </c>
      <c r="BB16" s="43"/>
      <c r="BC16" s="3" t="s">
        <v>2197</v>
      </c>
      <c r="BE16" s="534">
        <v>1</v>
      </c>
      <c r="BF16" s="535">
        <v>2027</v>
      </c>
      <c r="BG16" s="536">
        <v>1</v>
      </c>
      <c r="BH16" s="537">
        <v>2027</v>
      </c>
    </row>
    <row r="17" spans="1:60" ht="14.45" hidden="1" customHeight="1">
      <c r="A17" s="125">
        <v>1016</v>
      </c>
      <c r="B17" s="125">
        <v>1016</v>
      </c>
      <c r="C17" s="626" t="s">
        <v>2213</v>
      </c>
      <c r="D17" s="538" t="s">
        <v>2213</v>
      </c>
      <c r="E17" s="546"/>
      <c r="F17" s="526">
        <v>139</v>
      </c>
      <c r="G17" s="3" t="s">
        <v>2196</v>
      </c>
      <c r="H17" s="3" t="s">
        <v>2214</v>
      </c>
      <c r="I17" s="527">
        <v>-53.335569</v>
      </c>
      <c r="J17" s="527">
        <v>-24.214742000000001</v>
      </c>
      <c r="K17" s="539" t="s">
        <v>153</v>
      </c>
      <c r="L17" s="539" t="s">
        <v>153</v>
      </c>
      <c r="M17" s="554">
        <v>2</v>
      </c>
      <c r="N17" s="107"/>
      <c r="O17" s="529">
        <v>1.9820000000000001E-2</v>
      </c>
      <c r="P17" s="529">
        <v>5.2919999999999995E-2</v>
      </c>
      <c r="Q17" s="288">
        <f t="shared" si="0"/>
        <v>0.5565509378211716</v>
      </c>
      <c r="R17" s="30">
        <f t="shared" si="1"/>
        <v>77.360580357142851</v>
      </c>
      <c r="S17" s="30">
        <f t="shared" si="2"/>
        <v>61.639419642857149</v>
      </c>
      <c r="T17" s="107">
        <v>73.569047619047623</v>
      </c>
      <c r="U17" s="107">
        <v>79.94440476190475</v>
      </c>
      <c r="V17" s="107">
        <v>71.517916666666679</v>
      </c>
      <c r="W17" s="107">
        <v>84.410952380952381</v>
      </c>
      <c r="X17" s="288">
        <f t="shared" si="3"/>
        <v>0.57013020172097606</v>
      </c>
      <c r="Y17" s="289">
        <f t="shared" si="4"/>
        <v>79.248098039215677</v>
      </c>
      <c r="Z17" s="289">
        <f t="shared" si="5"/>
        <v>1.8875176820728257</v>
      </c>
      <c r="AA17" s="107">
        <v>77.447999999999979</v>
      </c>
      <c r="AB17" s="107">
        <v>76.335803921568626</v>
      </c>
      <c r="AC17" s="107">
        <v>76.115137254901953</v>
      </c>
      <c r="AD17" s="107">
        <v>87.093450980392163</v>
      </c>
      <c r="AE17" s="106">
        <v>1</v>
      </c>
      <c r="AF17" s="32" t="str">
        <f>IF(AE17=0,"",VLOOKUP(AE17,tab_tipo_expansao!$A$2:$B$4,2,0))</f>
        <v>opcional</v>
      </c>
      <c r="AG17" s="125">
        <v>2023</v>
      </c>
      <c r="AH17" s="125">
        <v>2100</v>
      </c>
      <c r="AI17" s="125">
        <v>30</v>
      </c>
      <c r="AJ17" s="530">
        <v>1120.5070143309872</v>
      </c>
      <c r="AK17" s="24">
        <f>AL17/constantes!$B$4</f>
        <v>2066.9747543460385</v>
      </c>
      <c r="AL17" s="33">
        <f t="shared" si="6"/>
        <v>8061.2015419495492</v>
      </c>
      <c r="AM17" s="87">
        <v>2</v>
      </c>
      <c r="AN17" s="531">
        <v>0</v>
      </c>
      <c r="AO17" s="23"/>
      <c r="AP17" s="532">
        <f t="shared" si="7"/>
        <v>1120.5070143309872</v>
      </c>
      <c r="AR17" s="35">
        <f t="shared" si="8"/>
        <v>8061.2015419495474</v>
      </c>
      <c r="AS17" s="36">
        <f ca="1">OFFSET(cod_desembolso!$A$1,AM17,23)</f>
        <v>1.1245293369208682</v>
      </c>
      <c r="AT17" s="37">
        <f ca="1">IF(AP17=0,0,AP17*(OFFSET(cod_desembolso!$A$1,AM17,23)))</f>
        <v>1260.0430098408069</v>
      </c>
      <c r="AU17" s="38">
        <f>(constantes!$B$3*(1+constantes!$B$3)^(AI17))/((1+constantes!$B$3)^(AI17)-1)</f>
        <v>8.8827433387272267E-2</v>
      </c>
      <c r="AV17" s="37">
        <f t="shared" ca="1" si="9"/>
        <v>118.87638652173233</v>
      </c>
      <c r="AW17" s="37">
        <f ca="1">IF(AP17=0,AY17/constantes!$B$3,AV17/constantes!$B$3)</f>
        <v>1485.9548315216541</v>
      </c>
      <c r="AX17" s="39">
        <f ca="1">IF(AP17=0,0,PV(constantes!$B$3,AI17,-AV17)*constantes!$B$3)</f>
        <v>107.06276832604344</v>
      </c>
      <c r="AY17" s="40">
        <f>constantes!$B$10*F17/1000</f>
        <v>6.95</v>
      </c>
      <c r="AZ17" s="533">
        <f>constantes!$B$12</f>
        <v>0</v>
      </c>
      <c r="BA17" s="20">
        <v>318</v>
      </c>
      <c r="BB17" s="43"/>
      <c r="BC17" s="3" t="s">
        <v>2209</v>
      </c>
      <c r="BE17" s="534">
        <v>1</v>
      </c>
      <c r="BF17" s="535">
        <v>2022</v>
      </c>
      <c r="BG17" s="536">
        <v>1</v>
      </c>
      <c r="BH17" s="537">
        <v>2022</v>
      </c>
    </row>
    <row r="18" spans="1:60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46"/>
      <c r="F18" s="526">
        <v>206</v>
      </c>
      <c r="G18" s="3" t="s">
        <v>2181</v>
      </c>
      <c r="H18" s="3" t="s">
        <v>2216</v>
      </c>
      <c r="I18" s="527">
        <v>-57.317599999999999</v>
      </c>
      <c r="J18" s="527">
        <v>-10.940340000000001</v>
      </c>
      <c r="K18" s="539" t="s">
        <v>160</v>
      </c>
      <c r="L18" s="539" t="s">
        <v>160</v>
      </c>
      <c r="M18" s="554">
        <v>10</v>
      </c>
      <c r="N18" s="107"/>
      <c r="O18" s="529">
        <v>1.6379999999999999E-2</v>
      </c>
      <c r="P18" s="529">
        <v>6.1409999999999999E-2</v>
      </c>
      <c r="Q18" s="288">
        <f t="shared" si="0"/>
        <v>0.54719060621821547</v>
      </c>
      <c r="R18" s="30">
        <f t="shared" si="1"/>
        <v>112.72126488095239</v>
      </c>
      <c r="S18" s="30">
        <f t="shared" si="2"/>
        <v>93.27873511904761</v>
      </c>
      <c r="T18" s="107">
        <v>181.12428571428572</v>
      </c>
      <c r="U18" s="107">
        <v>160.93250000000003</v>
      </c>
      <c r="V18" s="107">
        <v>37.609166666666667</v>
      </c>
      <c r="W18" s="107">
        <v>71.219107142857141</v>
      </c>
      <c r="X18" s="288">
        <f t="shared" si="3"/>
        <v>0.52646068913002109</v>
      </c>
      <c r="Y18" s="289">
        <f t="shared" si="4"/>
        <v>108.45090196078435</v>
      </c>
      <c r="Z18" s="289">
        <f t="shared" si="5"/>
        <v>-4.27036292016804</v>
      </c>
      <c r="AA18" s="107">
        <v>179.21196078431385</v>
      </c>
      <c r="AB18" s="107">
        <v>147.04239215686277</v>
      </c>
      <c r="AC18" s="107">
        <v>37.09901960784314</v>
      </c>
      <c r="AD18" s="107">
        <v>70.450235294117604</v>
      </c>
      <c r="AE18" s="106">
        <v>1</v>
      </c>
      <c r="AF18" s="32" t="str">
        <f>IF(AE18=0,"",VLOOKUP(AE18,tab_tipo_expansao!$A$2:$B$4,2,0))</f>
        <v>opcional</v>
      </c>
      <c r="AG18" s="125">
        <v>2030</v>
      </c>
      <c r="AH18" s="125">
        <v>2100</v>
      </c>
      <c r="AI18" s="125">
        <v>30</v>
      </c>
      <c r="AJ18" s="530">
        <v>1558.7032538911642</v>
      </c>
      <c r="AK18" s="24">
        <f>AL18/constantes!$B$4</f>
        <v>1940.1334999890021</v>
      </c>
      <c r="AL18" s="33">
        <f t="shared" si="6"/>
        <v>7566.5206499571077</v>
      </c>
      <c r="AM18" s="87">
        <v>2</v>
      </c>
      <c r="AN18" s="531">
        <v>0</v>
      </c>
      <c r="AO18" s="23"/>
      <c r="AP18" s="532">
        <f t="shared" si="7"/>
        <v>1558.7032538911642</v>
      </c>
      <c r="AR18" s="35">
        <f t="shared" si="8"/>
        <v>7566.5206499571077</v>
      </c>
      <c r="AS18" s="36">
        <f ca="1">OFFSET(cod_desembolso!$A$1,AM18,23)</f>
        <v>1.1245293369208682</v>
      </c>
      <c r="AT18" s="37">
        <f ca="1">IF(AP18=0,0,AP18*(OFFSET(cod_desembolso!$A$1,AM18,23)))</f>
        <v>1752.8075365546306</v>
      </c>
      <c r="AU18" s="38">
        <f>(constantes!$B$3*(1+constantes!$B$3)^(AI18))/((1+constantes!$B$3)^(AI18)-1)</f>
        <v>8.8827433387272267E-2</v>
      </c>
      <c r="AV18" s="37">
        <f t="shared" ca="1" si="9"/>
        <v>165.99739469401527</v>
      </c>
      <c r="AW18" s="37">
        <f ca="1">IF(AP18=0,AY18/constantes!$B$3,AV18/constantes!$B$3)</f>
        <v>2074.9674336751909</v>
      </c>
      <c r="AX18" s="39">
        <f ca="1">IF(AP18=0,0,PV(constantes!$B$3,AI18,-AV18)*constantes!$B$3)</f>
        <v>149.5010163991075</v>
      </c>
      <c r="AY18" s="40">
        <f>constantes!$B$10*F18/1000</f>
        <v>10.3</v>
      </c>
      <c r="AZ18" s="533">
        <f>constantes!$B$12</f>
        <v>0</v>
      </c>
      <c r="BA18" s="20">
        <v>318</v>
      </c>
      <c r="BB18" s="43"/>
      <c r="BC18" s="3" t="s">
        <v>2217</v>
      </c>
      <c r="BE18" s="534">
        <v>1</v>
      </c>
      <c r="BF18" s="535">
        <v>2035</v>
      </c>
      <c r="BG18" s="536">
        <v>3</v>
      </c>
      <c r="BH18" s="537">
        <v>2050</v>
      </c>
    </row>
    <row r="19" spans="1:60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46"/>
      <c r="F19" s="526">
        <v>70</v>
      </c>
      <c r="G19" s="3" t="s">
        <v>2199</v>
      </c>
      <c r="H19" s="3" t="s">
        <v>2219</v>
      </c>
      <c r="I19" s="527">
        <v>-47.451388999999999</v>
      </c>
      <c r="J19" s="527">
        <v>-12.425833000000001</v>
      </c>
      <c r="K19" s="539" t="s">
        <v>1983</v>
      </c>
      <c r="L19" s="539" t="s">
        <v>1983</v>
      </c>
      <c r="M19" s="554">
        <v>1</v>
      </c>
      <c r="N19" s="107"/>
      <c r="O19" s="529">
        <v>1.9820000000000001E-2</v>
      </c>
      <c r="P19" s="529">
        <v>5.2919999999999995E-2</v>
      </c>
      <c r="Q19" s="288">
        <f t="shared" si="0"/>
        <v>0.56843409863945571</v>
      </c>
      <c r="R19" s="30">
        <f t="shared" si="1"/>
        <v>39.790386904761903</v>
      </c>
      <c r="S19" s="30">
        <f t="shared" si="2"/>
        <v>30.209613095238097</v>
      </c>
      <c r="T19" s="107">
        <v>45.309047619047618</v>
      </c>
      <c r="U19" s="107">
        <v>41.534642857142863</v>
      </c>
      <c r="V19" s="107">
        <v>34.323749999999997</v>
      </c>
      <c r="W19" s="107">
        <v>37.994107142857139</v>
      </c>
      <c r="X19" s="288">
        <f t="shared" si="3"/>
        <v>0.64590798319327725</v>
      </c>
      <c r="Y19" s="289">
        <f t="shared" si="4"/>
        <v>45.213558823529411</v>
      </c>
      <c r="Z19" s="289">
        <f t="shared" si="5"/>
        <v>5.4231719187675083</v>
      </c>
      <c r="AA19" s="107">
        <v>59.646156862745052</v>
      </c>
      <c r="AB19" s="107">
        <v>45.32494117647061</v>
      </c>
      <c r="AC19" s="107">
        <v>33.974862745098051</v>
      </c>
      <c r="AD19" s="107">
        <v>41.908274509803931</v>
      </c>
      <c r="AE19" s="106">
        <v>1</v>
      </c>
      <c r="AF19" s="32" t="str">
        <f>IF(AE19=0,"",VLOOKUP(AE19,tab_tipo_expansao!$A$2:$B$4,2,0))</f>
        <v>opcional</v>
      </c>
      <c r="AG19" s="125">
        <v>2030</v>
      </c>
      <c r="AH19" s="125">
        <v>2100</v>
      </c>
      <c r="AI19" s="125">
        <v>30</v>
      </c>
      <c r="AJ19" s="530">
        <v>1010.4394724151807</v>
      </c>
      <c r="AK19" s="24">
        <f>AL19/constantes!$B$4</f>
        <v>3701.243488700296</v>
      </c>
      <c r="AL19" s="33">
        <f t="shared" si="6"/>
        <v>14434.849605931155</v>
      </c>
      <c r="AM19" s="87">
        <v>2</v>
      </c>
      <c r="AN19" s="531">
        <v>0</v>
      </c>
      <c r="AO19" s="23"/>
      <c r="AP19" s="532">
        <f t="shared" si="7"/>
        <v>1010.4394724151807</v>
      </c>
      <c r="AR19" s="35">
        <f t="shared" si="8"/>
        <v>14434.849605931153</v>
      </c>
      <c r="AS19" s="36">
        <f ca="1">OFFSET(cod_desembolso!$A$1,AM19,23)</f>
        <v>1.1245293369208682</v>
      </c>
      <c r="AT19" s="37">
        <f ca="1">IF(AP19=0,0,AP19*(OFFSET(cod_desembolso!$A$1,AM19,23)))</f>
        <v>1136.2688299137151</v>
      </c>
      <c r="AU19" s="38">
        <f>(constantes!$B$3*(1+constantes!$B$3)^(AI19))/((1+constantes!$B$3)^(AI19)-1)</f>
        <v>8.8827433387272267E-2</v>
      </c>
      <c r="AV19" s="37">
        <f t="shared" ca="1" si="9"/>
        <v>104.43184379919433</v>
      </c>
      <c r="AW19" s="37">
        <f ca="1">IF(AP19=0,AY19/constantes!$B$3,AV19/constantes!$B$3)</f>
        <v>1305.398047489929</v>
      </c>
      <c r="AX19" s="39">
        <f ca="1">IF(AP19=0,0,PV(constantes!$B$3,AI19,-AV19)*constantes!$B$3)</f>
        <v>94.053685729172898</v>
      </c>
      <c r="AY19" s="40">
        <f>constantes!$B$10*F19/1000</f>
        <v>3.5</v>
      </c>
      <c r="AZ19" s="533">
        <f>constantes!$B$12</f>
        <v>0</v>
      </c>
      <c r="BA19" s="20">
        <v>318</v>
      </c>
      <c r="BB19" s="43"/>
      <c r="BC19" s="3" t="s">
        <v>2217</v>
      </c>
      <c r="BE19" s="534">
        <v>1</v>
      </c>
      <c r="BF19" s="535">
        <v>2035</v>
      </c>
      <c r="BG19" s="536">
        <v>3</v>
      </c>
      <c r="BH19" s="537">
        <v>2050</v>
      </c>
    </row>
    <row r="20" spans="1:60" ht="14.45" hidden="1">
      <c r="A20" s="125">
        <v>1019</v>
      </c>
      <c r="B20" s="125">
        <v>1019</v>
      </c>
      <c r="C20" s="538" t="s">
        <v>2220</v>
      </c>
      <c r="D20" s="538" t="s">
        <v>2220</v>
      </c>
      <c r="E20" s="546"/>
      <c r="F20" s="526">
        <v>68.599999999999994</v>
      </c>
      <c r="G20" s="3" t="s">
        <v>2221</v>
      </c>
      <c r="H20" s="3" t="s">
        <v>2222</v>
      </c>
      <c r="I20" s="527">
        <v>-51.924261000000001</v>
      </c>
      <c r="J20" s="527">
        <v>-29.437124000000001</v>
      </c>
      <c r="K20" s="539" t="s">
        <v>151</v>
      </c>
      <c r="L20" s="539" t="s">
        <v>151</v>
      </c>
      <c r="M20" s="554">
        <v>2</v>
      </c>
      <c r="N20" s="107"/>
      <c r="O20" s="529">
        <v>1.9820000000000001E-2</v>
      </c>
      <c r="P20" s="529">
        <v>5.2919999999999995E-2</v>
      </c>
      <c r="Q20" s="288">
        <f t="shared" si="0"/>
        <v>0.47694797306677772</v>
      </c>
      <c r="R20" s="30">
        <f t="shared" si="1"/>
        <v>32.718630952380948</v>
      </c>
      <c r="S20" s="30">
        <f t="shared" si="2"/>
        <v>35.881369047619046</v>
      </c>
      <c r="T20" s="107">
        <v>23.613809523809522</v>
      </c>
      <c r="U20" s="107">
        <v>33.234821428571429</v>
      </c>
      <c r="V20" s="107">
        <v>43.563333333333325</v>
      </c>
      <c r="W20" s="107">
        <v>30.462559523809521</v>
      </c>
      <c r="X20" s="288">
        <f t="shared" si="3"/>
        <v>0.55611801863602583</v>
      </c>
      <c r="Y20" s="289">
        <f t="shared" si="4"/>
        <v>38.149696078431369</v>
      </c>
      <c r="Z20" s="289">
        <f t="shared" si="5"/>
        <v>5.4310651260504201</v>
      </c>
      <c r="AA20" s="107">
        <v>28.172745098039211</v>
      </c>
      <c r="AB20" s="107">
        <v>37.216156862745081</v>
      </c>
      <c r="AC20" s="107">
        <v>48.626313725490206</v>
      </c>
      <c r="AD20" s="107">
        <v>38.583568627450973</v>
      </c>
      <c r="AE20" s="106">
        <v>1</v>
      </c>
      <c r="AF20" s="32" t="str">
        <f>IF(AE20=0,"",VLOOKUP(AE20,tab_tipo_expansao!$A$2:$B$4,2,0))</f>
        <v>opcional</v>
      </c>
      <c r="AG20" s="125">
        <v>2028</v>
      </c>
      <c r="AH20" s="125">
        <v>2100</v>
      </c>
      <c r="AI20" s="125">
        <v>30</v>
      </c>
      <c r="AJ20" s="530">
        <v>954.19151926512541</v>
      </c>
      <c r="AK20" s="24">
        <f>AL20/constantes!$B$4</f>
        <v>3566.5377859950872</v>
      </c>
      <c r="AL20" s="33">
        <f t="shared" si="6"/>
        <v>13909.497365380839</v>
      </c>
      <c r="AM20" s="87">
        <v>2</v>
      </c>
      <c r="AN20" s="531">
        <v>0</v>
      </c>
      <c r="AO20" s="23"/>
      <c r="AP20" s="532">
        <f t="shared" si="7"/>
        <v>954.19151926512541</v>
      </c>
      <c r="AR20" s="35">
        <f t="shared" si="8"/>
        <v>13909.497365380837</v>
      </c>
      <c r="AS20" s="36">
        <f ca="1">OFFSET(cod_desembolso!$A$1,AM20,23)</f>
        <v>1.1245293369208682</v>
      </c>
      <c r="AT20" s="37">
        <f ca="1">IF(AP20=0,0,AP20*(OFFSET(cod_desembolso!$A$1,AM20,23)))</f>
        <v>1073.0163564547272</v>
      </c>
      <c r="AU20" s="38">
        <f>(constantes!$B$3*(1+constantes!$B$3)^(AI20))/((1+constantes!$B$3)^(AI20)-1)</f>
        <v>8.8827433387272267E-2</v>
      </c>
      <c r="AV20" s="37">
        <f t="shared" ca="1" si="9"/>
        <v>98.743288926435866</v>
      </c>
      <c r="AW20" s="37">
        <f ca="1">IF(AP20=0,AY20/constantes!$B$3,AV20/constantes!$B$3)</f>
        <v>1234.2911115804484</v>
      </c>
      <c r="AX20" s="39">
        <f ca="1">IF(AP20=0,0,PV(constantes!$B$3,AI20,-AV20)*constantes!$B$3)</f>
        <v>88.930444265732348</v>
      </c>
      <c r="AY20" s="40">
        <f>constantes!$B$10*F20/1000</f>
        <v>3.4299999999999997</v>
      </c>
      <c r="AZ20" s="533">
        <f>constantes!$B$12</f>
        <v>0</v>
      </c>
      <c r="BA20" s="20">
        <v>318</v>
      </c>
      <c r="BB20" s="43"/>
      <c r="BC20" s="3" t="s">
        <v>2197</v>
      </c>
      <c r="BE20" s="534">
        <v>1</v>
      </c>
      <c r="BF20" s="535">
        <v>2027</v>
      </c>
      <c r="BG20" s="536">
        <v>1</v>
      </c>
      <c r="BH20" s="537">
        <v>2027</v>
      </c>
    </row>
    <row r="21" spans="1:60" ht="14.45">
      <c r="A21" s="125">
        <v>1020</v>
      </c>
      <c r="B21" s="125">
        <v>1020</v>
      </c>
      <c r="C21" s="538" t="s">
        <v>2223</v>
      </c>
      <c r="D21" s="538" t="s">
        <v>2223</v>
      </c>
      <c r="E21" s="546"/>
      <c r="F21" s="526">
        <v>84</v>
      </c>
      <c r="G21" s="3" t="s">
        <v>2181</v>
      </c>
      <c r="H21" s="3" t="s">
        <v>2224</v>
      </c>
      <c r="I21" s="527">
        <v>-51.604526999999997</v>
      </c>
      <c r="J21" s="527">
        <v>0.79082200000000002</v>
      </c>
      <c r="K21" s="539" t="s">
        <v>2001</v>
      </c>
      <c r="L21" s="539" t="s">
        <v>2001</v>
      </c>
      <c r="M21" s="554">
        <v>7</v>
      </c>
      <c r="N21" s="107"/>
      <c r="O21" s="529">
        <v>1.9820000000000001E-2</v>
      </c>
      <c r="P21" s="529">
        <v>5.2919999999999995E-2</v>
      </c>
      <c r="Q21" s="288">
        <f t="shared" si="0"/>
        <v>0.47693555361105217</v>
      </c>
      <c r="R21" s="30">
        <f t="shared" si="1"/>
        <v>40.062586503328383</v>
      </c>
      <c r="S21" s="30">
        <f t="shared" si="2"/>
        <v>43.937413496671617</v>
      </c>
      <c r="T21" s="107">
        <v>54.58081449120715</v>
      </c>
      <c r="U21" s="107">
        <v>61.982483116767916</v>
      </c>
      <c r="V21" s="107">
        <v>23.702093788196805</v>
      </c>
      <c r="W21" s="107">
        <v>19.984954617141653</v>
      </c>
      <c r="X21" s="288">
        <f t="shared" si="3"/>
        <v>0.49042921298242009</v>
      </c>
      <c r="Y21" s="289">
        <f t="shared" si="4"/>
        <v>41.196053890523288</v>
      </c>
      <c r="Z21" s="289">
        <f t="shared" si="5"/>
        <v>1.133467387194905</v>
      </c>
      <c r="AA21" s="107">
        <v>60.599906292297305</v>
      </c>
      <c r="AB21" s="107">
        <v>60.908057028488237</v>
      </c>
      <c r="AC21" s="107">
        <v>22.366377043976243</v>
      </c>
      <c r="AD21" s="107">
        <v>20.90987519733137</v>
      </c>
      <c r="AE21" s="106">
        <v>1</v>
      </c>
      <c r="AF21" s="32" t="str">
        <f>IF(AE21=0,"",VLOOKUP(AE21,tab_tipo_expansao!$A$2:$B$4,2,0))</f>
        <v>opcional</v>
      </c>
      <c r="AG21" s="125">
        <v>2030</v>
      </c>
      <c r="AH21" s="125">
        <v>2100</v>
      </c>
      <c r="AI21" s="125">
        <v>30</v>
      </c>
      <c r="AJ21" s="530">
        <v>935.98323797140904</v>
      </c>
      <c r="AK21" s="24">
        <f>AL21/constantes!$B$4</f>
        <v>2857.0916909994176</v>
      </c>
      <c r="AL21" s="33">
        <f t="shared" si="6"/>
        <v>11142.657594897728</v>
      </c>
      <c r="AM21" s="87">
        <v>2</v>
      </c>
      <c r="AN21" s="531">
        <v>0</v>
      </c>
      <c r="AO21" s="23"/>
      <c r="AP21" s="532">
        <f t="shared" si="7"/>
        <v>935.98323797140904</v>
      </c>
      <c r="AR21" s="35">
        <f t="shared" si="8"/>
        <v>11142.657594897726</v>
      </c>
      <c r="AS21" s="36">
        <f ca="1">OFFSET(cod_desembolso!$A$1,AM21,23)</f>
        <v>1.1245293369208682</v>
      </c>
      <c r="AT21" s="37">
        <f ca="1">IF(AP21=0,0,AP21*(OFFSET(cod_desembolso!$A$1,AM21,23)))</f>
        <v>1052.5406099650359</v>
      </c>
      <c r="AU21" s="38">
        <f>(constantes!$B$3*(1+constantes!$B$3)^(AI21))/((1+constantes!$B$3)^(AI21)-1)</f>
        <v>8.8827433387272267E-2</v>
      </c>
      <c r="AV21" s="37">
        <f t="shared" ca="1" si="9"/>
        <v>97.694480919068141</v>
      </c>
      <c r="AW21" s="37">
        <f ca="1">IF(AP21=0,AY21/constantes!$B$3,AV21/constantes!$B$3)</f>
        <v>1221.1810114883517</v>
      </c>
      <c r="AX21" s="39">
        <f ca="1">IF(AP21=0,0,PV(constantes!$B$3,AI21,-AV21)*constantes!$B$3)</f>
        <v>87.985864000493692</v>
      </c>
      <c r="AY21" s="40">
        <f>constantes!$B$10*F21/1000</f>
        <v>4.2</v>
      </c>
      <c r="AZ21" s="533">
        <f>constantes!$B$12</f>
        <v>0</v>
      </c>
      <c r="BA21" s="20">
        <v>318</v>
      </c>
      <c r="BB21" s="43"/>
      <c r="BC21" s="3" t="s">
        <v>2183</v>
      </c>
      <c r="BE21" s="534">
        <v>1</v>
      </c>
      <c r="BF21" s="535">
        <v>2027</v>
      </c>
      <c r="BG21" s="536">
        <v>1</v>
      </c>
      <c r="BH21" s="537">
        <v>2027</v>
      </c>
    </row>
    <row r="22" spans="1:60" ht="14.45" hidden="1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46"/>
      <c r="F22" s="526">
        <v>67</v>
      </c>
      <c r="G22" s="3" t="s">
        <v>2196</v>
      </c>
      <c r="H22" s="3" t="s">
        <v>2226</v>
      </c>
      <c r="I22" s="527">
        <v>-48.333340999999997</v>
      </c>
      <c r="J22" s="527">
        <v>-20.667614</v>
      </c>
      <c r="K22" s="539" t="s">
        <v>148</v>
      </c>
      <c r="L22" s="539" t="s">
        <v>148</v>
      </c>
      <c r="M22" s="554">
        <v>1</v>
      </c>
      <c r="N22" s="107"/>
      <c r="O22" s="529">
        <v>1.9820000000000001E-2</v>
      </c>
      <c r="P22" s="529">
        <v>5.2919999999999995E-2</v>
      </c>
      <c r="Q22" s="288">
        <f t="shared" si="0"/>
        <v>0.52843750000000012</v>
      </c>
      <c r="R22" s="30">
        <f t="shared" si="1"/>
        <v>35.405312500000008</v>
      </c>
      <c r="S22" s="30">
        <f t="shared" si="2"/>
        <v>31.594687499999992</v>
      </c>
      <c r="T22" s="107">
        <v>48.756666666666661</v>
      </c>
      <c r="U22" s="107">
        <v>38.331666666666671</v>
      </c>
      <c r="V22" s="107">
        <v>24.384583333333335</v>
      </c>
      <c r="W22" s="107">
        <v>30.148333333333341</v>
      </c>
      <c r="X22" s="288">
        <f t="shared" si="3"/>
        <v>0.65277729002048601</v>
      </c>
      <c r="Y22" s="289">
        <f t="shared" si="4"/>
        <v>43.736078431372562</v>
      </c>
      <c r="Z22" s="289">
        <f t="shared" si="5"/>
        <v>8.3307659313725537</v>
      </c>
      <c r="AA22" s="107">
        <v>58.483490196078456</v>
      </c>
      <c r="AB22" s="107">
        <v>46.004705882352937</v>
      </c>
      <c r="AC22" s="107">
        <v>29.847019607843141</v>
      </c>
      <c r="AD22" s="107">
        <v>40.609098039215681</v>
      </c>
      <c r="AE22" s="106">
        <v>1</v>
      </c>
      <c r="AF22" s="32" t="str">
        <f>IF(AE22=0,"",VLOOKUP(AE22,tab_tipo_expansao!$A$2:$B$4,2,0))</f>
        <v>opcional</v>
      </c>
      <c r="AG22" s="125">
        <v>2028</v>
      </c>
      <c r="AH22" s="125">
        <v>2100</v>
      </c>
      <c r="AI22" s="125">
        <v>30</v>
      </c>
      <c r="AJ22" s="530">
        <v>667.77606637226347</v>
      </c>
      <c r="AK22" s="24">
        <f>AL22/constantes!$B$4</f>
        <v>2555.5915284051416</v>
      </c>
      <c r="AL22" s="33">
        <f t="shared" si="6"/>
        <v>9966.8069607800517</v>
      </c>
      <c r="AM22" s="87">
        <v>2</v>
      </c>
      <c r="AN22" s="531">
        <v>0</v>
      </c>
      <c r="AO22" s="23"/>
      <c r="AP22" s="532">
        <f t="shared" si="7"/>
        <v>667.77606637226347</v>
      </c>
      <c r="AR22" s="35">
        <f t="shared" si="8"/>
        <v>9966.8069607800517</v>
      </c>
      <c r="AS22" s="36">
        <f ca="1">OFFSET(cod_desembolso!$A$1,AM22,23)</f>
        <v>1.1245293369208682</v>
      </c>
      <c r="AT22" s="37">
        <f ca="1">IF(AP22=0,0,AP22*(OFFSET(cod_desembolso!$A$1,AM22,23)))</f>
        <v>750.93377712922711</v>
      </c>
      <c r="AU22" s="38">
        <f>(constantes!$B$3*(1+constantes!$B$3)^(AI22))/((1+constantes!$B$3)^(AI22)-1)</f>
        <v>8.8827433387272267E-2</v>
      </c>
      <c r="AV22" s="37">
        <f t="shared" ca="1" si="9"/>
        <v>70.053520066199169</v>
      </c>
      <c r="AW22" s="37">
        <f ca="1">IF(AP22=0,AY22/constantes!$B$3,AV22/constantes!$B$3)</f>
        <v>875.66900082748964</v>
      </c>
      <c r="AX22" s="39">
        <f ca="1">IF(AP22=0,0,PV(constantes!$B$3,AI22,-AV22)*constantes!$B$3)</f>
        <v>63.091788106296327</v>
      </c>
      <c r="AY22" s="40">
        <f>constantes!$B$10*F22/1000</f>
        <v>3.35</v>
      </c>
      <c r="AZ22" s="533">
        <f>constantes!$B$12</f>
        <v>0</v>
      </c>
      <c r="BA22" s="20">
        <v>318</v>
      </c>
      <c r="BB22" s="43"/>
      <c r="BC22" s="3" t="s">
        <v>2197</v>
      </c>
      <c r="BE22" s="534">
        <v>1</v>
      </c>
      <c r="BF22" s="535">
        <v>2027</v>
      </c>
      <c r="BG22" s="536">
        <v>1</v>
      </c>
      <c r="BH22" s="537">
        <v>2027</v>
      </c>
    </row>
    <row r="23" spans="1:60" ht="14.45" hidden="1">
      <c r="A23" s="125">
        <v>1022</v>
      </c>
      <c r="B23" s="125">
        <v>1022</v>
      </c>
      <c r="C23" s="538" t="s">
        <v>2227</v>
      </c>
      <c r="D23" s="538" t="s">
        <v>2227</v>
      </c>
      <c r="E23" s="546"/>
      <c r="F23" s="526">
        <v>61</v>
      </c>
      <c r="G23" s="3" t="s">
        <v>2181</v>
      </c>
      <c r="H23" s="3" t="s">
        <v>2228</v>
      </c>
      <c r="I23" s="527">
        <v>-56.581667000000003</v>
      </c>
      <c r="J23" s="527">
        <v>-13.411944</v>
      </c>
      <c r="K23" s="539" t="s">
        <v>160</v>
      </c>
      <c r="L23" s="539" t="s">
        <v>160</v>
      </c>
      <c r="M23" s="554">
        <v>1</v>
      </c>
      <c r="N23" s="107"/>
      <c r="O23" s="529">
        <v>2.068E-2</v>
      </c>
      <c r="P23" s="529">
        <v>4.6600000000000003E-2</v>
      </c>
      <c r="Q23" s="288">
        <f t="shared" si="0"/>
        <v>0.54678766588602656</v>
      </c>
      <c r="R23" s="30">
        <f t="shared" si="1"/>
        <v>33.35404761904762</v>
      </c>
      <c r="S23" s="30">
        <f t="shared" si="2"/>
        <v>27.64595238095238</v>
      </c>
      <c r="T23" s="107">
        <v>48.90428571428572</v>
      </c>
      <c r="U23" s="107">
        <v>39.11434523809524</v>
      </c>
      <c r="V23" s="107">
        <v>18.324583333333333</v>
      </c>
      <c r="W23" s="107">
        <v>27.072976190476187</v>
      </c>
      <c r="X23" s="288">
        <f t="shared" si="3"/>
        <v>0.54064593378334935</v>
      </c>
      <c r="Y23" s="289">
        <f t="shared" si="4"/>
        <v>32.979401960784308</v>
      </c>
      <c r="Z23" s="289">
        <f t="shared" si="5"/>
        <v>-0.37464565826331153</v>
      </c>
      <c r="AA23" s="107">
        <v>48.316470588235291</v>
      </c>
      <c r="AB23" s="107">
        <v>36.560078431372546</v>
      </c>
      <c r="AC23" s="107">
        <v>19.065921568627445</v>
      </c>
      <c r="AD23" s="107">
        <v>27.975137254901963</v>
      </c>
      <c r="AE23" s="106">
        <v>1</v>
      </c>
      <c r="AF23" s="32" t="str">
        <f>IF(AE23=0,"",VLOOKUP(AE23,tab_tipo_expansao!$A$2:$B$4,2,0))</f>
        <v>opcional</v>
      </c>
      <c r="AG23" s="125">
        <v>2028</v>
      </c>
      <c r="AH23" s="125">
        <v>2100</v>
      </c>
      <c r="AI23" s="125">
        <v>30</v>
      </c>
      <c r="AJ23" s="530">
        <v>507.88966031173118</v>
      </c>
      <c r="AK23" s="24">
        <f>AL23/constantes!$B$4</f>
        <v>2134.8871807975252</v>
      </c>
      <c r="AL23" s="33">
        <f t="shared" si="6"/>
        <v>8326.0600051103484</v>
      </c>
      <c r="AM23" s="87">
        <v>2</v>
      </c>
      <c r="AN23" s="531">
        <v>0</v>
      </c>
      <c r="AO23" s="23"/>
      <c r="AP23" s="532">
        <f t="shared" si="7"/>
        <v>507.88966031173118</v>
      </c>
      <c r="AR23" s="35">
        <f t="shared" si="8"/>
        <v>8326.0600051103465</v>
      </c>
      <c r="AS23" s="36">
        <f ca="1">OFFSET(cod_desembolso!$A$1,AM23,23)</f>
        <v>1.1245293369208682</v>
      </c>
      <c r="AT23" s="37">
        <f ca="1">IF(AP23=0,0,AP23*(OFFSET(cod_desembolso!$A$1,AM23,23)))</f>
        <v>571.13682293931606</v>
      </c>
      <c r="AU23" s="38">
        <f>(constantes!$B$3*(1+constantes!$B$3)^(AI23))/((1+constantes!$B$3)^(AI23)-1)</f>
        <v>8.8827433387272267E-2</v>
      </c>
      <c r="AV23" s="37">
        <f t="shared" ca="1" si="9"/>
        <v>53.782618094660407</v>
      </c>
      <c r="AW23" s="37">
        <f ca="1">IF(AP23=0,AY23/constantes!$B$3,AV23/constantes!$B$3)</f>
        <v>672.28272618325502</v>
      </c>
      <c r="AX23" s="39">
        <f ca="1">IF(AP23=0,0,PV(constantes!$B$3,AI23,-AV23)*constantes!$B$3)</f>
        <v>48.437844970868383</v>
      </c>
      <c r="AY23" s="40">
        <f>constantes!$B$10*F23/1000</f>
        <v>3.05</v>
      </c>
      <c r="AZ23" s="533">
        <f>constantes!$B$12</f>
        <v>0</v>
      </c>
      <c r="BA23" s="20">
        <v>318</v>
      </c>
      <c r="BB23" s="43"/>
      <c r="BC23" s="3" t="s">
        <v>2197</v>
      </c>
      <c r="BE23" s="534">
        <v>1</v>
      </c>
      <c r="BF23" s="535">
        <v>2027</v>
      </c>
      <c r="BG23" s="536">
        <v>1</v>
      </c>
      <c r="BH23" s="537">
        <v>2027</v>
      </c>
    </row>
    <row r="24" spans="1:60" ht="14.45">
      <c r="A24" s="125">
        <v>1023</v>
      </c>
      <c r="B24" s="125">
        <v>1023</v>
      </c>
      <c r="C24" s="538" t="s">
        <v>2229</v>
      </c>
      <c r="D24" s="538" t="s">
        <v>2229</v>
      </c>
      <c r="E24" s="546"/>
      <c r="F24" s="526">
        <v>85</v>
      </c>
      <c r="G24" s="3" t="s">
        <v>2199</v>
      </c>
      <c r="H24" s="3" t="s">
        <v>2219</v>
      </c>
      <c r="I24" s="527">
        <v>-47.802287</v>
      </c>
      <c r="J24" s="527">
        <v>-12.610586</v>
      </c>
      <c r="K24" s="539" t="s">
        <v>1983</v>
      </c>
      <c r="L24" s="539" t="s">
        <v>1983</v>
      </c>
      <c r="M24" s="554">
        <v>1</v>
      </c>
      <c r="N24" s="107"/>
      <c r="O24" s="529">
        <v>1.9820000000000001E-2</v>
      </c>
      <c r="P24" s="529">
        <v>5.2919999999999995E-2</v>
      </c>
      <c r="Q24" s="288">
        <f t="shared" si="0"/>
        <v>0.56254866946778703</v>
      </c>
      <c r="R24" s="30">
        <f t="shared" si="1"/>
        <v>47.8166369047619</v>
      </c>
      <c r="S24" s="30">
        <f t="shared" si="2"/>
        <v>37.1833630952381</v>
      </c>
      <c r="T24" s="107">
        <v>50.101428571428563</v>
      </c>
      <c r="U24" s="107">
        <v>50.153214285714284</v>
      </c>
      <c r="V24" s="107">
        <v>44.884999999999998</v>
      </c>
      <c r="W24" s="107">
        <v>46.126904761904768</v>
      </c>
      <c r="X24" s="288">
        <f t="shared" si="3"/>
        <v>0.64140553633217978</v>
      </c>
      <c r="Y24" s="289">
        <f t="shared" si="4"/>
        <v>54.519470588235279</v>
      </c>
      <c r="Z24" s="289">
        <f t="shared" si="5"/>
        <v>6.7028336834733793</v>
      </c>
      <c r="AA24" s="107">
        <v>71.135764705882309</v>
      </c>
      <c r="AB24" s="107">
        <v>54.722156862745088</v>
      </c>
      <c r="AC24" s="107">
        <v>42.538509803921563</v>
      </c>
      <c r="AD24" s="107">
        <v>49.68145098039215</v>
      </c>
      <c r="AE24" s="106">
        <v>1</v>
      </c>
      <c r="AF24" s="32" t="str">
        <f>IF(AE24=0,"",VLOOKUP(AE24,tab_tipo_expansao!$A$2:$B$4,2,0))</f>
        <v>opcional</v>
      </c>
      <c r="AG24" s="125">
        <v>2030</v>
      </c>
      <c r="AH24" s="125">
        <v>2100</v>
      </c>
      <c r="AI24" s="125">
        <v>30</v>
      </c>
      <c r="AJ24" s="530">
        <v>1171.3231681199093</v>
      </c>
      <c r="AK24" s="24">
        <f>AL24/constantes!$B$4</f>
        <v>3533.4032220811741</v>
      </c>
      <c r="AL24" s="33">
        <f t="shared" si="6"/>
        <v>13780.272566116579</v>
      </c>
      <c r="AM24" s="87">
        <v>2</v>
      </c>
      <c r="AN24" s="531">
        <v>0</v>
      </c>
      <c r="AO24" s="23"/>
      <c r="AP24" s="532">
        <f t="shared" si="7"/>
        <v>1171.3231681199093</v>
      </c>
      <c r="AR24" s="35">
        <f t="shared" si="8"/>
        <v>13780.272566116579</v>
      </c>
      <c r="AS24" s="36">
        <f ca="1">OFFSET(cod_desembolso!$A$1,AM24,23)</f>
        <v>1.1245293369208682</v>
      </c>
      <c r="AT24" s="37">
        <f ca="1">IF(AP24=0,0,AP24*(OFFSET(cod_desembolso!$A$1,AM24,23)))</f>
        <v>1317.1872655659322</v>
      </c>
      <c r="AU24" s="38">
        <f>(constantes!$B$3*(1+constantes!$B$3)^(AI24))/((1+constantes!$B$3)^(AI24)-1)</f>
        <v>8.8827433387272267E-2</v>
      </c>
      <c r="AV24" s="37">
        <f t="shared" ca="1" si="9"/>
        <v>121.25236409062114</v>
      </c>
      <c r="AW24" s="37">
        <f ca="1">IF(AP24=0,AY24/constantes!$B$3,AV24/constantes!$B$3)</f>
        <v>1515.6545511327643</v>
      </c>
      <c r="AX24" s="39">
        <f ca="1">IF(AP24=0,0,PV(constantes!$B$3,AI24,-AV24)*constantes!$B$3)</f>
        <v>109.20262758193792</v>
      </c>
      <c r="AY24" s="40">
        <f>constantes!$B$10*F24/1000</f>
        <v>4.25</v>
      </c>
      <c r="AZ24" s="533">
        <f>constantes!$B$12</f>
        <v>0</v>
      </c>
      <c r="BA24" s="20">
        <v>318</v>
      </c>
      <c r="BB24" s="43"/>
      <c r="BC24" s="3" t="s">
        <v>2217</v>
      </c>
      <c r="BE24" s="534">
        <v>1</v>
      </c>
      <c r="BF24" s="535">
        <v>2035</v>
      </c>
      <c r="BG24" s="536">
        <v>3</v>
      </c>
      <c r="BH24" s="537">
        <v>2050</v>
      </c>
    </row>
    <row r="25" spans="1:60" ht="14.45" hidden="1">
      <c r="A25" s="125">
        <v>1024</v>
      </c>
      <c r="B25" s="125">
        <v>1024</v>
      </c>
      <c r="C25" s="538" t="s">
        <v>2230</v>
      </c>
      <c r="D25" s="538" t="s">
        <v>2230</v>
      </c>
      <c r="E25" s="546"/>
      <c r="F25" s="526">
        <v>80</v>
      </c>
      <c r="G25" s="3" t="s">
        <v>2231</v>
      </c>
      <c r="H25" s="3" t="s">
        <v>2138</v>
      </c>
      <c r="I25" s="527">
        <v>-42.008727999999998</v>
      </c>
      <c r="J25" s="527">
        <v>-21.639526</v>
      </c>
      <c r="K25" s="539" t="s">
        <v>284</v>
      </c>
      <c r="L25" s="539" t="s">
        <v>284</v>
      </c>
      <c r="M25" s="554">
        <v>1</v>
      </c>
      <c r="N25" s="107"/>
      <c r="O25" s="529">
        <v>1.9820000000000001E-2</v>
      </c>
      <c r="P25" s="529">
        <v>5.2919999999999995E-2</v>
      </c>
      <c r="Q25" s="288">
        <f t="shared" si="0"/>
        <v>0.57942150297619055</v>
      </c>
      <c r="R25" s="30">
        <f t="shared" si="1"/>
        <v>46.353720238095242</v>
      </c>
      <c r="S25" s="30">
        <f t="shared" si="2"/>
        <v>33.646279761904758</v>
      </c>
      <c r="T25" s="107">
        <v>59.52</v>
      </c>
      <c r="U25" s="107">
        <v>48.710416666666667</v>
      </c>
      <c r="V25" s="107">
        <v>28.935416666666669</v>
      </c>
      <c r="W25" s="107">
        <v>48.249047619047623</v>
      </c>
      <c r="X25" s="288">
        <f t="shared" si="3"/>
        <v>0.60012500000000002</v>
      </c>
      <c r="Y25" s="289">
        <f t="shared" si="4"/>
        <v>48.01</v>
      </c>
      <c r="Z25" s="289">
        <f t="shared" si="5"/>
        <v>1.6562797619047558</v>
      </c>
      <c r="AA25" s="107">
        <v>63.143098039215687</v>
      </c>
      <c r="AB25" s="107">
        <v>49.197372549019597</v>
      </c>
      <c r="AC25" s="107">
        <v>29.388117647058831</v>
      </c>
      <c r="AD25" s="107">
        <v>50.311411764705873</v>
      </c>
      <c r="AE25" s="106">
        <v>1</v>
      </c>
      <c r="AF25" s="32" t="str">
        <f>IF(AE25=0,"",VLOOKUP(AE25,tab_tipo_expansao!$A$2:$B$4,2,0))</f>
        <v>opcional</v>
      </c>
      <c r="AG25" s="125">
        <v>2028</v>
      </c>
      <c r="AH25" s="125">
        <v>2100</v>
      </c>
      <c r="AI25" s="125">
        <v>30</v>
      </c>
      <c r="AJ25" s="530">
        <v>788.72514709160987</v>
      </c>
      <c r="AK25" s="24">
        <f>AL25/constantes!$B$4</f>
        <v>2527.9652150372112</v>
      </c>
      <c r="AL25" s="33">
        <f t="shared" si="6"/>
        <v>9859.0643386451229</v>
      </c>
      <c r="AM25" s="87">
        <v>2</v>
      </c>
      <c r="AN25" s="531">
        <v>0</v>
      </c>
      <c r="AO25" s="23"/>
      <c r="AP25" s="532">
        <f t="shared" si="7"/>
        <v>788.72514709160987</v>
      </c>
      <c r="AR25" s="35">
        <f t="shared" si="8"/>
        <v>9859.0643386451229</v>
      </c>
      <c r="AS25" s="36">
        <f ca="1">OFFSET(cod_desembolso!$A$1,AM25,23)</f>
        <v>1.1245293369208682</v>
      </c>
      <c r="AT25" s="37">
        <f ca="1">IF(AP25=0,0,AP25*(OFFSET(cod_desembolso!$A$1,AM25,23)))</f>
        <v>886.94456667174234</v>
      </c>
      <c r="AU25" s="38">
        <f>(constantes!$B$3*(1+constantes!$B$3)^(AI25))/((1+constantes!$B$3)^(AI25)-1)</f>
        <v>8.8827433387272267E-2</v>
      </c>
      <c r="AV25" s="37">
        <f t="shared" ca="1" si="9"/>
        <v>82.785009414237265</v>
      </c>
      <c r="AW25" s="37">
        <f ca="1">IF(AP25=0,AY25/constantes!$B$3,AV25/constantes!$B$3)</f>
        <v>1034.8126176779658</v>
      </c>
      <c r="AX25" s="39">
        <f ca="1">IF(AP25=0,0,PV(constantes!$B$3,AI25,-AV25)*constantes!$B$3)</f>
        <v>74.558056003540173</v>
      </c>
      <c r="AY25" s="40">
        <f>constantes!$B$10*F25/1000</f>
        <v>4</v>
      </c>
      <c r="AZ25" s="533">
        <f>constantes!$B$12</f>
        <v>0</v>
      </c>
      <c r="BA25" s="20">
        <v>318</v>
      </c>
      <c r="BB25" s="43"/>
      <c r="BC25" s="3" t="s">
        <v>2197</v>
      </c>
      <c r="BE25" s="534">
        <v>1</v>
      </c>
      <c r="BF25" s="535">
        <v>2027</v>
      </c>
      <c r="BG25" s="536">
        <v>1</v>
      </c>
      <c r="BH25" s="537">
        <v>2027</v>
      </c>
    </row>
    <row r="26" spans="1:60" ht="14.45" hidden="1">
      <c r="A26" s="125">
        <v>1025</v>
      </c>
      <c r="B26" s="125">
        <v>1025</v>
      </c>
      <c r="C26" s="538" t="s">
        <v>2232</v>
      </c>
      <c r="D26" s="538" t="s">
        <v>2232</v>
      </c>
      <c r="E26" s="546"/>
      <c r="F26" s="526">
        <v>46.5</v>
      </c>
      <c r="G26" s="3" t="s">
        <v>2196</v>
      </c>
      <c r="H26" s="3" t="s">
        <v>2226</v>
      </c>
      <c r="I26" s="527">
        <v>-48.445278000000002</v>
      </c>
      <c r="J26" s="527">
        <v>-20.460277999999999</v>
      </c>
      <c r="K26" s="539" t="s">
        <v>148</v>
      </c>
      <c r="L26" s="539" t="s">
        <v>148</v>
      </c>
      <c r="M26" s="554">
        <v>1</v>
      </c>
      <c r="N26" s="107"/>
      <c r="O26" s="529">
        <v>2.068E-2</v>
      </c>
      <c r="P26" s="529">
        <v>4.6600000000000003E-2</v>
      </c>
      <c r="Q26" s="288">
        <f t="shared" si="0"/>
        <v>0.53898905529953922</v>
      </c>
      <c r="R26" s="30">
        <f t="shared" si="1"/>
        <v>25.062991071428574</v>
      </c>
      <c r="S26" s="30">
        <f t="shared" si="2"/>
        <v>21.437008928571426</v>
      </c>
      <c r="T26" s="107">
        <v>32.779523809523816</v>
      </c>
      <c r="U26" s="107">
        <v>27.254523809523807</v>
      </c>
      <c r="V26" s="107">
        <v>18.245416666666667</v>
      </c>
      <c r="W26" s="107">
        <v>21.972499999999997</v>
      </c>
      <c r="X26" s="288">
        <f t="shared" si="3"/>
        <v>0.64809972591187015</v>
      </c>
      <c r="Y26" s="289">
        <f t="shared" si="4"/>
        <v>30.136637254901959</v>
      </c>
      <c r="Z26" s="289">
        <f t="shared" si="5"/>
        <v>5.0736461834733859</v>
      </c>
      <c r="AA26" s="107">
        <v>38.007372549019614</v>
      </c>
      <c r="AB26" s="107">
        <v>32.007686274509794</v>
      </c>
      <c r="AC26" s="107">
        <v>21.919490196078428</v>
      </c>
      <c r="AD26" s="107">
        <v>28.611999999999995</v>
      </c>
      <c r="AE26" s="106">
        <v>1</v>
      </c>
      <c r="AF26" s="32" t="str">
        <f>IF(AE26=0,"",VLOOKUP(AE26,tab_tipo_expansao!$A$2:$B$4,2,0))</f>
        <v>opcional</v>
      </c>
      <c r="AG26" s="125">
        <v>2028</v>
      </c>
      <c r="AH26" s="125">
        <v>2100</v>
      </c>
      <c r="AI26" s="125">
        <v>30</v>
      </c>
      <c r="AJ26" s="530">
        <v>593.0580785001664</v>
      </c>
      <c r="AK26" s="24">
        <f>AL26/constantes!$B$4</f>
        <v>3270.2403005247666</v>
      </c>
      <c r="AL26" s="33">
        <f t="shared" si="6"/>
        <v>12753.93717204659</v>
      </c>
      <c r="AM26" s="87">
        <v>2</v>
      </c>
      <c r="AN26" s="531">
        <v>0</v>
      </c>
      <c r="AO26" s="23"/>
      <c r="AP26" s="532">
        <f t="shared" si="7"/>
        <v>593.0580785001664</v>
      </c>
      <c r="AR26" s="35">
        <f t="shared" si="8"/>
        <v>12753.93717204659</v>
      </c>
      <c r="AS26" s="36">
        <f ca="1">OFFSET(cod_desembolso!$A$1,AM26,23)</f>
        <v>1.1245293369208682</v>
      </c>
      <c r="AT26" s="37">
        <f ca="1">IF(AP26=0,0,AP26*(OFFSET(cod_desembolso!$A$1,AM26,23)))</f>
        <v>666.91120777135632</v>
      </c>
      <c r="AU26" s="38">
        <f>(constantes!$B$3*(1+constantes!$B$3)^(AI26))/((1+constantes!$B$3)^(AI26)-1)</f>
        <v>8.8827433387272267E-2</v>
      </c>
      <c r="AV26" s="37">
        <f t="shared" ca="1" si="9"/>
        <v>61.56501088353545</v>
      </c>
      <c r="AW26" s="37">
        <f ca="1">IF(AP26=0,AY26/constantes!$B$3,AV26/constantes!$B$3)</f>
        <v>769.56263604419314</v>
      </c>
      <c r="AX26" s="39">
        <f ca="1">IF(AP26=0,0,PV(constantes!$B$3,AI26,-AV26)*constantes!$B$3)</f>
        <v>55.446844323530222</v>
      </c>
      <c r="AY26" s="40">
        <f>constantes!$B$10*F26/1000</f>
        <v>2.3250000000000002</v>
      </c>
      <c r="AZ26" s="533">
        <f>constantes!$B$12</f>
        <v>0</v>
      </c>
      <c r="BA26" s="20">
        <v>318</v>
      </c>
      <c r="BB26" s="43"/>
      <c r="BC26" s="3" t="s">
        <v>2197</v>
      </c>
      <c r="BE26" s="534">
        <v>1</v>
      </c>
      <c r="BF26" s="535">
        <v>2027</v>
      </c>
      <c r="BG26" s="536">
        <v>1</v>
      </c>
      <c r="BH26" s="537">
        <v>2027</v>
      </c>
    </row>
    <row r="27" spans="1:60" ht="14.45" hidden="1">
      <c r="A27" s="125">
        <v>1026</v>
      </c>
      <c r="B27" s="125">
        <v>1026</v>
      </c>
      <c r="C27" s="538" t="s">
        <v>2233</v>
      </c>
      <c r="D27" s="538" t="s">
        <v>2233</v>
      </c>
      <c r="E27" s="546"/>
      <c r="F27" s="526">
        <v>110</v>
      </c>
      <c r="G27" s="3" t="s">
        <v>2231</v>
      </c>
      <c r="H27" s="3" t="s">
        <v>2234</v>
      </c>
      <c r="I27" s="527">
        <v>-42.897592000000003</v>
      </c>
      <c r="J27" s="527">
        <v>-20.257141000000001</v>
      </c>
      <c r="K27" s="539" t="s">
        <v>152</v>
      </c>
      <c r="L27" s="539" t="s">
        <v>152</v>
      </c>
      <c r="M27" s="554">
        <v>1</v>
      </c>
      <c r="N27" s="107"/>
      <c r="O27" s="529">
        <v>1.9820000000000001E-2</v>
      </c>
      <c r="P27" s="529">
        <v>5.2919999999999995E-2</v>
      </c>
      <c r="Q27" s="288">
        <f t="shared" si="0"/>
        <v>0.43944764610389614</v>
      </c>
      <c r="R27" s="30">
        <f t="shared" si="1"/>
        <v>48.339241071428575</v>
      </c>
      <c r="S27" s="30">
        <f t="shared" si="2"/>
        <v>61.660758928571425</v>
      </c>
      <c r="T27" s="107">
        <v>68.688571428571436</v>
      </c>
      <c r="U27" s="107">
        <v>46.244107142857139</v>
      </c>
      <c r="V27" s="107">
        <v>28.671250000000001</v>
      </c>
      <c r="W27" s="107">
        <v>49.753035714285716</v>
      </c>
      <c r="X27" s="288">
        <f t="shared" si="3"/>
        <v>0.43621265597147951</v>
      </c>
      <c r="Y27" s="289">
        <f t="shared" si="4"/>
        <v>47.983392156862749</v>
      </c>
      <c r="Z27" s="289">
        <f t="shared" si="5"/>
        <v>-0.35584891456582568</v>
      </c>
      <c r="AA27" s="107">
        <v>70.099176470588262</v>
      </c>
      <c r="AB27" s="107">
        <v>42.02023529411764</v>
      </c>
      <c r="AC27" s="107">
        <v>28.750823529411761</v>
      </c>
      <c r="AD27" s="107">
        <v>51.063333333333333</v>
      </c>
      <c r="AE27" s="106">
        <v>1</v>
      </c>
      <c r="AF27" s="32" t="str">
        <f>IF(AE27=0,"",VLOOKUP(AE27,tab_tipo_expansao!$A$2:$B$4,2,0))</f>
        <v>opcional</v>
      </c>
      <c r="AG27" s="125">
        <v>2028</v>
      </c>
      <c r="AH27" s="125">
        <v>2100</v>
      </c>
      <c r="AI27" s="125">
        <v>30</v>
      </c>
      <c r="AJ27" s="530">
        <v>552.40776587152448</v>
      </c>
      <c r="AK27" s="24">
        <f>AL27/constantes!$B$4</f>
        <v>1287.6637899103134</v>
      </c>
      <c r="AL27" s="33">
        <f t="shared" si="6"/>
        <v>5021.8887806502225</v>
      </c>
      <c r="AM27" s="87">
        <v>2</v>
      </c>
      <c r="AN27" s="531">
        <v>0</v>
      </c>
      <c r="AO27" s="23"/>
      <c r="AP27" s="532">
        <f t="shared" si="7"/>
        <v>552.40776587152448</v>
      </c>
      <c r="AR27" s="35">
        <f t="shared" si="8"/>
        <v>5021.8887806502225</v>
      </c>
      <c r="AS27" s="36">
        <f ca="1">OFFSET(cod_desembolso!$A$1,AM27,23)</f>
        <v>1.1245293369208682</v>
      </c>
      <c r="AT27" s="37">
        <f ca="1">IF(AP27=0,0,AP27*(OFFSET(cod_desembolso!$A$1,AM27,23)))</f>
        <v>621.19873866544367</v>
      </c>
      <c r="AU27" s="38">
        <f>(constantes!$B$3*(1+constantes!$B$3)^(AI27))/((1+constantes!$B$3)^(AI27)-1)</f>
        <v>8.8827433387272267E-2</v>
      </c>
      <c r="AV27" s="37">
        <f t="shared" ca="1" si="9"/>
        <v>60.679489579062249</v>
      </c>
      <c r="AW27" s="37">
        <f ca="1">IF(AP27=0,AY27/constantes!$B$3,AV27/constantes!$B$3)</f>
        <v>758.49361973827808</v>
      </c>
      <c r="AX27" s="39">
        <f ca="1">IF(AP27=0,0,PV(constantes!$B$3,AI27,-AV27)*constantes!$B$3)</f>
        <v>54.649323764211587</v>
      </c>
      <c r="AY27" s="40">
        <f>constantes!$B$10*F27/1000</f>
        <v>5.5</v>
      </c>
      <c r="AZ27" s="533">
        <f>constantes!$B$12</f>
        <v>0</v>
      </c>
      <c r="BA27" s="20">
        <v>318</v>
      </c>
      <c r="BB27" s="43"/>
      <c r="BC27" s="3" t="s">
        <v>2197</v>
      </c>
      <c r="BE27" s="534">
        <v>1</v>
      </c>
      <c r="BF27" s="535">
        <v>2027</v>
      </c>
      <c r="BG27" s="536">
        <v>1</v>
      </c>
      <c r="BH27" s="537">
        <v>2027</v>
      </c>
    </row>
    <row r="28" spans="1:60" ht="14.45" hidden="1" customHeight="1">
      <c r="A28" s="125">
        <v>1027</v>
      </c>
      <c r="B28" s="125">
        <v>1027</v>
      </c>
      <c r="C28" s="627" t="s">
        <v>2235</v>
      </c>
      <c r="D28" s="538" t="s">
        <v>2235</v>
      </c>
      <c r="E28" s="546"/>
      <c r="F28" s="644">
        <v>650</v>
      </c>
      <c r="G28" s="3" t="s">
        <v>2181</v>
      </c>
      <c r="H28" s="3" t="s">
        <v>2236</v>
      </c>
      <c r="I28" s="527">
        <v>-61.035497999999997</v>
      </c>
      <c r="J28" s="527">
        <v>1.8773139999999999</v>
      </c>
      <c r="K28" s="539" t="s">
        <v>159</v>
      </c>
      <c r="L28" s="539" t="s">
        <v>159</v>
      </c>
      <c r="M28" s="554">
        <v>7</v>
      </c>
      <c r="N28" s="107"/>
      <c r="O28" s="529">
        <v>1.6379999999999999E-2</v>
      </c>
      <c r="P28" s="529">
        <v>6.1409999999999999E-2</v>
      </c>
      <c r="Q28" s="288">
        <f t="shared" si="0"/>
        <v>0.47693555361105217</v>
      </c>
      <c r="R28" s="30">
        <f t="shared" si="1"/>
        <v>310.0081098471839</v>
      </c>
      <c r="S28" s="30">
        <f t="shared" si="2"/>
        <v>339.9918901528161</v>
      </c>
      <c r="T28" s="107">
        <v>422.35154070576965</v>
      </c>
      <c r="U28" s="107">
        <v>479.62635745118024</v>
      </c>
      <c r="V28" s="107">
        <v>183.40905907533241</v>
      </c>
      <c r="W28" s="107">
        <v>154.64548215645328</v>
      </c>
      <c r="X28" s="288">
        <f t="shared" si="3"/>
        <v>0.49042921298242004</v>
      </c>
      <c r="Y28" s="289">
        <f t="shared" si="4"/>
        <v>318.77898843857304</v>
      </c>
      <c r="Z28" s="289">
        <f t="shared" si="5"/>
        <v>8.7708785913891347</v>
      </c>
      <c r="AA28" s="107">
        <v>468.9278463094434</v>
      </c>
      <c r="AB28" s="107">
        <v>471.31234605377807</v>
      </c>
      <c r="AC28" s="107">
        <v>173.07315569743523</v>
      </c>
      <c r="AD28" s="107">
        <v>161.80260569363557</v>
      </c>
      <c r="AE28" s="106">
        <v>1</v>
      </c>
      <c r="AF28" s="32" t="str">
        <f>IF(AE28=0,"",VLOOKUP(AE28,tab_tipo_expansao!$A$2:$B$4,2,0))</f>
        <v>opcional</v>
      </c>
      <c r="AG28" s="125">
        <v>2026</v>
      </c>
      <c r="AH28" s="125">
        <v>2100</v>
      </c>
      <c r="AI28" s="125">
        <v>30</v>
      </c>
      <c r="AJ28" s="530">
        <v>4997.337747407707</v>
      </c>
      <c r="AK28" s="24">
        <f>AL28/constantes!$B$4</f>
        <v>1971.3363895099435</v>
      </c>
      <c r="AL28" s="33">
        <f t="shared" si="6"/>
        <v>7688.2119190887797</v>
      </c>
      <c r="AM28" s="87">
        <v>3</v>
      </c>
      <c r="AN28" s="531">
        <v>0</v>
      </c>
      <c r="AO28" s="23"/>
      <c r="AP28" s="532">
        <f t="shared" si="7"/>
        <v>4997.337747407707</v>
      </c>
      <c r="AR28" s="35">
        <f t="shared" si="8"/>
        <v>7688.2119190887806</v>
      </c>
      <c r="AS28" s="36">
        <f ca="1">OFFSET(cod_desembolso!$A$1,AM28,23)</f>
        <v>1.1255071012622904</v>
      </c>
      <c r="AT28" s="37">
        <f ca="1">IF(AP28=0,0,AP28*(OFFSET(cod_desembolso!$A$1,AM28,23)))</f>
        <v>5624.5391221134723</v>
      </c>
      <c r="AU28" s="38">
        <f>(constantes!$B$3*(1+constantes!$B$3)^(AI28))/((1+constantes!$B$3)^(AI28)-1)</f>
        <v>8.8827433387272267E-2</v>
      </c>
      <c r="AV28" s="37">
        <f t="shared" ca="1" si="9"/>
        <v>532.11337420364134</v>
      </c>
      <c r="AW28" s="37">
        <f ca="1">IF(AP28=0,AY28/constantes!$B$3,AV28/constantes!$B$3)</f>
        <v>6651.417177545517</v>
      </c>
      <c r="AX28" s="39">
        <f ca="1">IF(AP28=0,0,PV(constantes!$B$3,AI28,-AV28)*constantes!$B$3)</f>
        <v>479.2333664612093</v>
      </c>
      <c r="AY28" s="40">
        <f>constantes!$B$10*F28/1000</f>
        <v>32.5</v>
      </c>
      <c r="AZ28" s="533">
        <f>constantes!$B$12</f>
        <v>0</v>
      </c>
      <c r="BA28" s="20">
        <v>318</v>
      </c>
      <c r="BB28" s="43"/>
      <c r="BC28" s="3" t="s">
        <v>2209</v>
      </c>
      <c r="BE28" s="534">
        <v>1</v>
      </c>
      <c r="BF28" s="535">
        <v>2025</v>
      </c>
      <c r="BG28" s="536">
        <v>1</v>
      </c>
      <c r="BH28" s="537">
        <v>2025</v>
      </c>
    </row>
    <row r="29" spans="1:60" ht="14.45">
      <c r="A29" s="125">
        <v>1028</v>
      </c>
      <c r="B29" s="125">
        <v>1028</v>
      </c>
      <c r="C29" s="538" t="s">
        <v>2237</v>
      </c>
      <c r="D29" s="538" t="s">
        <v>2237</v>
      </c>
      <c r="E29" s="546"/>
      <c r="F29" s="526">
        <v>57</v>
      </c>
      <c r="G29" s="3" t="s">
        <v>2231</v>
      </c>
      <c r="H29" s="3" t="s">
        <v>2234</v>
      </c>
      <c r="I29" s="527">
        <v>-42.713569999999997</v>
      </c>
      <c r="J29" s="527">
        <v>-20.016563999999999</v>
      </c>
      <c r="K29" s="539" t="s">
        <v>152</v>
      </c>
      <c r="L29" s="539" t="s">
        <v>152</v>
      </c>
      <c r="M29" s="554">
        <v>1</v>
      </c>
      <c r="N29" s="107"/>
      <c r="O29" s="529">
        <v>2.068E-2</v>
      </c>
      <c r="P29" s="529">
        <v>4.6600000000000003E-2</v>
      </c>
      <c r="Q29" s="288">
        <f t="shared" si="0"/>
        <v>0.64876227025898081</v>
      </c>
      <c r="R29" s="30">
        <f t="shared" si="1"/>
        <v>36.979449404761908</v>
      </c>
      <c r="S29" s="30">
        <f t="shared" si="2"/>
        <v>20.020550595238092</v>
      </c>
      <c r="T29" s="107">
        <v>47.745714285714293</v>
      </c>
      <c r="U29" s="107">
        <v>36.475119047619046</v>
      </c>
      <c r="V29" s="107">
        <v>24.776250000000001</v>
      </c>
      <c r="W29" s="107">
        <v>38.92071428571429</v>
      </c>
      <c r="X29" s="288">
        <f t="shared" si="3"/>
        <v>0.67098692810457483</v>
      </c>
      <c r="Y29" s="289">
        <f t="shared" si="4"/>
        <v>38.246254901960768</v>
      </c>
      <c r="Z29" s="289">
        <f t="shared" si="5"/>
        <v>1.2668054971988596</v>
      </c>
      <c r="AA29" s="107">
        <v>49.77129411764701</v>
      </c>
      <c r="AB29" s="107">
        <v>36.546549019607845</v>
      </c>
      <c r="AC29" s="107">
        <v>26.258078431372549</v>
      </c>
      <c r="AD29" s="107">
        <v>40.409098039215657</v>
      </c>
      <c r="AE29" s="106">
        <v>1</v>
      </c>
      <c r="AF29" s="32" t="str">
        <f>IF(AE29=0,"",VLOOKUP(AE29,tab_tipo_expansao!$A$2:$B$4,2,0))</f>
        <v>opcional</v>
      </c>
      <c r="AG29" s="125">
        <v>2030</v>
      </c>
      <c r="AH29" s="125">
        <v>2100</v>
      </c>
      <c r="AI29" s="125">
        <v>30</v>
      </c>
      <c r="AJ29" s="530">
        <v>378.8373290750967</v>
      </c>
      <c r="AK29" s="24">
        <f>AL29/constantes!$B$4</f>
        <v>1704.1715208056532</v>
      </c>
      <c r="AL29" s="33">
        <f t="shared" si="6"/>
        <v>6646.2689311420472</v>
      </c>
      <c r="AM29" s="87">
        <v>2</v>
      </c>
      <c r="AN29" s="531">
        <v>0</v>
      </c>
      <c r="AO29" s="23"/>
      <c r="AP29" s="532">
        <f t="shared" si="7"/>
        <v>378.8373290750967</v>
      </c>
      <c r="AR29" s="35">
        <f t="shared" si="8"/>
        <v>6646.2689311420472</v>
      </c>
      <c r="AS29" s="36">
        <f ca="1">OFFSET(cod_desembolso!$A$1,AM29,23)</f>
        <v>1.1245293369208682</v>
      </c>
      <c r="AT29" s="37">
        <f ca="1">IF(AP29=0,0,AP29*(OFFSET(cod_desembolso!$A$1,AM29,23)))</f>
        <v>426.01369046569124</v>
      </c>
      <c r="AU29" s="38">
        <f>(constantes!$B$3*(1+constantes!$B$3)^(AI29))/((1+constantes!$B$3)^(AI29)-1)</f>
        <v>8.8827433387272267E-2</v>
      </c>
      <c r="AV29" s="37">
        <f t="shared" ca="1" si="9"/>
        <v>40.691702711907219</v>
      </c>
      <c r="AW29" s="37">
        <f ca="1">IF(AP29=0,AY29/constantes!$B$3,AV29/constantes!$B$3)</f>
        <v>508.64628389884024</v>
      </c>
      <c r="AX29" s="39">
        <f ca="1">IF(AP29=0,0,PV(constantes!$B$3,AI29,-AV29)*constantes!$B$3)</f>
        <v>36.647869839488365</v>
      </c>
      <c r="AY29" s="40">
        <f>constantes!$B$10*F29/1000</f>
        <v>2.85</v>
      </c>
      <c r="AZ29" s="533">
        <f>constantes!$B$12</f>
        <v>0</v>
      </c>
      <c r="BA29" s="20">
        <v>318</v>
      </c>
      <c r="BB29" s="43"/>
      <c r="BC29" s="3" t="s">
        <v>2183</v>
      </c>
      <c r="BE29" s="534">
        <v>1</v>
      </c>
      <c r="BF29" s="535">
        <v>2027</v>
      </c>
      <c r="BG29" s="536">
        <v>1</v>
      </c>
      <c r="BH29" s="537">
        <v>2027</v>
      </c>
    </row>
    <row r="30" spans="1:60" ht="14.45" hidden="1">
      <c r="A30" s="125">
        <v>1029</v>
      </c>
      <c r="B30" s="125">
        <v>1029</v>
      </c>
      <c r="C30" s="538" t="s">
        <v>2238</v>
      </c>
      <c r="D30" s="538" t="s">
        <v>2238</v>
      </c>
      <c r="E30" s="546"/>
      <c r="F30" s="526">
        <v>32.1</v>
      </c>
      <c r="G30" s="3" t="s">
        <v>2199</v>
      </c>
      <c r="H30" s="3" t="s">
        <v>2239</v>
      </c>
      <c r="I30" s="527">
        <v>-52.516509999999997</v>
      </c>
      <c r="J30" s="527">
        <v>-15.855024</v>
      </c>
      <c r="K30" s="539" t="s">
        <v>160</v>
      </c>
      <c r="L30" s="539" t="s">
        <v>160</v>
      </c>
      <c r="M30" s="554">
        <v>1</v>
      </c>
      <c r="N30" s="107"/>
      <c r="O30" s="529">
        <v>2.068E-2</v>
      </c>
      <c r="P30" s="529">
        <v>4.6600000000000003E-2</v>
      </c>
      <c r="Q30" s="288">
        <f t="shared" si="0"/>
        <v>0.532119300920186</v>
      </c>
      <c r="R30" s="30">
        <f t="shared" si="1"/>
        <v>17.081029559537971</v>
      </c>
      <c r="S30" s="30">
        <f t="shared" si="2"/>
        <v>15.018970440462031</v>
      </c>
      <c r="T30" s="107">
        <v>21.405415503664425</v>
      </c>
      <c r="U30" s="107">
        <v>18.790702101285397</v>
      </c>
      <c r="V30" s="107">
        <v>13.32921541582234</v>
      </c>
      <c r="W30" s="107">
        <v>14.798785217379725</v>
      </c>
      <c r="X30" s="288">
        <f t="shared" si="3"/>
        <v>0.56765074645560576</v>
      </c>
      <c r="Y30" s="289">
        <f t="shared" si="4"/>
        <v>18.221588961224946</v>
      </c>
      <c r="Z30" s="289">
        <f t="shared" si="5"/>
        <v>1.1405594016869749</v>
      </c>
      <c r="AA30" s="107">
        <v>23.81661951510776</v>
      </c>
      <c r="AB30" s="107">
        <v>19.813792236998417</v>
      </c>
      <c r="AC30" s="107">
        <v>13.641468601512125</v>
      </c>
      <c r="AD30" s="107">
        <v>15.614475491281482</v>
      </c>
      <c r="AE30" s="106">
        <v>1</v>
      </c>
      <c r="AF30" s="32" t="str">
        <f>IF(AE30=0,"",VLOOKUP(AE30,tab_tipo_expansao!$A$2:$B$4,2,0))</f>
        <v>opcional</v>
      </c>
      <c r="AG30" s="125">
        <v>2028</v>
      </c>
      <c r="AH30" s="125">
        <v>2100</v>
      </c>
      <c r="AI30" s="125">
        <v>30</v>
      </c>
      <c r="AJ30" s="530">
        <v>421.44080914670968</v>
      </c>
      <c r="AK30" s="24">
        <f>AL30/constantes!$B$4</f>
        <v>3366.4095306870331</v>
      </c>
      <c r="AL30" s="33">
        <f t="shared" si="6"/>
        <v>13128.997169679429</v>
      </c>
      <c r="AM30" s="87">
        <v>2</v>
      </c>
      <c r="AN30" s="531">
        <v>0</v>
      </c>
      <c r="AO30" s="23"/>
      <c r="AP30" s="532">
        <f t="shared" si="7"/>
        <v>421.44080914670968</v>
      </c>
      <c r="AR30" s="35">
        <f t="shared" si="8"/>
        <v>13128.997169679429</v>
      </c>
      <c r="AS30" s="36">
        <f ca="1">OFFSET(cod_desembolso!$A$1,AM30,23)</f>
        <v>1.1245293369208682</v>
      </c>
      <c r="AT30" s="37">
        <f ca="1">IF(AP30=0,0,AP30*(OFFSET(cod_desembolso!$A$1,AM30,23)))</f>
        <v>473.92255366114358</v>
      </c>
      <c r="AU30" s="38">
        <f>(constantes!$B$3*(1+constantes!$B$3)^(AI30))/((1+constantes!$B$3)^(AI30)-1)</f>
        <v>8.8827433387272267E-2</v>
      </c>
      <c r="AV30" s="37">
        <f t="shared" ca="1" si="9"/>
        <v>43.702324066061195</v>
      </c>
      <c r="AW30" s="37">
        <f ca="1">IF(AP30=0,AY30/constantes!$B$3,AV30/constantes!$B$3)</f>
        <v>546.2790508257649</v>
      </c>
      <c r="AX30" s="39">
        <f ca="1">IF(AP30=0,0,PV(constantes!$B$3,AI30,-AV30)*constantes!$B$3)</f>
        <v>39.359303674149054</v>
      </c>
      <c r="AY30" s="40">
        <f>constantes!$B$10*F30/1000</f>
        <v>1.605</v>
      </c>
      <c r="AZ30" s="533">
        <f>constantes!$B$12</f>
        <v>0</v>
      </c>
      <c r="BA30" s="20">
        <v>318</v>
      </c>
      <c r="BB30" s="43"/>
      <c r="BC30" s="3" t="s">
        <v>2197</v>
      </c>
      <c r="BE30" s="534">
        <v>1</v>
      </c>
      <c r="BF30" s="535">
        <v>2027</v>
      </c>
      <c r="BG30" s="536">
        <v>1</v>
      </c>
      <c r="BH30" s="537">
        <v>2027</v>
      </c>
    </row>
    <row r="31" spans="1:60" ht="14.45" hidden="1">
      <c r="A31" s="125">
        <v>1030</v>
      </c>
      <c r="B31" s="125">
        <v>1030</v>
      </c>
      <c r="C31" s="538" t="s">
        <v>2240</v>
      </c>
      <c r="D31" s="538" t="s">
        <v>2240</v>
      </c>
      <c r="E31" s="546"/>
      <c r="F31" s="526">
        <v>45</v>
      </c>
      <c r="G31" s="3" t="s">
        <v>2231</v>
      </c>
      <c r="H31" s="3" t="s">
        <v>2241</v>
      </c>
      <c r="I31" s="527">
        <v>-42.990372000000001</v>
      </c>
      <c r="J31" s="527">
        <v>-20.429535000000001</v>
      </c>
      <c r="K31" s="539" t="s">
        <v>152</v>
      </c>
      <c r="L31" s="539" t="s">
        <v>152</v>
      </c>
      <c r="M31" s="554">
        <v>1</v>
      </c>
      <c r="N31" s="107"/>
      <c r="O31" s="529">
        <v>2.068E-2</v>
      </c>
      <c r="P31" s="529">
        <v>4.6600000000000003E-2</v>
      </c>
      <c r="Q31" s="288">
        <f t="shared" si="0"/>
        <v>0.50448578042328041</v>
      </c>
      <c r="R31" s="30">
        <f t="shared" si="1"/>
        <v>22.70186011904762</v>
      </c>
      <c r="S31" s="30">
        <f t="shared" si="2"/>
        <v>22.29813988095238</v>
      </c>
      <c r="T31" s="107">
        <v>31.205238095238098</v>
      </c>
      <c r="U31" s="107">
        <v>21.778869047619043</v>
      </c>
      <c r="V31" s="107">
        <v>14.015000000000001</v>
      </c>
      <c r="W31" s="107">
        <v>23.808333333333334</v>
      </c>
      <c r="X31" s="288">
        <f t="shared" si="3"/>
        <v>0.50590871459694953</v>
      </c>
      <c r="Y31" s="289">
        <f t="shared" si="4"/>
        <v>22.76589215686273</v>
      </c>
      <c r="Z31" s="289">
        <f t="shared" si="5"/>
        <v>6.4032037815110243E-2</v>
      </c>
      <c r="AA31" s="107">
        <v>32.618274509803918</v>
      </c>
      <c r="AB31" s="107">
        <v>20.281058823529388</v>
      </c>
      <c r="AC31" s="107">
        <v>14.019803921568631</v>
      </c>
      <c r="AD31" s="107">
        <v>24.144431372548997</v>
      </c>
      <c r="AE31" s="106">
        <v>1</v>
      </c>
      <c r="AF31" s="32" t="str">
        <f>IF(AE31=0,"",VLOOKUP(AE31,tab_tipo_expansao!$A$2:$B$4,2,0))</f>
        <v>opcional</v>
      </c>
      <c r="AG31" s="125">
        <v>2028</v>
      </c>
      <c r="AH31" s="125">
        <v>2100</v>
      </c>
      <c r="AI31" s="125">
        <v>30</v>
      </c>
      <c r="AJ31" s="530">
        <v>420.55108839887566</v>
      </c>
      <c r="AK31" s="24">
        <f>AL31/constantes!$B$4</f>
        <v>2396.302497999292</v>
      </c>
      <c r="AL31" s="33">
        <f t="shared" si="6"/>
        <v>9345.5797421972384</v>
      </c>
      <c r="AM31" s="87">
        <v>2</v>
      </c>
      <c r="AN31" s="531">
        <v>0</v>
      </c>
      <c r="AO31" s="23"/>
      <c r="AP31" s="532">
        <f t="shared" si="7"/>
        <v>420.55108839887566</v>
      </c>
      <c r="AR31" s="35">
        <f t="shared" si="8"/>
        <v>9345.5797421972366</v>
      </c>
      <c r="AS31" s="36">
        <f ca="1">OFFSET(cod_desembolso!$A$1,AM31,23)</f>
        <v>1.1245293369208682</v>
      </c>
      <c r="AT31" s="37">
        <f ca="1">IF(AP31=0,0,AP31*(OFFSET(cod_desembolso!$A$1,AM31,23)))</f>
        <v>472.92203657853707</v>
      </c>
      <c r="AU31" s="38">
        <f>(constantes!$B$3*(1+constantes!$B$3)^(AI31))/((1+constantes!$B$3)^(AI31)-1)</f>
        <v>8.8827433387272267E-2</v>
      </c>
      <c r="AV31" s="37">
        <f t="shared" ca="1" si="9"/>
        <v>44.258450701553137</v>
      </c>
      <c r="AW31" s="37">
        <f ca="1">IF(AP31=0,AY31/constantes!$B$3,AV31/constantes!$B$3)</f>
        <v>553.23063376941423</v>
      </c>
      <c r="AX31" s="39">
        <f ca="1">IF(AP31=0,0,PV(constantes!$B$3,AI31,-AV31)*constantes!$B$3)</f>
        <v>39.860163928045907</v>
      </c>
      <c r="AY31" s="40">
        <f>constantes!$B$10*F31/1000</f>
        <v>2.25</v>
      </c>
      <c r="AZ31" s="533">
        <f>constantes!$B$12</f>
        <v>0</v>
      </c>
      <c r="BA31" s="20">
        <v>318</v>
      </c>
      <c r="BB31" s="43"/>
      <c r="BC31" s="3" t="s">
        <v>2197</v>
      </c>
      <c r="BE31" s="534">
        <v>1</v>
      </c>
      <c r="BF31" s="535">
        <v>2027</v>
      </c>
      <c r="BG31" s="536">
        <v>1</v>
      </c>
      <c r="BH31" s="537">
        <v>2027</v>
      </c>
    </row>
    <row r="32" spans="1:60" ht="14.45" hidden="1" customHeight="1">
      <c r="A32" s="125">
        <v>1031</v>
      </c>
      <c r="B32" s="125">
        <v>1031</v>
      </c>
      <c r="C32" s="625" t="s">
        <v>2242</v>
      </c>
      <c r="D32" s="538" t="s">
        <v>2242</v>
      </c>
      <c r="E32" s="546"/>
      <c r="F32" s="526">
        <v>142</v>
      </c>
      <c r="G32" s="3" t="s">
        <v>2199</v>
      </c>
      <c r="H32" s="3" t="s">
        <v>2243</v>
      </c>
      <c r="I32" s="527">
        <v>-49.213498999999999</v>
      </c>
      <c r="J32" s="527">
        <v>-14.832181</v>
      </c>
      <c r="K32" s="539" t="s">
        <v>2005</v>
      </c>
      <c r="L32" s="539" t="s">
        <v>2005</v>
      </c>
      <c r="M32" s="554">
        <v>1</v>
      </c>
      <c r="N32" s="107"/>
      <c r="O32" s="529">
        <v>1.9820000000000001E-2</v>
      </c>
      <c r="P32" s="529">
        <v>5.2919999999999995E-2</v>
      </c>
      <c r="Q32" s="288">
        <f t="shared" si="0"/>
        <v>0.47942760731052986</v>
      </c>
      <c r="R32" s="30">
        <f t="shared" si="1"/>
        <v>68.078720238095244</v>
      </c>
      <c r="S32" s="30">
        <f t="shared" si="2"/>
        <v>73.921279761904756</v>
      </c>
      <c r="T32" s="107">
        <v>99.826666666666668</v>
      </c>
      <c r="U32" s="107">
        <v>65.579226190476192</v>
      </c>
      <c r="V32" s="107">
        <v>36.11333333333333</v>
      </c>
      <c r="W32" s="107">
        <v>70.795654761904757</v>
      </c>
      <c r="X32" s="288">
        <f t="shared" si="3"/>
        <v>0.5994388290527477</v>
      </c>
      <c r="Y32" s="289">
        <f t="shared" si="4"/>
        <v>85.120313725490178</v>
      </c>
      <c r="Z32" s="289">
        <f t="shared" si="5"/>
        <v>17.041593487394934</v>
      </c>
      <c r="AA32" s="107">
        <v>124.40411764705873</v>
      </c>
      <c r="AB32" s="107">
        <v>88.126039215686262</v>
      </c>
      <c r="AC32" s="107">
        <v>47.311058823529414</v>
      </c>
      <c r="AD32" s="107">
        <v>80.640039215686244</v>
      </c>
      <c r="AE32" s="106">
        <v>1</v>
      </c>
      <c r="AF32" s="32" t="str">
        <f>IF(AE32=0,"",VLOOKUP(AE32,tab_tipo_expansao!$A$2:$B$4,2,0))</f>
        <v>opcional</v>
      </c>
      <c r="AG32" s="125">
        <v>2026</v>
      </c>
      <c r="AH32" s="125">
        <v>2100</v>
      </c>
      <c r="AI32" s="125">
        <v>30</v>
      </c>
      <c r="AJ32" s="530">
        <v>1729.6536299706161</v>
      </c>
      <c r="AK32" s="24">
        <f>AL32/constantes!$B$4</f>
        <v>3123.2459912795525</v>
      </c>
      <c r="AL32" s="33">
        <f t="shared" si="6"/>
        <v>12180.659365990254</v>
      </c>
      <c r="AM32" s="87">
        <v>2</v>
      </c>
      <c r="AN32" s="531">
        <v>0</v>
      </c>
      <c r="AO32" s="23"/>
      <c r="AP32" s="532">
        <f t="shared" si="7"/>
        <v>1729.6536299706161</v>
      </c>
      <c r="AR32" s="35">
        <f t="shared" si="8"/>
        <v>12180.659365990254</v>
      </c>
      <c r="AS32" s="36">
        <f ca="1">OFFSET(cod_desembolso!$A$1,AM32,23)</f>
        <v>1.1245293369208682</v>
      </c>
      <c r="AT32" s="37">
        <f ca="1">IF(AP32=0,0,AP32*(OFFSET(cod_desembolso!$A$1,AM32,23)))</f>
        <v>1945.0462496136297</v>
      </c>
      <c r="AU32" s="38">
        <f>(constantes!$B$3*(1+constantes!$B$3)^(AI32))/((1+constantes!$B$3)^(AI32)-1)</f>
        <v>8.8827433387272267E-2</v>
      </c>
      <c r="AV32" s="37">
        <f t="shared" ca="1" si="9"/>
        <v>179.87346617271842</v>
      </c>
      <c r="AW32" s="37">
        <f ca="1">IF(AP32=0,AY32/constantes!$B$3,AV32/constantes!$B$3)</f>
        <v>2248.4183271589804</v>
      </c>
      <c r="AX32" s="39">
        <f ca="1">IF(AP32=0,0,PV(constantes!$B$3,AI32,-AV32)*constantes!$B$3)</f>
        <v>161.99812090798679</v>
      </c>
      <c r="AY32" s="40">
        <f>constantes!$B$10*F32/1000</f>
        <v>7.1</v>
      </c>
      <c r="AZ32" s="533">
        <f>constantes!$B$12</f>
        <v>0</v>
      </c>
      <c r="BA32" s="20">
        <v>318</v>
      </c>
      <c r="BB32" s="43"/>
      <c r="BC32" s="3" t="s">
        <v>2209</v>
      </c>
      <c r="BE32" s="534">
        <v>1</v>
      </c>
      <c r="BF32" s="535">
        <v>2026</v>
      </c>
      <c r="BG32" s="536">
        <v>1</v>
      </c>
      <c r="BH32" s="537">
        <v>2026</v>
      </c>
    </row>
    <row r="33" spans="1:60" ht="14.45">
      <c r="A33" s="125">
        <v>1032</v>
      </c>
      <c r="B33" s="125">
        <v>1032</v>
      </c>
      <c r="C33" s="538" t="s">
        <v>2244</v>
      </c>
      <c r="D33" s="538" t="s">
        <v>2244</v>
      </c>
      <c r="E33" s="546"/>
      <c r="F33" s="526">
        <v>42.8</v>
      </c>
      <c r="G33" s="3" t="s">
        <v>2199</v>
      </c>
      <c r="H33" s="3" t="s">
        <v>2200</v>
      </c>
      <c r="I33" s="527">
        <v>-53.854004000000003</v>
      </c>
      <c r="J33" s="527">
        <v>-15.254529</v>
      </c>
      <c r="K33" s="539" t="s">
        <v>160</v>
      </c>
      <c r="L33" s="539" t="s">
        <v>160</v>
      </c>
      <c r="M33" s="554">
        <v>1</v>
      </c>
      <c r="N33" s="107"/>
      <c r="O33" s="529">
        <v>2.068E-2</v>
      </c>
      <c r="P33" s="529">
        <v>4.6600000000000003E-2</v>
      </c>
      <c r="Q33" s="288">
        <f t="shared" si="0"/>
        <v>0.532119300920186</v>
      </c>
      <c r="R33" s="30">
        <f t="shared" si="1"/>
        <v>22.774706079383957</v>
      </c>
      <c r="S33" s="30">
        <f t="shared" si="2"/>
        <v>20.02529392061604</v>
      </c>
      <c r="T33" s="107">
        <v>28.540554004885895</v>
      </c>
      <c r="U33" s="107">
        <v>25.054269468380525</v>
      </c>
      <c r="V33" s="107">
        <v>17.772287221096448</v>
      </c>
      <c r="W33" s="107">
        <v>19.731713623172965</v>
      </c>
      <c r="X33" s="288">
        <f t="shared" si="3"/>
        <v>0.56765074645560576</v>
      </c>
      <c r="Y33" s="289">
        <f t="shared" si="4"/>
        <v>24.295451948299924</v>
      </c>
      <c r="Z33" s="289">
        <f t="shared" si="5"/>
        <v>1.5207458689159665</v>
      </c>
      <c r="AA33" s="107">
        <v>31.755492686810346</v>
      </c>
      <c r="AB33" s="107">
        <v>26.418389649331218</v>
      </c>
      <c r="AC33" s="107">
        <v>18.188624802016164</v>
      </c>
      <c r="AD33" s="107">
        <v>20.819300655041971</v>
      </c>
      <c r="AE33" s="106">
        <v>1</v>
      </c>
      <c r="AF33" s="32" t="str">
        <f>IF(AE33=0,"",VLOOKUP(AE33,tab_tipo_expansao!$A$2:$B$4,2,0))</f>
        <v>opcional</v>
      </c>
      <c r="AG33" s="125">
        <v>2030</v>
      </c>
      <c r="AH33" s="125">
        <v>2100</v>
      </c>
      <c r="AI33" s="125">
        <v>30</v>
      </c>
      <c r="AJ33" s="530">
        <v>403.2823462702126</v>
      </c>
      <c r="AK33" s="24">
        <f>AL33/constantes!$B$4</f>
        <v>2416.0217245998842</v>
      </c>
      <c r="AL33" s="33">
        <f t="shared" si="6"/>
        <v>9422.4847259395483</v>
      </c>
      <c r="AM33" s="87">
        <v>2</v>
      </c>
      <c r="AN33" s="531">
        <v>0</v>
      </c>
      <c r="AO33" s="23"/>
      <c r="AP33" s="532">
        <f t="shared" si="7"/>
        <v>403.2823462702126</v>
      </c>
      <c r="AR33" s="35">
        <f t="shared" si="8"/>
        <v>9422.4847259395483</v>
      </c>
      <c r="AS33" s="36">
        <f ca="1">OFFSET(cod_desembolso!$A$1,AM33,23)</f>
        <v>1.1245293369208682</v>
      </c>
      <c r="AT33" s="37">
        <f ca="1">IF(AP33=0,0,AP33*(OFFSET(cod_desembolso!$A$1,AM33,23)))</f>
        <v>453.50282944313415</v>
      </c>
      <c r="AU33" s="38">
        <f>(constantes!$B$3*(1+constantes!$B$3)^(AI33))/((1+constantes!$B$3)^(AI33)-1)</f>
        <v>8.8827433387272267E-2</v>
      </c>
      <c r="AV33" s="37">
        <f t="shared" ca="1" si="9"/>
        <v>42.423492373299496</v>
      </c>
      <c r="AW33" s="37">
        <f ca="1">IF(AP33=0,AY33/constantes!$B$3,AV33/constantes!$B$3)</f>
        <v>530.2936546662437</v>
      </c>
      <c r="AX33" s="39">
        <f ca="1">IF(AP33=0,0,PV(constantes!$B$3,AI33,-AV33)*constantes!$B$3)</f>
        <v>38.207558863794155</v>
      </c>
      <c r="AY33" s="40">
        <f>constantes!$B$10*F33/1000</f>
        <v>2.14</v>
      </c>
      <c r="AZ33" s="533">
        <f>constantes!$B$12</f>
        <v>0</v>
      </c>
      <c r="BA33" s="20">
        <v>318</v>
      </c>
      <c r="BB33" s="43"/>
      <c r="BC33" s="3" t="s">
        <v>2217</v>
      </c>
      <c r="BE33" s="534">
        <v>1</v>
      </c>
      <c r="BF33" s="535">
        <v>2035</v>
      </c>
      <c r="BG33" s="536">
        <v>3</v>
      </c>
      <c r="BH33" s="537">
        <v>2050</v>
      </c>
    </row>
    <row r="34" spans="1:60" ht="14.45" hidden="1">
      <c r="A34" s="125">
        <v>1033</v>
      </c>
      <c r="B34" s="125">
        <v>1033</v>
      </c>
      <c r="C34" s="538" t="s">
        <v>2245</v>
      </c>
      <c r="D34" s="538" t="s">
        <v>2245</v>
      </c>
      <c r="E34" s="546"/>
      <c r="F34" s="526">
        <v>63</v>
      </c>
      <c r="G34" s="3" t="s">
        <v>2246</v>
      </c>
      <c r="H34" s="3" t="s">
        <v>2246</v>
      </c>
      <c r="I34" s="527">
        <v>-43.082168000000003</v>
      </c>
      <c r="J34" s="527">
        <v>-6.748907</v>
      </c>
      <c r="K34" s="539" t="s">
        <v>1985</v>
      </c>
      <c r="L34" s="539" t="s">
        <v>1985</v>
      </c>
      <c r="M34" s="554">
        <v>3</v>
      </c>
      <c r="N34" s="107"/>
      <c r="O34" s="529">
        <v>1.9820000000000001E-2</v>
      </c>
      <c r="P34" s="529">
        <v>5.2919999999999995E-2</v>
      </c>
      <c r="Q34" s="288">
        <f t="shared" ref="Q34:Q65" si="10">R34/$F34</f>
        <v>0.64864205404383979</v>
      </c>
      <c r="R34" s="30">
        <f t="shared" si="1"/>
        <v>40.864449404761906</v>
      </c>
      <c r="S34" s="30">
        <f t="shared" ref="S34:S65" si="11">F34-R34</f>
        <v>22.135550595238094</v>
      </c>
      <c r="T34" s="107">
        <v>39.008095238095244</v>
      </c>
      <c r="U34" s="107">
        <v>41.502916666666664</v>
      </c>
      <c r="V34" s="107">
        <v>40.159166666666664</v>
      </c>
      <c r="W34" s="107">
        <v>42.787619047619053</v>
      </c>
      <c r="X34" s="288">
        <f t="shared" ref="X34:X65" si="12">Y34/$F34</f>
        <v>0.68383286647992514</v>
      </c>
      <c r="Y34" s="289">
        <f t="shared" si="4"/>
        <v>43.081470588235284</v>
      </c>
      <c r="Z34" s="289">
        <f t="shared" si="5"/>
        <v>2.2170211834733777</v>
      </c>
      <c r="AA34" s="107">
        <v>51.260196078431342</v>
      </c>
      <c r="AB34" s="107">
        <v>45.987764705882341</v>
      </c>
      <c r="AC34" s="107">
        <v>35.800470588235292</v>
      </c>
      <c r="AD34" s="107">
        <v>39.277450980392153</v>
      </c>
      <c r="AE34" s="106">
        <v>1</v>
      </c>
      <c r="AF34" s="32" t="str">
        <f>IF(AE34=0,"",VLOOKUP(AE34,tab_tipo_expansao!$A$2:$B$4,2,0))</f>
        <v>opcional</v>
      </c>
      <c r="AG34" s="125">
        <v>2028</v>
      </c>
      <c r="AH34" s="125">
        <v>2100</v>
      </c>
      <c r="AI34" s="125">
        <v>30</v>
      </c>
      <c r="AJ34" s="530">
        <v>872.63266033167201</v>
      </c>
      <c r="AK34" s="24">
        <f>AL34/constantes!$B$4</f>
        <v>3551.6184791683845</v>
      </c>
      <c r="AL34" s="33">
        <f t="shared" ref="AL34:AL65" si="13">AJ34/F34*1000</f>
        <v>13851.312068756699</v>
      </c>
      <c r="AM34" s="87">
        <v>2</v>
      </c>
      <c r="AN34" s="531">
        <v>0</v>
      </c>
      <c r="AO34" s="23"/>
      <c r="AP34" s="532">
        <f t="shared" si="7"/>
        <v>872.63266033167201</v>
      </c>
      <c r="AR34" s="35">
        <f t="shared" ref="AR34:AR65" si="14">AP34*1000/F34</f>
        <v>13851.312068756699</v>
      </c>
      <c r="AS34" s="36">
        <f ca="1">OFFSET(cod_desembolso!$A$1,AM34,23)</f>
        <v>1.1245293369208682</v>
      </c>
      <c r="AT34" s="37">
        <f ca="1">IF(AP34=0,0,AP34*(OFFSET(cod_desembolso!$A$1,AM34,23)))</f>
        <v>981.30102689826833</v>
      </c>
      <c r="AU34" s="38">
        <f>(constantes!$B$3*(1+constantes!$B$3)^(AI34))/((1+constantes!$B$3)^(AI34)-1)</f>
        <v>8.8827433387272267E-2</v>
      </c>
      <c r="AV34" s="37">
        <f t="shared" ca="1" si="9"/>
        <v>90.316451599667801</v>
      </c>
      <c r="AW34" s="37">
        <f ca="1">IF(AP34=0,AY34/constantes!$B$3,AV34/constantes!$B$3)</f>
        <v>1128.9556449958475</v>
      </c>
      <c r="AX34" s="39">
        <f ca="1">IF(AP34=0,0,PV(constantes!$B$3,AI34,-AV34)*constantes!$B$3)</f>
        <v>81.341043554329588</v>
      </c>
      <c r="AY34" s="40">
        <f>constantes!$B$10*F34/1000</f>
        <v>3.15</v>
      </c>
      <c r="AZ34" s="533">
        <f>constantes!$B$12</f>
        <v>0</v>
      </c>
      <c r="BA34" s="20">
        <v>318</v>
      </c>
      <c r="BB34" s="43"/>
      <c r="BC34" s="3" t="s">
        <v>2197</v>
      </c>
      <c r="BE34" s="534">
        <v>1</v>
      </c>
      <c r="BF34" s="535">
        <v>2027</v>
      </c>
      <c r="BG34" s="536">
        <v>1</v>
      </c>
      <c r="BH34" s="537">
        <v>2027</v>
      </c>
    </row>
    <row r="35" spans="1:60" ht="14.45">
      <c r="A35" s="125">
        <v>1034</v>
      </c>
      <c r="B35" s="125">
        <v>1034</v>
      </c>
      <c r="C35" s="538" t="s">
        <v>2247</v>
      </c>
      <c r="D35" s="538" t="s">
        <v>2247</v>
      </c>
      <c r="E35" s="546"/>
      <c r="F35" s="526">
        <v>81</v>
      </c>
      <c r="G35" s="3" t="s">
        <v>2199</v>
      </c>
      <c r="H35" s="3" t="s">
        <v>2248</v>
      </c>
      <c r="I35" s="527">
        <v>-46.880605000000003</v>
      </c>
      <c r="J35" s="527">
        <v>-10.267543999999999</v>
      </c>
      <c r="K35" s="539" t="s">
        <v>1983</v>
      </c>
      <c r="L35" s="539" t="s">
        <v>1983</v>
      </c>
      <c r="M35" s="554">
        <v>1</v>
      </c>
      <c r="N35" s="107"/>
      <c r="O35" s="529">
        <v>2.068E-2</v>
      </c>
      <c r="P35" s="529">
        <v>4.6600000000000003E-2</v>
      </c>
      <c r="Q35" s="288">
        <f t="shared" si="10"/>
        <v>0.53211930092018589</v>
      </c>
      <c r="R35" s="30">
        <f t="shared" si="1"/>
        <v>43.101663374535057</v>
      </c>
      <c r="S35" s="30">
        <f t="shared" si="11"/>
        <v>37.898336625464943</v>
      </c>
      <c r="T35" s="107">
        <v>54.013665289620498</v>
      </c>
      <c r="U35" s="107">
        <v>47.415790349037913</v>
      </c>
      <c r="V35" s="107">
        <v>33.634468806280665</v>
      </c>
      <c r="W35" s="107">
        <v>37.342729053201175</v>
      </c>
      <c r="X35" s="288">
        <f t="shared" si="12"/>
        <v>0.56765074645560576</v>
      </c>
      <c r="Y35" s="289">
        <f t="shared" si="4"/>
        <v>45.979710462904066</v>
      </c>
      <c r="Z35" s="289">
        <f t="shared" si="5"/>
        <v>2.8780470883690086</v>
      </c>
      <c r="AA35" s="107">
        <v>60.098011860552297</v>
      </c>
      <c r="AB35" s="107">
        <v>49.997419663453947</v>
      </c>
      <c r="AC35" s="107">
        <v>34.422397405684798</v>
      </c>
      <c r="AD35" s="107">
        <v>39.401012921925229</v>
      </c>
      <c r="AE35" s="106">
        <v>1</v>
      </c>
      <c r="AF35" s="32" t="str">
        <f>IF(AE35=0,"",VLOOKUP(AE35,tab_tipo_expansao!$A$2:$B$4,2,0))</f>
        <v>opcional</v>
      </c>
      <c r="AG35" s="125">
        <v>2030</v>
      </c>
      <c r="AH35" s="125">
        <v>2100</v>
      </c>
      <c r="AI35" s="125">
        <v>30</v>
      </c>
      <c r="AJ35" s="530">
        <v>510.7018131916617</v>
      </c>
      <c r="AK35" s="24">
        <f>AL35/constantes!$B$4</f>
        <v>1616.6565786377389</v>
      </c>
      <c r="AL35" s="33">
        <f t="shared" si="13"/>
        <v>6304.9606566871817</v>
      </c>
      <c r="AM35" s="87">
        <v>2</v>
      </c>
      <c r="AN35" s="531">
        <v>0</v>
      </c>
      <c r="AO35" s="23"/>
      <c r="AP35" s="532">
        <f t="shared" si="7"/>
        <v>510.7018131916617</v>
      </c>
      <c r="AR35" s="35">
        <f t="shared" si="14"/>
        <v>6304.9606566871817</v>
      </c>
      <c r="AS35" s="36">
        <f ca="1">OFFSET(cod_desembolso!$A$1,AM35,23)</f>
        <v>1.1245293369208682</v>
      </c>
      <c r="AT35" s="37">
        <f ca="1">IF(AP35=0,0,AP35*(OFFSET(cod_desembolso!$A$1,AM35,23)))</f>
        <v>574.29917135270443</v>
      </c>
      <c r="AU35" s="38">
        <f>(constantes!$B$3*(1+constantes!$B$3)^(AI35))/((1+constantes!$B$3)^(AI35)-1)</f>
        <v>8.8827433387272267E-2</v>
      </c>
      <c r="AV35" s="37">
        <f t="shared" ca="1" si="9"/>
        <v>55.06352138769801</v>
      </c>
      <c r="AW35" s="37">
        <f ca="1">IF(AP35=0,AY35/constantes!$B$3,AV35/constantes!$B$3)</f>
        <v>688.29401734622513</v>
      </c>
      <c r="AX35" s="39">
        <f ca="1">IF(AP35=0,0,PV(constantes!$B$3,AI35,-AV35)*constantes!$B$3)</f>
        <v>49.591455511389661</v>
      </c>
      <c r="AY35" s="40">
        <f>constantes!$B$10*F35/1000</f>
        <v>4.05</v>
      </c>
      <c r="AZ35" s="533">
        <f>constantes!$B$12</f>
        <v>0</v>
      </c>
      <c r="BA35" s="20">
        <v>318</v>
      </c>
      <c r="BB35" s="43"/>
      <c r="BC35" s="3" t="s">
        <v>2185</v>
      </c>
      <c r="BE35" s="534">
        <v>1</v>
      </c>
      <c r="BF35" s="535">
        <v>2030</v>
      </c>
      <c r="BG35" s="536">
        <v>1</v>
      </c>
      <c r="BH35" s="537">
        <v>2030</v>
      </c>
    </row>
    <row r="36" spans="1:60" ht="14.45">
      <c r="A36" s="125">
        <v>1035</v>
      </c>
      <c r="B36" s="125">
        <v>1035</v>
      </c>
      <c r="C36" s="538" t="s">
        <v>2249</v>
      </c>
      <c r="D36" s="538" t="s">
        <v>2249</v>
      </c>
      <c r="E36" s="546"/>
      <c r="F36" s="526">
        <v>802</v>
      </c>
      <c r="G36" s="3" t="s">
        <v>2181</v>
      </c>
      <c r="H36" s="3" t="s">
        <v>2250</v>
      </c>
      <c r="I36" s="527">
        <v>-56.468015000000001</v>
      </c>
      <c r="J36" s="527">
        <v>-5.0850020000000002</v>
      </c>
      <c r="K36" s="539" t="s">
        <v>155</v>
      </c>
      <c r="L36" s="539" t="s">
        <v>155</v>
      </c>
      <c r="M36" s="554">
        <v>9</v>
      </c>
      <c r="N36" s="107"/>
      <c r="O36" s="529">
        <v>1.6379999999999999E-2</v>
      </c>
      <c r="P36" s="529">
        <v>6.1409999999999999E-2</v>
      </c>
      <c r="Q36" s="288">
        <f t="shared" si="10"/>
        <v>0.50721540642441509</v>
      </c>
      <c r="R36" s="30">
        <f t="shared" si="1"/>
        <v>406.78675595238093</v>
      </c>
      <c r="S36" s="30">
        <f t="shared" si="11"/>
        <v>395.21324404761907</v>
      </c>
      <c r="T36" s="107">
        <v>671.53761904761893</v>
      </c>
      <c r="U36" s="107">
        <v>598.41065476190477</v>
      </c>
      <c r="V36" s="107">
        <v>96.879166666666677</v>
      </c>
      <c r="W36" s="107">
        <v>260.31958333333336</v>
      </c>
      <c r="X36" s="288">
        <f t="shared" si="12"/>
        <v>0.48044424478020625</v>
      </c>
      <c r="Y36" s="289">
        <f t="shared" si="4"/>
        <v>385.31628431372542</v>
      </c>
      <c r="Z36" s="289">
        <f t="shared" si="5"/>
        <v>-21.470471638655511</v>
      </c>
      <c r="AA36" s="107">
        <v>651.59345098039205</v>
      </c>
      <c r="AB36" s="107">
        <v>584.33788235294094</v>
      </c>
      <c r="AC36" s="107">
        <v>97.056431372549014</v>
      </c>
      <c r="AD36" s="107">
        <v>208.27737254901959</v>
      </c>
      <c r="AE36" s="106">
        <v>1</v>
      </c>
      <c r="AF36" s="32" t="str">
        <f>IF(AE36=0,"",VLOOKUP(AE36,tab_tipo_expansao!$A$2:$B$4,2,0))</f>
        <v>opcional</v>
      </c>
      <c r="AG36" s="125">
        <v>2030</v>
      </c>
      <c r="AH36" s="125">
        <v>2100</v>
      </c>
      <c r="AI36" s="125">
        <v>30</v>
      </c>
      <c r="AJ36" s="530">
        <v>3897.3706644333784</v>
      </c>
      <c r="AK36" s="24">
        <f>AL36/constantes!$B$4</f>
        <v>1246.0421588443564</v>
      </c>
      <c r="AL36" s="33">
        <f t="shared" si="13"/>
        <v>4859.5644194929901</v>
      </c>
      <c r="AM36" s="87">
        <v>3</v>
      </c>
      <c r="AN36" s="531">
        <v>0</v>
      </c>
      <c r="AO36" s="23"/>
      <c r="AP36" s="532">
        <f t="shared" si="7"/>
        <v>3897.3706644333784</v>
      </c>
      <c r="AR36" s="35">
        <f t="shared" si="14"/>
        <v>4859.5644194929901</v>
      </c>
      <c r="AS36" s="36">
        <f ca="1">OFFSET(cod_desembolso!$A$1,AM36,23)</f>
        <v>1.1255071012622904</v>
      </c>
      <c r="AT36" s="37">
        <f ca="1">IF(AP36=0,0,AP36*(OFFSET(cod_desembolso!$A$1,AM36,23)))</f>
        <v>4386.5183590710985</v>
      </c>
      <c r="AU36" s="38">
        <f>(constantes!$B$3*(1+constantes!$B$3)^(AI36))/((1+constantes!$B$3)^(AI36)-1)</f>
        <v>8.8827433387272267E-2</v>
      </c>
      <c r="AV36" s="37">
        <f t="shared" ca="1" si="9"/>
        <v>429.7431673424349</v>
      </c>
      <c r="AW36" s="37">
        <f ca="1">IF(AP36=0,AY36/constantes!$B$3,AV36/constantes!$B$3)</f>
        <v>5371.7895917804362</v>
      </c>
      <c r="AX36" s="39">
        <f ca="1">IF(AP36=0,0,PV(constantes!$B$3,AI36,-AV36)*constantes!$B$3)</f>
        <v>387.03643769044089</v>
      </c>
      <c r="AY36" s="40">
        <f>constantes!$B$10*F36/1000</f>
        <v>40.1</v>
      </c>
      <c r="AZ36" s="533">
        <f>constantes!$B$12</f>
        <v>0</v>
      </c>
      <c r="BA36" s="20">
        <v>318</v>
      </c>
      <c r="BB36" s="43"/>
      <c r="BC36" s="3" t="s">
        <v>2217</v>
      </c>
      <c r="BE36" s="534">
        <v>1</v>
      </c>
      <c r="BF36" s="535">
        <v>2035</v>
      </c>
      <c r="BG36" s="536">
        <v>3</v>
      </c>
      <c r="BH36" s="537">
        <v>2050</v>
      </c>
    </row>
    <row r="37" spans="1:60" ht="14.45">
      <c r="A37" s="125">
        <v>1036</v>
      </c>
      <c r="B37" s="125">
        <v>1036</v>
      </c>
      <c r="C37" s="538" t="s">
        <v>2251</v>
      </c>
      <c r="D37" s="538" t="s">
        <v>2251</v>
      </c>
      <c r="E37" s="546"/>
      <c r="F37" s="526">
        <v>528</v>
      </c>
      <c r="G37" s="3" t="s">
        <v>2181</v>
      </c>
      <c r="H37" s="3" t="s">
        <v>2250</v>
      </c>
      <c r="I37" s="527">
        <v>-55.76</v>
      </c>
      <c r="J37" s="527">
        <v>-5.9163889999999997</v>
      </c>
      <c r="K37" s="539" t="s">
        <v>155</v>
      </c>
      <c r="L37" s="539" t="s">
        <v>155</v>
      </c>
      <c r="M37" s="554">
        <v>9</v>
      </c>
      <c r="N37" s="107"/>
      <c r="O37" s="529">
        <v>1.6379999999999999E-2</v>
      </c>
      <c r="P37" s="529">
        <v>6.1409999999999999E-2</v>
      </c>
      <c r="Q37" s="288">
        <f t="shared" si="10"/>
        <v>0.50174901920995685</v>
      </c>
      <c r="R37" s="30">
        <f t="shared" si="1"/>
        <v>264.92348214285721</v>
      </c>
      <c r="S37" s="30">
        <f t="shared" si="11"/>
        <v>263.07651785714279</v>
      </c>
      <c r="T37" s="107">
        <v>438.09333333333342</v>
      </c>
      <c r="U37" s="107">
        <v>390.55434523809527</v>
      </c>
      <c r="V37" s="107">
        <v>62.214583333333337</v>
      </c>
      <c r="W37" s="107">
        <v>168.83166666666665</v>
      </c>
      <c r="X37" s="288">
        <f t="shared" si="12"/>
        <v>0.47580689245395119</v>
      </c>
      <c r="Y37" s="289">
        <f t="shared" si="4"/>
        <v>251.22603921568623</v>
      </c>
      <c r="Z37" s="289">
        <f t="shared" si="5"/>
        <v>-13.697442927170982</v>
      </c>
      <c r="AA37" s="107">
        <v>424.49309803921557</v>
      </c>
      <c r="AB37" s="107">
        <v>381.02643137254904</v>
      </c>
      <c r="AC37" s="107">
        <v>62.993725490196077</v>
      </c>
      <c r="AD37" s="107">
        <v>136.3909019607843</v>
      </c>
      <c r="AE37" s="106">
        <v>1</v>
      </c>
      <c r="AF37" s="32" t="str">
        <f>IF(AE37=0,"",VLOOKUP(AE37,tab_tipo_expansao!$A$2:$B$4,2,0))</f>
        <v>opcional</v>
      </c>
      <c r="AG37" s="125">
        <v>2030</v>
      </c>
      <c r="AH37" s="125">
        <v>2100</v>
      </c>
      <c r="AI37" s="125">
        <v>30</v>
      </c>
      <c r="AJ37" s="530">
        <v>2859.7309077565897</v>
      </c>
      <c r="AK37" s="24">
        <f>AL37/constantes!$B$4</f>
        <v>1388.7582108375045</v>
      </c>
      <c r="AL37" s="33">
        <f t="shared" si="13"/>
        <v>5416.1570222662676</v>
      </c>
      <c r="AM37" s="87">
        <v>3</v>
      </c>
      <c r="AN37" s="531">
        <v>0</v>
      </c>
      <c r="AO37" s="23"/>
      <c r="AP37" s="532">
        <f t="shared" si="7"/>
        <v>2859.7309077565897</v>
      </c>
      <c r="AR37" s="35">
        <f t="shared" si="14"/>
        <v>5416.1570222662685</v>
      </c>
      <c r="AS37" s="36">
        <f ca="1">OFFSET(cod_desembolso!$A$1,AM37,23)</f>
        <v>1.1255071012622904</v>
      </c>
      <c r="AT37" s="37">
        <f ca="1">IF(AP37=0,0,AP37*(OFFSET(cod_desembolso!$A$1,AM37,23)))</f>
        <v>3218.6474443792977</v>
      </c>
      <c r="AU37" s="38">
        <f>(constantes!$B$3*(1+constantes!$B$3)^(AI37))/((1+constantes!$B$3)^(AI37)-1)</f>
        <v>8.8827433387272267E-2</v>
      </c>
      <c r="AV37" s="37">
        <f t="shared" ca="1" si="9"/>
        <v>312.30419146271618</v>
      </c>
      <c r="AW37" s="37">
        <f ca="1">IF(AP37=0,AY37/constantes!$B$3,AV37/constantes!$B$3)</f>
        <v>3903.8023932839519</v>
      </c>
      <c r="AX37" s="39">
        <f ca="1">IF(AP37=0,0,PV(constantes!$B$3,AI37,-AV37)*constantes!$B$3)</f>
        <v>281.26823397102908</v>
      </c>
      <c r="AY37" s="40">
        <f>constantes!$B$10*F37/1000</f>
        <v>26.4</v>
      </c>
      <c r="AZ37" s="533">
        <f>constantes!$B$12</f>
        <v>0</v>
      </c>
      <c r="BA37" s="20">
        <v>318</v>
      </c>
      <c r="BB37" s="43"/>
      <c r="BC37" s="3" t="s">
        <v>2185</v>
      </c>
      <c r="BE37" s="534">
        <v>1</v>
      </c>
      <c r="BF37" s="535">
        <v>2030</v>
      </c>
      <c r="BG37" s="536">
        <v>1</v>
      </c>
      <c r="BH37" s="537">
        <v>2030</v>
      </c>
    </row>
    <row r="38" spans="1:60" ht="14.45">
      <c r="A38" s="125">
        <v>1037</v>
      </c>
      <c r="B38" s="125">
        <v>1037</v>
      </c>
      <c r="C38" s="538" t="s">
        <v>2252</v>
      </c>
      <c r="D38" s="538" t="s">
        <v>2252</v>
      </c>
      <c r="E38" s="546"/>
      <c r="F38" s="526">
        <v>399.8</v>
      </c>
      <c r="G38" s="3" t="s">
        <v>2181</v>
      </c>
      <c r="H38" s="3" t="s">
        <v>2253</v>
      </c>
      <c r="I38" s="527">
        <v>-60.914164999999997</v>
      </c>
      <c r="J38" s="527">
        <v>-7.705279</v>
      </c>
      <c r="K38" s="539" t="s">
        <v>156</v>
      </c>
      <c r="L38" s="539" t="s">
        <v>156</v>
      </c>
      <c r="M38" s="554">
        <v>7</v>
      </c>
      <c r="N38" s="107"/>
      <c r="O38" s="529">
        <v>1.6379999999999999E-2</v>
      </c>
      <c r="P38" s="529">
        <v>6.1409999999999999E-2</v>
      </c>
      <c r="Q38" s="288">
        <f t="shared" si="10"/>
        <v>0.51906172580337795</v>
      </c>
      <c r="R38" s="30">
        <f t="shared" si="1"/>
        <v>207.52087797619049</v>
      </c>
      <c r="S38" s="30">
        <f t="shared" si="11"/>
        <v>192.27912202380952</v>
      </c>
      <c r="T38" s="107">
        <v>340.17047619047617</v>
      </c>
      <c r="U38" s="107">
        <v>293.13261904761907</v>
      </c>
      <c r="V38" s="107">
        <v>83.325416666666669</v>
      </c>
      <c r="W38" s="107">
        <v>113.455</v>
      </c>
      <c r="X38" s="288">
        <f t="shared" si="12"/>
        <v>0.51766733857124614</v>
      </c>
      <c r="Y38" s="289">
        <f t="shared" si="4"/>
        <v>206.96340196078421</v>
      </c>
      <c r="Z38" s="289">
        <f t="shared" si="5"/>
        <v>-0.55747601540628011</v>
      </c>
      <c r="AA38" s="107">
        <v>353.13160784313692</v>
      </c>
      <c r="AB38" s="107">
        <v>292.07443137254887</v>
      </c>
      <c r="AC38" s="107">
        <v>72.390745098039233</v>
      </c>
      <c r="AD38" s="107">
        <v>110.25682352941176</v>
      </c>
      <c r="AE38" s="106">
        <v>1</v>
      </c>
      <c r="AF38" s="32" t="str">
        <f>IF(AE38=0,"",VLOOKUP(AE38,tab_tipo_expansao!$A$2:$B$4,2,0))</f>
        <v>opcional</v>
      </c>
      <c r="AG38" s="125">
        <v>2030</v>
      </c>
      <c r="AH38" s="125">
        <v>2100</v>
      </c>
      <c r="AI38" s="125">
        <v>30</v>
      </c>
      <c r="AJ38" s="530">
        <v>3240.9377455207828</v>
      </c>
      <c r="AK38" s="24">
        <f>AL38/constantes!$B$4</f>
        <v>2078.5634775854487</v>
      </c>
      <c r="AL38" s="33">
        <f t="shared" si="13"/>
        <v>8106.3975625832491</v>
      </c>
      <c r="AM38" s="87">
        <v>2</v>
      </c>
      <c r="AN38" s="531">
        <v>0</v>
      </c>
      <c r="AO38" s="23"/>
      <c r="AP38" s="532">
        <f t="shared" si="7"/>
        <v>3240.9377455207828</v>
      </c>
      <c r="AR38" s="35">
        <f t="shared" si="14"/>
        <v>8106.3975625832481</v>
      </c>
      <c r="AS38" s="36">
        <f ca="1">OFFSET(cod_desembolso!$A$1,AM38,23)</f>
        <v>1.1245293369208682</v>
      </c>
      <c r="AT38" s="37">
        <f ca="1">IF(AP38=0,0,AP38*(OFFSET(cod_desembolso!$A$1,AM38,23)))</f>
        <v>3644.5295739722992</v>
      </c>
      <c r="AU38" s="38">
        <f>(constantes!$B$3*(1+constantes!$B$3)^(AI38))/((1+constantes!$B$3)^(AI38)-1)</f>
        <v>8.8827433387272267E-2</v>
      </c>
      <c r="AV38" s="37">
        <f t="shared" ca="1" si="9"/>
        <v>343.72420795996817</v>
      </c>
      <c r="AW38" s="37">
        <f ca="1">IF(AP38=0,AY38/constantes!$B$3,AV38/constantes!$B$3)</f>
        <v>4296.5525994996024</v>
      </c>
      <c r="AX38" s="39">
        <f ca="1">IF(AP38=0,0,PV(constantes!$B$3,AI38,-AV38)*constantes!$B$3)</f>
        <v>309.56581304011337</v>
      </c>
      <c r="AY38" s="40">
        <f>constantes!$B$10*F38/1000</f>
        <v>19.989999999999998</v>
      </c>
      <c r="AZ38" s="533">
        <f>constantes!$B$12</f>
        <v>0</v>
      </c>
      <c r="BA38" s="20">
        <v>318</v>
      </c>
      <c r="BB38" s="43"/>
      <c r="BC38" s="3" t="s">
        <v>2185</v>
      </c>
      <c r="BE38" s="534">
        <v>1</v>
      </c>
      <c r="BF38" s="535">
        <v>2030</v>
      </c>
      <c r="BG38" s="536">
        <v>1</v>
      </c>
      <c r="BH38" s="537">
        <v>2030</v>
      </c>
    </row>
    <row r="39" spans="1:60" ht="14.45" hidden="1">
      <c r="A39" s="125">
        <v>1038</v>
      </c>
      <c r="B39" s="125">
        <v>1038</v>
      </c>
      <c r="C39" s="538" t="s">
        <v>2254</v>
      </c>
      <c r="D39" s="538" t="s">
        <v>2254</v>
      </c>
      <c r="E39" s="546"/>
      <c r="F39" s="526">
        <v>39</v>
      </c>
      <c r="G39" s="3" t="s">
        <v>2181</v>
      </c>
      <c r="H39" s="3" t="s">
        <v>2255</v>
      </c>
      <c r="I39" s="527">
        <v>-58.957948999999999</v>
      </c>
      <c r="J39" s="527">
        <v>-12.989414</v>
      </c>
      <c r="K39" s="539" t="s">
        <v>160</v>
      </c>
      <c r="L39" s="539" t="s">
        <v>160</v>
      </c>
      <c r="M39" s="554">
        <v>10</v>
      </c>
      <c r="N39" s="107"/>
      <c r="O39" s="529">
        <v>2.068E-2</v>
      </c>
      <c r="P39" s="529">
        <v>4.6600000000000003E-2</v>
      </c>
      <c r="Q39" s="288">
        <f t="shared" si="10"/>
        <v>0.532119300920186</v>
      </c>
      <c r="R39" s="30">
        <f t="shared" si="1"/>
        <v>20.752652735887253</v>
      </c>
      <c r="S39" s="30">
        <f t="shared" si="11"/>
        <v>18.247347264112747</v>
      </c>
      <c r="T39" s="107">
        <v>26.006579583891352</v>
      </c>
      <c r="U39" s="107">
        <v>22.829824982870107</v>
      </c>
      <c r="V39" s="107">
        <v>16.19437386969069</v>
      </c>
      <c r="W39" s="107">
        <v>17.979832507096862</v>
      </c>
      <c r="X39" s="288">
        <f t="shared" si="12"/>
        <v>0.56765074645560565</v>
      </c>
      <c r="Y39" s="289">
        <f t="shared" si="4"/>
        <v>22.138379111768621</v>
      </c>
      <c r="Z39" s="289">
        <f t="shared" si="5"/>
        <v>1.3857263758813687</v>
      </c>
      <c r="AA39" s="107">
        <v>28.936079784710362</v>
      </c>
      <c r="AB39" s="107">
        <v>24.072831689811157</v>
      </c>
      <c r="AC39" s="107">
        <v>16.57374689903342</v>
      </c>
      <c r="AD39" s="107">
        <v>18.970858073519558</v>
      </c>
      <c r="AE39" s="106">
        <v>1</v>
      </c>
      <c r="AF39" s="32" t="str">
        <f>IF(AE39=0,"",VLOOKUP(AE39,tab_tipo_expansao!$A$2:$B$4,2,0))</f>
        <v>opcional</v>
      </c>
      <c r="AG39" s="125">
        <v>2028</v>
      </c>
      <c r="AH39" s="125">
        <v>2100</v>
      </c>
      <c r="AI39" s="125">
        <v>30</v>
      </c>
      <c r="AJ39" s="530">
        <v>390</v>
      </c>
      <c r="AK39" s="24">
        <f>AL39/constantes!$B$4</f>
        <v>2564.102564102564</v>
      </c>
      <c r="AL39" s="33">
        <f t="shared" si="13"/>
        <v>10000</v>
      </c>
      <c r="AM39" s="87">
        <v>2</v>
      </c>
      <c r="AN39" s="531">
        <v>0</v>
      </c>
      <c r="AO39" s="23"/>
      <c r="AP39" s="532">
        <f t="shared" si="7"/>
        <v>390</v>
      </c>
      <c r="AR39" s="35">
        <f t="shared" si="14"/>
        <v>10000</v>
      </c>
      <c r="AS39" s="36">
        <f ca="1">OFFSET(cod_desembolso!$A$1,AM39,23)</f>
        <v>1.1245293369208682</v>
      </c>
      <c r="AT39" s="37">
        <f ca="1">IF(AP39=0,0,AP39*(OFFSET(cod_desembolso!$A$1,AM39,23)))</f>
        <v>438.56644139913863</v>
      </c>
      <c r="AU39" s="38">
        <f>(constantes!$B$3*(1+constantes!$B$3)^(AI39))/((1+constantes!$B$3)^(AI39)-1)</f>
        <v>8.8827433387272267E-2</v>
      </c>
      <c r="AV39" s="37">
        <f t="shared" ca="1" si="9"/>
        <v>40.906731359275035</v>
      </c>
      <c r="AW39" s="37">
        <f ca="1">IF(AP39=0,AY39/constantes!$B$3,AV39/constantes!$B$3)</f>
        <v>511.33414199093795</v>
      </c>
      <c r="AX39" s="39">
        <f ca="1">IF(AP39=0,0,PV(constantes!$B$3,AI39,-AV39)*constantes!$B$3)</f>
        <v>36.84152951345898</v>
      </c>
      <c r="AY39" s="40">
        <f>constantes!$B$10*F39/1000</f>
        <v>1.95</v>
      </c>
      <c r="AZ39" s="533">
        <f>constantes!$B$12</f>
        <v>0</v>
      </c>
      <c r="BA39" s="20">
        <v>318</v>
      </c>
      <c r="BB39" s="43"/>
      <c r="BC39" s="3" t="s">
        <v>2197</v>
      </c>
      <c r="BE39" s="534">
        <v>1</v>
      </c>
      <c r="BF39" s="535">
        <v>2027</v>
      </c>
      <c r="BG39" s="536">
        <v>1</v>
      </c>
      <c r="BH39" s="537">
        <v>2027</v>
      </c>
    </row>
    <row r="40" spans="1:60" ht="14.45" hidden="1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46"/>
      <c r="F40" s="526">
        <v>50</v>
      </c>
      <c r="G40" s="3" t="s">
        <v>2231</v>
      </c>
      <c r="H40" s="3" t="s">
        <v>2138</v>
      </c>
      <c r="I40" s="527">
        <v>-41.873842000000003</v>
      </c>
      <c r="J40" s="527">
        <v>-21.577017000000001</v>
      </c>
      <c r="K40" s="539" t="s">
        <v>284</v>
      </c>
      <c r="L40" s="539" t="s">
        <v>284</v>
      </c>
      <c r="M40" s="554">
        <v>1</v>
      </c>
      <c r="N40" s="107"/>
      <c r="O40" s="529">
        <v>2.068E-2</v>
      </c>
      <c r="P40" s="529">
        <v>4.6600000000000003E-2</v>
      </c>
      <c r="Q40" s="288">
        <f t="shared" si="10"/>
        <v>0.67460952380952388</v>
      </c>
      <c r="R40" s="30">
        <f t="shared" si="1"/>
        <v>33.730476190476196</v>
      </c>
      <c r="S40" s="30">
        <f t="shared" si="11"/>
        <v>16.269523809523804</v>
      </c>
      <c r="T40" s="107">
        <v>39.814761904761909</v>
      </c>
      <c r="U40" s="107">
        <v>36.822083333333332</v>
      </c>
      <c r="V40" s="107">
        <v>23.075833333333335</v>
      </c>
      <c r="W40" s="107">
        <v>35.209226190476194</v>
      </c>
      <c r="X40" s="288">
        <f t="shared" si="12"/>
        <v>0.69738019607843116</v>
      </c>
      <c r="Y40" s="289">
        <f t="shared" si="4"/>
        <v>34.869009803921557</v>
      </c>
      <c r="Z40" s="289">
        <f t="shared" si="5"/>
        <v>1.138533613445361</v>
      </c>
      <c r="AA40" s="107">
        <v>41.596980392156851</v>
      </c>
      <c r="AB40" s="107">
        <v>37.394549019607823</v>
      </c>
      <c r="AC40" s="107">
        <v>23.430235294117651</v>
      </c>
      <c r="AD40" s="107">
        <v>37.054274509803911</v>
      </c>
      <c r="AE40" s="106">
        <v>1</v>
      </c>
      <c r="AF40" s="32" t="str">
        <f>IF(AE40=0,"",VLOOKUP(AE40,tab_tipo_expansao!$A$2:$B$4,2,0))</f>
        <v>opcional</v>
      </c>
      <c r="AG40" s="125">
        <v>2028</v>
      </c>
      <c r="AH40" s="125">
        <v>2100</v>
      </c>
      <c r="AI40" s="125">
        <v>30</v>
      </c>
      <c r="AJ40" s="530">
        <v>599.65695138697652</v>
      </c>
      <c r="AK40" s="24">
        <f>AL40/constantes!$B$4</f>
        <v>3075.1638532665465</v>
      </c>
      <c r="AL40" s="33">
        <f t="shared" si="13"/>
        <v>11993.139027739531</v>
      </c>
      <c r="AM40" s="87">
        <v>2</v>
      </c>
      <c r="AN40" s="531">
        <v>0</v>
      </c>
      <c r="AO40" s="23"/>
      <c r="AP40" s="532">
        <f t="shared" si="7"/>
        <v>599.65695138697652</v>
      </c>
      <c r="AR40" s="35">
        <f t="shared" si="14"/>
        <v>11993.139027739531</v>
      </c>
      <c r="AS40" s="36">
        <f ca="1">OFFSET(cod_desembolso!$A$1,AM40,23)</f>
        <v>1.1245293369208682</v>
      </c>
      <c r="AT40" s="37">
        <f ca="1">IF(AP40=0,0,AP40*(OFFSET(cod_desembolso!$A$1,AM40,23)))</f>
        <v>674.33183392318597</v>
      </c>
      <c r="AU40" s="38">
        <f>(constantes!$B$3*(1+constantes!$B$3)^(AI40))/((1+constantes!$B$3)^(AI40)-1)</f>
        <v>8.8827433387272267E-2</v>
      </c>
      <c r="AV40" s="37">
        <f t="shared" ca="1" si="9"/>
        <v>62.399166058728945</v>
      </c>
      <c r="AW40" s="37">
        <f ca="1">IF(AP40=0,AY40/constantes!$B$3,AV40/constantes!$B$3)</f>
        <v>779.98957573411178</v>
      </c>
      <c r="AX40" s="39">
        <f ca="1">IF(AP40=0,0,PV(constantes!$B$3,AI40,-AV40)*constantes!$B$3)</f>
        <v>56.198103382480369</v>
      </c>
      <c r="AY40" s="40">
        <f>constantes!$B$10*F40/1000</f>
        <v>2.5</v>
      </c>
      <c r="AZ40" s="533">
        <f>constantes!$B$12</f>
        <v>0</v>
      </c>
      <c r="BA40" s="20">
        <v>318</v>
      </c>
      <c r="BB40" s="43"/>
      <c r="BC40" s="3" t="s">
        <v>2197</v>
      </c>
      <c r="BE40" s="534">
        <v>1</v>
      </c>
      <c r="BF40" s="535">
        <v>2027</v>
      </c>
      <c r="BG40" s="536">
        <v>1</v>
      </c>
      <c r="BH40" s="537">
        <v>2027</v>
      </c>
    </row>
    <row r="41" spans="1:60" ht="14.45" hidden="1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46"/>
      <c r="F41" s="526">
        <v>44</v>
      </c>
      <c r="G41" s="3" t="s">
        <v>2246</v>
      </c>
      <c r="H41" s="3" t="s">
        <v>2246</v>
      </c>
      <c r="I41" s="527">
        <v>-45.788333000000002</v>
      </c>
      <c r="J41" s="527">
        <v>-8.6169440000000002</v>
      </c>
      <c r="K41" s="539" t="s">
        <v>1985</v>
      </c>
      <c r="L41" s="539" t="s">
        <v>1985</v>
      </c>
      <c r="M41" s="554">
        <v>3</v>
      </c>
      <c r="N41" s="107"/>
      <c r="O41" s="529">
        <v>2.068E-2</v>
      </c>
      <c r="P41" s="529">
        <v>4.6600000000000003E-2</v>
      </c>
      <c r="Q41" s="288">
        <f t="shared" si="10"/>
        <v>0.71498782467532462</v>
      </c>
      <c r="R41" s="30">
        <f t="shared" si="1"/>
        <v>31.459464285714283</v>
      </c>
      <c r="S41" s="30">
        <f t="shared" si="11"/>
        <v>12.540535714285717</v>
      </c>
      <c r="T41" s="107">
        <v>38.439999999999991</v>
      </c>
      <c r="U41" s="107">
        <v>33.632023809523808</v>
      </c>
      <c r="V41" s="107">
        <v>21.752499999999998</v>
      </c>
      <c r="W41" s="107">
        <v>32.013333333333328</v>
      </c>
      <c r="X41" s="288">
        <f t="shared" si="12"/>
        <v>0.716985294117647</v>
      </c>
      <c r="Y41" s="289">
        <f t="shared" si="4"/>
        <v>31.54735294117647</v>
      </c>
      <c r="Z41" s="289">
        <f t="shared" si="5"/>
        <v>8.788865546218716E-2</v>
      </c>
      <c r="AA41" s="107">
        <v>37.614196078431377</v>
      </c>
      <c r="AB41" s="107">
        <v>33.307647058823541</v>
      </c>
      <c r="AC41" s="107">
        <v>22.576509803921567</v>
      </c>
      <c r="AD41" s="107">
        <v>32.691058823529403</v>
      </c>
      <c r="AE41" s="106">
        <v>1</v>
      </c>
      <c r="AF41" s="32" t="str">
        <f>IF(AE41=0,"",VLOOKUP(AE41,tab_tipo_expansao!$A$2:$B$4,2,0))</f>
        <v>opcional</v>
      </c>
      <c r="AG41" s="125">
        <v>2028</v>
      </c>
      <c r="AH41" s="125">
        <v>2100</v>
      </c>
      <c r="AI41" s="125">
        <v>30</v>
      </c>
      <c r="AJ41" s="530">
        <v>440</v>
      </c>
      <c r="AK41" s="24">
        <f>AL41/constantes!$B$4</f>
        <v>2564.102564102564</v>
      </c>
      <c r="AL41" s="33">
        <f t="shared" si="13"/>
        <v>10000</v>
      </c>
      <c r="AM41" s="87">
        <v>2</v>
      </c>
      <c r="AN41" s="531">
        <v>0</v>
      </c>
      <c r="AO41" s="23"/>
      <c r="AP41" s="532">
        <f t="shared" si="7"/>
        <v>440</v>
      </c>
      <c r="AR41" s="35">
        <f t="shared" si="14"/>
        <v>10000</v>
      </c>
      <c r="AS41" s="36">
        <f ca="1">OFFSET(cod_desembolso!$A$1,AM41,23)</f>
        <v>1.1245293369208682</v>
      </c>
      <c r="AT41" s="37">
        <f ca="1">IF(AP41=0,0,AP41*(OFFSET(cod_desembolso!$A$1,AM41,23)))</f>
        <v>494.79290824518199</v>
      </c>
      <c r="AU41" s="38">
        <f>(constantes!$B$3*(1+constantes!$B$3)^(AI41))/((1+constantes!$B$3)^(AI41)-1)</f>
        <v>8.8827433387272267E-2</v>
      </c>
      <c r="AV41" s="37">
        <f t="shared" ca="1" si="9"/>
        <v>46.151184097643622</v>
      </c>
      <c r="AW41" s="37">
        <f ca="1">IF(AP41=0,AY41/constantes!$B$3,AV41/constantes!$B$3)</f>
        <v>576.88980122054522</v>
      </c>
      <c r="AX41" s="39">
        <f ca="1">IF(AP41=0,0,PV(constantes!$B$3,AI41,-AV41)*constantes!$B$3)</f>
        <v>41.564802528004996</v>
      </c>
      <c r="AY41" s="40">
        <f>constantes!$B$10*F41/1000</f>
        <v>2.2000000000000002</v>
      </c>
      <c r="AZ41" s="533">
        <f>constantes!$B$12</f>
        <v>0</v>
      </c>
      <c r="BA41" s="20">
        <v>318</v>
      </c>
      <c r="BB41" s="43"/>
      <c r="BC41" s="3" t="s">
        <v>2197</v>
      </c>
      <c r="BE41" s="534">
        <v>1</v>
      </c>
      <c r="BF41" s="535">
        <v>2027</v>
      </c>
      <c r="BG41" s="536">
        <v>1</v>
      </c>
      <c r="BH41" s="537">
        <v>2027</v>
      </c>
    </row>
    <row r="42" spans="1:60" ht="14.45" hidden="1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46"/>
      <c r="F42" s="526">
        <v>36.700000000000003</v>
      </c>
      <c r="G42" s="3" t="s">
        <v>2196</v>
      </c>
      <c r="H42" s="3" t="s">
        <v>2214</v>
      </c>
      <c r="I42" s="527">
        <v>-52.864167000000002</v>
      </c>
      <c r="J42" s="527">
        <v>-24.756111000000001</v>
      </c>
      <c r="K42" s="539" t="s">
        <v>153</v>
      </c>
      <c r="L42" s="539" t="s">
        <v>153</v>
      </c>
      <c r="M42" s="554">
        <v>2</v>
      </c>
      <c r="N42" s="107"/>
      <c r="O42" s="529">
        <v>2.068E-2</v>
      </c>
      <c r="P42" s="529">
        <v>4.6600000000000003E-2</v>
      </c>
      <c r="Q42" s="288">
        <f t="shared" si="10"/>
        <v>0.54647885039574406</v>
      </c>
      <c r="R42" s="30">
        <f t="shared" si="1"/>
        <v>20.05577380952381</v>
      </c>
      <c r="S42" s="30">
        <f t="shared" si="11"/>
        <v>16.644226190476193</v>
      </c>
      <c r="T42" s="107">
        <v>19.867619047619048</v>
      </c>
      <c r="U42" s="107">
        <v>22.756071428571431</v>
      </c>
      <c r="V42" s="107">
        <v>17.15666666666667</v>
      </c>
      <c r="W42" s="107">
        <v>20.442738095238095</v>
      </c>
      <c r="X42" s="288">
        <f t="shared" si="12"/>
        <v>0.60612117326494619</v>
      </c>
      <c r="Y42" s="289">
        <f t="shared" si="4"/>
        <v>22.244647058823528</v>
      </c>
      <c r="Z42" s="289">
        <f t="shared" si="5"/>
        <v>2.1888732492997178</v>
      </c>
      <c r="AA42" s="107">
        <v>21.977176470588237</v>
      </c>
      <c r="AB42" s="107">
        <v>22.118431372549011</v>
      </c>
      <c r="AC42" s="107">
        <v>20.650313725490193</v>
      </c>
      <c r="AD42" s="107">
        <v>24.23266666666667</v>
      </c>
      <c r="AE42" s="106">
        <v>1</v>
      </c>
      <c r="AF42" s="32" t="str">
        <f>IF(AE42=0,"",VLOOKUP(AE42,tab_tipo_expansao!$A$2:$B$4,2,0))</f>
        <v>opcional</v>
      </c>
      <c r="AG42" s="125">
        <v>2028</v>
      </c>
      <c r="AH42" s="125">
        <v>2100</v>
      </c>
      <c r="AI42" s="125">
        <v>30</v>
      </c>
      <c r="AJ42" s="530">
        <v>394.28893403564325</v>
      </c>
      <c r="AK42" s="24">
        <f>AL42/constantes!$B$4</f>
        <v>2754.7609448448493</v>
      </c>
      <c r="AL42" s="33">
        <f t="shared" si="13"/>
        <v>10743.567684894912</v>
      </c>
      <c r="AM42" s="87">
        <v>2</v>
      </c>
      <c r="AN42" s="531">
        <v>0</v>
      </c>
      <c r="AO42" s="23"/>
      <c r="AP42" s="532">
        <f t="shared" si="7"/>
        <v>394.28893403564325</v>
      </c>
      <c r="AR42" s="35">
        <f t="shared" si="14"/>
        <v>10743.56768489491</v>
      </c>
      <c r="AS42" s="36">
        <f ca="1">OFFSET(cod_desembolso!$A$1,AM42,23)</f>
        <v>1.1245293369208682</v>
      </c>
      <c r="AT42" s="37">
        <f ca="1">IF(AP42=0,0,AP42*(OFFSET(cod_desembolso!$A$1,AM42,23)))</f>
        <v>443.38947354633785</v>
      </c>
      <c r="AU42" s="38">
        <f>(constantes!$B$3*(1+constantes!$B$3)^(AI42))/((1+constantes!$B$3)^(AI42)-1)</f>
        <v>8.8827433387272267E-2</v>
      </c>
      <c r="AV42" s="37">
        <f t="shared" ca="1" si="9"/>
        <v>41.220148926055046</v>
      </c>
      <c r="AW42" s="37">
        <f ca="1">IF(AP42=0,AY42/constantes!$B$3,AV42/constantes!$B$3)</f>
        <v>515.25186157568805</v>
      </c>
      <c r="AX42" s="39">
        <f ca="1">IF(AP42=0,0,PV(constantes!$B$3,AI42,-AV42)*constantes!$B$3)</f>
        <v>37.123800478478145</v>
      </c>
      <c r="AY42" s="40">
        <f>constantes!$B$10*F42/1000</f>
        <v>1.8350000000000002</v>
      </c>
      <c r="AZ42" s="533">
        <f>constantes!$B$12</f>
        <v>0</v>
      </c>
      <c r="BA42" s="20">
        <v>318</v>
      </c>
      <c r="BB42" s="43"/>
      <c r="BC42" s="3" t="s">
        <v>2197</v>
      </c>
      <c r="BE42" s="534">
        <v>1</v>
      </c>
      <c r="BF42" s="535">
        <v>2027</v>
      </c>
      <c r="BG42" s="536">
        <v>1</v>
      </c>
      <c r="BH42" s="537">
        <v>2027</v>
      </c>
    </row>
    <row r="43" spans="1:60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46"/>
      <c r="F43" s="526">
        <v>240.2</v>
      </c>
      <c r="G43" s="3" t="s">
        <v>2181</v>
      </c>
      <c r="H43" s="3" t="s">
        <v>2192</v>
      </c>
      <c r="I43" s="527">
        <v>-52.960278000000002</v>
      </c>
      <c r="J43" s="527">
        <v>-8.3055000000000004E-2</v>
      </c>
      <c r="K43" s="539" t="s">
        <v>2001</v>
      </c>
      <c r="L43" s="539" t="s">
        <v>2001</v>
      </c>
      <c r="M43" s="554">
        <v>4</v>
      </c>
      <c r="N43" s="107"/>
      <c r="O43" s="529">
        <v>1.6379999999999999E-2</v>
      </c>
      <c r="P43" s="529">
        <v>6.1409999999999999E-2</v>
      </c>
      <c r="Q43" s="288">
        <f t="shared" si="10"/>
        <v>0.51330959319614611</v>
      </c>
      <c r="R43" s="30">
        <f t="shared" si="1"/>
        <v>123.2969642857143</v>
      </c>
      <c r="S43" s="30">
        <f t="shared" si="11"/>
        <v>116.90303571428569</v>
      </c>
      <c r="T43" s="107">
        <v>140.76142857142858</v>
      </c>
      <c r="U43" s="107">
        <v>196.91904761904763</v>
      </c>
      <c r="V43" s="107">
        <v>115.43083333333334</v>
      </c>
      <c r="W43" s="107">
        <v>40.076547619047624</v>
      </c>
      <c r="X43" s="288">
        <f t="shared" si="12"/>
        <v>0.46414164666699331</v>
      </c>
      <c r="Y43" s="289">
        <f t="shared" si="4"/>
        <v>111.48682352941179</v>
      </c>
      <c r="Z43" s="289">
        <f t="shared" si="5"/>
        <v>-11.810140756302502</v>
      </c>
      <c r="AA43" s="107">
        <v>114.56117647058828</v>
      </c>
      <c r="AB43" s="107">
        <v>187.78015686274512</v>
      </c>
      <c r="AC43" s="107">
        <v>108.58211764705885</v>
      </c>
      <c r="AD43" s="107">
        <v>35.023843137254893</v>
      </c>
      <c r="AE43" s="106">
        <v>1</v>
      </c>
      <c r="AF43" s="32" t="str">
        <f>IF(AE43=0,"",VLOOKUP(AE43,tab_tipo_expansao!$A$2:$B$4,2,0))</f>
        <v>opcional</v>
      </c>
      <c r="AG43" s="125">
        <v>2030</v>
      </c>
      <c r="AH43" s="125">
        <v>2100</v>
      </c>
      <c r="AI43" s="125">
        <v>30</v>
      </c>
      <c r="AJ43" s="530">
        <v>3117.6972065403988</v>
      </c>
      <c r="AK43" s="24">
        <f>AL43/constantes!$B$4</f>
        <v>3328.0996675210822</v>
      </c>
      <c r="AL43" s="33">
        <f t="shared" si="13"/>
        <v>12979.58870333222</v>
      </c>
      <c r="AM43" s="87">
        <v>2</v>
      </c>
      <c r="AN43" s="531">
        <v>0</v>
      </c>
      <c r="AO43" s="23"/>
      <c r="AP43" s="532">
        <f t="shared" si="7"/>
        <v>3117.6972065403988</v>
      </c>
      <c r="AR43" s="35">
        <f t="shared" si="14"/>
        <v>12979.588703332218</v>
      </c>
      <c r="AS43" s="36">
        <f ca="1">OFFSET(cod_desembolso!$A$1,AM43,23)</f>
        <v>1.1245293369208682</v>
      </c>
      <c r="AT43" s="37">
        <f ca="1">IF(AP43=0,0,AP43*(OFFSET(cod_desembolso!$A$1,AM43,23)))</f>
        <v>3505.9419723909177</v>
      </c>
      <c r="AU43" s="38">
        <f>(constantes!$B$3*(1+constantes!$B$3)^(AI43))/((1+constantes!$B$3)^(AI43)-1)</f>
        <v>8.8827433387272267E-2</v>
      </c>
      <c r="AV43" s="37">
        <f t="shared" ca="1" si="9"/>
        <v>323.43382701219616</v>
      </c>
      <c r="AW43" s="37">
        <f ca="1">IF(AP43=0,AY43/constantes!$B$3,AV43/constantes!$B$3)</f>
        <v>4042.922837652452</v>
      </c>
      <c r="AX43" s="39">
        <f ca="1">IF(AP43=0,0,PV(constantes!$B$3,AI43,-AV43)*constantes!$B$3)</f>
        <v>291.29183602735026</v>
      </c>
      <c r="AY43" s="40">
        <f>constantes!$B$10*F43/1000</f>
        <v>12.01</v>
      </c>
      <c r="AZ43" s="533">
        <f>constantes!$B$12</f>
        <v>0</v>
      </c>
      <c r="BA43" s="20">
        <v>318</v>
      </c>
      <c r="BB43" s="43"/>
      <c r="BC43" s="3" t="s">
        <v>2183</v>
      </c>
      <c r="BE43" s="534">
        <v>1</v>
      </c>
      <c r="BF43" s="535">
        <v>2027</v>
      </c>
      <c r="BG43" s="536">
        <v>1</v>
      </c>
      <c r="BH43" s="537">
        <v>2027</v>
      </c>
    </row>
    <row r="44" spans="1:60" ht="14.45" hidden="1" customHeight="1">
      <c r="A44" s="125">
        <v>1043</v>
      </c>
      <c r="B44" s="125">
        <v>1043</v>
      </c>
      <c r="C44" s="626" t="s">
        <v>2260</v>
      </c>
      <c r="D44" s="538" t="s">
        <v>2260</v>
      </c>
      <c r="E44" s="546"/>
      <c r="F44" s="526">
        <v>140</v>
      </c>
      <c r="G44" s="3" t="s">
        <v>2181</v>
      </c>
      <c r="H44" s="3" t="s">
        <v>2228</v>
      </c>
      <c r="I44" s="527">
        <v>-57.754694000000001</v>
      </c>
      <c r="J44" s="527">
        <v>-11.076651999999999</v>
      </c>
      <c r="K44" s="539" t="s">
        <v>160</v>
      </c>
      <c r="L44" s="539" t="s">
        <v>160</v>
      </c>
      <c r="M44" s="554">
        <v>1</v>
      </c>
      <c r="N44" s="107"/>
      <c r="O44" s="529">
        <v>1.9820000000000001E-2</v>
      </c>
      <c r="P44" s="529">
        <v>5.2919999999999995E-2</v>
      </c>
      <c r="Q44" s="288">
        <f t="shared" si="10"/>
        <v>0.71695248724489802</v>
      </c>
      <c r="R44" s="30">
        <f t="shared" si="1"/>
        <v>100.37334821428573</v>
      </c>
      <c r="S44" s="30">
        <f t="shared" si="11"/>
        <v>39.626651785714273</v>
      </c>
      <c r="T44" s="107">
        <v>129.21952380952385</v>
      </c>
      <c r="U44" s="107">
        <v>113.44666666666667</v>
      </c>
      <c r="V44" s="107">
        <v>61.807083333333331</v>
      </c>
      <c r="W44" s="107">
        <v>97.020119047619048</v>
      </c>
      <c r="X44" s="288">
        <f t="shared" si="12"/>
        <v>0.70039929971988768</v>
      </c>
      <c r="Y44" s="289">
        <f t="shared" si="4"/>
        <v>98.055901960784283</v>
      </c>
      <c r="Z44" s="289">
        <f t="shared" si="5"/>
        <v>-2.3174462535014442</v>
      </c>
      <c r="AA44" s="107">
        <v>127.23831372549012</v>
      </c>
      <c r="AB44" s="107">
        <v>108.47945098039213</v>
      </c>
      <c r="AC44" s="107">
        <v>62.598980392156847</v>
      </c>
      <c r="AD44" s="107">
        <v>93.906862745098053</v>
      </c>
      <c r="AE44" s="106">
        <v>1</v>
      </c>
      <c r="AF44" s="32" t="str">
        <f>IF(AE44=0,"",VLOOKUP(AE44,tab_tipo_expansao!$A$2:$B$4,2,0))</f>
        <v>opcional</v>
      </c>
      <c r="AG44" s="125">
        <v>2023</v>
      </c>
      <c r="AH44" s="125">
        <v>2100</v>
      </c>
      <c r="AI44" s="125">
        <v>30</v>
      </c>
      <c r="AJ44" s="530">
        <v>1458.2249055877151</v>
      </c>
      <c r="AK44" s="24">
        <f>AL44/constantes!$B$4</f>
        <v>2670.7415853254856</v>
      </c>
      <c r="AL44" s="33">
        <f t="shared" si="13"/>
        <v>10415.892182769394</v>
      </c>
      <c r="AM44" s="87">
        <v>2</v>
      </c>
      <c r="AN44" s="531">
        <v>0</v>
      </c>
      <c r="AO44" s="23"/>
      <c r="AP44" s="532">
        <f t="shared" si="7"/>
        <v>1458.2249055877151</v>
      </c>
      <c r="AR44" s="35">
        <f t="shared" si="14"/>
        <v>10415.892182769394</v>
      </c>
      <c r="AS44" s="36">
        <f ca="1">OFFSET(cod_desembolso!$A$1,AM44,23)</f>
        <v>1.1245293369208682</v>
      </c>
      <c r="AT44" s="37">
        <f ca="1">IF(AP44=0,0,AP44*(OFFSET(cod_desembolso!$A$1,AM44,23)))</f>
        <v>1639.8166861620489</v>
      </c>
      <c r="AU44" s="38">
        <f>(constantes!$B$3*(1+constantes!$B$3)^(AI44))/((1+constantes!$B$3)^(AI44)-1)</f>
        <v>8.8827433387272267E-2</v>
      </c>
      <c r="AV44" s="37">
        <f t="shared" ca="1" si="9"/>
        <v>152.66070745739694</v>
      </c>
      <c r="AW44" s="37">
        <f ca="1">IF(AP44=0,AY44/constantes!$B$3,AV44/constantes!$B$3)</f>
        <v>1908.2588432174616</v>
      </c>
      <c r="AX44" s="39">
        <f ca="1">IF(AP44=0,0,PV(constantes!$B$3,AI44,-AV44)*constantes!$B$3)</f>
        <v>137.48969356511532</v>
      </c>
      <c r="AY44" s="40">
        <f>constantes!$B$10*F44/1000</f>
        <v>7</v>
      </c>
      <c r="AZ44" s="533">
        <f>constantes!$B$12</f>
        <v>0</v>
      </c>
      <c r="BA44" s="20">
        <v>318</v>
      </c>
      <c r="BB44" s="43"/>
      <c r="BC44" s="3" t="s">
        <v>2209</v>
      </c>
      <c r="BE44" s="534">
        <v>1</v>
      </c>
      <c r="BF44" s="535">
        <v>2023</v>
      </c>
      <c r="BG44" s="536">
        <v>1</v>
      </c>
      <c r="BH44" s="537">
        <v>2023</v>
      </c>
    </row>
    <row r="45" spans="1:60" ht="14.45" hidden="1">
      <c r="A45" s="125">
        <v>1044</v>
      </c>
      <c r="B45" s="125">
        <v>1044</v>
      </c>
      <c r="C45" s="538" t="s">
        <v>2261</v>
      </c>
      <c r="D45" s="538" t="s">
        <v>2261</v>
      </c>
      <c r="E45" s="546"/>
      <c r="F45" s="526">
        <v>64</v>
      </c>
      <c r="G45" s="3" t="s">
        <v>2246</v>
      </c>
      <c r="H45" s="3" t="s">
        <v>2246</v>
      </c>
      <c r="I45" s="527">
        <v>-43.090111999999998</v>
      </c>
      <c r="J45" s="527">
        <v>-5.7409730000000003</v>
      </c>
      <c r="K45" s="539" t="s">
        <v>1985</v>
      </c>
      <c r="L45" s="539" t="s">
        <v>1985</v>
      </c>
      <c r="M45" s="554">
        <v>3</v>
      </c>
      <c r="N45" s="107"/>
      <c r="O45" s="529">
        <v>1.9820000000000001E-2</v>
      </c>
      <c r="P45" s="529">
        <v>5.2919999999999995E-2</v>
      </c>
      <c r="Q45" s="288">
        <f t="shared" si="10"/>
        <v>0.62974772135416657</v>
      </c>
      <c r="R45" s="30">
        <f t="shared" si="1"/>
        <v>40.30385416666666</v>
      </c>
      <c r="S45" s="30">
        <f t="shared" si="11"/>
        <v>23.69614583333334</v>
      </c>
      <c r="T45" s="107">
        <v>43.90761904761905</v>
      </c>
      <c r="U45" s="107">
        <v>40.80398809523809</v>
      </c>
      <c r="V45" s="107">
        <v>33.936250000000001</v>
      </c>
      <c r="W45" s="107">
        <v>42.567559523809514</v>
      </c>
      <c r="X45" s="288">
        <f t="shared" si="12"/>
        <v>0.65974310661764668</v>
      </c>
      <c r="Y45" s="289">
        <f t="shared" si="4"/>
        <v>42.223558823529387</v>
      </c>
      <c r="Z45" s="289">
        <f t="shared" si="5"/>
        <v>1.9197046568627272</v>
      </c>
      <c r="AA45" s="107">
        <v>54.28690196078427</v>
      </c>
      <c r="AB45" s="107">
        <v>45.251372549019585</v>
      </c>
      <c r="AC45" s="107">
        <v>29.970274509803911</v>
      </c>
      <c r="AD45" s="107">
        <v>39.385686274509801</v>
      </c>
      <c r="AE45" s="106">
        <v>1</v>
      </c>
      <c r="AF45" s="32" t="str">
        <f>IF(AE45=0,"",VLOOKUP(AE45,tab_tipo_expansao!$A$2:$B$4,2,0))</f>
        <v>opcional</v>
      </c>
      <c r="AG45" s="125">
        <v>2028</v>
      </c>
      <c r="AH45" s="125">
        <v>2100</v>
      </c>
      <c r="AI45" s="125">
        <v>30</v>
      </c>
      <c r="AJ45" s="530">
        <v>648.0442789739858</v>
      </c>
      <c r="AK45" s="24">
        <f>AL45/constantes!$B$4</f>
        <v>2596.3312458893661</v>
      </c>
      <c r="AL45" s="33">
        <f t="shared" si="13"/>
        <v>10125.691858968528</v>
      </c>
      <c r="AM45" s="87">
        <v>2</v>
      </c>
      <c r="AN45" s="531">
        <v>0</v>
      </c>
      <c r="AO45" s="23"/>
      <c r="AP45" s="532">
        <f t="shared" si="7"/>
        <v>648.0442789739858</v>
      </c>
      <c r="AR45" s="35">
        <f t="shared" si="14"/>
        <v>10125.691858968528</v>
      </c>
      <c r="AS45" s="36">
        <f ca="1">OFFSET(cod_desembolso!$A$1,AM45,23)</f>
        <v>1.1245293369208682</v>
      </c>
      <c r="AT45" s="37">
        <f ca="1">IF(AP45=0,0,AP45*(OFFSET(cod_desembolso!$A$1,AM45,23)))</f>
        <v>728.74480332997837</v>
      </c>
      <c r="AU45" s="38">
        <f>(constantes!$B$3*(1+constantes!$B$3)^(AI45))/((1+constantes!$B$3)^(AI45)-1)</f>
        <v>8.8827433387272267E-2</v>
      </c>
      <c r="AV45" s="37">
        <f t="shared" ca="1" si="9"/>
        <v>67.932530474114486</v>
      </c>
      <c r="AW45" s="37">
        <f ca="1">IF(AP45=0,AY45/constantes!$B$3,AV45/constantes!$B$3)</f>
        <v>849.15663092643103</v>
      </c>
      <c r="AX45" s="39">
        <f ca="1">IF(AP45=0,0,PV(constantes!$B$3,AI45,-AV45)*constantes!$B$3)</f>
        <v>61.181576802238908</v>
      </c>
      <c r="AY45" s="40">
        <f>constantes!$B$10*F45/1000</f>
        <v>3.2</v>
      </c>
      <c r="AZ45" s="533">
        <f>constantes!$B$12</f>
        <v>0</v>
      </c>
      <c r="BA45" s="20">
        <v>318</v>
      </c>
      <c r="BB45" s="43"/>
      <c r="BC45" s="3" t="s">
        <v>2197</v>
      </c>
      <c r="BE45" s="534">
        <v>1</v>
      </c>
      <c r="BF45" s="535">
        <v>2027</v>
      </c>
      <c r="BG45" s="536">
        <v>1</v>
      </c>
      <c r="BH45" s="537">
        <v>2027</v>
      </c>
    </row>
    <row r="46" spans="1:60" ht="14.45" hidden="1">
      <c r="A46" s="125">
        <v>1045</v>
      </c>
      <c r="B46" s="125">
        <v>1045</v>
      </c>
      <c r="C46" s="538" t="s">
        <v>2262</v>
      </c>
      <c r="D46" s="538" t="s">
        <v>2262</v>
      </c>
      <c r="E46" s="546"/>
      <c r="F46" s="526">
        <v>120</v>
      </c>
      <c r="G46" s="3" t="s">
        <v>2196</v>
      </c>
      <c r="H46" s="3" t="s">
        <v>2078</v>
      </c>
      <c r="I46" s="527">
        <v>-50.958883999999998</v>
      </c>
      <c r="J46" s="527">
        <v>-23.461390000000002</v>
      </c>
      <c r="K46" s="539" t="s">
        <v>153</v>
      </c>
      <c r="L46" s="539" t="s">
        <v>153</v>
      </c>
      <c r="M46" s="554">
        <v>2</v>
      </c>
      <c r="N46" s="107"/>
      <c r="O46" s="529">
        <v>1.6379999999999999E-2</v>
      </c>
      <c r="P46" s="529">
        <v>6.1409999999999999E-2</v>
      </c>
      <c r="Q46" s="288">
        <f t="shared" si="10"/>
        <v>0.54792336309523815</v>
      </c>
      <c r="R46" s="30">
        <f t="shared" si="1"/>
        <v>65.750803571428577</v>
      </c>
      <c r="S46" s="30">
        <f t="shared" si="11"/>
        <v>54.249196428571423</v>
      </c>
      <c r="T46" s="107">
        <v>60.145714285714284</v>
      </c>
      <c r="U46" s="107">
        <v>59.083452380952373</v>
      </c>
      <c r="V46" s="107">
        <v>67.298749999999998</v>
      </c>
      <c r="W46" s="107">
        <v>76.475297619047623</v>
      </c>
      <c r="X46" s="288">
        <f t="shared" si="12"/>
        <v>0.67325784313725534</v>
      </c>
      <c r="Y46" s="289">
        <f t="shared" si="4"/>
        <v>80.790941176470639</v>
      </c>
      <c r="Z46" s="289">
        <f t="shared" si="5"/>
        <v>15.040137605042062</v>
      </c>
      <c r="AA46" s="107">
        <v>86.658666666666718</v>
      </c>
      <c r="AB46" s="107">
        <v>70.886627450980427</v>
      </c>
      <c r="AC46" s="107">
        <v>79.544039215686311</v>
      </c>
      <c r="AD46" s="107">
        <v>86.074431372549085</v>
      </c>
      <c r="AE46" s="106">
        <v>1</v>
      </c>
      <c r="AF46" s="32" t="str">
        <f>IF(AE46=0,"",VLOOKUP(AE46,tab_tipo_expansao!$A$2:$B$4,2,0))</f>
        <v>opcional</v>
      </c>
      <c r="AG46" s="125">
        <v>2028</v>
      </c>
      <c r="AH46" s="125">
        <v>2100</v>
      </c>
      <c r="AI46" s="125">
        <v>30</v>
      </c>
      <c r="AJ46" s="530">
        <v>1321.5310590052932</v>
      </c>
      <c r="AK46" s="24">
        <f>AL46/constantes!$B$4</f>
        <v>2823.7843141138742</v>
      </c>
      <c r="AL46" s="33">
        <f t="shared" si="13"/>
        <v>11012.758825044109</v>
      </c>
      <c r="AM46" s="87">
        <v>2</v>
      </c>
      <c r="AN46" s="531">
        <v>0</v>
      </c>
      <c r="AO46" s="23"/>
      <c r="AP46" s="532">
        <f t="shared" si="7"/>
        <v>1321.5310590052932</v>
      </c>
      <c r="AR46" s="35">
        <f t="shared" si="14"/>
        <v>11012.758825044109</v>
      </c>
      <c r="AS46" s="36">
        <f ca="1">OFFSET(cod_desembolso!$A$1,AM46,23)</f>
        <v>1.1245293369208682</v>
      </c>
      <c r="AT46" s="37">
        <f ca="1">IF(AP46=0,0,AP46*(OFFSET(cod_desembolso!$A$1,AM46,23)))</f>
        <v>1486.1004455035552</v>
      </c>
      <c r="AU46" s="38">
        <f>(constantes!$B$3*(1+constantes!$B$3)^(AI46))/((1+constantes!$B$3)^(AI46)-1)</f>
        <v>8.8827433387272267E-2</v>
      </c>
      <c r="AV46" s="37">
        <f t="shared" ca="1" si="9"/>
        <v>138.00648832976267</v>
      </c>
      <c r="AW46" s="37">
        <f ca="1">IF(AP46=0,AY46/constantes!$B$3,AV46/constantes!$B$3)</f>
        <v>1725.0811041220334</v>
      </c>
      <c r="AX46" s="39">
        <f ca="1">IF(AP46=0,0,PV(constantes!$B$3,AI46,-AV46)*constantes!$B$3)</f>
        <v>124.2917716449856</v>
      </c>
      <c r="AY46" s="40">
        <f>constantes!$B$10*F46/1000</f>
        <v>6</v>
      </c>
      <c r="AZ46" s="533">
        <f>constantes!$B$12</f>
        <v>0</v>
      </c>
      <c r="BA46" s="20">
        <v>318</v>
      </c>
      <c r="BB46" s="43"/>
      <c r="BC46" s="3" t="s">
        <v>2197</v>
      </c>
      <c r="BE46" s="534">
        <v>1</v>
      </c>
      <c r="BF46" s="535">
        <v>2027</v>
      </c>
      <c r="BG46" s="536">
        <v>1</v>
      </c>
      <c r="BH46" s="537">
        <v>2027</v>
      </c>
    </row>
    <row r="47" spans="1:60" ht="14.45">
      <c r="A47" s="125">
        <v>1046</v>
      </c>
      <c r="B47" s="125">
        <v>1046</v>
      </c>
      <c r="C47" s="538" t="s">
        <v>2263</v>
      </c>
      <c r="D47" s="538" t="s">
        <v>2263</v>
      </c>
      <c r="E47" s="546"/>
      <c r="F47" s="526">
        <v>3336</v>
      </c>
      <c r="G47" s="3" t="s">
        <v>2181</v>
      </c>
      <c r="H47" s="3" t="s">
        <v>2264</v>
      </c>
      <c r="I47" s="527">
        <v>-58.314695</v>
      </c>
      <c r="J47" s="527">
        <v>-6.5021950000000004</v>
      </c>
      <c r="K47" s="539" t="s">
        <v>156</v>
      </c>
      <c r="L47" s="539" t="s">
        <v>156</v>
      </c>
      <c r="M47" s="554">
        <v>9</v>
      </c>
      <c r="N47" s="107"/>
      <c r="O47" s="529">
        <v>1.6379999999999999E-2</v>
      </c>
      <c r="P47" s="529">
        <v>6.1409999999999999E-2</v>
      </c>
      <c r="Q47" s="288">
        <f t="shared" si="10"/>
        <v>0.56329667962058927</v>
      </c>
      <c r="R47" s="30">
        <f t="shared" si="1"/>
        <v>1879.1577232142859</v>
      </c>
      <c r="S47" s="30">
        <f t="shared" si="11"/>
        <v>1456.8422767857141</v>
      </c>
      <c r="T47" s="107">
        <v>2737.4409523809522</v>
      </c>
      <c r="U47" s="107">
        <v>2422.8440476190476</v>
      </c>
      <c r="V47" s="107">
        <v>990.22500000000002</v>
      </c>
      <c r="W47" s="107">
        <v>1366.120892857143</v>
      </c>
      <c r="X47" s="288">
        <f t="shared" si="12"/>
        <v>0.538097380918794</v>
      </c>
      <c r="Y47" s="289">
        <f t="shared" si="4"/>
        <v>1795.0928627450969</v>
      </c>
      <c r="Z47" s="289">
        <f t="shared" si="5"/>
        <v>-84.064860469188943</v>
      </c>
      <c r="AA47" s="107">
        <v>2666.0634901960752</v>
      </c>
      <c r="AB47" s="107">
        <v>2284.1583921568617</v>
      </c>
      <c r="AC47" s="107">
        <v>928.6600000000002</v>
      </c>
      <c r="AD47" s="107">
        <v>1301.489568627451</v>
      </c>
      <c r="AE47" s="106">
        <v>1</v>
      </c>
      <c r="AF47" s="32" t="str">
        <f>IF(AE47=0,"",VLOOKUP(AE47,tab_tipo_expansao!$A$2:$B$4,2,0))</f>
        <v>opcional</v>
      </c>
      <c r="AG47" s="125">
        <v>2030</v>
      </c>
      <c r="AH47" s="125">
        <v>2100</v>
      </c>
      <c r="AI47" s="125">
        <v>30</v>
      </c>
      <c r="AJ47" s="530">
        <v>15815.100808589106</v>
      </c>
      <c r="AK47" s="24">
        <f>AL47/constantes!$B$4</f>
        <v>1215.5737570396841</v>
      </c>
      <c r="AL47" s="33">
        <f t="shared" si="13"/>
        <v>4740.7376524547681</v>
      </c>
      <c r="AM47" s="87">
        <v>4</v>
      </c>
      <c r="AN47" s="531">
        <v>0</v>
      </c>
      <c r="AO47" s="23"/>
      <c r="AP47" s="532">
        <f t="shared" si="7"/>
        <v>15815.100808589106</v>
      </c>
      <c r="AR47" s="35">
        <f t="shared" si="14"/>
        <v>4740.7376524547681</v>
      </c>
      <c r="AS47" s="36">
        <f ca="1">OFFSET(cod_desembolso!$A$1,AM47,23)</f>
        <v>1.103153897336226</v>
      </c>
      <c r="AT47" s="37">
        <f ca="1">IF(AP47=0,0,AP47*(OFFSET(cod_desembolso!$A$1,AM47,23)))</f>
        <v>17446.490093760371</v>
      </c>
      <c r="AU47" s="38">
        <f>(constantes!$B$3*(1+constantes!$B$3)^(AI47))/((1+constantes!$B$3)^(AI47)-1)</f>
        <v>8.8827433387272267E-2</v>
      </c>
      <c r="AV47" s="37">
        <f t="shared" ca="1" si="9"/>
        <v>1716.5269366452048</v>
      </c>
      <c r="AW47" s="37">
        <f ca="1">IF(AP47=0,AY47/constantes!$B$3,AV47/constantes!$B$3)</f>
        <v>21456.586708065061</v>
      </c>
      <c r="AX47" s="39">
        <f ca="1">IF(AP47=0,0,PV(constantes!$B$3,AI47,-AV47)*constantes!$B$3)</f>
        <v>1545.9430684315228</v>
      </c>
      <c r="AY47" s="40">
        <f>constantes!$B$10*F47/1000</f>
        <v>166.8</v>
      </c>
      <c r="AZ47" s="533">
        <f>constantes!$B$12</f>
        <v>0</v>
      </c>
      <c r="BA47" s="20">
        <v>318</v>
      </c>
      <c r="BB47" s="43"/>
      <c r="BC47" s="3" t="s">
        <v>2217</v>
      </c>
      <c r="BE47" s="534">
        <v>1</v>
      </c>
      <c r="BF47" s="535">
        <v>2035</v>
      </c>
      <c r="BG47" s="536">
        <v>3</v>
      </c>
      <c r="BH47" s="537">
        <v>2050</v>
      </c>
    </row>
    <row r="48" spans="1:60" ht="14.45" hidden="1">
      <c r="A48" s="125">
        <v>1047</v>
      </c>
      <c r="B48" s="125">
        <v>1047</v>
      </c>
      <c r="C48" s="538" t="s">
        <v>2265</v>
      </c>
      <c r="D48" s="538" t="s">
        <v>2265</v>
      </c>
      <c r="E48" s="546"/>
      <c r="F48" s="526">
        <v>57.4</v>
      </c>
      <c r="G48" s="3" t="s">
        <v>2211</v>
      </c>
      <c r="H48" s="3" t="s">
        <v>2212</v>
      </c>
      <c r="I48" s="527">
        <v>-44.734316999999997</v>
      </c>
      <c r="J48" s="527">
        <v>-19.01624</v>
      </c>
      <c r="K48" s="539" t="s">
        <v>152</v>
      </c>
      <c r="L48" s="539" t="s">
        <v>152</v>
      </c>
      <c r="M48" s="554">
        <v>1</v>
      </c>
      <c r="N48" s="107"/>
      <c r="O48" s="529">
        <v>2.068E-2</v>
      </c>
      <c r="P48" s="529">
        <v>4.6600000000000003E-2</v>
      </c>
      <c r="Q48" s="288">
        <f t="shared" si="10"/>
        <v>0.53226340841214526</v>
      </c>
      <c r="R48" s="30">
        <f t="shared" si="1"/>
        <v>30.55191964285714</v>
      </c>
      <c r="S48" s="30">
        <f t="shared" si="11"/>
        <v>26.848080357142859</v>
      </c>
      <c r="T48" s="107">
        <v>43.211904761904755</v>
      </c>
      <c r="U48" s="107">
        <v>26.742261904761904</v>
      </c>
      <c r="V48" s="107">
        <v>20.703749999999999</v>
      </c>
      <c r="W48" s="107">
        <v>31.549761904761908</v>
      </c>
      <c r="X48" s="288">
        <f t="shared" si="12"/>
        <v>0.5604377604700419</v>
      </c>
      <c r="Y48" s="289">
        <f t="shared" si="4"/>
        <v>32.169127450980405</v>
      </c>
      <c r="Z48" s="289">
        <f t="shared" si="5"/>
        <v>1.6172078081232648</v>
      </c>
      <c r="AA48" s="107">
        <v>47.566823529411806</v>
      </c>
      <c r="AB48" s="107">
        <v>26.632431372549018</v>
      </c>
      <c r="AC48" s="107">
        <v>20.492313725490195</v>
      </c>
      <c r="AD48" s="107">
        <v>33.984941176470592</v>
      </c>
      <c r="AE48" s="106">
        <v>1</v>
      </c>
      <c r="AF48" s="32" t="str">
        <f>IF(AE48=0,"",VLOOKUP(AE48,tab_tipo_expansao!$A$2:$B$4,2,0))</f>
        <v>opcional</v>
      </c>
      <c r="AG48" s="125">
        <v>2028</v>
      </c>
      <c r="AH48" s="125">
        <v>2100</v>
      </c>
      <c r="AI48" s="125">
        <v>30</v>
      </c>
      <c r="AJ48" s="530">
        <v>578.2519421187269</v>
      </c>
      <c r="AK48" s="24">
        <f>AL48/constantes!$B$4</f>
        <v>2583.0963196583889</v>
      </c>
      <c r="AL48" s="33">
        <f t="shared" si="13"/>
        <v>10074.075646667716</v>
      </c>
      <c r="AM48" s="87">
        <v>2</v>
      </c>
      <c r="AN48" s="531">
        <v>0</v>
      </c>
      <c r="AO48" s="23"/>
      <c r="AP48" s="532">
        <f t="shared" si="7"/>
        <v>578.2519421187269</v>
      </c>
      <c r="AR48" s="35">
        <f t="shared" si="14"/>
        <v>10074.075646667716</v>
      </c>
      <c r="AS48" s="36">
        <f ca="1">OFFSET(cod_desembolso!$A$1,AM48,23)</f>
        <v>1.1245293369208682</v>
      </c>
      <c r="AT48" s="37">
        <f ca="1">IF(AP48=0,0,AP48*(OFFSET(cod_desembolso!$A$1,AM48,23)))</f>
        <v>650.26127304397619</v>
      </c>
      <c r="AU48" s="38">
        <f>(constantes!$B$3*(1+constantes!$B$3)^(AI48))/((1+constantes!$B$3)^(AI48)-1)</f>
        <v>8.8827433387272267E-2</v>
      </c>
      <c r="AV48" s="37">
        <f t="shared" ca="1" si="9"/>
        <v>60.631039915636656</v>
      </c>
      <c r="AW48" s="37">
        <f ca="1">IF(AP48=0,AY48/constantes!$B$3,AV48/constantes!$B$3)</f>
        <v>757.88799894545821</v>
      </c>
      <c r="AX48" s="39">
        <f ca="1">IF(AP48=0,0,PV(constantes!$B$3,AI48,-AV48)*constantes!$B$3)</f>
        <v>54.605688899100159</v>
      </c>
      <c r="AY48" s="40">
        <f>constantes!$B$10*F48/1000</f>
        <v>2.87</v>
      </c>
      <c r="AZ48" s="533">
        <f>constantes!$B$12</f>
        <v>0</v>
      </c>
      <c r="BA48" s="20">
        <v>318</v>
      </c>
      <c r="BB48" s="43"/>
      <c r="BC48" s="3" t="s">
        <v>2197</v>
      </c>
      <c r="BE48" s="534">
        <v>1</v>
      </c>
      <c r="BF48" s="535">
        <v>2027</v>
      </c>
      <c r="BG48" s="536">
        <v>1</v>
      </c>
      <c r="BH48" s="537">
        <v>2027</v>
      </c>
    </row>
    <row r="49" spans="1:60" ht="14.45" hidden="1" customHeight="1">
      <c r="A49" s="125">
        <v>1048</v>
      </c>
      <c r="B49" s="125">
        <v>1048</v>
      </c>
      <c r="C49" s="625" t="s">
        <v>2266</v>
      </c>
      <c r="D49" s="538" t="s">
        <v>2266</v>
      </c>
      <c r="E49" s="546"/>
      <c r="F49" s="526">
        <v>140</v>
      </c>
      <c r="G49" s="3" t="s">
        <v>2196</v>
      </c>
      <c r="H49" s="3" t="s">
        <v>2214</v>
      </c>
      <c r="I49" s="527">
        <v>-53.154198000000001</v>
      </c>
      <c r="J49" s="527">
        <v>-24.421531000000002</v>
      </c>
      <c r="K49" s="539" t="s">
        <v>153</v>
      </c>
      <c r="L49" s="539" t="s">
        <v>153</v>
      </c>
      <c r="M49" s="554">
        <v>2</v>
      </c>
      <c r="N49" s="107"/>
      <c r="O49" s="529">
        <v>1.9820000000000001E-2</v>
      </c>
      <c r="P49" s="529">
        <v>5.2919999999999995E-2</v>
      </c>
      <c r="Q49" s="288">
        <f t="shared" si="10"/>
        <v>0.5089765093537415</v>
      </c>
      <c r="R49" s="30">
        <f t="shared" si="1"/>
        <v>71.256711309523808</v>
      </c>
      <c r="S49" s="30">
        <f t="shared" si="11"/>
        <v>68.743288690476192</v>
      </c>
      <c r="T49" s="107">
        <v>66.41</v>
      </c>
      <c r="U49" s="107">
        <v>74.26428571428572</v>
      </c>
      <c r="V49" s="107">
        <v>65.345833333333331</v>
      </c>
      <c r="W49" s="107">
        <v>79.006726190476186</v>
      </c>
      <c r="X49" s="288">
        <f t="shared" si="12"/>
        <v>0.52546792717086843</v>
      </c>
      <c r="Y49" s="289">
        <f t="shared" si="4"/>
        <v>73.565509803921586</v>
      </c>
      <c r="Z49" s="289">
        <f t="shared" si="5"/>
        <v>2.3087984943977773</v>
      </c>
      <c r="AA49" s="107">
        <v>70.297450980392171</v>
      </c>
      <c r="AB49" s="107">
        <v>70.469411764705896</v>
      </c>
      <c r="AC49" s="107">
        <v>70.83698039215686</v>
      </c>
      <c r="AD49" s="107">
        <v>82.658196078431388</v>
      </c>
      <c r="AE49" s="106">
        <v>1</v>
      </c>
      <c r="AF49" s="32" t="str">
        <f>IF(AE49=0,"",VLOOKUP(AE49,tab_tipo_expansao!$A$2:$B$4,2,0))</f>
        <v>opcional</v>
      </c>
      <c r="AG49" s="125">
        <v>2023</v>
      </c>
      <c r="AH49" s="125">
        <v>2100</v>
      </c>
      <c r="AI49" s="125">
        <v>30</v>
      </c>
      <c r="AJ49" s="530">
        <v>1488.2708268916704</v>
      </c>
      <c r="AK49" s="24">
        <f>AL49/constantes!$B$4</f>
        <v>2725.7707452228392</v>
      </c>
      <c r="AL49" s="33">
        <f t="shared" si="13"/>
        <v>10630.505906369073</v>
      </c>
      <c r="AM49" s="87">
        <v>2</v>
      </c>
      <c r="AN49" s="531">
        <v>0</v>
      </c>
      <c r="AO49" s="23"/>
      <c r="AP49" s="532">
        <f t="shared" si="7"/>
        <v>1488.2708268916704</v>
      </c>
      <c r="AR49" s="35">
        <f t="shared" si="14"/>
        <v>10630.505906369075</v>
      </c>
      <c r="AS49" s="36">
        <f ca="1">OFFSET(cod_desembolso!$A$1,AM49,23)</f>
        <v>1.1245293369208682</v>
      </c>
      <c r="AT49" s="37">
        <f ca="1">IF(AP49=0,0,AP49*(OFFSET(cod_desembolso!$A$1,AM49,23)))</f>
        <v>1673.6042061231624</v>
      </c>
      <c r="AU49" s="38">
        <f>(constantes!$B$3*(1+constantes!$B$3)^(AI49))/((1+constantes!$B$3)^(AI49)-1)</f>
        <v>8.8827433387272267E-2</v>
      </c>
      <c r="AV49" s="37">
        <f t="shared" ca="1" si="9"/>
        <v>155.66196613606388</v>
      </c>
      <c r="AW49" s="37">
        <f ca="1">IF(AP49=0,AY49/constantes!$B$3,AV49/constantes!$B$3)</f>
        <v>1945.7745767007984</v>
      </c>
      <c r="AX49" s="39">
        <f ca="1">IF(AP49=0,0,PV(constantes!$B$3,AI49,-AV49)*constantes!$B$3)</f>
        <v>140.19269516200436</v>
      </c>
      <c r="AY49" s="40">
        <f>constantes!$B$10*F49/1000</f>
        <v>7</v>
      </c>
      <c r="AZ49" s="533">
        <f>constantes!$B$12</f>
        <v>0</v>
      </c>
      <c r="BA49" s="20">
        <v>318</v>
      </c>
      <c r="BB49" s="43"/>
      <c r="BC49" s="3" t="s">
        <v>2209</v>
      </c>
      <c r="BE49" s="534">
        <v>1</v>
      </c>
      <c r="BF49" s="535">
        <v>2023</v>
      </c>
      <c r="BG49" s="536">
        <v>1</v>
      </c>
      <c r="BH49" s="537">
        <v>2023</v>
      </c>
    </row>
    <row r="50" spans="1:60" ht="14.45">
      <c r="A50" s="125">
        <v>1049</v>
      </c>
      <c r="B50" s="125">
        <v>1049</v>
      </c>
      <c r="C50" s="538" t="s">
        <v>2267</v>
      </c>
      <c r="D50" s="538" t="s">
        <v>2267</v>
      </c>
      <c r="E50" s="546"/>
      <c r="F50" s="526">
        <v>150</v>
      </c>
      <c r="G50" s="3" t="s">
        <v>2199</v>
      </c>
      <c r="H50" s="3" t="s">
        <v>2268</v>
      </c>
      <c r="I50" s="527">
        <v>-53.141140999999998</v>
      </c>
      <c r="J50" s="527">
        <v>-17.168783000000001</v>
      </c>
      <c r="K50" s="539" t="s">
        <v>160</v>
      </c>
      <c r="L50" s="539" t="s">
        <v>160</v>
      </c>
      <c r="M50" s="554">
        <v>1</v>
      </c>
      <c r="N50" s="107"/>
      <c r="O50" s="529">
        <v>1.9820000000000001E-2</v>
      </c>
      <c r="P50" s="529">
        <v>5.2919999999999995E-2</v>
      </c>
      <c r="Q50" s="288">
        <f t="shared" si="10"/>
        <v>0.64598531746031751</v>
      </c>
      <c r="R50" s="30">
        <f t="shared" si="1"/>
        <v>96.897797619047623</v>
      </c>
      <c r="S50" s="30">
        <f t="shared" si="11"/>
        <v>53.102202380952377</v>
      </c>
      <c r="T50" s="107">
        <v>122.3057142857143</v>
      </c>
      <c r="U50" s="107">
        <v>104.09642857142858</v>
      </c>
      <c r="V50" s="107">
        <v>72.980833333333337</v>
      </c>
      <c r="W50" s="107">
        <v>88.208214285714291</v>
      </c>
      <c r="X50" s="288">
        <f t="shared" si="12"/>
        <v>0.74441581699346404</v>
      </c>
      <c r="Y50" s="289">
        <f t="shared" si="4"/>
        <v>111.66237254901961</v>
      </c>
      <c r="Z50" s="289">
        <f t="shared" si="5"/>
        <v>14.764574929971985</v>
      </c>
      <c r="AA50" s="107">
        <v>134.37713725490195</v>
      </c>
      <c r="AB50" s="107">
        <v>115.59039215686273</v>
      </c>
      <c r="AC50" s="107">
        <v>86.284666666666681</v>
      </c>
      <c r="AD50" s="107">
        <v>110.39729411764705</v>
      </c>
      <c r="AE50" s="106">
        <v>1</v>
      </c>
      <c r="AF50" s="32" t="str">
        <f>IF(AE50=0,"",VLOOKUP(AE50,tab_tipo_expansao!$A$2:$B$4,2,0))</f>
        <v>opcional</v>
      </c>
      <c r="AG50" s="125">
        <v>2030</v>
      </c>
      <c r="AH50" s="125">
        <v>2100</v>
      </c>
      <c r="AI50" s="125">
        <v>30</v>
      </c>
      <c r="AJ50" s="530">
        <v>842.54890067850022</v>
      </c>
      <c r="AK50" s="24">
        <f>AL50/constantes!$B$4</f>
        <v>1440.2545310743592</v>
      </c>
      <c r="AL50" s="33">
        <f t="shared" si="13"/>
        <v>5616.9926711900007</v>
      </c>
      <c r="AM50" s="87">
        <v>2</v>
      </c>
      <c r="AN50" s="531">
        <v>0</v>
      </c>
      <c r="AO50" s="23"/>
      <c r="AP50" s="532">
        <f t="shared" si="7"/>
        <v>842.54890067850022</v>
      </c>
      <c r="AR50" s="35">
        <f t="shared" si="14"/>
        <v>5616.9926711900016</v>
      </c>
      <c r="AS50" s="36">
        <f ca="1">OFFSET(cod_desembolso!$A$1,AM50,23)</f>
        <v>1.1245293369208682</v>
      </c>
      <c r="AT50" s="37">
        <f ca="1">IF(AP50=0,0,AP50*(OFFSET(cod_desembolso!$A$1,AM50,23)))</f>
        <v>947.47095660340028</v>
      </c>
      <c r="AU50" s="38">
        <f>(constantes!$B$3*(1+constantes!$B$3)^(AI50))/((1+constantes!$B$3)^(AI50)-1)</f>
        <v>8.8827433387272267E-2</v>
      </c>
      <c r="AV50" s="37">
        <f t="shared" ca="1" si="9"/>
        <v>91.66141328406367</v>
      </c>
      <c r="AW50" s="37">
        <f ca="1">IF(AP50=0,AY50/constantes!$B$3,AV50/constantes!$B$3)</f>
        <v>1145.7676660507959</v>
      </c>
      <c r="AX50" s="39">
        <f ca="1">IF(AP50=0,0,PV(constantes!$B$3,AI50,-AV50)*constantes!$B$3)</f>
        <v>82.552346534148512</v>
      </c>
      <c r="AY50" s="40">
        <f>constantes!$B$10*F50/1000</f>
        <v>7.5</v>
      </c>
      <c r="AZ50" s="533">
        <f>constantes!$B$12</f>
        <v>0</v>
      </c>
      <c r="BA50" s="20">
        <v>318</v>
      </c>
      <c r="BB50" s="43"/>
      <c r="BC50" s="3" t="s">
        <v>2183</v>
      </c>
      <c r="BE50" s="534">
        <v>1</v>
      </c>
      <c r="BF50" s="535">
        <v>2027</v>
      </c>
      <c r="BG50" s="536">
        <v>1</v>
      </c>
      <c r="BH50" s="537">
        <v>2027</v>
      </c>
    </row>
    <row r="51" spans="1:60" ht="14.45" hidden="1">
      <c r="A51" s="125">
        <v>1050</v>
      </c>
      <c r="B51" s="125">
        <v>1050</v>
      </c>
      <c r="C51" s="538" t="s">
        <v>2269</v>
      </c>
      <c r="D51" s="538" t="s">
        <v>2269</v>
      </c>
      <c r="E51" s="546"/>
      <c r="F51" s="526">
        <v>81</v>
      </c>
      <c r="G51" s="3" t="s">
        <v>2231</v>
      </c>
      <c r="H51" s="3" t="s">
        <v>2234</v>
      </c>
      <c r="I51" s="527">
        <v>-41.369053999999998</v>
      </c>
      <c r="J51" s="527">
        <v>-19.220268999999998</v>
      </c>
      <c r="K51" s="539" t="s">
        <v>152</v>
      </c>
      <c r="L51" s="539" t="s">
        <v>152</v>
      </c>
      <c r="M51" s="554">
        <v>1</v>
      </c>
      <c r="N51" s="107"/>
      <c r="O51" s="529">
        <v>2.068E-2</v>
      </c>
      <c r="P51" s="529">
        <v>4.6600000000000003E-2</v>
      </c>
      <c r="Q51" s="288">
        <f t="shared" si="10"/>
        <v>0.50454034391534397</v>
      </c>
      <c r="R51" s="30">
        <f t="shared" si="1"/>
        <v>40.867767857142859</v>
      </c>
      <c r="S51" s="30">
        <f t="shared" si="11"/>
        <v>40.132232142857141</v>
      </c>
      <c r="T51" s="107">
        <v>56.295238095238098</v>
      </c>
      <c r="U51" s="107">
        <v>37.565535714285708</v>
      </c>
      <c r="V51" s="107">
        <v>25.015833333333333</v>
      </c>
      <c r="W51" s="107">
        <v>44.594464285714288</v>
      </c>
      <c r="X51" s="288">
        <f t="shared" si="12"/>
        <v>0.50757310578552395</v>
      </c>
      <c r="Y51" s="289">
        <f t="shared" si="4"/>
        <v>41.113421568627437</v>
      </c>
      <c r="Z51" s="289">
        <f t="shared" si="5"/>
        <v>0.24565371148457871</v>
      </c>
      <c r="AA51" s="107">
        <v>59.69607843137252</v>
      </c>
      <c r="AB51" s="107">
        <v>36.121725490196063</v>
      </c>
      <c r="AC51" s="107">
        <v>23.538705882352939</v>
      </c>
      <c r="AD51" s="107">
        <v>45.097176470588217</v>
      </c>
      <c r="AE51" s="106">
        <v>1</v>
      </c>
      <c r="AF51" s="32" t="str">
        <f>IF(AE51=0,"",VLOOKUP(AE51,tab_tipo_expansao!$A$2:$B$4,2,0))</f>
        <v>opcional</v>
      </c>
      <c r="AG51" s="125">
        <v>2028</v>
      </c>
      <c r="AH51" s="125">
        <v>2100</v>
      </c>
      <c r="AI51" s="125">
        <v>30</v>
      </c>
      <c r="AJ51" s="530">
        <v>748.36932271776061</v>
      </c>
      <c r="AK51" s="24">
        <f>AL51/constantes!$B$4</f>
        <v>2369.0070361435919</v>
      </c>
      <c r="AL51" s="33">
        <f t="shared" si="13"/>
        <v>9239.1274409600082</v>
      </c>
      <c r="AM51" s="87">
        <v>2</v>
      </c>
      <c r="AN51" s="531">
        <v>0</v>
      </c>
      <c r="AO51" s="23"/>
      <c r="AP51" s="532">
        <f t="shared" si="7"/>
        <v>748.36932271776061</v>
      </c>
      <c r="AR51" s="35">
        <f t="shared" si="14"/>
        <v>9239.1274409600064</v>
      </c>
      <c r="AS51" s="36">
        <f ca="1">OFFSET(cod_desembolso!$A$1,AM51,23)</f>
        <v>1.1245293369208682</v>
      </c>
      <c r="AT51" s="37">
        <f ca="1">IF(AP51=0,0,AP51*(OFFSET(cod_desembolso!$A$1,AM51,23)))</f>
        <v>841.56325824772262</v>
      </c>
      <c r="AU51" s="38">
        <f>(constantes!$B$3*(1+constantes!$B$3)^(AI51))/((1+constantes!$B$3)^(AI51)-1)</f>
        <v>8.8827433387272267E-2</v>
      </c>
      <c r="AV51" s="37">
        <f t="shared" ca="1" si="9"/>
        <v>78.803904263175383</v>
      </c>
      <c r="AW51" s="37">
        <f ca="1">IF(AP51=0,AY51/constantes!$B$3,AV51/constantes!$B$3)</f>
        <v>985.04880328969227</v>
      </c>
      <c r="AX51" s="39">
        <f ca="1">IF(AP51=0,0,PV(constantes!$B$3,AI51,-AV51)*constantes!$B$3)</f>
        <v>70.972582462991099</v>
      </c>
      <c r="AY51" s="40">
        <f>constantes!$B$10*F51/1000</f>
        <v>4.05</v>
      </c>
      <c r="AZ51" s="533">
        <f>constantes!$B$12</f>
        <v>0</v>
      </c>
      <c r="BA51" s="20">
        <v>318</v>
      </c>
      <c r="BB51" s="43"/>
      <c r="BC51" s="3" t="s">
        <v>2197</v>
      </c>
      <c r="BE51" s="534">
        <v>1</v>
      </c>
      <c r="BF51" s="535">
        <v>2027</v>
      </c>
      <c r="BG51" s="536">
        <v>1</v>
      </c>
      <c r="BH51" s="537">
        <v>2027</v>
      </c>
    </row>
    <row r="52" spans="1:60" ht="14.45" hidden="1">
      <c r="A52" s="125">
        <v>1051</v>
      </c>
      <c r="B52" s="125">
        <v>1051</v>
      </c>
      <c r="C52" s="538" t="s">
        <v>2270</v>
      </c>
      <c r="D52" s="538" t="s">
        <v>2270</v>
      </c>
      <c r="E52" s="546"/>
      <c r="F52" s="526">
        <v>43</v>
      </c>
      <c r="G52" s="3" t="s">
        <v>2221</v>
      </c>
      <c r="H52" s="3" t="s">
        <v>2222</v>
      </c>
      <c r="I52" s="527">
        <v>-51.950277999999997</v>
      </c>
      <c r="J52" s="527">
        <v>-29.608886999999999</v>
      </c>
      <c r="K52" s="539" t="s">
        <v>151</v>
      </c>
      <c r="L52" s="539" t="s">
        <v>151</v>
      </c>
      <c r="M52" s="554">
        <v>2</v>
      </c>
      <c r="N52" s="107"/>
      <c r="O52" s="529">
        <v>2.068E-2</v>
      </c>
      <c r="P52" s="529">
        <v>4.6600000000000003E-2</v>
      </c>
      <c r="Q52" s="288">
        <f t="shared" si="10"/>
        <v>0.48053675249169436</v>
      </c>
      <c r="R52" s="30">
        <f t="shared" si="1"/>
        <v>20.663080357142857</v>
      </c>
      <c r="S52" s="30">
        <f t="shared" si="11"/>
        <v>22.336919642857143</v>
      </c>
      <c r="T52" s="107">
        <v>14.915714285714282</v>
      </c>
      <c r="U52" s="107">
        <v>20.656488095238092</v>
      </c>
      <c r="V52" s="107">
        <v>27.149583333333336</v>
      </c>
      <c r="W52" s="107">
        <v>19.930535714285714</v>
      </c>
      <c r="X52" s="288">
        <f t="shared" si="12"/>
        <v>0.56330665754673981</v>
      </c>
      <c r="Y52" s="289">
        <f t="shared" si="4"/>
        <v>24.222186274509813</v>
      </c>
      <c r="Z52" s="289">
        <f t="shared" si="5"/>
        <v>3.5591059173669564</v>
      </c>
      <c r="AA52" s="107">
        <v>17.482980392156872</v>
      </c>
      <c r="AB52" s="107">
        <v>23.306117647058823</v>
      </c>
      <c r="AC52" s="107">
        <v>31.527725490196094</v>
      </c>
      <c r="AD52" s="107">
        <v>24.571921568627459</v>
      </c>
      <c r="AE52" s="106">
        <v>1</v>
      </c>
      <c r="AF52" s="32" t="str">
        <f>IF(AE52=0,"",VLOOKUP(AE52,tab_tipo_expansao!$A$2:$B$4,2,0))</f>
        <v>opcional</v>
      </c>
      <c r="AG52" s="125">
        <v>2028</v>
      </c>
      <c r="AH52" s="125">
        <v>2100</v>
      </c>
      <c r="AI52" s="125">
        <v>30</v>
      </c>
      <c r="AJ52" s="530">
        <v>466.28829457858711</v>
      </c>
      <c r="AK52" s="24">
        <f>AL52/constantes!$B$4</f>
        <v>2780.490724976667</v>
      </c>
      <c r="AL52" s="33">
        <f t="shared" si="13"/>
        <v>10843.913827409002</v>
      </c>
      <c r="AM52" s="87">
        <v>2</v>
      </c>
      <c r="AN52" s="531">
        <v>0</v>
      </c>
      <c r="AO52" s="23"/>
      <c r="AP52" s="532">
        <f t="shared" si="7"/>
        <v>466.28829457858711</v>
      </c>
      <c r="AR52" s="35">
        <f t="shared" si="14"/>
        <v>10843.913827409002</v>
      </c>
      <c r="AS52" s="36">
        <f ca="1">OFFSET(cod_desembolso!$A$1,AM52,23)</f>
        <v>1.1245293369208682</v>
      </c>
      <c r="AT52" s="37">
        <f ca="1">IF(AP52=0,0,AP52*(OFFSET(cod_desembolso!$A$1,AM52,23)))</f>
        <v>524.35486671642104</v>
      </c>
      <c r="AU52" s="38">
        <f>(constantes!$B$3*(1+constantes!$B$3)^(AI52))/((1+constantes!$B$3)^(AI52)-1)</f>
        <v>8.8827433387272267E-2</v>
      </c>
      <c r="AV52" s="37">
        <f t="shared" ca="1" si="9"/>
        <v>48.727096994544915</v>
      </c>
      <c r="AW52" s="37">
        <f ca="1">IF(AP52=0,AY52/constantes!$B$3,AV52/constantes!$B$3)</f>
        <v>609.08871243181147</v>
      </c>
      <c r="AX52" s="39">
        <f ca="1">IF(AP52=0,0,PV(constantes!$B$3,AI52,-AV52)*constantes!$B$3)</f>
        <v>43.884728072331612</v>
      </c>
      <c r="AY52" s="40">
        <f>constantes!$B$10*F52/1000</f>
        <v>2.15</v>
      </c>
      <c r="AZ52" s="533">
        <f>constantes!$B$12</f>
        <v>0</v>
      </c>
      <c r="BA52" s="20">
        <v>318</v>
      </c>
      <c r="BB52" s="43"/>
      <c r="BC52" s="3" t="s">
        <v>2197</v>
      </c>
      <c r="BE52" s="534">
        <v>1</v>
      </c>
      <c r="BF52" s="535">
        <v>2027</v>
      </c>
      <c r="BG52" s="536">
        <v>1</v>
      </c>
      <c r="BH52" s="537">
        <v>2027</v>
      </c>
    </row>
    <row r="53" spans="1:60" ht="14.45">
      <c r="A53" s="125">
        <v>1052</v>
      </c>
      <c r="B53" s="125">
        <v>1052</v>
      </c>
      <c r="C53" s="538" t="s">
        <v>2271</v>
      </c>
      <c r="D53" s="538" t="s">
        <v>2271</v>
      </c>
      <c r="E53" s="546"/>
      <c r="F53" s="526">
        <v>50</v>
      </c>
      <c r="G53" s="3" t="s">
        <v>2221</v>
      </c>
      <c r="H53" s="3" t="s">
        <v>2271</v>
      </c>
      <c r="I53" s="527">
        <v>-49.113565999999999</v>
      </c>
      <c r="J53" s="527">
        <v>-26.182623</v>
      </c>
      <c r="K53" s="539" t="s">
        <v>1991</v>
      </c>
      <c r="L53" s="539" t="s">
        <v>1991</v>
      </c>
      <c r="M53" s="554">
        <v>2</v>
      </c>
      <c r="N53" s="107"/>
      <c r="O53" s="529">
        <v>1.9820000000000001E-2</v>
      </c>
      <c r="P53" s="529">
        <v>5.2919999999999995E-2</v>
      </c>
      <c r="Q53" s="288">
        <f t="shared" si="10"/>
        <v>0.47581671064467712</v>
      </c>
      <c r="R53" s="30">
        <f t="shared" si="1"/>
        <v>23.790835532233856</v>
      </c>
      <c r="S53" s="30">
        <f t="shared" si="11"/>
        <v>26.209164467766144</v>
      </c>
      <c r="T53" s="107">
        <v>16.542730227716302</v>
      </c>
      <c r="U53" s="107">
        <v>21.117201693274463</v>
      </c>
      <c r="V53" s="107">
        <v>29.751596099974382</v>
      </c>
      <c r="W53" s="107">
        <v>27.751814107970276</v>
      </c>
      <c r="X53" s="288">
        <f t="shared" si="12"/>
        <v>0.53804317847923133</v>
      </c>
      <c r="Y53" s="289">
        <f t="shared" si="4"/>
        <v>26.902158923961565</v>
      </c>
      <c r="Z53" s="289">
        <f t="shared" si="5"/>
        <v>3.1113233917277086</v>
      </c>
      <c r="AA53" s="107">
        <v>22.0011437449492</v>
      </c>
      <c r="AB53" s="107">
        <v>24.180249205315089</v>
      </c>
      <c r="AC53" s="107">
        <v>32.446964139707418</v>
      </c>
      <c r="AD53" s="107">
        <v>28.98027860587456</v>
      </c>
      <c r="AE53" s="106">
        <v>1</v>
      </c>
      <c r="AF53" s="32" t="str">
        <f>IF(AE53=0,"",VLOOKUP(AE53,tab_tipo_expansao!$A$2:$B$4,2,0))</f>
        <v>opcional</v>
      </c>
      <c r="AG53" s="125">
        <v>2030</v>
      </c>
      <c r="AH53" s="125">
        <v>2100</v>
      </c>
      <c r="AI53" s="125">
        <v>30</v>
      </c>
      <c r="AJ53" s="530">
        <v>295.07280280334754</v>
      </c>
      <c r="AK53" s="24">
        <f>AL53/constantes!$B$4</f>
        <v>1513.1938605299874</v>
      </c>
      <c r="AL53" s="33">
        <f t="shared" si="13"/>
        <v>5901.4560560669506</v>
      </c>
      <c r="AM53" s="87">
        <v>2</v>
      </c>
      <c r="AN53" s="531">
        <v>0</v>
      </c>
      <c r="AO53" s="23"/>
      <c r="AP53" s="532">
        <f t="shared" si="7"/>
        <v>295.07280280334754</v>
      </c>
      <c r="AR53" s="35">
        <f t="shared" si="14"/>
        <v>5901.4560560669506</v>
      </c>
      <c r="AS53" s="36">
        <f ca="1">OFFSET(cod_desembolso!$A$1,AM53,23)</f>
        <v>1.1245293369208682</v>
      </c>
      <c r="AT53" s="37">
        <f ca="1">IF(AP53=0,0,AP53*(OFFSET(cod_desembolso!$A$1,AM53,23)))</f>
        <v>331.81802327983053</v>
      </c>
      <c r="AU53" s="38">
        <f>(constantes!$B$3*(1+constantes!$B$3)^(AI53))/((1+constantes!$B$3)^(AI53)-1)</f>
        <v>8.8827433387272267E-2</v>
      </c>
      <c r="AV53" s="37">
        <f t="shared" ca="1" si="9"/>
        <v>31.974543359585503</v>
      </c>
      <c r="AW53" s="37">
        <f ca="1">IF(AP53=0,AY53/constantes!$B$3,AV53/constantes!$B$3)</f>
        <v>399.68179199481881</v>
      </c>
      <c r="AX53" s="39">
        <f ca="1">IF(AP53=0,0,PV(constantes!$B$3,AI53,-AV53)*constantes!$B$3)</f>
        <v>28.796998531011937</v>
      </c>
      <c r="AY53" s="40">
        <f>constantes!$B$10*F53/1000</f>
        <v>2.5</v>
      </c>
      <c r="AZ53" s="533">
        <f>constantes!$B$12</f>
        <v>0</v>
      </c>
      <c r="BA53" s="20">
        <v>318</v>
      </c>
      <c r="BB53" s="43"/>
      <c r="BC53" s="3" t="s">
        <v>2183</v>
      </c>
      <c r="BE53" s="534">
        <v>1</v>
      </c>
      <c r="BF53" s="535">
        <v>2027</v>
      </c>
      <c r="BG53" s="536">
        <v>1</v>
      </c>
      <c r="BH53" s="537">
        <v>2027</v>
      </c>
    </row>
    <row r="54" spans="1:60" ht="14.45" hidden="1" customHeight="1">
      <c r="A54" s="125">
        <v>1053</v>
      </c>
      <c r="B54" s="125">
        <v>1053</v>
      </c>
      <c r="C54" s="625" t="s">
        <v>2272</v>
      </c>
      <c r="D54" s="538" t="s">
        <v>2272</v>
      </c>
      <c r="E54" s="546"/>
      <c r="F54" s="526">
        <v>74</v>
      </c>
      <c r="G54" s="3" t="s">
        <v>2196</v>
      </c>
      <c r="H54" s="3" t="s">
        <v>2126</v>
      </c>
      <c r="I54" s="527">
        <v>-47.516401000000002</v>
      </c>
      <c r="J54" s="527">
        <v>-18.209211</v>
      </c>
      <c r="K54" s="539" t="s">
        <v>152</v>
      </c>
      <c r="L54" s="539" t="s">
        <v>152</v>
      </c>
      <c r="M54" s="554">
        <v>1</v>
      </c>
      <c r="N54" s="107"/>
      <c r="O54" s="529">
        <v>2.068E-2</v>
      </c>
      <c r="P54" s="529">
        <v>4.6600000000000003E-2</v>
      </c>
      <c r="Q54" s="288">
        <f t="shared" si="10"/>
        <v>0.49997908622908621</v>
      </c>
      <c r="R54" s="30">
        <f t="shared" si="1"/>
        <v>36.998452380952379</v>
      </c>
      <c r="S54" s="30">
        <f t="shared" si="11"/>
        <v>37.001547619047621</v>
      </c>
      <c r="T54" s="107">
        <v>58.40761904761905</v>
      </c>
      <c r="U54" s="107">
        <v>40.085714285714282</v>
      </c>
      <c r="V54" s="107">
        <v>13.834583333333333</v>
      </c>
      <c r="W54" s="107">
        <v>35.665892857142858</v>
      </c>
      <c r="X54" s="288">
        <f t="shared" si="12"/>
        <v>0.5447005829358772</v>
      </c>
      <c r="Y54" s="289">
        <f t="shared" si="4"/>
        <v>40.307843137254913</v>
      </c>
      <c r="Z54" s="289">
        <f t="shared" si="5"/>
        <v>3.309390756302534</v>
      </c>
      <c r="AA54" s="107">
        <v>64.058000000000035</v>
      </c>
      <c r="AB54" s="107">
        <v>42.431098039215684</v>
      </c>
      <c r="AC54" s="107">
        <v>15.500470588235293</v>
      </c>
      <c r="AD54" s="107">
        <v>39.241803921568639</v>
      </c>
      <c r="AE54" s="106">
        <v>1</v>
      </c>
      <c r="AF54" s="32" t="str">
        <f>IF(AE54=0,"",VLOOKUP(AE54,tab_tipo_expansao!$A$2:$B$4,2,0))</f>
        <v>opcional</v>
      </c>
      <c r="AG54" s="125">
        <v>2023</v>
      </c>
      <c r="AH54" s="125">
        <v>2100</v>
      </c>
      <c r="AI54" s="125">
        <v>30</v>
      </c>
      <c r="AJ54" s="530">
        <v>918.70338202065761</v>
      </c>
      <c r="AK54" s="24">
        <f>AL54/constantes!$B$4</f>
        <v>3183.3104020119808</v>
      </c>
      <c r="AL54" s="33">
        <f t="shared" si="13"/>
        <v>12414.910567846726</v>
      </c>
      <c r="AM54" s="87">
        <v>2</v>
      </c>
      <c r="AN54" s="531">
        <v>0</v>
      </c>
      <c r="AO54" s="23"/>
      <c r="AP54" s="532">
        <f t="shared" si="7"/>
        <v>918.70338202065761</v>
      </c>
      <c r="AR54" s="35">
        <f t="shared" si="14"/>
        <v>12414.910567846726</v>
      </c>
      <c r="AS54" s="36">
        <f ca="1">OFFSET(cod_desembolso!$A$1,AM54,23)</f>
        <v>1.1245293369208682</v>
      </c>
      <c r="AT54" s="37">
        <f ca="1">IF(AP54=0,0,AP54*(OFFSET(cod_desembolso!$A$1,AM54,23)))</f>
        <v>1033.1089050106491</v>
      </c>
      <c r="AU54" s="38">
        <f>(constantes!$B$3*(1+constantes!$B$3)^(AI54))/((1+constantes!$B$3)^(AI54)-1)</f>
        <v>8.8827433387272267E-2</v>
      </c>
      <c r="AV54" s="37">
        <f t="shared" ca="1" si="9"/>
        <v>95.46841244163123</v>
      </c>
      <c r="AW54" s="37">
        <f ca="1">IF(AP54=0,AY54/constantes!$B$3,AV54/constantes!$B$3)</f>
        <v>1193.3551555203903</v>
      </c>
      <c r="AX54" s="39">
        <f ca="1">IF(AP54=0,0,PV(constantes!$B$3,AI54,-AV54)*constantes!$B$3)</f>
        <v>85.981016270417655</v>
      </c>
      <c r="AY54" s="40">
        <f>constantes!$B$10*F54/1000</f>
        <v>3.7</v>
      </c>
      <c r="AZ54" s="533">
        <f>constantes!$B$12</f>
        <v>0</v>
      </c>
      <c r="BA54" s="20">
        <v>318</v>
      </c>
      <c r="BB54" s="43"/>
      <c r="BC54" s="3" t="s">
        <v>2209</v>
      </c>
      <c r="BE54" s="534">
        <v>1</v>
      </c>
      <c r="BF54" s="535">
        <v>2022</v>
      </c>
      <c r="BG54" s="536">
        <v>1</v>
      </c>
      <c r="BH54" s="537">
        <v>2022</v>
      </c>
    </row>
    <row r="55" spans="1:60" ht="14.45" hidden="1">
      <c r="A55" s="125">
        <v>1054</v>
      </c>
      <c r="B55" s="125">
        <v>1054</v>
      </c>
      <c r="C55" s="538" t="s">
        <v>2273</v>
      </c>
      <c r="D55" s="538" t="s">
        <v>2273</v>
      </c>
      <c r="E55" s="546"/>
      <c r="F55" s="526">
        <v>60</v>
      </c>
      <c r="G55" s="3" t="s">
        <v>2211</v>
      </c>
      <c r="H55" s="3" t="s">
        <v>2211</v>
      </c>
      <c r="I55" s="527">
        <v>-45.956516000000001</v>
      </c>
      <c r="J55" s="527">
        <v>-20.288177999999998</v>
      </c>
      <c r="K55" s="539" t="s">
        <v>152</v>
      </c>
      <c r="L55" s="539" t="s">
        <v>152</v>
      </c>
      <c r="M55" s="554">
        <v>1</v>
      </c>
      <c r="N55" s="107"/>
      <c r="O55" s="529">
        <v>1.9820000000000001E-2</v>
      </c>
      <c r="P55" s="529">
        <v>5.2919999999999995E-2</v>
      </c>
      <c r="Q55" s="288">
        <f t="shared" si="10"/>
        <v>0.42929265873015876</v>
      </c>
      <c r="R55" s="30">
        <f t="shared" si="1"/>
        <v>25.757559523809526</v>
      </c>
      <c r="S55" s="30">
        <f t="shared" si="11"/>
        <v>34.242440476190474</v>
      </c>
      <c r="T55" s="107">
        <v>39.536190476190477</v>
      </c>
      <c r="U55" s="107">
        <v>26.032083333333333</v>
      </c>
      <c r="V55" s="107">
        <v>15.620833333333332</v>
      </c>
      <c r="W55" s="107">
        <v>21.841130952380951</v>
      </c>
      <c r="X55" s="288">
        <f t="shared" si="12"/>
        <v>0.56890473856209112</v>
      </c>
      <c r="Y55" s="289">
        <f t="shared" si="4"/>
        <v>34.134284313725466</v>
      </c>
      <c r="Z55" s="289">
        <f t="shared" si="5"/>
        <v>8.3767247899159401</v>
      </c>
      <c r="AA55" s="107">
        <v>51.749254901960718</v>
      </c>
      <c r="AB55" s="107">
        <v>32.530274509803895</v>
      </c>
      <c r="AC55" s="107">
        <v>19.639098039215682</v>
      </c>
      <c r="AD55" s="107">
        <v>32.618509803921562</v>
      </c>
      <c r="AE55" s="106">
        <v>1</v>
      </c>
      <c r="AF55" s="32" t="str">
        <f>IF(AE55=0,"",VLOOKUP(AE55,tab_tipo_expansao!$A$2:$B$4,2,0))</f>
        <v>opcional</v>
      </c>
      <c r="AG55" s="125">
        <v>2028</v>
      </c>
      <c r="AH55" s="125">
        <v>2100</v>
      </c>
      <c r="AI55" s="125">
        <v>30</v>
      </c>
      <c r="AJ55" s="530">
        <v>494.40790416499607</v>
      </c>
      <c r="AK55" s="24">
        <f>AL55/constantes!$B$4</f>
        <v>2112.8542913034021</v>
      </c>
      <c r="AL55" s="33">
        <f t="shared" si="13"/>
        <v>8240.1317360832672</v>
      </c>
      <c r="AM55" s="87">
        <v>2</v>
      </c>
      <c r="AN55" s="531">
        <v>0</v>
      </c>
      <c r="AO55" s="23"/>
      <c r="AP55" s="532">
        <f t="shared" si="7"/>
        <v>494.40790416499607</v>
      </c>
      <c r="AR55" s="35">
        <f t="shared" si="14"/>
        <v>8240.1317360832672</v>
      </c>
      <c r="AS55" s="36">
        <f ca="1">OFFSET(cod_desembolso!$A$1,AM55,23)</f>
        <v>1.1245293369208682</v>
      </c>
      <c r="AT55" s="37">
        <f ca="1">IF(AP55=0,0,AP55*(OFFSET(cod_desembolso!$A$1,AM55,23)))</f>
        <v>555.97619263909917</v>
      </c>
      <c r="AU55" s="38">
        <f>(constantes!$B$3*(1+constantes!$B$3)^(AI55))/((1+constantes!$B$3)^(AI55)-1)</f>
        <v>8.8827433387272267E-2</v>
      </c>
      <c r="AV55" s="37">
        <f t="shared" ca="1" si="9"/>
        <v>52.385938216558834</v>
      </c>
      <c r="AW55" s="37">
        <f ca="1">IF(AP55=0,AY55/constantes!$B$3,AV55/constantes!$B$3)</f>
        <v>654.82422770698543</v>
      </c>
      <c r="AX55" s="39">
        <f ca="1">IF(AP55=0,0,PV(constantes!$B$3,AI55,-AV55)*constantes!$B$3)</f>
        <v>47.179963413478525</v>
      </c>
      <c r="AY55" s="40">
        <f>constantes!$B$10*F55/1000</f>
        <v>3</v>
      </c>
      <c r="AZ55" s="533">
        <f>constantes!$B$12</f>
        <v>0</v>
      </c>
      <c r="BA55" s="20">
        <v>318</v>
      </c>
      <c r="BB55" s="43"/>
      <c r="BC55" s="3" t="s">
        <v>2197</v>
      </c>
      <c r="BE55" s="534">
        <v>1</v>
      </c>
      <c r="BF55" s="535">
        <v>2027</v>
      </c>
      <c r="BG55" s="536">
        <v>1</v>
      </c>
      <c r="BH55" s="537">
        <v>2027</v>
      </c>
    </row>
    <row r="56" spans="1:60" ht="15" hidden="1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46"/>
      <c r="F56" s="526">
        <v>50</v>
      </c>
      <c r="G56" s="3" t="s">
        <v>2221</v>
      </c>
      <c r="H56" s="3" t="s">
        <v>2275</v>
      </c>
      <c r="I56" s="527">
        <v>-51.475541</v>
      </c>
      <c r="J56" s="527">
        <v>-29.008347000000001</v>
      </c>
      <c r="K56" s="539" t="s">
        <v>151</v>
      </c>
      <c r="L56" s="539" t="s">
        <v>151</v>
      </c>
      <c r="M56" s="554">
        <v>2</v>
      </c>
      <c r="N56" s="107"/>
      <c r="O56" s="529">
        <v>2.068E-2</v>
      </c>
      <c r="P56" s="529">
        <v>4.6600000000000003E-2</v>
      </c>
      <c r="Q56" s="288">
        <f t="shared" si="10"/>
        <v>0.47581671064467712</v>
      </c>
      <c r="R56" s="30">
        <f t="shared" si="1"/>
        <v>23.790835532233856</v>
      </c>
      <c r="S56" s="30">
        <f t="shared" si="11"/>
        <v>26.209164467766144</v>
      </c>
      <c r="T56" s="107">
        <v>16.542730227716302</v>
      </c>
      <c r="U56" s="107">
        <v>21.117201693274463</v>
      </c>
      <c r="V56" s="107">
        <v>29.751596099974382</v>
      </c>
      <c r="W56" s="107">
        <v>27.751814107970276</v>
      </c>
      <c r="X56" s="288">
        <f t="shared" si="12"/>
        <v>0.53804317847923133</v>
      </c>
      <c r="Y56" s="289">
        <f t="shared" si="4"/>
        <v>26.902158923961565</v>
      </c>
      <c r="Z56" s="289">
        <f t="shared" si="5"/>
        <v>3.1113233917277086</v>
      </c>
      <c r="AA56" s="107">
        <v>22.0011437449492</v>
      </c>
      <c r="AB56" s="107">
        <v>24.180249205315089</v>
      </c>
      <c r="AC56" s="107">
        <v>32.446964139707418</v>
      </c>
      <c r="AD56" s="107">
        <v>28.98027860587456</v>
      </c>
      <c r="AE56" s="106">
        <v>1</v>
      </c>
      <c r="AF56" s="32" t="str">
        <f>IF(AE56=0,"",VLOOKUP(AE56,tab_tipo_expansao!$A$2:$B$4,2,0))</f>
        <v>opcional</v>
      </c>
      <c r="AG56" s="125">
        <v>2028</v>
      </c>
      <c r="AH56" s="125">
        <v>2100</v>
      </c>
      <c r="AI56" s="125">
        <v>30</v>
      </c>
      <c r="AJ56" s="530">
        <v>500</v>
      </c>
      <c r="AK56" s="24">
        <f>AL56/constantes!$B$4</f>
        <v>2564.102564102564</v>
      </c>
      <c r="AL56" s="33">
        <f t="shared" si="13"/>
        <v>10000</v>
      </c>
      <c r="AM56" s="87">
        <v>2</v>
      </c>
      <c r="AN56" s="531">
        <v>0</v>
      </c>
      <c r="AO56" s="23"/>
      <c r="AP56" s="532">
        <f t="shared" si="7"/>
        <v>500</v>
      </c>
      <c r="AR56" s="35">
        <f t="shared" si="14"/>
        <v>10000</v>
      </c>
      <c r="AS56" s="36">
        <f ca="1">OFFSET(cod_desembolso!$A$1,AM56,23)</f>
        <v>1.1245293369208682</v>
      </c>
      <c r="AT56" s="37">
        <f ca="1">IF(AP56=0,0,AP56*(OFFSET(cod_desembolso!$A$1,AM56,23)))</f>
        <v>562.26466846043411</v>
      </c>
      <c r="AU56" s="38">
        <f>(constantes!$B$3*(1+constantes!$B$3)^(AI56))/((1+constantes!$B$3)^(AI56)-1)</f>
        <v>8.8827433387272267E-2</v>
      </c>
      <c r="AV56" s="37">
        <f t="shared" ca="1" si="9"/>
        <v>52.444527383685937</v>
      </c>
      <c r="AW56" s="37">
        <f ca="1">IF(AP56=0,AY56/constantes!$B$3,AV56/constantes!$B$3)</f>
        <v>655.5565922960742</v>
      </c>
      <c r="AX56" s="39">
        <f ca="1">IF(AP56=0,0,PV(constantes!$B$3,AI56,-AV56)*constantes!$B$3)</f>
        <v>47.232730145460231</v>
      </c>
      <c r="AY56" s="40">
        <f>constantes!$B$10*F56/1000</f>
        <v>2.5</v>
      </c>
      <c r="AZ56" s="533">
        <f>constantes!$B$12</f>
        <v>0</v>
      </c>
      <c r="BA56" s="20">
        <v>318</v>
      </c>
      <c r="BB56" s="43"/>
      <c r="BC56" s="3" t="s">
        <v>2197</v>
      </c>
      <c r="BE56" s="534">
        <v>1</v>
      </c>
      <c r="BF56" s="535">
        <v>2027</v>
      </c>
      <c r="BG56" s="536">
        <v>1</v>
      </c>
      <c r="BH56" s="537">
        <v>2027</v>
      </c>
    </row>
    <row r="57" spans="1:60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46"/>
      <c r="F57" s="526">
        <v>150</v>
      </c>
      <c r="G57" s="3" t="s">
        <v>2181</v>
      </c>
      <c r="H57" s="3" t="s">
        <v>2255</v>
      </c>
      <c r="I57" s="527">
        <v>-58.818446999999999</v>
      </c>
      <c r="J57" s="527">
        <v>-12.180674</v>
      </c>
      <c r="K57" s="539" t="s">
        <v>160</v>
      </c>
      <c r="L57" s="539" t="s">
        <v>160</v>
      </c>
      <c r="M57" s="554">
        <v>10</v>
      </c>
      <c r="N57" s="107"/>
      <c r="O57" s="529">
        <v>1.9820000000000001E-2</v>
      </c>
      <c r="P57" s="529">
        <v>5.2919999999999995E-2</v>
      </c>
      <c r="Q57" s="288">
        <f t="shared" si="10"/>
        <v>0.76697103174603176</v>
      </c>
      <c r="R57" s="30">
        <f t="shared" si="1"/>
        <v>115.04565476190477</v>
      </c>
      <c r="S57" s="30">
        <f t="shared" si="11"/>
        <v>34.954345238095229</v>
      </c>
      <c r="T57" s="107">
        <v>123.82952380952382</v>
      </c>
      <c r="U57" s="107">
        <v>121.18220238095239</v>
      </c>
      <c r="V57" s="107">
        <v>106.58958333333332</v>
      </c>
      <c r="W57" s="107">
        <v>108.58130952380951</v>
      </c>
      <c r="X57" s="288">
        <f t="shared" si="12"/>
        <v>0.73920738562091504</v>
      </c>
      <c r="Y57" s="289">
        <f t="shared" si="4"/>
        <v>110.88110784313726</v>
      </c>
      <c r="Z57" s="289">
        <f t="shared" si="5"/>
        <v>-4.1645469187675133</v>
      </c>
      <c r="AA57" s="107">
        <v>124.31023529411766</v>
      </c>
      <c r="AB57" s="107">
        <v>114.68788235294112</v>
      </c>
      <c r="AC57" s="107">
        <v>99.686980392156855</v>
      </c>
      <c r="AD57" s="107">
        <v>104.83933333333339</v>
      </c>
      <c r="AE57" s="106">
        <v>1</v>
      </c>
      <c r="AF57" s="32" t="str">
        <f>IF(AE57=0,"",VLOOKUP(AE57,tab_tipo_expansao!$A$2:$B$4,2,0))</f>
        <v>opcional</v>
      </c>
      <c r="AG57" s="125">
        <v>2030</v>
      </c>
      <c r="AH57" s="125">
        <v>2100</v>
      </c>
      <c r="AI57" s="125">
        <v>30</v>
      </c>
      <c r="AJ57" s="530">
        <v>2368.608742766402</v>
      </c>
      <c r="AK57" s="24">
        <f>AL57/constantes!$B$4</f>
        <v>4048.9038337887214</v>
      </c>
      <c r="AL57" s="33">
        <f t="shared" si="13"/>
        <v>15790.724951776014</v>
      </c>
      <c r="AM57" s="87">
        <v>2</v>
      </c>
      <c r="AN57" s="531">
        <v>0</v>
      </c>
      <c r="AO57" s="23"/>
      <c r="AP57" s="532">
        <f t="shared" si="7"/>
        <v>2368.608742766402</v>
      </c>
      <c r="AR57" s="35">
        <f t="shared" si="14"/>
        <v>15790.724951776014</v>
      </c>
      <c r="AS57" s="36">
        <f ca="1">OFFSET(cod_desembolso!$A$1,AM57,23)</f>
        <v>1.1245293369208682</v>
      </c>
      <c r="AT57" s="37">
        <f ca="1">IF(AP57=0,0,AP57*(OFFSET(cod_desembolso!$A$1,AM57,23)))</f>
        <v>2663.5700189280733</v>
      </c>
      <c r="AU57" s="38">
        <f>(constantes!$B$3*(1+constantes!$B$3)^(AI57))/((1+constantes!$B$3)^(AI57)-1)</f>
        <v>8.8827433387272267E-2</v>
      </c>
      <c r="AV57" s="37">
        <f t="shared" ca="1" si="9"/>
        <v>244.09808842866897</v>
      </c>
      <c r="AW57" s="37">
        <f ca="1">IF(AP57=0,AY57/constantes!$B$3,AV57/constantes!$B$3)</f>
        <v>3051.226105358362</v>
      </c>
      <c r="AX57" s="39">
        <f ca="1">IF(AP57=0,0,PV(constantes!$B$3,AI57,-AV57)*constantes!$B$3)</f>
        <v>219.84027152012237</v>
      </c>
      <c r="AY57" s="40">
        <f>constantes!$B$10*F57/1000</f>
        <v>7.5</v>
      </c>
      <c r="AZ57" s="533">
        <f>constantes!$B$12</f>
        <v>0</v>
      </c>
      <c r="BA57" s="20">
        <v>318</v>
      </c>
      <c r="BB57" s="43"/>
      <c r="BC57" s="3" t="s">
        <v>2217</v>
      </c>
      <c r="BE57" s="534">
        <v>1</v>
      </c>
      <c r="BF57" s="535">
        <v>2035</v>
      </c>
      <c r="BG57" s="536">
        <v>3</v>
      </c>
      <c r="BH57" s="537">
        <v>2050</v>
      </c>
    </row>
    <row r="58" spans="1:60" ht="15" hidden="1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46"/>
      <c r="F58" s="526">
        <v>36.200000000000003</v>
      </c>
      <c r="G58" s="3" t="s">
        <v>2221</v>
      </c>
      <c r="H58" s="3" t="s">
        <v>2278</v>
      </c>
      <c r="I58" s="527">
        <v>-51.875005999999999</v>
      </c>
      <c r="J58" s="527">
        <v>-29.216107000000001</v>
      </c>
      <c r="K58" s="539" t="s">
        <v>151</v>
      </c>
      <c r="L58" s="539" t="s">
        <v>151</v>
      </c>
      <c r="M58" s="554">
        <v>2</v>
      </c>
      <c r="N58" s="107"/>
      <c r="O58" s="529">
        <v>2.068E-2</v>
      </c>
      <c r="P58" s="529">
        <v>4.6600000000000003E-2</v>
      </c>
      <c r="Q58" s="288">
        <f t="shared" si="10"/>
        <v>0.47199914496185214</v>
      </c>
      <c r="R58" s="30">
        <f t="shared" si="1"/>
        <v>17.086369047619048</v>
      </c>
      <c r="S58" s="30">
        <f t="shared" si="11"/>
        <v>19.113630952380955</v>
      </c>
      <c r="T58" s="107">
        <v>12.170952380952381</v>
      </c>
      <c r="U58" s="107">
        <v>17.419285714285714</v>
      </c>
      <c r="V58" s="107">
        <v>22.862916666666663</v>
      </c>
      <c r="W58" s="107">
        <v>15.89232142857143</v>
      </c>
      <c r="X58" s="288">
        <f t="shared" si="12"/>
        <v>0.55146490087747801</v>
      </c>
      <c r="Y58" s="289">
        <f t="shared" si="4"/>
        <v>19.963029411764705</v>
      </c>
      <c r="Z58" s="289">
        <f t="shared" si="5"/>
        <v>2.876660364145657</v>
      </c>
      <c r="AA58" s="107">
        <v>14.528627450980395</v>
      </c>
      <c r="AB58" s="107">
        <v>19.482627450980388</v>
      </c>
      <c r="AC58" s="107">
        <v>25.702862745098034</v>
      </c>
      <c r="AD58" s="107">
        <v>20.138000000000002</v>
      </c>
      <c r="AE58" s="106">
        <v>1</v>
      </c>
      <c r="AF58" s="32" t="str">
        <f>IF(AE58=0,"",VLOOKUP(AE58,tab_tipo_expansao!$A$2:$B$4,2,0))</f>
        <v>opcional</v>
      </c>
      <c r="AG58" s="125">
        <v>2028</v>
      </c>
      <c r="AH58" s="125">
        <v>2100</v>
      </c>
      <c r="AI58" s="125">
        <v>30</v>
      </c>
      <c r="AJ58" s="530">
        <v>644.96294877679543</v>
      </c>
      <c r="AK58" s="24">
        <f>AL58/constantes!$B$4</f>
        <v>4568.3733445020216</v>
      </c>
      <c r="AL58" s="33">
        <f t="shared" si="13"/>
        <v>17816.656043557883</v>
      </c>
      <c r="AM58" s="87">
        <v>2</v>
      </c>
      <c r="AN58" s="531">
        <v>0</v>
      </c>
      <c r="AO58" s="23"/>
      <c r="AP58" s="532">
        <f t="shared" si="7"/>
        <v>644.96294877679543</v>
      </c>
      <c r="AR58" s="35">
        <f t="shared" si="14"/>
        <v>17816.656043557883</v>
      </c>
      <c r="AS58" s="36">
        <f ca="1">OFFSET(cod_desembolso!$A$1,AM58,23)</f>
        <v>1.1245293369208682</v>
      </c>
      <c r="AT58" s="37">
        <f ca="1">IF(AP58=0,0,AP58*(OFFSET(cod_desembolso!$A$1,AM58,23)))</f>
        <v>725.27975712649766</v>
      </c>
      <c r="AU58" s="38">
        <f>(constantes!$B$3*(1+constantes!$B$3)^(AI58))/((1+constantes!$B$3)^(AI58)-1)</f>
        <v>8.8827433387272267E-2</v>
      </c>
      <c r="AV58" s="37">
        <f t="shared" ca="1" si="9"/>
        <v>66.234739313290987</v>
      </c>
      <c r="AW58" s="37">
        <f ca="1">IF(AP58=0,AY58/constantes!$B$3,AV58/constantes!$B$3)</f>
        <v>827.9342414161373</v>
      </c>
      <c r="AX58" s="39">
        <f ca="1">IF(AP58=0,0,PV(constantes!$B$3,AI58,-AV58)*constantes!$B$3)</f>
        <v>59.652507598204679</v>
      </c>
      <c r="AY58" s="40">
        <f>constantes!$B$10*F58/1000</f>
        <v>1.8100000000000003</v>
      </c>
      <c r="AZ58" s="533">
        <f>constantes!$B$12</f>
        <v>0</v>
      </c>
      <c r="BA58" s="20">
        <v>318</v>
      </c>
      <c r="BB58" s="43"/>
      <c r="BC58" s="3" t="s">
        <v>2197</v>
      </c>
      <c r="BE58" s="534">
        <v>1</v>
      </c>
      <c r="BF58" s="535">
        <v>2027</v>
      </c>
      <c r="BG58" s="536">
        <v>1</v>
      </c>
      <c r="BH58" s="537">
        <v>2027</v>
      </c>
    </row>
    <row r="59" spans="1:60" ht="15" hidden="1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46"/>
      <c r="F59" s="526">
        <v>35.799999999999997</v>
      </c>
      <c r="G59" s="3" t="s">
        <v>2196</v>
      </c>
      <c r="H59" s="3" t="s">
        <v>2281</v>
      </c>
      <c r="I59" s="527">
        <v>-51.222613000000003</v>
      </c>
      <c r="J59" s="527">
        <v>-18.402984</v>
      </c>
      <c r="K59" s="539" t="s">
        <v>2005</v>
      </c>
      <c r="L59" s="539" t="s">
        <v>2005</v>
      </c>
      <c r="M59" s="554">
        <v>1</v>
      </c>
      <c r="N59" s="107"/>
      <c r="O59" s="529">
        <v>2.068E-2</v>
      </c>
      <c r="P59" s="529">
        <v>4.6600000000000003E-2</v>
      </c>
      <c r="Q59" s="288">
        <f t="shared" si="10"/>
        <v>0.61870053538175063</v>
      </c>
      <c r="R59" s="30">
        <f t="shared" si="1"/>
        <v>22.149479166666669</v>
      </c>
      <c r="S59" s="30">
        <f t="shared" si="11"/>
        <v>13.650520833333328</v>
      </c>
      <c r="T59" s="107">
        <v>30.583333333333332</v>
      </c>
      <c r="U59" s="107">
        <v>21.652916666666666</v>
      </c>
      <c r="V59" s="107">
        <v>13.385</v>
      </c>
      <c r="W59" s="107">
        <v>22.97666666666667</v>
      </c>
      <c r="X59" s="288">
        <f t="shared" si="12"/>
        <v>0.69396976667762145</v>
      </c>
      <c r="Y59" s="289">
        <f t="shared" si="4"/>
        <v>24.844117647058845</v>
      </c>
      <c r="Z59" s="289">
        <f t="shared" si="5"/>
        <v>2.6946384803921752</v>
      </c>
      <c r="AA59" s="107">
        <v>32.627764705882413</v>
      </c>
      <c r="AB59" s="107">
        <v>25.85262745098041</v>
      </c>
      <c r="AC59" s="107">
        <v>15.847372549019605</v>
      </c>
      <c r="AD59" s="107">
        <v>25.048705882352948</v>
      </c>
      <c r="AE59" s="106">
        <v>1</v>
      </c>
      <c r="AF59" s="32" t="str">
        <f>IF(AE59=0,"",VLOOKUP(AE59,tab_tipo_expansao!$A$2:$B$4,2,0))</f>
        <v>opcional</v>
      </c>
      <c r="AG59" s="125">
        <v>2028</v>
      </c>
      <c r="AH59" s="125">
        <v>2100</v>
      </c>
      <c r="AI59" s="125">
        <v>30</v>
      </c>
      <c r="AJ59" s="530">
        <v>276.36321840123406</v>
      </c>
      <c r="AK59" s="24">
        <f>AL59/constantes!$B$4</f>
        <v>1979.3956338721823</v>
      </c>
      <c r="AL59" s="33">
        <f t="shared" si="13"/>
        <v>7719.6429721015111</v>
      </c>
      <c r="AM59" s="87">
        <v>2</v>
      </c>
      <c r="AN59" s="531">
        <v>0</v>
      </c>
      <c r="AO59" s="23"/>
      <c r="AP59" s="532">
        <f t="shared" si="7"/>
        <v>276.36321840123406</v>
      </c>
      <c r="AR59" s="35">
        <f t="shared" si="14"/>
        <v>7719.6429721015111</v>
      </c>
      <c r="AS59" s="36">
        <f ca="1">OFFSET(cod_desembolso!$A$1,AM59,23)</f>
        <v>1.1245293369208682</v>
      </c>
      <c r="AT59" s="37">
        <f ca="1">IF(AP59=0,0,AP59*(OFFSET(cod_desembolso!$A$1,AM59,23)))</f>
        <v>310.77854673805683</v>
      </c>
      <c r="AU59" s="38">
        <f>(constantes!$B$3*(1+constantes!$B$3)^(AI59))/((1+constantes!$B$3)^(AI59)-1)</f>
        <v>8.8827433387272267E-2</v>
      </c>
      <c r="AV59" s="37">
        <f t="shared" ca="1" si="9"/>
        <v>29.395660658568023</v>
      </c>
      <c r="AW59" s="37">
        <f ca="1">IF(AP59=0,AY59/constantes!$B$3,AV59/constantes!$B$3)</f>
        <v>367.44575823210027</v>
      </c>
      <c r="AX59" s="39">
        <f ca="1">IF(AP59=0,0,PV(constantes!$B$3,AI59,-AV59)*constantes!$B$3)</f>
        <v>26.474398313780398</v>
      </c>
      <c r="AY59" s="40">
        <f>constantes!$B$10*F59/1000</f>
        <v>1.7899999999999998</v>
      </c>
      <c r="AZ59" s="533">
        <f>constantes!$B$12</f>
        <v>0</v>
      </c>
      <c r="BA59" s="20">
        <v>318</v>
      </c>
      <c r="BB59" s="43"/>
      <c r="BC59" s="3" t="s">
        <v>2197</v>
      </c>
      <c r="BE59" s="534">
        <v>1</v>
      </c>
      <c r="BF59" s="535">
        <v>2027</v>
      </c>
      <c r="BG59" s="536">
        <v>1</v>
      </c>
      <c r="BH59" s="537">
        <v>2027</v>
      </c>
    </row>
    <row r="60" spans="1:60" ht="14.45" hidden="1" customHeight="1">
      <c r="A60" s="125">
        <v>1059</v>
      </c>
      <c r="B60" s="125">
        <v>1059</v>
      </c>
      <c r="C60" s="626" t="s">
        <v>2282</v>
      </c>
      <c r="D60" s="538" t="s">
        <v>2283</v>
      </c>
      <c r="E60" s="546"/>
      <c r="F60" s="526">
        <v>87.1</v>
      </c>
      <c r="G60" s="3" t="s">
        <v>2196</v>
      </c>
      <c r="H60" s="3" t="s">
        <v>2214</v>
      </c>
      <c r="I60" s="527">
        <v>-53.678654999999999</v>
      </c>
      <c r="J60" s="527">
        <v>-24.200353</v>
      </c>
      <c r="K60" s="539" t="s">
        <v>153</v>
      </c>
      <c r="L60" s="539" t="s">
        <v>153</v>
      </c>
      <c r="M60" s="554">
        <v>2</v>
      </c>
      <c r="N60" s="107"/>
      <c r="O60" s="529">
        <v>1.9820000000000001E-2</v>
      </c>
      <c r="P60" s="529">
        <v>5.2919999999999995E-2</v>
      </c>
      <c r="Q60" s="288">
        <f t="shared" si="10"/>
        <v>0.596947781695916</v>
      </c>
      <c r="R60" s="30">
        <f t="shared" si="1"/>
        <v>51.99415178571428</v>
      </c>
      <c r="S60" s="30">
        <f t="shared" si="11"/>
        <v>35.105848214285714</v>
      </c>
      <c r="T60" s="107">
        <v>50.238095238095241</v>
      </c>
      <c r="U60" s="107">
        <v>53.243273809523807</v>
      </c>
      <c r="V60" s="107">
        <v>48.417083333333331</v>
      </c>
      <c r="W60" s="107">
        <v>56.078154761904763</v>
      </c>
      <c r="X60" s="288">
        <f t="shared" si="12"/>
        <v>0.60825352873640848</v>
      </c>
      <c r="Y60" s="289">
        <f t="shared" si="4"/>
        <v>52.978882352941177</v>
      </c>
      <c r="Z60" s="289">
        <f t="shared" si="5"/>
        <v>0.98473056722689734</v>
      </c>
      <c r="AA60" s="107">
        <v>52.270549019607849</v>
      </c>
      <c r="AB60" s="107">
        <v>50.998509803921571</v>
      </c>
      <c r="AC60" s="107">
        <v>50.816352941176483</v>
      </c>
      <c r="AD60" s="107">
        <v>57.830117647058813</v>
      </c>
      <c r="AE60" s="106">
        <v>1</v>
      </c>
      <c r="AF60" s="32" t="str">
        <f>IF(AE60=0,"",VLOOKUP(AE60,tab_tipo_expansao!$A$2:$B$4,2,0))</f>
        <v>opcional</v>
      </c>
      <c r="AG60" s="125">
        <v>2023</v>
      </c>
      <c r="AH60" s="125">
        <v>2100</v>
      </c>
      <c r="AI60" s="125">
        <v>30</v>
      </c>
      <c r="AJ60" s="530">
        <v>814.19400545885162</v>
      </c>
      <c r="AK60" s="24">
        <f>AL60/constantes!$B$4</f>
        <v>2396.8736361354522</v>
      </c>
      <c r="AL60" s="33">
        <f t="shared" si="13"/>
        <v>9347.8071809282628</v>
      </c>
      <c r="AM60" s="87">
        <v>2</v>
      </c>
      <c r="AN60" s="531">
        <v>0</v>
      </c>
      <c r="AO60" s="23"/>
      <c r="AP60" s="532">
        <f t="shared" si="7"/>
        <v>814.19400545885162</v>
      </c>
      <c r="AR60" s="35">
        <f t="shared" si="14"/>
        <v>9347.8071809282628</v>
      </c>
      <c r="AS60" s="36">
        <f ca="1">OFFSET(cod_desembolso!$A$1,AM60,23)</f>
        <v>1.1245293369208682</v>
      </c>
      <c r="AT60" s="37">
        <f ca="1">IF(AP60=0,0,AP60*(OFFSET(cod_desembolso!$A$1,AM60,23)))</f>
        <v>915.58504508358817</v>
      </c>
      <c r="AU60" s="38">
        <f>(constantes!$B$3*(1+constantes!$B$3)^(AI60))/((1+constantes!$B$3)^(AI60)-1)</f>
        <v>8.8827433387272267E-2</v>
      </c>
      <c r="AV60" s="37">
        <f t="shared" ca="1" si="9"/>
        <v>85.684069602545108</v>
      </c>
      <c r="AW60" s="37">
        <f ca="1">IF(AP60=0,AY60/constantes!$B$3,AV60/constantes!$B$3)</f>
        <v>1071.0508700318139</v>
      </c>
      <c r="AX60" s="39">
        <f ca="1">IF(AP60=0,0,PV(constantes!$B$3,AI60,-AV60)*constantes!$B$3)</f>
        <v>77.169015323432674</v>
      </c>
      <c r="AY60" s="40">
        <f>constantes!$B$10*F60/1000</f>
        <v>4.3550000000000004</v>
      </c>
      <c r="AZ60" s="533">
        <f>constantes!$B$12</f>
        <v>0</v>
      </c>
      <c r="BA60" s="20">
        <v>318</v>
      </c>
      <c r="BB60" s="43"/>
      <c r="BC60" s="3" t="s">
        <v>2209</v>
      </c>
      <c r="BE60" s="534">
        <v>1</v>
      </c>
      <c r="BF60" s="535">
        <v>2022</v>
      </c>
      <c r="BG60" s="536">
        <v>1</v>
      </c>
      <c r="BH60" s="537">
        <v>2022</v>
      </c>
    </row>
    <row r="61" spans="1:60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46"/>
      <c r="F61" s="526">
        <v>415</v>
      </c>
      <c r="G61" s="3" t="s">
        <v>2181</v>
      </c>
      <c r="H61" s="3" t="s">
        <v>2255</v>
      </c>
      <c r="I61" s="130">
        <v>-58.375104</v>
      </c>
      <c r="J61" s="130">
        <v>-11.029624</v>
      </c>
      <c r="K61" s="539" t="s">
        <v>160</v>
      </c>
      <c r="L61" s="539" t="s">
        <v>160</v>
      </c>
      <c r="M61" s="554">
        <v>10</v>
      </c>
      <c r="N61" s="107"/>
      <c r="O61" s="529">
        <v>1.6379999999999999E-2</v>
      </c>
      <c r="P61" s="529">
        <v>6.1409999999999999E-2</v>
      </c>
      <c r="Q61" s="288">
        <f t="shared" si="10"/>
        <v>0.7477361589214</v>
      </c>
      <c r="R61" s="30">
        <f t="shared" si="1"/>
        <v>310.31050595238099</v>
      </c>
      <c r="S61" s="30">
        <f t="shared" si="11"/>
        <v>104.68949404761901</v>
      </c>
      <c r="T61" s="107">
        <v>342.25190476190477</v>
      </c>
      <c r="U61" s="107">
        <v>337.42428571428576</v>
      </c>
      <c r="V61" s="107">
        <v>277.73625000000004</v>
      </c>
      <c r="W61" s="107">
        <v>283.82958333333335</v>
      </c>
      <c r="X61" s="288">
        <f t="shared" si="12"/>
        <v>0.70983208126624153</v>
      </c>
      <c r="Y61" s="289">
        <f t="shared" si="4"/>
        <v>294.58031372549021</v>
      </c>
      <c r="Z61" s="289">
        <f t="shared" si="5"/>
        <v>-15.730192226890779</v>
      </c>
      <c r="AA61" s="107">
        <v>347.82317647058818</v>
      </c>
      <c r="AB61" s="107">
        <v>316.14474509803921</v>
      </c>
      <c r="AC61" s="107">
        <v>249.41431372549019</v>
      </c>
      <c r="AD61" s="107">
        <v>264.93901960784325</v>
      </c>
      <c r="AE61" s="106">
        <v>1</v>
      </c>
      <c r="AF61" s="32" t="str">
        <f>IF(AE61=0,"",VLOOKUP(AE61,tab_tipo_expansao!$A$2:$B$4,2,0))</f>
        <v>opcional</v>
      </c>
      <c r="AG61" s="125">
        <v>2030</v>
      </c>
      <c r="AH61" s="125">
        <v>2100</v>
      </c>
      <c r="AI61" s="125">
        <v>30</v>
      </c>
      <c r="AJ61" s="530">
        <v>4391.0457241159384</v>
      </c>
      <c r="AK61" s="24">
        <f>AL61/constantes!$B$4</f>
        <v>2713.034120553561</v>
      </c>
      <c r="AL61" s="33">
        <f t="shared" si="13"/>
        <v>10580.833070158887</v>
      </c>
      <c r="AM61" s="87">
        <v>3</v>
      </c>
      <c r="AN61" s="531">
        <v>0</v>
      </c>
      <c r="AO61" s="23"/>
      <c r="AP61" s="532">
        <f t="shared" si="7"/>
        <v>4391.0457241159384</v>
      </c>
      <c r="AR61" s="35">
        <f t="shared" si="14"/>
        <v>10580.833070158887</v>
      </c>
      <c r="AS61" s="36">
        <f ca="1">OFFSET(cod_desembolso!$A$1,AM61,23)</f>
        <v>1.1255071012622904</v>
      </c>
      <c r="AT61" s="37">
        <f ca="1">IF(AP61=0,0,AP61*(OFFSET(cod_desembolso!$A$1,AM61,23)))</f>
        <v>4942.153144459905</v>
      </c>
      <c r="AU61" s="38">
        <f>(constantes!$B$3*(1+constantes!$B$3)^(AI61))/((1+constantes!$B$3)^(AI61)-1)</f>
        <v>8.8827433387272267E-2</v>
      </c>
      <c r="AV61" s="37">
        <f t="shared" ca="1" si="9"/>
        <v>459.74877922921036</v>
      </c>
      <c r="AW61" s="37">
        <f ca="1">IF(AP61=0,AY61/constantes!$B$3,AV61/constantes!$B$3)</f>
        <v>5746.8597403651293</v>
      </c>
      <c r="AX61" s="39">
        <f ca="1">IF(AP61=0,0,PV(constantes!$B$3,AI61,-AV61)*constantes!$B$3)</f>
        <v>414.06017190638397</v>
      </c>
      <c r="AY61" s="40">
        <f>constantes!$B$10*F61/1000</f>
        <v>20.75</v>
      </c>
      <c r="AZ61" s="533">
        <f>constantes!$B$12</f>
        <v>0</v>
      </c>
      <c r="BA61" s="20">
        <v>318</v>
      </c>
      <c r="BB61" s="43"/>
      <c r="BC61" s="3" t="s">
        <v>2217</v>
      </c>
      <c r="BE61" s="534">
        <v>1</v>
      </c>
      <c r="BF61" s="535">
        <v>2035</v>
      </c>
      <c r="BG61" s="536">
        <v>3</v>
      </c>
      <c r="BH61" s="537">
        <v>2050</v>
      </c>
    </row>
    <row r="62" spans="1:60" ht="14.45">
      <c r="A62" s="125">
        <v>1061</v>
      </c>
      <c r="B62" s="125">
        <v>1061</v>
      </c>
      <c r="C62" s="538" t="s">
        <v>2285</v>
      </c>
      <c r="D62" s="538" t="s">
        <v>2285</v>
      </c>
      <c r="E62" s="546"/>
      <c r="F62" s="526">
        <v>1248</v>
      </c>
      <c r="G62" s="3" t="s">
        <v>2181</v>
      </c>
      <c r="H62" s="3" t="s">
        <v>2255</v>
      </c>
      <c r="I62" s="527">
        <v>-58.663167000000001</v>
      </c>
      <c r="J62" s="527">
        <v>-9.1831390000000006</v>
      </c>
      <c r="K62" s="539" t="s">
        <v>160</v>
      </c>
      <c r="L62" s="539" t="s">
        <v>160</v>
      </c>
      <c r="M62" s="554">
        <v>10</v>
      </c>
      <c r="N62" s="107"/>
      <c r="O62" s="529">
        <v>1.6379999999999999E-2</v>
      </c>
      <c r="P62" s="529">
        <v>6.1409999999999999E-2</v>
      </c>
      <c r="Q62" s="288">
        <f t="shared" si="10"/>
        <v>0.54146483182616001</v>
      </c>
      <c r="R62" s="30">
        <f t="shared" si="1"/>
        <v>675.74811011904762</v>
      </c>
      <c r="S62" s="30">
        <f t="shared" si="11"/>
        <v>572.25188988095238</v>
      </c>
      <c r="T62" s="107">
        <v>918.86714285714288</v>
      </c>
      <c r="U62" s="107">
        <v>841.72345238095238</v>
      </c>
      <c r="V62" s="107">
        <v>429.25583333333333</v>
      </c>
      <c r="W62" s="107">
        <v>513.14601190476185</v>
      </c>
      <c r="X62" s="288">
        <f t="shared" si="12"/>
        <v>0.5149959543112117</v>
      </c>
      <c r="Y62" s="289">
        <f t="shared" si="4"/>
        <v>642.71495098039225</v>
      </c>
      <c r="Z62" s="289">
        <f t="shared" si="5"/>
        <v>-33.033159138655378</v>
      </c>
      <c r="AA62" s="107">
        <v>919.50278431372578</v>
      </c>
      <c r="AB62" s="107">
        <v>756.00854901960781</v>
      </c>
      <c r="AC62" s="107">
        <v>399.16823529411766</v>
      </c>
      <c r="AD62" s="107">
        <v>496.18023529411767</v>
      </c>
      <c r="AE62" s="106">
        <v>1</v>
      </c>
      <c r="AF62" s="32" t="str">
        <f>IF(AE62=0,"",VLOOKUP(AE62,tab_tipo_expansao!$A$2:$B$4,2,0))</f>
        <v>opcional</v>
      </c>
      <c r="AG62" s="125">
        <v>2030</v>
      </c>
      <c r="AH62" s="125">
        <v>2100</v>
      </c>
      <c r="AI62" s="125">
        <v>30</v>
      </c>
      <c r="AJ62" s="530">
        <v>14193.338840499773</v>
      </c>
      <c r="AK62" s="24">
        <f>AL62/constantes!$B$4</f>
        <v>2916.119912988941</v>
      </c>
      <c r="AL62" s="33">
        <f t="shared" si="13"/>
        <v>11372.86766065687</v>
      </c>
      <c r="AM62" s="87">
        <v>4</v>
      </c>
      <c r="AN62" s="531">
        <v>0</v>
      </c>
      <c r="AO62" s="23"/>
      <c r="AP62" s="532">
        <f t="shared" si="7"/>
        <v>14193.338840499773</v>
      </c>
      <c r="AR62" s="35">
        <f t="shared" si="14"/>
        <v>11372.86766065687</v>
      </c>
      <c r="AS62" s="36">
        <f ca="1">OFFSET(cod_desembolso!$A$1,AM62,23)</f>
        <v>1.103153897336226</v>
      </c>
      <c r="AT62" s="37">
        <f ca="1">IF(AP62=0,0,AP62*(OFFSET(cod_desembolso!$A$1,AM62,23)))</f>
        <v>15657.437058110956</v>
      </c>
      <c r="AU62" s="38">
        <f>(constantes!$B$3*(1+constantes!$B$3)^(AI62))/((1+constantes!$B$3)^(AI62)-1)</f>
        <v>8.8827433387272267E-2</v>
      </c>
      <c r="AV62" s="37">
        <f t="shared" ca="1" si="9"/>
        <v>1453.2099472947593</v>
      </c>
      <c r="AW62" s="37">
        <f ca="1">IF(AP62=0,AY62/constantes!$B$3,AV62/constantes!$B$3)</f>
        <v>18165.124341184492</v>
      </c>
      <c r="AX62" s="39">
        <f ca="1">IF(AP62=0,0,PV(constantes!$B$3,AI62,-AV62)*constantes!$B$3)</f>
        <v>1308.7938190977691</v>
      </c>
      <c r="AY62" s="40">
        <f>constantes!$B$10*F62/1000</f>
        <v>62.4</v>
      </c>
      <c r="AZ62" s="533">
        <f>constantes!$B$12</f>
        <v>0</v>
      </c>
      <c r="BA62" s="20">
        <v>318</v>
      </c>
      <c r="BB62" s="43"/>
      <c r="BC62" s="3" t="s">
        <v>2217</v>
      </c>
      <c r="BE62" s="534">
        <v>1</v>
      </c>
      <c r="BF62" s="535">
        <v>2035</v>
      </c>
      <c r="BG62" s="536">
        <v>3</v>
      </c>
      <c r="BH62" s="537">
        <v>2050</v>
      </c>
    </row>
    <row r="63" spans="1:60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46"/>
      <c r="F63" s="526">
        <v>75</v>
      </c>
      <c r="G63" s="3" t="s">
        <v>2231</v>
      </c>
      <c r="H63" s="3" t="s">
        <v>2234</v>
      </c>
      <c r="I63" s="527">
        <v>-42.368101000000003</v>
      </c>
      <c r="J63" s="527">
        <v>-19.328077</v>
      </c>
      <c r="K63" s="539" t="s">
        <v>152</v>
      </c>
      <c r="L63" s="539" t="s">
        <v>152</v>
      </c>
      <c r="M63" s="554">
        <v>1</v>
      </c>
      <c r="N63" s="107"/>
      <c r="O63" s="529">
        <v>2.068E-2</v>
      </c>
      <c r="P63" s="529">
        <v>4.6600000000000003E-2</v>
      </c>
      <c r="Q63" s="288">
        <f t="shared" si="10"/>
        <v>0.49932619047619048</v>
      </c>
      <c r="R63" s="30">
        <f t="shared" si="1"/>
        <v>37.449464285714285</v>
      </c>
      <c r="S63" s="30">
        <f t="shared" si="11"/>
        <v>37.550535714285715</v>
      </c>
      <c r="T63" s="107">
        <v>50.732380952380957</v>
      </c>
      <c r="U63" s="107">
        <v>36.821726190476184</v>
      </c>
      <c r="V63" s="107">
        <v>23.950416666666666</v>
      </c>
      <c r="W63" s="107">
        <v>38.293333333333337</v>
      </c>
      <c r="X63" s="288">
        <f t="shared" si="12"/>
        <v>0.52303738562091506</v>
      </c>
      <c r="Y63" s="289">
        <f t="shared" si="4"/>
        <v>39.227803921568629</v>
      </c>
      <c r="Z63" s="289">
        <f t="shared" si="5"/>
        <v>1.7783396358543442</v>
      </c>
      <c r="AA63" s="107">
        <v>56.711372549019586</v>
      </c>
      <c r="AB63" s="107">
        <v>35.159686274509788</v>
      </c>
      <c r="AC63" s="107">
        <v>23.775019607843131</v>
      </c>
      <c r="AD63" s="107">
        <v>41.265137254901994</v>
      </c>
      <c r="AE63" s="106">
        <v>1</v>
      </c>
      <c r="AF63" s="32" t="str">
        <f>IF(AE63=0,"",VLOOKUP(AE63,tab_tipo_expansao!$A$2:$B$4,2,0))</f>
        <v>opcional</v>
      </c>
      <c r="AG63" s="125">
        <v>2030</v>
      </c>
      <c r="AH63" s="125">
        <v>2100</v>
      </c>
      <c r="AI63" s="125">
        <v>30</v>
      </c>
      <c r="AJ63" s="530">
        <v>439.39628620848828</v>
      </c>
      <c r="AK63" s="24">
        <f>AL63/constantes!$B$4</f>
        <v>1502.2095254991052</v>
      </c>
      <c r="AL63" s="33">
        <f t="shared" si="13"/>
        <v>5858.6171494465098</v>
      </c>
      <c r="AM63" s="87">
        <v>2</v>
      </c>
      <c r="AN63" s="531">
        <v>0</v>
      </c>
      <c r="AO63" s="23"/>
      <c r="AP63" s="532">
        <f t="shared" si="7"/>
        <v>439.39628620848828</v>
      </c>
      <c r="AR63" s="35">
        <f t="shared" si="14"/>
        <v>5858.6171494465107</v>
      </c>
      <c r="AS63" s="36">
        <f ca="1">OFFSET(cod_desembolso!$A$1,AM63,23)</f>
        <v>1.1245293369208682</v>
      </c>
      <c r="AT63" s="37">
        <f ca="1">IF(AP63=0,0,AP63*(OFFSET(cod_desembolso!$A$1,AM63,23)))</f>
        <v>494.11401437552337</v>
      </c>
      <c r="AU63" s="38">
        <f>(constantes!$B$3*(1+constantes!$B$3)^(AI63))/((1+constantes!$B$3)^(AI63)-1)</f>
        <v>8.8827433387272267E-2</v>
      </c>
      <c r="AV63" s="37">
        <f t="shared" ca="1" si="9"/>
        <v>47.640879697659493</v>
      </c>
      <c r="AW63" s="37">
        <f ca="1">IF(AP63=0,AY63/constantes!$B$3,AV63/constantes!$B$3)</f>
        <v>595.51099622074366</v>
      </c>
      <c r="AX63" s="39">
        <f ca="1">IF(AP63=0,0,PV(constantes!$B$3,AI63,-AV63)*constantes!$B$3)</f>
        <v>42.90645615298012</v>
      </c>
      <c r="AY63" s="40">
        <f>constantes!$B$10*F63/1000</f>
        <v>3.75</v>
      </c>
      <c r="AZ63" s="533">
        <f>constantes!$B$12</f>
        <v>0</v>
      </c>
      <c r="BA63" s="20">
        <v>318</v>
      </c>
      <c r="BB63" s="43"/>
      <c r="BC63" s="3" t="s">
        <v>2183</v>
      </c>
      <c r="BE63" s="534">
        <v>1</v>
      </c>
      <c r="BF63" s="535">
        <v>2027</v>
      </c>
      <c r="BG63" s="536">
        <v>1</v>
      </c>
      <c r="BH63" s="537">
        <v>2027</v>
      </c>
    </row>
    <row r="64" spans="1:60" ht="14.45" hidden="1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46"/>
      <c r="F64" s="526">
        <v>56</v>
      </c>
      <c r="G64" s="3" t="s">
        <v>2246</v>
      </c>
      <c r="H64" s="3" t="s">
        <v>2246</v>
      </c>
      <c r="I64" s="527">
        <v>-42.859171000000003</v>
      </c>
      <c r="J64" s="527">
        <v>-6.3271230000000003</v>
      </c>
      <c r="K64" s="539" t="s">
        <v>1985</v>
      </c>
      <c r="L64" s="539" t="s">
        <v>1985</v>
      </c>
      <c r="M64" s="554">
        <v>3</v>
      </c>
      <c r="N64" s="107"/>
      <c r="O64" s="529">
        <v>2.068E-2</v>
      </c>
      <c r="P64" s="529">
        <v>4.6600000000000003E-2</v>
      </c>
      <c r="Q64" s="288">
        <f t="shared" si="10"/>
        <v>0.67229326105442178</v>
      </c>
      <c r="R64" s="30">
        <f t="shared" si="1"/>
        <v>37.648422619047622</v>
      </c>
      <c r="S64" s="30">
        <f t="shared" si="11"/>
        <v>18.351577380952378</v>
      </c>
      <c r="T64" s="107">
        <v>37.400476190476198</v>
      </c>
      <c r="U64" s="107">
        <v>37.799999999999997</v>
      </c>
      <c r="V64" s="107">
        <v>35.519583333333337</v>
      </c>
      <c r="W64" s="107">
        <v>39.87363095238095</v>
      </c>
      <c r="X64" s="288">
        <f t="shared" si="12"/>
        <v>0.69930934873949568</v>
      </c>
      <c r="Y64" s="289">
        <f t="shared" si="4"/>
        <v>39.16132352941176</v>
      </c>
      <c r="Z64" s="289">
        <f t="shared" si="5"/>
        <v>1.512900910364138</v>
      </c>
      <c r="AA64" s="107">
        <v>46.906627450980373</v>
      </c>
      <c r="AB64" s="107">
        <v>41.650745098039209</v>
      </c>
      <c r="AC64" s="107">
        <v>31.485411764705884</v>
      </c>
      <c r="AD64" s="107">
        <v>36.602509803921571</v>
      </c>
      <c r="AE64" s="106">
        <v>1</v>
      </c>
      <c r="AF64" s="32" t="str">
        <f>IF(AE64=0,"",VLOOKUP(AE64,tab_tipo_expansao!$A$2:$B$4,2,0))</f>
        <v>opcional</v>
      </c>
      <c r="AG64" s="125">
        <v>2028</v>
      </c>
      <c r="AH64" s="125">
        <v>2100</v>
      </c>
      <c r="AI64" s="125">
        <v>30</v>
      </c>
      <c r="AJ64" s="530">
        <v>627.9928971061579</v>
      </c>
      <c r="AK64" s="24">
        <f>AL64/constantes!$B$4</f>
        <v>2875.4253530501737</v>
      </c>
      <c r="AL64" s="33">
        <f t="shared" si="13"/>
        <v>11214.158876895677</v>
      </c>
      <c r="AM64" s="87">
        <v>2</v>
      </c>
      <c r="AN64" s="531">
        <v>0</v>
      </c>
      <c r="AO64" s="23"/>
      <c r="AP64" s="532">
        <f t="shared" si="7"/>
        <v>627.9928971061579</v>
      </c>
      <c r="AR64" s="35">
        <f t="shared" si="14"/>
        <v>11214.158876895675</v>
      </c>
      <c r="AS64" s="36">
        <f ca="1">OFFSET(cod_desembolso!$A$1,AM64,23)</f>
        <v>1.1245293369208682</v>
      </c>
      <c r="AT64" s="37">
        <f ca="1">IF(AP64=0,0,AP64*(OFFSET(cod_desembolso!$A$1,AM64,23)))</f>
        <v>706.19643617380279</v>
      </c>
      <c r="AU64" s="38">
        <f>(constantes!$B$3*(1+constantes!$B$3)^(AI64))/((1+constantes!$B$3)^(AI64)-1)</f>
        <v>8.8827433387272267E-2</v>
      </c>
      <c r="AV64" s="37">
        <f t="shared" ca="1" si="9"/>
        <v>65.529616892557542</v>
      </c>
      <c r="AW64" s="37">
        <f ca="1">IF(AP64=0,AY64/constantes!$B$3,AV64/constantes!$B$3)</f>
        <v>819.12021115696928</v>
      </c>
      <c r="AX64" s="39">
        <f ca="1">IF(AP64=0,0,PV(constantes!$B$3,AI64,-AV64)*constantes!$B$3)</f>
        <v>59.017458362764785</v>
      </c>
      <c r="AY64" s="40">
        <f>constantes!$B$10*F64/1000</f>
        <v>2.8</v>
      </c>
      <c r="AZ64" s="533">
        <f>constantes!$B$12</f>
        <v>0</v>
      </c>
      <c r="BA64" s="20">
        <v>318</v>
      </c>
      <c r="BB64" s="43"/>
      <c r="BC64" s="3" t="s">
        <v>2197</v>
      </c>
      <c r="BE64" s="534">
        <v>1</v>
      </c>
      <c r="BF64" s="535">
        <v>2027</v>
      </c>
      <c r="BG64" s="536">
        <v>1</v>
      </c>
      <c r="BH64" s="537">
        <v>2027</v>
      </c>
    </row>
    <row r="65" spans="1:60" ht="14.45" hidden="1">
      <c r="A65" s="125">
        <v>1064</v>
      </c>
      <c r="B65" s="125">
        <v>1064</v>
      </c>
      <c r="C65" s="538" t="s">
        <v>2288</v>
      </c>
      <c r="D65" s="538" t="s">
        <v>2288</v>
      </c>
      <c r="E65" s="546"/>
      <c r="F65" s="526">
        <v>48.38</v>
      </c>
      <c r="G65" s="3" t="s">
        <v>2196</v>
      </c>
      <c r="H65" s="3" t="s">
        <v>2127</v>
      </c>
      <c r="I65" s="527">
        <v>-51.642118000000004</v>
      </c>
      <c r="J65" s="527">
        <v>-18.493563000000002</v>
      </c>
      <c r="K65" s="539" t="s">
        <v>2005</v>
      </c>
      <c r="L65" s="539" t="s">
        <v>2005</v>
      </c>
      <c r="M65" s="554">
        <v>1</v>
      </c>
      <c r="N65" s="107"/>
      <c r="O65" s="529">
        <v>2.068E-2</v>
      </c>
      <c r="P65" s="529">
        <v>4.6600000000000003E-2</v>
      </c>
      <c r="Q65" s="288">
        <f t="shared" si="10"/>
        <v>0.63213043071714003</v>
      </c>
      <c r="R65" s="30">
        <f t="shared" si="1"/>
        <v>30.582470238095237</v>
      </c>
      <c r="S65" s="30">
        <f t="shared" si="11"/>
        <v>17.797529761904766</v>
      </c>
      <c r="T65" s="107">
        <v>33.109523809523814</v>
      </c>
      <c r="U65" s="107">
        <v>26.97</v>
      </c>
      <c r="V65" s="107">
        <v>30.294999999999998</v>
      </c>
      <c r="W65" s="107">
        <v>31.955357142857142</v>
      </c>
      <c r="X65" s="288">
        <f t="shared" si="12"/>
        <v>0.68270837892825598</v>
      </c>
      <c r="Y65" s="289">
        <f t="shared" si="4"/>
        <v>33.029431372549027</v>
      </c>
      <c r="Z65" s="289">
        <f t="shared" si="5"/>
        <v>2.4469611344537903</v>
      </c>
      <c r="AA65" s="107">
        <v>38.312156862745127</v>
      </c>
      <c r="AB65" s="107">
        <v>31.728274509803914</v>
      </c>
      <c r="AC65" s="107">
        <v>29.129254901960788</v>
      </c>
      <c r="AD65" s="107">
        <v>32.948039215686286</v>
      </c>
      <c r="AE65" s="106">
        <v>1</v>
      </c>
      <c r="AF65" s="32" t="str">
        <f>IF(AE65=0,"",VLOOKUP(AE65,tab_tipo_expansao!$A$2:$B$4,2,0))</f>
        <v>opcional</v>
      </c>
      <c r="AG65" s="125">
        <v>2028</v>
      </c>
      <c r="AH65" s="125">
        <v>2100</v>
      </c>
      <c r="AI65" s="125">
        <v>30</v>
      </c>
      <c r="AJ65" s="530">
        <v>530.55434696333657</v>
      </c>
      <c r="AK65" s="24">
        <f>AL65/constantes!$B$4</f>
        <v>2811.8969852096993</v>
      </c>
      <c r="AL65" s="33">
        <f t="shared" si="13"/>
        <v>10966.398242317828</v>
      </c>
      <c r="AM65" s="87">
        <v>2</v>
      </c>
      <c r="AN65" s="531">
        <v>0</v>
      </c>
      <c r="AO65" s="23"/>
      <c r="AP65" s="532">
        <f t="shared" si="7"/>
        <v>530.55434696333657</v>
      </c>
      <c r="AR65" s="35">
        <f t="shared" si="14"/>
        <v>10966.398242317828</v>
      </c>
      <c r="AS65" s="36">
        <f ca="1">OFFSET(cod_desembolso!$A$1,AM65,23)</f>
        <v>1.1245293369208682</v>
      </c>
      <c r="AT65" s="37">
        <f ca="1">IF(AP65=0,0,AP65*(OFFSET(cod_desembolso!$A$1,AM65,23)))</f>
        <v>596.62392799116515</v>
      </c>
      <c r="AU65" s="38">
        <f>(constantes!$B$3*(1+constantes!$B$3)^(AI65))/((1+constantes!$B$3)^(AI65)-1)</f>
        <v>8.8827433387272267E-2</v>
      </c>
      <c r="AV65" s="37">
        <f t="shared" ca="1" si="9"/>
        <v>55.415572220887945</v>
      </c>
      <c r="AW65" s="37">
        <f ca="1">IF(AP65=0,AY65/constantes!$B$3,AV65/constantes!$B$3)</f>
        <v>692.69465276109929</v>
      </c>
      <c r="AX65" s="39">
        <f ca="1">IF(AP65=0,0,PV(constantes!$B$3,AI65,-AV65)*constantes!$B$3)</f>
        <v>49.90852047185524</v>
      </c>
      <c r="AY65" s="40">
        <f>constantes!$B$10*F65/1000</f>
        <v>2.419</v>
      </c>
      <c r="AZ65" s="533">
        <f>constantes!$B$12</f>
        <v>0</v>
      </c>
      <c r="BA65" s="20">
        <v>318</v>
      </c>
      <c r="BB65" s="43"/>
      <c r="BC65" s="3" t="s">
        <v>2197</v>
      </c>
      <c r="BE65" s="534">
        <v>1</v>
      </c>
      <c r="BF65" s="535">
        <v>2027</v>
      </c>
      <c r="BG65" s="536">
        <v>1</v>
      </c>
      <c r="BH65" s="537">
        <v>2027</v>
      </c>
    </row>
    <row r="66" spans="1:60" ht="14.45">
      <c r="A66" s="125">
        <v>1065</v>
      </c>
      <c r="B66" s="125">
        <v>1065</v>
      </c>
      <c r="C66" s="538" t="s">
        <v>2289</v>
      </c>
      <c r="D66" s="538" t="s">
        <v>2289</v>
      </c>
      <c r="E66" s="546"/>
      <c r="F66" s="526">
        <v>71.7</v>
      </c>
      <c r="G66" s="3" t="s">
        <v>2181</v>
      </c>
      <c r="H66" s="3" t="s">
        <v>2290</v>
      </c>
      <c r="I66" s="527">
        <v>-61.512281000000002</v>
      </c>
      <c r="J66" s="527">
        <v>2.8940320000000002</v>
      </c>
      <c r="K66" s="539" t="s">
        <v>159</v>
      </c>
      <c r="L66" s="539" t="s">
        <v>159</v>
      </c>
      <c r="M66" s="554">
        <v>4</v>
      </c>
      <c r="N66" s="107"/>
      <c r="O66" s="529">
        <v>1.9820000000000001E-2</v>
      </c>
      <c r="P66" s="529">
        <v>5.2919999999999995E-2</v>
      </c>
      <c r="Q66" s="288">
        <f t="shared" ref="Q66:Q97" si="15">R66/$F66</f>
        <v>0.51908809025702318</v>
      </c>
      <c r="R66" s="30">
        <f t="shared" ref="R66:R129" si="16">AVERAGE(T66:W66)</f>
        <v>37.218616071428563</v>
      </c>
      <c r="S66" s="30">
        <f t="shared" ref="S66:S97" si="17">F66-R66</f>
        <v>34.481383928571439</v>
      </c>
      <c r="T66" s="107">
        <v>19.67285714285714</v>
      </c>
      <c r="U66" s="107">
        <v>43.291666666666664</v>
      </c>
      <c r="V66" s="107">
        <v>56.763749999999987</v>
      </c>
      <c r="W66" s="107">
        <v>29.14619047619048</v>
      </c>
      <c r="X66" s="288">
        <f t="shared" ref="X66:X97" si="18">Y66/$F66</f>
        <v>0.45264459758798908</v>
      </c>
      <c r="Y66" s="289">
        <f t="shared" ref="Y66:Y129" si="19">AVERAGE(AA66:AD66)</f>
        <v>32.454617647058818</v>
      </c>
      <c r="Z66" s="289">
        <f t="shared" ref="Z66:Z129" si="20">Y66-R66</f>
        <v>-4.7639984243697455</v>
      </c>
      <c r="AA66" s="107">
        <v>16.261490196078434</v>
      </c>
      <c r="AB66" s="107">
        <v>38.77356862745097</v>
      </c>
      <c r="AC66" s="107">
        <v>50.408588235294111</v>
      </c>
      <c r="AD66" s="107">
        <v>24.374823529411756</v>
      </c>
      <c r="AE66" s="106">
        <v>1</v>
      </c>
      <c r="AF66" s="32" t="str">
        <f>IF(AE66=0,"",VLOOKUP(AE66,tab_tipo_expansao!$A$2:$B$4,2,0))</f>
        <v>opcional</v>
      </c>
      <c r="AG66" s="125">
        <v>2030</v>
      </c>
      <c r="AH66" s="125">
        <v>2100</v>
      </c>
      <c r="AI66" s="125">
        <v>30</v>
      </c>
      <c r="AJ66" s="530">
        <v>931.72690442653266</v>
      </c>
      <c r="AK66" s="24">
        <f>AL66/constantes!$B$4</f>
        <v>3331.9990860298703</v>
      </c>
      <c r="AL66" s="33">
        <f t="shared" ref="AL66:AL97" si="21">AJ66/F66*1000</f>
        <v>12994.796435516493</v>
      </c>
      <c r="AM66" s="87">
        <v>2</v>
      </c>
      <c r="AN66" s="531">
        <v>0</v>
      </c>
      <c r="AO66" s="23"/>
      <c r="AP66" s="532">
        <f t="shared" ref="AP66:AP129" si="22">AJ66+AN66+AO66</f>
        <v>931.72690442653266</v>
      </c>
      <c r="AR66" s="35">
        <f t="shared" ref="AR66:AR97" si="23">AP66*1000/F66</f>
        <v>12994.796435516495</v>
      </c>
      <c r="AS66" s="36">
        <f ca="1">OFFSET(cod_desembolso!$A$1,AM66,23)</f>
        <v>1.1245293369208682</v>
      </c>
      <c r="AT66" s="37">
        <f ca="1">IF(AP66=0,0,AP66*(OFFSET(cod_desembolso!$A$1,AM66,23)))</f>
        <v>1047.7542380261018</v>
      </c>
      <c r="AU66" s="38">
        <f>(constantes!$B$3*(1+constantes!$B$3)^(AI66))/((1+constantes!$B$3)^(AI66)-1)</f>
        <v>8.8827433387272267E-2</v>
      </c>
      <c r="AV66" s="37">
        <f t="shared" ref="AV66:AV129" ca="1" si="24">IF(AND(AP66=0,AY66=0),0,AT66*AU66+AY66)</f>
        <v>96.654319784495769</v>
      </c>
      <c r="AW66" s="37">
        <f ca="1">IF(AP66=0,AY66/constantes!$B$3,AV66/constantes!$B$3)</f>
        <v>1208.1789973061971</v>
      </c>
      <c r="AX66" s="39">
        <f ca="1">IF(AP66=0,0,PV(constantes!$B$3,AI66,-AV66)*constantes!$B$3)</f>
        <v>87.049071304897112</v>
      </c>
      <c r="AY66" s="40">
        <f>constantes!$B$10*F66/1000</f>
        <v>3.585</v>
      </c>
      <c r="AZ66" s="533">
        <f>constantes!$B$12</f>
        <v>0</v>
      </c>
      <c r="BA66" s="20">
        <v>318</v>
      </c>
      <c r="BB66" s="43"/>
      <c r="BC66" s="3" t="s">
        <v>2183</v>
      </c>
      <c r="BE66" s="534">
        <v>1</v>
      </c>
      <c r="BF66" s="535">
        <v>2027</v>
      </c>
      <c r="BG66" s="536">
        <v>1</v>
      </c>
      <c r="BH66" s="537">
        <v>2027</v>
      </c>
    </row>
    <row r="67" spans="1:60" ht="14.45" hidden="1">
      <c r="A67" s="125">
        <v>1066</v>
      </c>
      <c r="B67" s="125">
        <v>1066</v>
      </c>
      <c r="C67" s="538" t="s">
        <v>2291</v>
      </c>
      <c r="D67" s="538" t="s">
        <v>2291</v>
      </c>
      <c r="E67" s="546"/>
      <c r="F67" s="526">
        <v>37.79</v>
      </c>
      <c r="G67" s="3" t="s">
        <v>2196</v>
      </c>
      <c r="H67" s="3" t="s">
        <v>2127</v>
      </c>
      <c r="I67" s="527">
        <v>-52.085746</v>
      </c>
      <c r="J67" s="527">
        <v>-18.187338</v>
      </c>
      <c r="K67" s="539" t="s">
        <v>2005</v>
      </c>
      <c r="L67" s="539" t="s">
        <v>2005</v>
      </c>
      <c r="M67" s="554">
        <v>1</v>
      </c>
      <c r="N67" s="107"/>
      <c r="O67" s="529">
        <v>2.068E-2</v>
      </c>
      <c r="P67" s="529">
        <v>4.6600000000000003E-2</v>
      </c>
      <c r="Q67" s="288">
        <f t="shared" si="15"/>
        <v>0.52740788694413987</v>
      </c>
      <c r="R67" s="30">
        <f t="shared" si="16"/>
        <v>19.930744047619044</v>
      </c>
      <c r="S67" s="30">
        <f t="shared" si="17"/>
        <v>17.859255952380956</v>
      </c>
      <c r="T67" s="107">
        <v>19.342857142857145</v>
      </c>
      <c r="U67" s="107">
        <v>17.685773809523809</v>
      </c>
      <c r="V67" s="107">
        <v>22.447499999999994</v>
      </c>
      <c r="W67" s="107">
        <v>20.246845238095236</v>
      </c>
      <c r="X67" s="288">
        <f t="shared" si="18"/>
        <v>0.62939360449128046</v>
      </c>
      <c r="Y67" s="289">
        <f t="shared" si="19"/>
        <v>23.784784313725488</v>
      </c>
      <c r="Z67" s="289">
        <f t="shared" si="20"/>
        <v>3.8540402661064448</v>
      </c>
      <c r="AA67" s="107">
        <v>26.491882352941172</v>
      </c>
      <c r="AB67" s="107">
        <v>23.14960784313725</v>
      </c>
      <c r="AC67" s="107">
        <v>22.586274509803925</v>
      </c>
      <c r="AD67" s="107">
        <v>22.911372549019607</v>
      </c>
      <c r="AE67" s="106">
        <v>1</v>
      </c>
      <c r="AF67" s="32" t="str">
        <f>IF(AE67=0,"",VLOOKUP(AE67,tab_tipo_expansao!$A$2:$B$4,2,0))</f>
        <v>opcional</v>
      </c>
      <c r="AG67" s="125">
        <v>2028</v>
      </c>
      <c r="AH67" s="125">
        <v>2100</v>
      </c>
      <c r="AI67" s="125">
        <v>30</v>
      </c>
      <c r="AJ67" s="530">
        <v>657.56327516843544</v>
      </c>
      <c r="AK67" s="24">
        <f>AL67/constantes!$B$4</f>
        <v>4461.6556758906199</v>
      </c>
      <c r="AL67" s="33">
        <f t="shared" si="21"/>
        <v>17400.457135973418</v>
      </c>
      <c r="AM67" s="87">
        <v>2</v>
      </c>
      <c r="AN67" s="531">
        <v>0</v>
      </c>
      <c r="AO67" s="23"/>
      <c r="AP67" s="532">
        <f t="shared" si="22"/>
        <v>657.56327516843544</v>
      </c>
      <c r="AR67" s="35">
        <f t="shared" si="23"/>
        <v>17400.457135973418</v>
      </c>
      <c r="AS67" s="36">
        <f ca="1">OFFSET(cod_desembolso!$A$1,AM67,23)</f>
        <v>1.1245293369208682</v>
      </c>
      <c r="AT67" s="37">
        <f ca="1">IF(AP67=0,0,AP67*(OFFSET(cod_desembolso!$A$1,AM67,23)))</f>
        <v>739.44919380867509</v>
      </c>
      <c r="AU67" s="38">
        <f>(constantes!$B$3*(1+constantes!$B$3)^(AI67))/((1+constantes!$B$3)^(AI67)-1)</f>
        <v>8.8827433387272267E-2</v>
      </c>
      <c r="AV67" s="37">
        <f t="shared" ca="1" si="24"/>
        <v>67.572874006312261</v>
      </c>
      <c r="AW67" s="37">
        <f ca="1">IF(AP67=0,AY67/constantes!$B$3,AV67/constantes!$B$3)</f>
        <v>844.66092507890323</v>
      </c>
      <c r="AX67" s="39">
        <f ca="1">IF(AP67=0,0,PV(constantes!$B$3,AI67,-AV67)*constantes!$B$3)</f>
        <v>60.857662034841155</v>
      </c>
      <c r="AY67" s="40">
        <f>constantes!$B$10*F67/1000</f>
        <v>1.8895</v>
      </c>
      <c r="AZ67" s="533">
        <f>constantes!$B$12</f>
        <v>0</v>
      </c>
      <c r="BA67" s="20">
        <v>318</v>
      </c>
      <c r="BB67" s="43"/>
      <c r="BC67" s="3" t="s">
        <v>2197</v>
      </c>
      <c r="BE67" s="534">
        <v>1</v>
      </c>
      <c r="BF67" s="535">
        <v>2027</v>
      </c>
      <c r="BG67" s="536">
        <v>1</v>
      </c>
      <c r="BH67" s="537">
        <v>2027</v>
      </c>
    </row>
    <row r="68" spans="1:60" ht="14.45">
      <c r="A68" s="125">
        <v>1067</v>
      </c>
      <c r="B68" s="125">
        <v>1067</v>
      </c>
      <c r="C68" s="538" t="s">
        <v>2292</v>
      </c>
      <c r="D68" s="538" t="s">
        <v>2292</v>
      </c>
      <c r="E68" s="546"/>
      <c r="F68" s="526">
        <v>225</v>
      </c>
      <c r="G68" s="3" t="s">
        <v>2181</v>
      </c>
      <c r="H68" s="3" t="s">
        <v>2255</v>
      </c>
      <c r="I68" s="527">
        <v>-58.335524999999997</v>
      </c>
      <c r="J68" s="527">
        <v>-11.340623000000001</v>
      </c>
      <c r="K68" s="539" t="s">
        <v>160</v>
      </c>
      <c r="L68" s="539" t="s">
        <v>160</v>
      </c>
      <c r="M68" s="554">
        <v>10</v>
      </c>
      <c r="N68" s="107"/>
      <c r="O68" s="529">
        <v>1.9820000000000001E-2</v>
      </c>
      <c r="P68" s="529">
        <v>5.2919999999999995E-2</v>
      </c>
      <c r="Q68" s="288">
        <f t="shared" si="15"/>
        <v>0.73455304232804242</v>
      </c>
      <c r="R68" s="30">
        <f t="shared" si="16"/>
        <v>165.27443452380953</v>
      </c>
      <c r="S68" s="30">
        <f t="shared" si="17"/>
        <v>59.725565476190468</v>
      </c>
      <c r="T68" s="107">
        <v>183.57285714285715</v>
      </c>
      <c r="U68" s="107">
        <v>183.94684523809528</v>
      </c>
      <c r="V68" s="107">
        <v>149.93</v>
      </c>
      <c r="W68" s="107">
        <v>143.6480357142857</v>
      </c>
      <c r="X68" s="288">
        <f t="shared" si="18"/>
        <v>0.71055411764705889</v>
      </c>
      <c r="Y68" s="289">
        <f t="shared" si="19"/>
        <v>159.87467647058824</v>
      </c>
      <c r="Z68" s="289">
        <f t="shared" si="20"/>
        <v>-5.3997580532212908</v>
      </c>
      <c r="AA68" s="107">
        <v>189.23592156862742</v>
      </c>
      <c r="AB68" s="107">
        <v>172.85364705882353</v>
      </c>
      <c r="AC68" s="107">
        <v>136.30227450980394</v>
      </c>
      <c r="AD68" s="107">
        <v>141.10686274509808</v>
      </c>
      <c r="AE68" s="106">
        <v>1</v>
      </c>
      <c r="AF68" s="32" t="str">
        <f>IF(AE68=0,"",VLOOKUP(AE68,tab_tipo_expansao!$A$2:$B$4,2,0))</f>
        <v>opcional</v>
      </c>
      <c r="AG68" s="125">
        <v>2030</v>
      </c>
      <c r="AH68" s="125">
        <v>2100</v>
      </c>
      <c r="AI68" s="125">
        <v>30</v>
      </c>
      <c r="AJ68" s="530">
        <v>3687.705268282099</v>
      </c>
      <c r="AK68" s="24">
        <f>AL68/constantes!$B$4</f>
        <v>4202.513126247406</v>
      </c>
      <c r="AL68" s="33">
        <f t="shared" si="21"/>
        <v>16389.801192364885</v>
      </c>
      <c r="AM68" s="87">
        <v>2</v>
      </c>
      <c r="AN68" s="531">
        <v>0</v>
      </c>
      <c r="AO68" s="23"/>
      <c r="AP68" s="532">
        <f t="shared" si="22"/>
        <v>3687.705268282099</v>
      </c>
      <c r="AR68" s="35">
        <f t="shared" si="23"/>
        <v>16389.801192364885</v>
      </c>
      <c r="AS68" s="36">
        <f ca="1">OFFSET(cod_desembolso!$A$1,AM68,23)</f>
        <v>1.1245293369208682</v>
      </c>
      <c r="AT68" s="37">
        <f ca="1">IF(AP68=0,0,AP68*(OFFSET(cod_desembolso!$A$1,AM68,23)))</f>
        <v>4146.9327601008608</v>
      </c>
      <c r="AU68" s="38">
        <f>(constantes!$B$3*(1+constantes!$B$3)^(AI68))/((1+constantes!$B$3)^(AI68)-1)</f>
        <v>8.8827433387272267E-2</v>
      </c>
      <c r="AV68" s="37">
        <f t="shared" ca="1" si="24"/>
        <v>379.61139350935633</v>
      </c>
      <c r="AW68" s="37">
        <f ca="1">IF(AP68=0,AY68/constantes!$B$3,AV68/constantes!$B$3)</f>
        <v>4745.1424188669544</v>
      </c>
      <c r="AX68" s="39">
        <f ca="1">IF(AP68=0,0,PV(constantes!$B$3,AI68,-AV68)*constantes!$B$3)</f>
        <v>341.88662581688362</v>
      </c>
      <c r="AY68" s="40">
        <f>constantes!$B$10*F68/1000</f>
        <v>11.25</v>
      </c>
      <c r="AZ68" s="533">
        <f>constantes!$B$12</f>
        <v>0</v>
      </c>
      <c r="BA68" s="20">
        <v>318</v>
      </c>
      <c r="BB68" s="43"/>
      <c r="BC68" s="3" t="s">
        <v>2217</v>
      </c>
      <c r="BE68" s="534">
        <v>1</v>
      </c>
      <c r="BF68" s="535">
        <v>2035</v>
      </c>
      <c r="BG68" s="536">
        <v>3</v>
      </c>
      <c r="BH68" s="537">
        <v>2050</v>
      </c>
    </row>
    <row r="69" spans="1:60" ht="14.45" hidden="1">
      <c r="A69" s="125">
        <v>1068</v>
      </c>
      <c r="B69" s="125">
        <v>1068</v>
      </c>
      <c r="C69" s="538" t="s">
        <v>2293</v>
      </c>
      <c r="D69" s="538" t="s">
        <v>2293</v>
      </c>
      <c r="E69" s="546"/>
      <c r="F69" s="526">
        <v>230</v>
      </c>
      <c r="G69" s="3" t="s">
        <v>2181</v>
      </c>
      <c r="H69" s="3" t="s">
        <v>2294</v>
      </c>
      <c r="I69" s="527">
        <v>-57.088135000000001</v>
      </c>
      <c r="J69" s="527">
        <v>-9.2062869999999997</v>
      </c>
      <c r="K69" s="539" t="s">
        <v>160</v>
      </c>
      <c r="L69" s="539" t="s">
        <v>160</v>
      </c>
      <c r="M69" s="554">
        <v>10</v>
      </c>
      <c r="N69" s="107"/>
      <c r="O69" s="529">
        <v>1.6379999999999999E-2</v>
      </c>
      <c r="P69" s="529">
        <v>6.1409999999999999E-2</v>
      </c>
      <c r="Q69" s="288">
        <f t="shared" si="15"/>
        <v>0.43473744824016558</v>
      </c>
      <c r="R69" s="30">
        <f t="shared" si="16"/>
        <v>99.989613095238084</v>
      </c>
      <c r="S69" s="30">
        <f t="shared" si="17"/>
        <v>130.0103869047619</v>
      </c>
      <c r="T69" s="107">
        <v>194.38238095238094</v>
      </c>
      <c r="U69" s="107">
        <v>91.408273809523806</v>
      </c>
      <c r="V69" s="107">
        <v>21.577500000000001</v>
      </c>
      <c r="W69" s="107">
        <v>92.590297619047604</v>
      </c>
      <c r="X69" s="288">
        <f t="shared" si="18"/>
        <v>0.45859467178175639</v>
      </c>
      <c r="Y69" s="289">
        <f t="shared" si="19"/>
        <v>105.47677450980397</v>
      </c>
      <c r="Z69" s="289">
        <f t="shared" si="20"/>
        <v>5.4871614145658896</v>
      </c>
      <c r="AA69" s="107">
        <v>196.70403921568641</v>
      </c>
      <c r="AB69" s="107">
        <v>116.35537254901966</v>
      </c>
      <c r="AC69" s="107">
        <v>21.022078431372549</v>
      </c>
      <c r="AD69" s="107">
        <v>87.825607843137291</v>
      </c>
      <c r="AE69" s="106">
        <v>1</v>
      </c>
      <c r="AF69" s="32" t="str">
        <f>IF(AE69=0,"",VLOOKUP(AE69,tab_tipo_expansao!$A$2:$B$4,2,0))</f>
        <v>opcional</v>
      </c>
      <c r="AG69" s="125">
        <v>2028</v>
      </c>
      <c r="AH69" s="125">
        <v>2100</v>
      </c>
      <c r="AI69" s="125">
        <v>30</v>
      </c>
      <c r="AJ69" s="530">
        <v>1198.580883987458</v>
      </c>
      <c r="AK69" s="24">
        <f>AL69/constantes!$B$4</f>
        <v>1336.2105730071999</v>
      </c>
      <c r="AL69" s="33">
        <f t="shared" si="21"/>
        <v>5211.2212347280793</v>
      </c>
      <c r="AM69" s="87">
        <v>2</v>
      </c>
      <c r="AN69" s="531">
        <v>0</v>
      </c>
      <c r="AO69" s="23"/>
      <c r="AP69" s="532">
        <f t="shared" si="22"/>
        <v>1198.580883987458</v>
      </c>
      <c r="AR69" s="35">
        <f t="shared" si="23"/>
        <v>5211.2212347280783</v>
      </c>
      <c r="AS69" s="36">
        <f ca="1">OFFSET(cod_desembolso!$A$1,AM69,23)</f>
        <v>1.1245293369208682</v>
      </c>
      <c r="AT69" s="37">
        <f ca="1">IF(AP69=0,0,AP69*(OFFSET(cod_desembolso!$A$1,AM69,23)))</f>
        <v>1347.8393667164441</v>
      </c>
      <c r="AU69" s="38">
        <f>(constantes!$B$3*(1+constantes!$B$3)^(AI69))/((1+constantes!$B$3)^(AI69)-1)</f>
        <v>8.8827433387272267E-2</v>
      </c>
      <c r="AV69" s="37">
        <f t="shared" ca="1" si="24"/>
        <v>131.22511156374819</v>
      </c>
      <c r="AW69" s="37">
        <f ca="1">IF(AP69=0,AY69/constantes!$B$3,AV69/constantes!$B$3)</f>
        <v>1640.3138945468522</v>
      </c>
      <c r="AX69" s="39">
        <f ca="1">IF(AP69=0,0,PV(constantes!$B$3,AI69,-AV69)*constantes!$B$3)</f>
        <v>118.18431001299282</v>
      </c>
      <c r="AY69" s="40">
        <f>constantes!$B$10*F69/1000</f>
        <v>11.5</v>
      </c>
      <c r="AZ69" s="533">
        <f>constantes!$B$12</f>
        <v>0</v>
      </c>
      <c r="BA69" s="20">
        <v>318</v>
      </c>
      <c r="BB69" s="43"/>
      <c r="BC69" s="3" t="s">
        <v>2197</v>
      </c>
      <c r="BE69" s="534">
        <v>1</v>
      </c>
      <c r="BF69" s="535">
        <v>2027</v>
      </c>
      <c r="BG69" s="536">
        <v>1</v>
      </c>
      <c r="BH69" s="537">
        <v>2027</v>
      </c>
    </row>
    <row r="70" spans="1:60" ht="14.45">
      <c r="A70" s="125">
        <v>1069</v>
      </c>
      <c r="B70" s="125">
        <v>1069</v>
      </c>
      <c r="C70" s="538" t="s">
        <v>2295</v>
      </c>
      <c r="D70" s="538" t="s">
        <v>2295</v>
      </c>
      <c r="E70" s="546"/>
      <c r="F70" s="526">
        <v>68</v>
      </c>
      <c r="G70" s="3" t="s">
        <v>2181</v>
      </c>
      <c r="H70" s="3" t="s">
        <v>2296</v>
      </c>
      <c r="I70" s="527">
        <v>-58.398121000000003</v>
      </c>
      <c r="J70" s="527">
        <v>-12.76158</v>
      </c>
      <c r="K70" s="539" t="s">
        <v>160</v>
      </c>
      <c r="L70" s="539" t="s">
        <v>160</v>
      </c>
      <c r="M70" s="554">
        <v>10</v>
      </c>
      <c r="N70" s="107"/>
      <c r="O70" s="529">
        <v>1.9820000000000001E-2</v>
      </c>
      <c r="P70" s="529">
        <v>5.2919999999999995E-2</v>
      </c>
      <c r="Q70" s="288">
        <f t="shared" si="15"/>
        <v>0.77794992997198886</v>
      </c>
      <c r="R70" s="30">
        <f t="shared" si="16"/>
        <v>52.900595238095242</v>
      </c>
      <c r="S70" s="30">
        <f t="shared" si="17"/>
        <v>15.099404761904758</v>
      </c>
      <c r="T70" s="107">
        <v>57.445714285714295</v>
      </c>
      <c r="U70" s="107">
        <v>55.21339285714285</v>
      </c>
      <c r="V70" s="107">
        <v>47.524999999999999</v>
      </c>
      <c r="W70" s="107">
        <v>51.418273809523811</v>
      </c>
      <c r="X70" s="288">
        <f t="shared" si="18"/>
        <v>0.74074855824682817</v>
      </c>
      <c r="Y70" s="289">
        <f t="shared" si="19"/>
        <v>50.370901960784316</v>
      </c>
      <c r="Z70" s="289">
        <f t="shared" si="20"/>
        <v>-2.5296932773109262</v>
      </c>
      <c r="AA70" s="107">
        <v>57.58600000000002</v>
      </c>
      <c r="AB70" s="107">
        <v>52.191254901960804</v>
      </c>
      <c r="AC70" s="107">
        <v>43.98023529411762</v>
      </c>
      <c r="AD70" s="107">
        <v>47.726117647058835</v>
      </c>
      <c r="AE70" s="106">
        <v>1</v>
      </c>
      <c r="AF70" s="32" t="str">
        <f>IF(AE70=0,"",VLOOKUP(AE70,tab_tipo_expansao!$A$2:$B$4,2,0))</f>
        <v>opcional</v>
      </c>
      <c r="AG70" s="125">
        <v>2030</v>
      </c>
      <c r="AH70" s="125">
        <v>2100</v>
      </c>
      <c r="AI70" s="125">
        <v>30</v>
      </c>
      <c r="AJ70" s="530">
        <v>1575.3180717146856</v>
      </c>
      <c r="AK70" s="24">
        <f>AL70/constantes!$B$4</f>
        <v>5940.1133925893128</v>
      </c>
      <c r="AL70" s="33">
        <f t="shared" si="21"/>
        <v>23166.442231098321</v>
      </c>
      <c r="AM70" s="87">
        <v>2</v>
      </c>
      <c r="AN70" s="531">
        <v>0</v>
      </c>
      <c r="AO70" s="23"/>
      <c r="AP70" s="532">
        <f t="shared" si="22"/>
        <v>1575.3180717146856</v>
      </c>
      <c r="AR70" s="35">
        <f t="shared" si="23"/>
        <v>23166.442231098317</v>
      </c>
      <c r="AS70" s="36">
        <f ca="1">OFFSET(cod_desembolso!$A$1,AM70,23)</f>
        <v>1.1245293369208682</v>
      </c>
      <c r="AT70" s="37">
        <f ca="1">IF(AP70=0,0,AP70*(OFFSET(cod_desembolso!$A$1,AM70,23)))</f>
        <v>1771.4913866247762</v>
      </c>
      <c r="AU70" s="38">
        <f>(constantes!$B$3*(1+constantes!$B$3)^(AI70))/((1+constantes!$B$3)^(AI70)-1)</f>
        <v>8.8827433387272267E-2</v>
      </c>
      <c r="AV70" s="37">
        <f t="shared" ca="1" si="24"/>
        <v>160.7570331415389</v>
      </c>
      <c r="AW70" s="37">
        <f ca="1">IF(AP70=0,AY70/constantes!$B$3,AV70/constantes!$B$3)</f>
        <v>2009.4629142692361</v>
      </c>
      <c r="AX70" s="39">
        <f ca="1">IF(AP70=0,0,PV(constantes!$B$3,AI70,-AV70)*constantes!$B$3)</f>
        <v>144.7814279993128</v>
      </c>
      <c r="AY70" s="40">
        <f>constantes!$B$10*F70/1000</f>
        <v>3.4</v>
      </c>
      <c r="AZ70" s="533">
        <f>constantes!$B$12</f>
        <v>0</v>
      </c>
      <c r="BA70" s="20">
        <v>318</v>
      </c>
      <c r="BB70" s="43"/>
      <c r="BC70" s="3" t="s">
        <v>2217</v>
      </c>
      <c r="BE70" s="534">
        <v>1</v>
      </c>
      <c r="BF70" s="535">
        <v>2035</v>
      </c>
      <c r="BG70" s="536">
        <v>3</v>
      </c>
      <c r="BH70" s="537">
        <v>2050</v>
      </c>
    </row>
    <row r="71" spans="1:60" ht="14.45">
      <c r="A71" s="125">
        <v>1070</v>
      </c>
      <c r="B71" s="125">
        <v>1070</v>
      </c>
      <c r="C71" s="538" t="s">
        <v>2297</v>
      </c>
      <c r="D71" s="538" t="s">
        <v>2297</v>
      </c>
      <c r="E71" s="546"/>
      <c r="F71" s="526">
        <v>107</v>
      </c>
      <c r="G71" s="3" t="s">
        <v>2181</v>
      </c>
      <c r="H71" s="3" t="s">
        <v>2298</v>
      </c>
      <c r="I71" s="527">
        <v>-59.077153000000003</v>
      </c>
      <c r="J71" s="527">
        <v>-12.794566</v>
      </c>
      <c r="K71" s="539" t="s">
        <v>160</v>
      </c>
      <c r="L71" s="539" t="s">
        <v>160</v>
      </c>
      <c r="M71" s="554">
        <v>10</v>
      </c>
      <c r="N71" s="107"/>
      <c r="O71" s="529">
        <v>1.9820000000000001E-2</v>
      </c>
      <c r="P71" s="529">
        <v>5.2919999999999995E-2</v>
      </c>
      <c r="Q71" s="288">
        <f t="shared" si="15"/>
        <v>0.75401743991989312</v>
      </c>
      <c r="R71" s="30">
        <f t="shared" si="16"/>
        <v>80.679866071428563</v>
      </c>
      <c r="S71" s="30">
        <f t="shared" si="17"/>
        <v>26.320133928571437</v>
      </c>
      <c r="T71" s="107">
        <v>78.757619047619045</v>
      </c>
      <c r="U71" s="107">
        <v>84.339285714285708</v>
      </c>
      <c r="V71" s="107">
        <v>82.755416666666662</v>
      </c>
      <c r="W71" s="107">
        <v>76.867142857142866</v>
      </c>
      <c r="X71" s="288">
        <f t="shared" si="18"/>
        <v>0.72831299248671433</v>
      </c>
      <c r="Y71" s="289">
        <f t="shared" si="19"/>
        <v>77.929490196078433</v>
      </c>
      <c r="Z71" s="289">
        <f t="shared" si="20"/>
        <v>-2.7503758753501302</v>
      </c>
      <c r="AA71" s="107">
        <v>85.805215686274494</v>
      </c>
      <c r="AB71" s="107">
        <v>81.257137254901949</v>
      </c>
      <c r="AC71" s="107">
        <v>73.342431372549029</v>
      </c>
      <c r="AD71" s="107">
        <v>71.313176470588246</v>
      </c>
      <c r="AE71" s="106">
        <v>1</v>
      </c>
      <c r="AF71" s="32" t="str">
        <f>IF(AE71=0,"",VLOOKUP(AE71,tab_tipo_expansao!$A$2:$B$4,2,0))</f>
        <v>opcional</v>
      </c>
      <c r="AG71" s="125">
        <v>2030</v>
      </c>
      <c r="AH71" s="125">
        <v>2100</v>
      </c>
      <c r="AI71" s="125">
        <v>30</v>
      </c>
      <c r="AJ71" s="530">
        <v>1246.8696984098867</v>
      </c>
      <c r="AK71" s="24">
        <f>AL71/constantes!$B$4</f>
        <v>2987.9455988734408</v>
      </c>
      <c r="AL71" s="33">
        <f t="shared" si="21"/>
        <v>11652.987835606418</v>
      </c>
      <c r="AM71" s="87">
        <v>2</v>
      </c>
      <c r="AN71" s="531">
        <v>0</v>
      </c>
      <c r="AO71" s="23"/>
      <c r="AP71" s="532">
        <f t="shared" si="22"/>
        <v>1246.8696984098867</v>
      </c>
      <c r="AR71" s="35">
        <f t="shared" si="23"/>
        <v>11652.987835606418</v>
      </c>
      <c r="AS71" s="36">
        <f ca="1">OFFSET(cod_desembolso!$A$1,AM71,23)</f>
        <v>1.1245293369208682</v>
      </c>
      <c r="AT71" s="37">
        <f ca="1">IF(AP71=0,0,AP71*(OFFSET(cod_desembolso!$A$1,AM71,23)))</f>
        <v>1402.1415551795928</v>
      </c>
      <c r="AU71" s="38">
        <f>(constantes!$B$3*(1+constantes!$B$3)^(AI71))/((1+constantes!$B$3)^(AI71)-1)</f>
        <v>8.8827433387272267E-2</v>
      </c>
      <c r="AV71" s="37">
        <f t="shared" ca="1" si="24"/>
        <v>129.89863559224162</v>
      </c>
      <c r="AW71" s="37">
        <f ca="1">IF(AP71=0,AY71/constantes!$B$3,AV71/constantes!$B$3)</f>
        <v>1623.7329449030201</v>
      </c>
      <c r="AX71" s="39">
        <f ca="1">IF(AP71=0,0,PV(constantes!$B$3,AI71,-AV71)*constantes!$B$3)</f>
        <v>116.989655685226</v>
      </c>
      <c r="AY71" s="40">
        <f>constantes!$B$10*F71/1000</f>
        <v>5.35</v>
      </c>
      <c r="AZ71" s="533">
        <f>constantes!$B$12</f>
        <v>0</v>
      </c>
      <c r="BA71" s="20">
        <v>318</v>
      </c>
      <c r="BB71" s="43"/>
      <c r="BC71" s="3" t="s">
        <v>2217</v>
      </c>
      <c r="BE71" s="534">
        <v>1</v>
      </c>
      <c r="BF71" s="535">
        <v>2035</v>
      </c>
      <c r="BG71" s="536">
        <v>3</v>
      </c>
      <c r="BH71" s="537">
        <v>2050</v>
      </c>
    </row>
    <row r="72" spans="1:60" ht="14.45" hidden="1">
      <c r="A72" s="125">
        <v>1071</v>
      </c>
      <c r="B72" s="125">
        <v>1071</v>
      </c>
      <c r="C72" s="538" t="s">
        <v>2299</v>
      </c>
      <c r="D72" s="538" t="s">
        <v>2299</v>
      </c>
      <c r="E72" s="546"/>
      <c r="F72" s="526">
        <v>36</v>
      </c>
      <c r="G72" s="3" t="s">
        <v>2196</v>
      </c>
      <c r="H72" s="3" t="s">
        <v>2300</v>
      </c>
      <c r="I72" s="527">
        <v>-48.069082999999999</v>
      </c>
      <c r="J72" s="527">
        <v>-17.918664</v>
      </c>
      <c r="K72" s="539" t="s">
        <v>2005</v>
      </c>
      <c r="L72" s="539" t="s">
        <v>2005</v>
      </c>
      <c r="M72" s="554">
        <v>1</v>
      </c>
      <c r="N72" s="107"/>
      <c r="O72" s="529">
        <v>2.068E-2</v>
      </c>
      <c r="P72" s="529">
        <v>4.6600000000000003E-2</v>
      </c>
      <c r="Q72" s="288">
        <f t="shared" si="15"/>
        <v>0.532119300920186</v>
      </c>
      <c r="R72" s="30">
        <f t="shared" si="16"/>
        <v>19.156294833126697</v>
      </c>
      <c r="S72" s="30">
        <f t="shared" si="17"/>
        <v>16.843705166873303</v>
      </c>
      <c r="T72" s="107">
        <v>24.006073462053561</v>
      </c>
      <c r="U72" s="107">
        <v>21.073684599572406</v>
      </c>
      <c r="V72" s="107">
        <v>14.948652802791408</v>
      </c>
      <c r="W72" s="107">
        <v>16.596768468089412</v>
      </c>
      <c r="X72" s="288">
        <f t="shared" si="18"/>
        <v>0.56765074645560576</v>
      </c>
      <c r="Y72" s="289">
        <f t="shared" si="19"/>
        <v>20.435426872401806</v>
      </c>
      <c r="Z72" s="289">
        <f t="shared" si="20"/>
        <v>1.2791320392751082</v>
      </c>
      <c r="AA72" s="107">
        <v>26.710227493578795</v>
      </c>
      <c r="AB72" s="107">
        <v>22.22107540597953</v>
      </c>
      <c r="AC72" s="107">
        <v>15.298843291415466</v>
      </c>
      <c r="AD72" s="107">
        <v>17.511561298633438</v>
      </c>
      <c r="AE72" s="106">
        <v>1</v>
      </c>
      <c r="AF72" s="32" t="str">
        <f>IF(AE72=0,"",VLOOKUP(AE72,tab_tipo_expansao!$A$2:$B$4,2,0))</f>
        <v>opcional</v>
      </c>
      <c r="AG72" s="125">
        <v>2028</v>
      </c>
      <c r="AH72" s="125">
        <v>2100</v>
      </c>
      <c r="AI72" s="125">
        <v>30</v>
      </c>
      <c r="AJ72" s="530">
        <v>360</v>
      </c>
      <c r="AK72" s="24">
        <f>AL72/constantes!$B$4</f>
        <v>2564.102564102564</v>
      </c>
      <c r="AL72" s="33">
        <f t="shared" si="21"/>
        <v>10000</v>
      </c>
      <c r="AM72" s="87">
        <v>2</v>
      </c>
      <c r="AN72" s="531">
        <v>0</v>
      </c>
      <c r="AO72" s="23"/>
      <c r="AP72" s="532">
        <f t="shared" si="22"/>
        <v>360</v>
      </c>
      <c r="AR72" s="35">
        <f t="shared" si="23"/>
        <v>10000</v>
      </c>
      <c r="AS72" s="36">
        <f ca="1">OFFSET(cod_desembolso!$A$1,AM72,23)</f>
        <v>1.1245293369208682</v>
      </c>
      <c r="AT72" s="37">
        <f ca="1">IF(AP72=0,0,AP72*(OFFSET(cod_desembolso!$A$1,AM72,23)))</f>
        <v>404.83056129151254</v>
      </c>
      <c r="AU72" s="38">
        <f>(constantes!$B$3*(1+constantes!$B$3)^(AI72))/((1+constantes!$B$3)^(AI72)-1)</f>
        <v>8.8827433387272267E-2</v>
      </c>
      <c r="AV72" s="37">
        <f t="shared" ca="1" si="24"/>
        <v>37.76005971625387</v>
      </c>
      <c r="AW72" s="37">
        <f ca="1">IF(AP72=0,AY72/constantes!$B$3,AV72/constantes!$B$3)</f>
        <v>472.00074645317335</v>
      </c>
      <c r="AX72" s="39">
        <f ca="1">IF(AP72=0,0,PV(constantes!$B$3,AI72,-AV72)*constantes!$B$3)</f>
        <v>34.007565704731356</v>
      </c>
      <c r="AY72" s="40">
        <f>constantes!$B$10*F72/1000</f>
        <v>1.8</v>
      </c>
      <c r="AZ72" s="533">
        <f>constantes!$B$12</f>
        <v>0</v>
      </c>
      <c r="BA72" s="20">
        <v>318</v>
      </c>
      <c r="BB72" s="43"/>
      <c r="BC72" s="3" t="s">
        <v>2197</v>
      </c>
      <c r="BE72" s="534">
        <v>1</v>
      </c>
      <c r="BF72" s="535">
        <v>2027</v>
      </c>
      <c r="BG72" s="536">
        <v>1</v>
      </c>
      <c r="BH72" s="537">
        <v>2027</v>
      </c>
    </row>
    <row r="73" spans="1:60" ht="14.45" hidden="1" customHeight="1">
      <c r="A73" s="125">
        <v>1072</v>
      </c>
      <c r="B73" s="125">
        <v>1072</v>
      </c>
      <c r="C73" s="626" t="s">
        <v>2301</v>
      </c>
      <c r="D73" s="538" t="s">
        <v>2301</v>
      </c>
      <c r="E73" s="546"/>
      <c r="F73" s="526">
        <v>93.2</v>
      </c>
      <c r="G73" s="3" t="s">
        <v>2196</v>
      </c>
      <c r="H73" s="3" t="s">
        <v>2214</v>
      </c>
      <c r="I73" s="527">
        <v>-53.991165000000002</v>
      </c>
      <c r="J73" s="527">
        <v>-24.112266999999999</v>
      </c>
      <c r="K73" s="539" t="s">
        <v>153</v>
      </c>
      <c r="L73" s="539" t="s">
        <v>153</v>
      </c>
      <c r="M73" s="554">
        <v>2</v>
      </c>
      <c r="N73" s="107"/>
      <c r="O73" s="529">
        <v>1.9820000000000001E-2</v>
      </c>
      <c r="P73" s="529">
        <v>5.2919999999999995E-2</v>
      </c>
      <c r="Q73" s="288">
        <f t="shared" si="15"/>
        <v>0.61306490138974035</v>
      </c>
      <c r="R73" s="30">
        <f t="shared" si="16"/>
        <v>57.137648809523803</v>
      </c>
      <c r="S73" s="30">
        <f t="shared" si="17"/>
        <v>36.0623511904762</v>
      </c>
      <c r="T73" s="107">
        <v>55.609047619047629</v>
      </c>
      <c r="U73" s="107">
        <v>58.277142857142856</v>
      </c>
      <c r="V73" s="107">
        <v>53.320416666666659</v>
      </c>
      <c r="W73" s="107">
        <v>61.343988095238082</v>
      </c>
      <c r="X73" s="288">
        <f t="shared" si="18"/>
        <v>0.62247780442649181</v>
      </c>
      <c r="Y73" s="289">
        <f t="shared" si="19"/>
        <v>58.014931372549036</v>
      </c>
      <c r="Z73" s="289">
        <f t="shared" si="20"/>
        <v>0.87728256302523278</v>
      </c>
      <c r="AA73" s="107">
        <v>57.475254901960788</v>
      </c>
      <c r="AB73" s="107">
        <v>55.529137254901968</v>
      </c>
      <c r="AC73" s="107">
        <v>55.48635294117647</v>
      </c>
      <c r="AD73" s="107">
        <v>63.568980392156902</v>
      </c>
      <c r="AE73" s="106">
        <v>1</v>
      </c>
      <c r="AF73" s="32" t="str">
        <f>IF(AE73=0,"",VLOOKUP(AE73,tab_tipo_expansao!$A$2:$B$4,2,0))</f>
        <v>opcional</v>
      </c>
      <c r="AG73" s="125">
        <v>2024</v>
      </c>
      <c r="AH73" s="125">
        <v>2100</v>
      </c>
      <c r="AI73" s="125">
        <v>30</v>
      </c>
      <c r="AJ73" s="530">
        <v>852.20135706181622</v>
      </c>
      <c r="AK73" s="24">
        <f>AL73/constantes!$B$4</f>
        <v>2344.5618935342141</v>
      </c>
      <c r="AL73" s="33">
        <f t="shared" si="21"/>
        <v>9143.7913847834352</v>
      </c>
      <c r="AM73" s="87">
        <v>2</v>
      </c>
      <c r="AN73" s="531">
        <v>0</v>
      </c>
      <c r="AO73" s="23"/>
      <c r="AP73" s="532">
        <f t="shared" si="22"/>
        <v>852.20135706181622</v>
      </c>
      <c r="AR73" s="35">
        <f t="shared" si="23"/>
        <v>9143.7913847834352</v>
      </c>
      <c r="AS73" s="36">
        <f ca="1">OFFSET(cod_desembolso!$A$1,AM73,23)</f>
        <v>1.1245293369208682</v>
      </c>
      <c r="AT73" s="37">
        <f ca="1">IF(AP73=0,0,AP73*(OFFSET(cod_desembolso!$A$1,AM73,23)))</f>
        <v>958.32542697978829</v>
      </c>
      <c r="AU73" s="38">
        <f>(constantes!$B$3*(1+constantes!$B$3)^(AI73))/((1+constantes!$B$3)^(AI73)-1)</f>
        <v>8.8827433387272267E-2</v>
      </c>
      <c r="AV73" s="37">
        <f t="shared" ca="1" si="24"/>
        <v>89.785588028376395</v>
      </c>
      <c r="AW73" s="37">
        <f ca="1">IF(AP73=0,AY73/constantes!$B$3,AV73/constantes!$B$3)</f>
        <v>1122.3198503547048</v>
      </c>
      <c r="AX73" s="39">
        <f ca="1">IF(AP73=0,0,PV(constantes!$B$3,AI73,-AV73)*constantes!$B$3)</f>
        <v>80.862935788700995</v>
      </c>
      <c r="AY73" s="40">
        <f>constantes!$B$10*F73/1000</f>
        <v>4.66</v>
      </c>
      <c r="AZ73" s="533">
        <f>constantes!$B$12</f>
        <v>0</v>
      </c>
      <c r="BA73" s="20">
        <v>318</v>
      </c>
      <c r="BB73" s="43"/>
      <c r="BC73" s="3" t="s">
        <v>2209</v>
      </c>
      <c r="BE73" s="534">
        <v>1</v>
      </c>
      <c r="BF73" s="535">
        <v>2024</v>
      </c>
      <c r="BG73" s="536">
        <v>1</v>
      </c>
      <c r="BH73" s="537">
        <v>2024</v>
      </c>
    </row>
    <row r="74" spans="1:60" ht="14.45">
      <c r="A74" s="125">
        <v>1073</v>
      </c>
      <c r="B74" s="125">
        <v>1073</v>
      </c>
      <c r="C74" s="538" t="s">
        <v>2302</v>
      </c>
      <c r="D74" s="538" t="s">
        <v>2302</v>
      </c>
      <c r="E74" s="546"/>
      <c r="F74" s="526">
        <v>117</v>
      </c>
      <c r="G74" s="3" t="s">
        <v>2181</v>
      </c>
      <c r="H74" s="3" t="s">
        <v>2296</v>
      </c>
      <c r="I74" s="527">
        <v>-58.295529999999999</v>
      </c>
      <c r="J74" s="527">
        <v>-12.919869</v>
      </c>
      <c r="K74" s="539" t="s">
        <v>160</v>
      </c>
      <c r="L74" s="539" t="s">
        <v>160</v>
      </c>
      <c r="M74" s="554">
        <v>10</v>
      </c>
      <c r="N74" s="107"/>
      <c r="O74" s="529">
        <v>1.9820000000000001E-2</v>
      </c>
      <c r="P74" s="529">
        <v>5.2919999999999995E-2</v>
      </c>
      <c r="Q74" s="288">
        <f t="shared" si="15"/>
        <v>0.75920991045991049</v>
      </c>
      <c r="R74" s="30">
        <f t="shared" si="16"/>
        <v>88.827559523809526</v>
      </c>
      <c r="S74" s="30">
        <f t="shared" si="17"/>
        <v>28.172440476190474</v>
      </c>
      <c r="T74" s="107">
        <v>102.41000000000001</v>
      </c>
      <c r="U74" s="107">
        <v>96.355892857142862</v>
      </c>
      <c r="V74" s="107">
        <v>75.072083333333325</v>
      </c>
      <c r="W74" s="107">
        <v>81.472261904761908</v>
      </c>
      <c r="X74" s="288">
        <f t="shared" si="18"/>
        <v>0.73659435227082282</v>
      </c>
      <c r="Y74" s="289">
        <f t="shared" si="19"/>
        <v>86.181539215686271</v>
      </c>
      <c r="Z74" s="289">
        <f t="shared" si="20"/>
        <v>-2.6460203081232549</v>
      </c>
      <c r="AA74" s="107">
        <v>101.29035294117647</v>
      </c>
      <c r="AB74" s="107">
        <v>90.4910588235294</v>
      </c>
      <c r="AC74" s="107">
        <v>72.246509803921583</v>
      </c>
      <c r="AD74" s="107">
        <v>80.698235294117637</v>
      </c>
      <c r="AE74" s="106">
        <v>1</v>
      </c>
      <c r="AF74" s="32" t="str">
        <f>IF(AE74=0,"",VLOOKUP(AE74,tab_tipo_expansao!$A$2:$B$4,2,0))</f>
        <v>opcional</v>
      </c>
      <c r="AG74" s="125">
        <v>2030</v>
      </c>
      <c r="AH74" s="125">
        <v>2100</v>
      </c>
      <c r="AI74" s="125">
        <v>30</v>
      </c>
      <c r="AJ74" s="530">
        <v>1949.2162899785994</v>
      </c>
      <c r="AK74" s="24">
        <f>AL74/constantes!$B$4</f>
        <v>4271.7867411321486</v>
      </c>
      <c r="AL74" s="33">
        <f t="shared" si="21"/>
        <v>16659.968290415378</v>
      </c>
      <c r="AM74" s="87">
        <v>2</v>
      </c>
      <c r="AN74" s="531">
        <v>0</v>
      </c>
      <c r="AO74" s="23"/>
      <c r="AP74" s="532">
        <f t="shared" si="22"/>
        <v>1949.2162899785994</v>
      </c>
      <c r="AR74" s="35">
        <f t="shared" si="23"/>
        <v>16659.968290415378</v>
      </c>
      <c r="AS74" s="36">
        <f ca="1">OFFSET(cod_desembolso!$A$1,AM74,23)</f>
        <v>1.1245293369208682</v>
      </c>
      <c r="AT74" s="37">
        <f ca="1">IF(AP74=0,0,AP74*(OFFSET(cod_desembolso!$A$1,AM74,23)))</f>
        <v>2191.9509020849891</v>
      </c>
      <c r="AU74" s="38">
        <f>(constantes!$B$3*(1+constantes!$B$3)^(AI74))/((1+constantes!$B$3)^(AI74)-1)</f>
        <v>8.8827433387272267E-2</v>
      </c>
      <c r="AV74" s="37">
        <f t="shared" ca="1" si="24"/>
        <v>200.55537274312573</v>
      </c>
      <c r="AW74" s="37">
        <f ca="1">IF(AP74=0,AY74/constantes!$B$3,AV74/constantes!$B$3)</f>
        <v>2506.9421592890717</v>
      </c>
      <c r="AX74" s="39">
        <f ca="1">IF(AP74=0,0,PV(constantes!$B$3,AI74,-AV74)*constantes!$B$3)</f>
        <v>180.6247147713828</v>
      </c>
      <c r="AY74" s="40">
        <f>constantes!$B$10*F74/1000</f>
        <v>5.85</v>
      </c>
      <c r="AZ74" s="533">
        <f>constantes!$B$12</f>
        <v>0</v>
      </c>
      <c r="BA74" s="20">
        <v>318</v>
      </c>
      <c r="BB74" s="43"/>
      <c r="BC74" s="3" t="s">
        <v>2217</v>
      </c>
      <c r="BE74" s="534">
        <v>1</v>
      </c>
      <c r="BF74" s="535">
        <v>2035</v>
      </c>
      <c r="BG74" s="536">
        <v>3</v>
      </c>
      <c r="BH74" s="537">
        <v>2050</v>
      </c>
    </row>
    <row r="75" spans="1:60" ht="14.45" hidden="1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46"/>
      <c r="F75" s="526">
        <v>63.2</v>
      </c>
      <c r="G75" s="3" t="s">
        <v>2097</v>
      </c>
      <c r="H75" s="3" t="s">
        <v>2202</v>
      </c>
      <c r="I75" s="527">
        <v>-52.739455999999997</v>
      </c>
      <c r="J75" s="527">
        <v>-26.860178999999999</v>
      </c>
      <c r="K75" s="539" t="s">
        <v>1991</v>
      </c>
      <c r="L75" s="539" t="s">
        <v>1991</v>
      </c>
      <c r="M75" s="554">
        <v>2</v>
      </c>
      <c r="N75" s="107"/>
      <c r="O75" s="529">
        <v>1.9820000000000001E-2</v>
      </c>
      <c r="P75" s="529">
        <v>5.2919999999999995E-2</v>
      </c>
      <c r="Q75" s="288">
        <f t="shared" si="15"/>
        <v>0.48434815777576845</v>
      </c>
      <c r="R75" s="30">
        <f t="shared" si="16"/>
        <v>30.610803571428569</v>
      </c>
      <c r="S75" s="30">
        <f t="shared" si="17"/>
        <v>32.589196428571434</v>
      </c>
      <c r="T75" s="107">
        <v>20.89</v>
      </c>
      <c r="U75" s="107">
        <v>32.073749999999997</v>
      </c>
      <c r="V75" s="107">
        <v>35.258333333333333</v>
      </c>
      <c r="W75" s="107">
        <v>34.221130952380953</v>
      </c>
      <c r="X75" s="288">
        <f t="shared" si="18"/>
        <v>0.55762146314221894</v>
      </c>
      <c r="Y75" s="289">
        <f t="shared" si="19"/>
        <v>35.241676470588239</v>
      </c>
      <c r="Z75" s="289">
        <f t="shared" si="20"/>
        <v>4.6308728991596695</v>
      </c>
      <c r="AA75" s="107">
        <v>27.289411764705903</v>
      </c>
      <c r="AB75" s="107">
        <v>34.268941176470577</v>
      </c>
      <c r="AC75" s="107">
        <v>41.050627450980386</v>
      </c>
      <c r="AD75" s="107">
        <v>38.357725490196088</v>
      </c>
      <c r="AE75" s="106">
        <v>1</v>
      </c>
      <c r="AF75" s="32" t="str">
        <f>IF(AE75=0,"",VLOOKUP(AE75,tab_tipo_expansao!$A$2:$B$4,2,0))</f>
        <v>opcional</v>
      </c>
      <c r="AG75" s="125">
        <v>2028</v>
      </c>
      <c r="AH75" s="125">
        <v>2100</v>
      </c>
      <c r="AI75" s="125">
        <v>30</v>
      </c>
      <c r="AJ75" s="530">
        <v>525.81563620732982</v>
      </c>
      <c r="AK75" s="24">
        <f>AL75/constantes!$B$4</f>
        <v>2133.2994003867648</v>
      </c>
      <c r="AL75" s="33">
        <f t="shared" si="21"/>
        <v>8319.8676615083823</v>
      </c>
      <c r="AM75" s="87">
        <v>2</v>
      </c>
      <c r="AN75" s="531">
        <v>0</v>
      </c>
      <c r="AO75" s="23"/>
      <c r="AP75" s="532">
        <f t="shared" si="22"/>
        <v>525.81563620732982</v>
      </c>
      <c r="AR75" s="35">
        <f t="shared" si="23"/>
        <v>8319.8676615083823</v>
      </c>
      <c r="AS75" s="36">
        <f ca="1">OFFSET(cod_desembolso!$A$1,AM75,23)</f>
        <v>1.1245293369208682</v>
      </c>
      <c r="AT75" s="37">
        <f ca="1">IF(AP75=0,0,AP75*(OFFSET(cod_desembolso!$A$1,AM75,23)))</f>
        <v>591.29510872685307</v>
      </c>
      <c r="AU75" s="38">
        <f>(constantes!$B$3*(1+constantes!$B$3)^(AI75))/((1+constantes!$B$3)^(AI75)-1)</f>
        <v>8.8827433387272267E-2</v>
      </c>
      <c r="AV75" s="37">
        <f t="shared" ca="1" si="24"/>
        <v>55.683226882654452</v>
      </c>
      <c r="AW75" s="37">
        <f ca="1">IF(AP75=0,AY75/constantes!$B$3,AV75/constantes!$B$3)</f>
        <v>696.04033603318067</v>
      </c>
      <c r="AX75" s="39">
        <f ca="1">IF(AP75=0,0,PV(constantes!$B$3,AI75,-AV75)*constantes!$B$3)</f>
        <v>50.149576327290873</v>
      </c>
      <c r="AY75" s="40">
        <f>constantes!$B$10*F75/1000</f>
        <v>3.16</v>
      </c>
      <c r="AZ75" s="533">
        <f>constantes!$B$12</f>
        <v>0</v>
      </c>
      <c r="BA75" s="20">
        <v>318</v>
      </c>
      <c r="BB75" s="43"/>
      <c r="BC75" s="3" t="s">
        <v>2209</v>
      </c>
      <c r="BE75" s="534">
        <v>1</v>
      </c>
      <c r="BF75" s="535">
        <v>2026</v>
      </c>
      <c r="BG75" s="536">
        <v>1</v>
      </c>
      <c r="BH75" s="537">
        <v>2026</v>
      </c>
    </row>
    <row r="76" spans="1:60" ht="14.45" hidden="1">
      <c r="A76" s="125">
        <v>1075</v>
      </c>
      <c r="B76" s="125">
        <v>1075</v>
      </c>
      <c r="C76" s="538" t="s">
        <v>2304</v>
      </c>
      <c r="D76" s="538" t="s">
        <v>2304</v>
      </c>
      <c r="E76" s="546"/>
      <c r="F76" s="526">
        <v>47.5</v>
      </c>
      <c r="G76" s="3" t="s">
        <v>2196</v>
      </c>
      <c r="H76" s="3" t="s">
        <v>2305</v>
      </c>
      <c r="I76" s="527">
        <v>-50.126040000000003</v>
      </c>
      <c r="J76" s="527">
        <v>-18.219864000000001</v>
      </c>
      <c r="K76" s="539" t="s">
        <v>2005</v>
      </c>
      <c r="L76" s="539" t="s">
        <v>2005</v>
      </c>
      <c r="M76" s="554">
        <v>1</v>
      </c>
      <c r="N76" s="107"/>
      <c r="O76" s="529">
        <v>2.068E-2</v>
      </c>
      <c r="P76" s="529">
        <v>4.6600000000000003E-2</v>
      </c>
      <c r="Q76" s="288">
        <f t="shared" si="15"/>
        <v>0.532119300920186</v>
      </c>
      <c r="R76" s="30">
        <f t="shared" si="16"/>
        <v>25.275666793708833</v>
      </c>
      <c r="S76" s="30">
        <f t="shared" si="17"/>
        <v>22.224333206291167</v>
      </c>
      <c r="T76" s="107">
        <v>31.674680262431778</v>
      </c>
      <c r="U76" s="107">
        <v>27.805556068880254</v>
      </c>
      <c r="V76" s="107">
        <v>19.723916892571996</v>
      </c>
      <c r="W76" s="107">
        <v>21.898513950951308</v>
      </c>
      <c r="X76" s="288">
        <f t="shared" si="18"/>
        <v>0.56765074645560587</v>
      </c>
      <c r="Y76" s="289">
        <f t="shared" si="19"/>
        <v>26.963410456641277</v>
      </c>
      <c r="Z76" s="289">
        <f t="shared" si="20"/>
        <v>1.6877436629324443</v>
      </c>
      <c r="AA76" s="107">
        <v>35.242661276249805</v>
      </c>
      <c r="AB76" s="107">
        <v>29.319474494000769</v>
      </c>
      <c r="AC76" s="107">
        <v>20.185973787284297</v>
      </c>
      <c r="AD76" s="107">
        <v>23.105532269030231</v>
      </c>
      <c r="AE76" s="106">
        <v>1</v>
      </c>
      <c r="AF76" s="32" t="str">
        <f>IF(AE76=0,"",VLOOKUP(AE76,tab_tipo_expansao!$A$2:$B$4,2,0))</f>
        <v>opcional</v>
      </c>
      <c r="AG76" s="125">
        <v>2028</v>
      </c>
      <c r="AH76" s="125">
        <v>2100</v>
      </c>
      <c r="AI76" s="125">
        <v>30</v>
      </c>
      <c r="AJ76" s="530">
        <v>442.28079965097891</v>
      </c>
      <c r="AK76" s="24">
        <f>AL76/constantes!$B$4</f>
        <v>2387.4806998703316</v>
      </c>
      <c r="AL76" s="33">
        <f t="shared" si="21"/>
        <v>9311.1747294942925</v>
      </c>
      <c r="AM76" s="87">
        <v>2</v>
      </c>
      <c r="AN76" s="531">
        <v>0</v>
      </c>
      <c r="AO76" s="23"/>
      <c r="AP76" s="532">
        <f t="shared" si="22"/>
        <v>442.28079965097891</v>
      </c>
      <c r="AR76" s="35">
        <f t="shared" si="23"/>
        <v>9311.1747294942925</v>
      </c>
      <c r="AS76" s="36">
        <f ca="1">OFFSET(cod_desembolso!$A$1,AM76,23)</f>
        <v>1.1245293369208682</v>
      </c>
      <c r="AT76" s="37">
        <f ca="1">IF(AP76=0,0,AP76*(OFFSET(cod_desembolso!$A$1,AM76,23)))</f>
        <v>497.35773436434664</v>
      </c>
      <c r="AU76" s="38">
        <f>(constantes!$B$3*(1+constantes!$B$3)^(AI76))/((1+constantes!$B$3)^(AI76)-1)</f>
        <v>8.8827433387272267E-2</v>
      </c>
      <c r="AV76" s="37">
        <f t="shared" ca="1" si="24"/>
        <v>46.554011018893654</v>
      </c>
      <c r="AW76" s="37">
        <f ca="1">IF(AP76=0,AY76/constantes!$B$3,AV76/constantes!$B$3)</f>
        <v>581.92513773617065</v>
      </c>
      <c r="AX76" s="39">
        <f ca="1">IF(AP76=0,0,PV(constantes!$B$3,AI76,-AV76)*constantes!$B$3)</f>
        <v>41.927597584341946</v>
      </c>
      <c r="AY76" s="40">
        <f>constantes!$B$10*F76/1000</f>
        <v>2.375</v>
      </c>
      <c r="AZ76" s="533">
        <f>constantes!$B$12</f>
        <v>0</v>
      </c>
      <c r="BA76" s="20">
        <v>318</v>
      </c>
      <c r="BB76" s="43"/>
      <c r="BC76" s="3" t="s">
        <v>2197</v>
      </c>
      <c r="BE76" s="534">
        <v>1</v>
      </c>
      <c r="BF76" s="535">
        <v>2027</v>
      </c>
      <c r="BG76" s="536">
        <v>1</v>
      </c>
      <c r="BH76" s="537">
        <v>2027</v>
      </c>
    </row>
    <row r="77" spans="1:60" ht="14.45" hidden="1">
      <c r="A77" s="125">
        <v>1076</v>
      </c>
      <c r="B77" s="125">
        <v>1076</v>
      </c>
      <c r="C77" s="538" t="s">
        <v>2306</v>
      </c>
      <c r="D77" s="538" t="s">
        <v>2306</v>
      </c>
      <c r="E77" s="546"/>
      <c r="F77" s="526">
        <v>238</v>
      </c>
      <c r="G77" s="3" t="s">
        <v>2231</v>
      </c>
      <c r="H77" s="3" t="s">
        <v>2234</v>
      </c>
      <c r="I77" s="527">
        <v>-41.564042000000001</v>
      </c>
      <c r="J77" s="527">
        <v>-19.005355999999999</v>
      </c>
      <c r="K77" s="539" t="s">
        <v>152</v>
      </c>
      <c r="L77" s="539" t="s">
        <v>152</v>
      </c>
      <c r="M77" s="554">
        <v>1</v>
      </c>
      <c r="N77" s="107"/>
      <c r="O77" s="529">
        <v>1.9820000000000001E-2</v>
      </c>
      <c r="P77" s="529">
        <v>5.2919999999999995E-2</v>
      </c>
      <c r="Q77" s="288">
        <f t="shared" si="15"/>
        <v>0.55262117346938766</v>
      </c>
      <c r="R77" s="30">
        <f t="shared" si="16"/>
        <v>131.52383928571427</v>
      </c>
      <c r="S77" s="30">
        <f t="shared" si="17"/>
        <v>106.47616071428573</v>
      </c>
      <c r="T77" s="107">
        <v>179.08238095238096</v>
      </c>
      <c r="U77" s="107">
        <v>122.93136904761907</v>
      </c>
      <c r="V77" s="107">
        <v>82.611249999999998</v>
      </c>
      <c r="W77" s="107">
        <v>141.47035714285713</v>
      </c>
      <c r="X77" s="288">
        <f t="shared" si="18"/>
        <v>0.55873727137913998</v>
      </c>
      <c r="Y77" s="289">
        <f t="shared" si="19"/>
        <v>132.9794705882353</v>
      </c>
      <c r="Z77" s="289">
        <f t="shared" si="20"/>
        <v>1.4556313025210272</v>
      </c>
      <c r="AA77" s="107">
        <v>187.79447058823533</v>
      </c>
      <c r="AB77" s="107">
        <v>119.94231372549018</v>
      </c>
      <c r="AC77" s="107">
        <v>79.122549019607874</v>
      </c>
      <c r="AD77" s="107">
        <v>145.05854901960785</v>
      </c>
      <c r="AE77" s="106">
        <v>1</v>
      </c>
      <c r="AF77" s="32" t="str">
        <f>IF(AE77=0,"",VLOOKUP(AE77,tab_tipo_expansao!$A$2:$B$4,2,0))</f>
        <v>opcional</v>
      </c>
      <c r="AG77" s="125">
        <v>2028</v>
      </c>
      <c r="AH77" s="125">
        <v>2100</v>
      </c>
      <c r="AI77" s="125">
        <v>30</v>
      </c>
      <c r="AJ77" s="530">
        <v>1473.0791410517393</v>
      </c>
      <c r="AK77" s="24">
        <f>AL77/constantes!$B$4</f>
        <v>1587.0277322255326</v>
      </c>
      <c r="AL77" s="33">
        <f t="shared" si="21"/>
        <v>6189.4081556795772</v>
      </c>
      <c r="AM77" s="87">
        <v>2</v>
      </c>
      <c r="AN77" s="531">
        <v>0</v>
      </c>
      <c r="AO77" s="23"/>
      <c r="AP77" s="532">
        <f t="shared" si="22"/>
        <v>1473.0791410517393</v>
      </c>
      <c r="AR77" s="35">
        <f t="shared" si="23"/>
        <v>6189.4081556795763</v>
      </c>
      <c r="AS77" s="36">
        <f ca="1">OFFSET(cod_desembolso!$A$1,AM77,23)</f>
        <v>1.1245293369208682</v>
      </c>
      <c r="AT77" s="37">
        <f ca="1">IF(AP77=0,0,AP77*(OFFSET(cod_desembolso!$A$1,AM77,23)))</f>
        <v>1656.5207097188745</v>
      </c>
      <c r="AU77" s="38">
        <f>(constantes!$B$3*(1+constantes!$B$3)^(AI77))/((1+constantes!$B$3)^(AI77)-1)</f>
        <v>8.8827433387272267E-2</v>
      </c>
      <c r="AV77" s="37">
        <f t="shared" ca="1" si="24"/>
        <v>159.0444829971903</v>
      </c>
      <c r="AW77" s="37">
        <f ca="1">IF(AP77=0,AY77/constantes!$B$3,AV77/constantes!$B$3)</f>
        <v>1988.0560374648787</v>
      </c>
      <c r="AX77" s="39">
        <f ca="1">IF(AP77=0,0,PV(constantes!$B$3,AI77,-AV77)*constantes!$B$3)</f>
        <v>143.23906652016734</v>
      </c>
      <c r="AY77" s="40">
        <f>constantes!$B$10*F77/1000</f>
        <v>11.9</v>
      </c>
      <c r="AZ77" s="533">
        <f>constantes!$B$12</f>
        <v>0</v>
      </c>
      <c r="BA77" s="20">
        <v>318</v>
      </c>
      <c r="BB77" s="43"/>
      <c r="BC77" s="3" t="s">
        <v>2197</v>
      </c>
      <c r="BE77" s="534">
        <v>1</v>
      </c>
      <c r="BF77" s="535">
        <v>2027</v>
      </c>
      <c r="BG77" s="536">
        <v>1</v>
      </c>
      <c r="BH77" s="537">
        <v>2027</v>
      </c>
    </row>
    <row r="78" spans="1:60" ht="14.45">
      <c r="A78" s="125">
        <v>1077</v>
      </c>
      <c r="B78" s="125">
        <v>1077</v>
      </c>
      <c r="C78" s="538" t="s">
        <v>2307</v>
      </c>
      <c r="D78" s="538" t="s">
        <v>2307</v>
      </c>
      <c r="E78" s="546"/>
      <c r="F78" s="526">
        <v>47</v>
      </c>
      <c r="G78" s="3" t="s">
        <v>2196</v>
      </c>
      <c r="H78" s="3" t="s">
        <v>2126</v>
      </c>
      <c r="I78" s="527">
        <v>-47.274999999999999</v>
      </c>
      <c r="J78" s="527">
        <v>-18.079000000000001</v>
      </c>
      <c r="K78" s="539" t="s">
        <v>152</v>
      </c>
      <c r="L78" s="539" t="s">
        <v>152</v>
      </c>
      <c r="M78" s="554">
        <v>1</v>
      </c>
      <c r="N78" s="107"/>
      <c r="O78" s="529">
        <v>2.068E-2</v>
      </c>
      <c r="P78" s="529">
        <v>4.6600000000000003E-2</v>
      </c>
      <c r="Q78" s="288">
        <f t="shared" si="15"/>
        <v>0.46315824468085109</v>
      </c>
      <c r="R78" s="30">
        <f t="shared" si="16"/>
        <v>21.768437500000001</v>
      </c>
      <c r="S78" s="30">
        <f t="shared" si="17"/>
        <v>25.231562499999999</v>
      </c>
      <c r="T78" s="107">
        <v>33.136190476190478</v>
      </c>
      <c r="U78" s="107">
        <v>23.250595238095233</v>
      </c>
      <c r="V78" s="107">
        <v>11.135833333333332</v>
      </c>
      <c r="W78" s="107">
        <v>19.551130952380955</v>
      </c>
      <c r="X78" s="288">
        <f t="shared" si="18"/>
        <v>0.50524947851481028</v>
      </c>
      <c r="Y78" s="289">
        <f t="shared" si="19"/>
        <v>23.746725490196081</v>
      </c>
      <c r="Z78" s="289">
        <f t="shared" si="20"/>
        <v>1.9782879901960797</v>
      </c>
      <c r="AA78" s="107">
        <v>37.908235294117652</v>
      </c>
      <c r="AB78" s="107">
        <v>24.334705882352946</v>
      </c>
      <c r="AC78" s="107">
        <v>11.495921568627452</v>
      </c>
      <c r="AD78" s="107">
        <v>21.248039215686273</v>
      </c>
      <c r="AE78" s="106">
        <v>1</v>
      </c>
      <c r="AF78" s="32" t="str">
        <f>IF(AE78=0,"",VLOOKUP(AE78,tab_tipo_expansao!$A$2:$B$4,2,0))</f>
        <v>opcional</v>
      </c>
      <c r="AG78" s="125">
        <v>2030</v>
      </c>
      <c r="AH78" s="125">
        <v>2100</v>
      </c>
      <c r="AI78" s="125">
        <v>30</v>
      </c>
      <c r="AJ78" s="530">
        <v>470</v>
      </c>
      <c r="AK78" s="24">
        <f>AL78/constantes!$B$4</f>
        <v>2564.102564102564</v>
      </c>
      <c r="AL78" s="33">
        <f t="shared" si="21"/>
        <v>10000</v>
      </c>
      <c r="AM78" s="87">
        <v>2</v>
      </c>
      <c r="AN78" s="531">
        <v>0</v>
      </c>
      <c r="AO78" s="23"/>
      <c r="AP78" s="532">
        <f t="shared" si="22"/>
        <v>470</v>
      </c>
      <c r="AR78" s="35">
        <f t="shared" si="23"/>
        <v>10000</v>
      </c>
      <c r="AS78" s="36">
        <f ca="1">OFFSET(cod_desembolso!$A$1,AM78,23)</f>
        <v>1.1245293369208682</v>
      </c>
      <c r="AT78" s="37">
        <f ca="1">IF(AP78=0,0,AP78*(OFFSET(cod_desembolso!$A$1,AM78,23)))</f>
        <v>528.52878835280808</v>
      </c>
      <c r="AU78" s="38">
        <f>(constantes!$B$3*(1+constantes!$B$3)^(AI78))/((1+constantes!$B$3)^(AI78)-1)</f>
        <v>8.8827433387272267E-2</v>
      </c>
      <c r="AV78" s="37">
        <f t="shared" ca="1" si="24"/>
        <v>49.297855740664787</v>
      </c>
      <c r="AW78" s="37">
        <f ca="1">IF(AP78=0,AY78/constantes!$B$3,AV78/constantes!$B$3)</f>
        <v>616.22319675830977</v>
      </c>
      <c r="AX78" s="39">
        <f ca="1">IF(AP78=0,0,PV(constantes!$B$3,AI78,-AV78)*constantes!$B$3)</f>
        <v>44.398766336732614</v>
      </c>
      <c r="AY78" s="40">
        <f>constantes!$B$10*F78/1000</f>
        <v>2.35</v>
      </c>
      <c r="AZ78" s="533">
        <f>constantes!$B$12</f>
        <v>0</v>
      </c>
      <c r="BA78" s="20">
        <v>318</v>
      </c>
      <c r="BB78" s="43"/>
      <c r="BC78" s="3" t="s">
        <v>2183</v>
      </c>
      <c r="BE78" s="534">
        <v>1</v>
      </c>
      <c r="BF78" s="535">
        <v>2027</v>
      </c>
      <c r="BG78" s="536">
        <v>1</v>
      </c>
      <c r="BH78" s="537">
        <v>2027</v>
      </c>
    </row>
    <row r="79" spans="1:60" ht="14.45" hidden="1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46"/>
      <c r="F79" s="526">
        <v>576</v>
      </c>
      <c r="G79" s="3" t="s">
        <v>2097</v>
      </c>
      <c r="H79" s="3" t="s">
        <v>2097</v>
      </c>
      <c r="K79" s="539" t="s">
        <v>151</v>
      </c>
      <c r="L79" s="539" t="s">
        <v>151</v>
      </c>
      <c r="M79" s="554">
        <v>2</v>
      </c>
      <c r="N79" s="107"/>
      <c r="O79" s="529">
        <v>1.6379999999999999E-2</v>
      </c>
      <c r="P79" s="529">
        <v>6.1409999999999999E-2</v>
      </c>
      <c r="Q79" s="288">
        <f t="shared" si="15"/>
        <v>0.47915718522652118</v>
      </c>
      <c r="R79" s="30">
        <f t="shared" si="16"/>
        <v>275.99453869047619</v>
      </c>
      <c r="S79" s="30">
        <f t="shared" si="17"/>
        <v>300.00546130952381</v>
      </c>
      <c r="T79" s="107">
        <v>164.14261904761904</v>
      </c>
      <c r="U79" s="107">
        <v>274.19348214285714</v>
      </c>
      <c r="V79" s="107">
        <v>351.55145833333336</v>
      </c>
      <c r="W79" s="107">
        <v>314.0905952380952</v>
      </c>
      <c r="X79" s="288">
        <f t="shared" si="18"/>
        <v>0.55556686580882353</v>
      </c>
      <c r="Y79" s="289">
        <f t="shared" si="19"/>
        <v>320.00651470588235</v>
      </c>
      <c r="Z79" s="289">
        <f t="shared" si="20"/>
        <v>44.011976015406162</v>
      </c>
      <c r="AA79" s="107">
        <v>225.00399999999999</v>
      </c>
      <c r="AB79" s="107">
        <v>311.33458823529412</v>
      </c>
      <c r="AC79" s="107">
        <v>396.12464705882348</v>
      </c>
      <c r="AD79" s="107">
        <v>347.56282352941179</v>
      </c>
      <c r="AE79" s="106">
        <v>1</v>
      </c>
      <c r="AF79" s="32" t="str">
        <f>IF(AE79=0,"",VLOOKUP(AE79,tab_tipo_expansao!$A$2:$B$4,2,0))</f>
        <v>opcional</v>
      </c>
      <c r="AG79" s="125">
        <v>2028</v>
      </c>
      <c r="AH79" s="125">
        <v>2100</v>
      </c>
      <c r="AI79" s="125">
        <v>30</v>
      </c>
      <c r="AJ79" s="530">
        <v>5701.7490283295992</v>
      </c>
      <c r="AK79" s="24">
        <f>AL79/constantes!$B$4</f>
        <v>2538.1717540641021</v>
      </c>
      <c r="AL79" s="33">
        <f t="shared" si="21"/>
        <v>9898.8698408499986</v>
      </c>
      <c r="AM79" s="87">
        <v>3</v>
      </c>
      <c r="AN79" s="531">
        <v>0</v>
      </c>
      <c r="AO79" s="23"/>
      <c r="AP79" s="532">
        <f t="shared" si="22"/>
        <v>5701.7490283295992</v>
      </c>
      <c r="AR79" s="35">
        <f t="shared" si="23"/>
        <v>9898.8698408499986</v>
      </c>
      <c r="AS79" s="36">
        <f ca="1">OFFSET(cod_desembolso!$A$1,AM79,23)</f>
        <v>1.1255071012622904</v>
      </c>
      <c r="AT79" s="37">
        <f ca="1">IF(AP79=0,0,AP79*(OFFSET(cod_desembolso!$A$1,AM79,23)))</f>
        <v>6417.3590210003276</v>
      </c>
      <c r="AU79" s="38">
        <f>(constantes!$B$3*(1+constantes!$B$3)^(AI79))/((1+constantes!$B$3)^(AI79)-1)</f>
        <v>8.8827433387272267E-2</v>
      </c>
      <c r="AV79" s="37">
        <f t="shared" ca="1" si="24"/>
        <v>598.83753096011731</v>
      </c>
      <c r="AW79" s="37">
        <f ca="1">IF(AP79=0,AY79/constantes!$B$3,AV79/constantes!$B$3)</f>
        <v>7485.4691370014662</v>
      </c>
      <c r="AX79" s="39">
        <f ca="1">IF(AP79=0,0,PV(constantes!$B$3,AI79,-AV79)*constantes!$B$3)</f>
        <v>539.32665450259185</v>
      </c>
      <c r="AY79" s="40">
        <f>constantes!$B$10*F79/1000</f>
        <v>28.8</v>
      </c>
      <c r="AZ79" s="533">
        <f>constantes!$B$12</f>
        <v>0</v>
      </c>
      <c r="BA79" s="20">
        <v>318</v>
      </c>
      <c r="BB79" s="43"/>
      <c r="BC79" s="3" t="s">
        <v>2197</v>
      </c>
      <c r="BE79" s="534">
        <v>1</v>
      </c>
      <c r="BF79" s="535">
        <v>2027</v>
      </c>
      <c r="BG79" s="536">
        <v>1</v>
      </c>
      <c r="BH79" s="537">
        <v>2027</v>
      </c>
    </row>
    <row r="80" spans="1:60" ht="14.45" hidden="1">
      <c r="A80" s="125">
        <v>1079</v>
      </c>
      <c r="B80" s="125">
        <v>1079</v>
      </c>
      <c r="C80" s="538" t="s">
        <v>2309</v>
      </c>
      <c r="D80" s="538" t="s">
        <v>2309</v>
      </c>
      <c r="E80" s="546"/>
      <c r="F80" s="526">
        <v>34.5</v>
      </c>
      <c r="G80" s="3" t="s">
        <v>2097</v>
      </c>
      <c r="H80" s="3" t="s">
        <v>2310</v>
      </c>
      <c r="I80" s="3">
        <v>-50.161948000000002</v>
      </c>
      <c r="J80" s="3">
        <v>-28.495774000000001</v>
      </c>
      <c r="K80" s="539" t="s">
        <v>151</v>
      </c>
      <c r="L80" s="539" t="s">
        <v>151</v>
      </c>
      <c r="M80" s="554">
        <v>2</v>
      </c>
      <c r="N80" s="107"/>
      <c r="O80" s="529">
        <v>2.068E-2</v>
      </c>
      <c r="P80" s="529">
        <v>4.6600000000000003E-2</v>
      </c>
      <c r="Q80" s="288">
        <f t="shared" si="15"/>
        <v>0.40680469289164944</v>
      </c>
      <c r="R80" s="30">
        <f t="shared" si="16"/>
        <v>14.034761904761906</v>
      </c>
      <c r="S80" s="30">
        <f t="shared" si="17"/>
        <v>20.465238095238092</v>
      </c>
      <c r="T80" s="107">
        <v>9.6266666666666669</v>
      </c>
      <c r="U80" s="107">
        <v>14.065</v>
      </c>
      <c r="V80" s="107">
        <v>18.463333333333335</v>
      </c>
      <c r="W80" s="107">
        <v>13.984047619047621</v>
      </c>
      <c r="X80" s="288">
        <f t="shared" si="18"/>
        <v>0.50946405228758185</v>
      </c>
      <c r="Y80" s="289">
        <f t="shared" si="19"/>
        <v>17.576509803921574</v>
      </c>
      <c r="Z80" s="289">
        <f t="shared" si="20"/>
        <v>3.5417478991596685</v>
      </c>
      <c r="AA80" s="107">
        <v>14.553647058823524</v>
      </c>
      <c r="AB80" s="107">
        <v>15.567647058823534</v>
      </c>
      <c r="AC80" s="107">
        <v>23.12270588235296</v>
      </c>
      <c r="AD80" s="107">
        <v>17.062039215686287</v>
      </c>
      <c r="AE80" s="106">
        <v>1</v>
      </c>
      <c r="AF80" s="32" t="str">
        <f>IF(AE80=0,"",VLOOKUP(AE80,tab_tipo_expansao!$A$2:$B$4,2,0))</f>
        <v>opcional</v>
      </c>
      <c r="AG80" s="125">
        <v>2028</v>
      </c>
      <c r="AH80" s="125">
        <v>2100</v>
      </c>
      <c r="AI80" s="125">
        <v>30</v>
      </c>
      <c r="AJ80" s="530">
        <v>345</v>
      </c>
      <c r="AK80" s="24">
        <f>AL80/constantes!$B$4</f>
        <v>2564.102564102564</v>
      </c>
      <c r="AL80" s="33">
        <f t="shared" si="21"/>
        <v>10000</v>
      </c>
      <c r="AM80" s="87">
        <v>2</v>
      </c>
      <c r="AN80" s="531">
        <v>0</v>
      </c>
      <c r="AO80" s="23"/>
      <c r="AP80" s="532">
        <f t="shared" si="22"/>
        <v>345</v>
      </c>
      <c r="AR80" s="35">
        <f t="shared" si="23"/>
        <v>10000</v>
      </c>
      <c r="AS80" s="36">
        <f ca="1">OFFSET(cod_desembolso!$A$1,AM80,23)</f>
        <v>1.1245293369208682</v>
      </c>
      <c r="AT80" s="37">
        <f ca="1">IF(AP80=0,0,AP80*(OFFSET(cod_desembolso!$A$1,AM80,23)))</f>
        <v>387.96262123769952</v>
      </c>
      <c r="AU80" s="38">
        <f>(constantes!$B$3*(1+constantes!$B$3)^(AI80))/((1+constantes!$B$3)^(AI80)-1)</f>
        <v>8.8827433387272267E-2</v>
      </c>
      <c r="AV80" s="37">
        <f t="shared" ca="1" si="24"/>
        <v>36.186723894743295</v>
      </c>
      <c r="AW80" s="37">
        <f ca="1">IF(AP80=0,AY80/constantes!$B$3,AV80/constantes!$B$3)</f>
        <v>452.33404868429119</v>
      </c>
      <c r="AX80" s="39">
        <f ca="1">IF(AP80=0,0,PV(constantes!$B$3,AI80,-AV80)*constantes!$B$3)</f>
        <v>32.590583800367554</v>
      </c>
      <c r="AY80" s="40">
        <f>constantes!$B$10*F80/1000</f>
        <v>1.7250000000000001</v>
      </c>
      <c r="AZ80" s="533">
        <f>constantes!$B$12</f>
        <v>0</v>
      </c>
      <c r="BA80" s="20">
        <v>318</v>
      </c>
      <c r="BB80" s="43"/>
      <c r="BC80" s="3" t="s">
        <v>2197</v>
      </c>
      <c r="BE80" s="534">
        <v>1</v>
      </c>
      <c r="BF80" s="535">
        <v>2027</v>
      </c>
      <c r="BG80" s="536">
        <v>1</v>
      </c>
      <c r="BH80" s="537">
        <v>2027</v>
      </c>
    </row>
    <row r="81" spans="1:60" ht="14.45">
      <c r="A81" s="125">
        <v>1080</v>
      </c>
      <c r="B81" s="125">
        <v>1080</v>
      </c>
      <c r="C81" s="538" t="s">
        <v>2311</v>
      </c>
      <c r="D81" s="538" t="s">
        <v>2311</v>
      </c>
      <c r="E81" s="546"/>
      <c r="F81" s="526">
        <v>131</v>
      </c>
      <c r="G81" s="3" t="s">
        <v>2181</v>
      </c>
      <c r="H81" s="3" t="s">
        <v>2253</v>
      </c>
      <c r="I81" s="3">
        <v>-60.622656999999997</v>
      </c>
      <c r="J81" s="3">
        <v>-10.035788999999999</v>
      </c>
      <c r="K81" s="539" t="s">
        <v>160</v>
      </c>
      <c r="L81" s="539" t="s">
        <v>160</v>
      </c>
      <c r="M81" s="554">
        <v>7</v>
      </c>
      <c r="N81" s="107"/>
      <c r="O81" s="529">
        <v>1.6379999999999999E-2</v>
      </c>
      <c r="P81" s="529">
        <v>6.1409999999999999E-2</v>
      </c>
      <c r="Q81" s="288">
        <f t="shared" si="15"/>
        <v>0.57201574427480928</v>
      </c>
      <c r="R81" s="30">
        <f t="shared" si="16"/>
        <v>74.93406250000001</v>
      </c>
      <c r="S81" s="30">
        <f t="shared" si="17"/>
        <v>56.06593749999999</v>
      </c>
      <c r="T81" s="107">
        <v>111.66190476190478</v>
      </c>
      <c r="U81" s="107">
        <v>100.06309523809523</v>
      </c>
      <c r="V81" s="107">
        <v>42.219166666666666</v>
      </c>
      <c r="W81" s="107">
        <v>45.792083333333331</v>
      </c>
      <c r="X81" s="288">
        <f t="shared" si="18"/>
        <v>0.58409541984732793</v>
      </c>
      <c r="Y81" s="289">
        <f t="shared" si="19"/>
        <v>76.516499999999965</v>
      </c>
      <c r="Z81" s="289">
        <f t="shared" si="20"/>
        <v>1.5824374999999549</v>
      </c>
      <c r="AA81" s="107">
        <v>117.26274509803916</v>
      </c>
      <c r="AB81" s="107">
        <v>100.68039215686269</v>
      </c>
      <c r="AC81" s="107">
        <v>38.561333333333344</v>
      </c>
      <c r="AD81" s="107">
        <v>49.561529411764703</v>
      </c>
      <c r="AE81" s="106">
        <v>1</v>
      </c>
      <c r="AF81" s="32" t="str">
        <f>IF(AE81=0,"",VLOOKUP(AE81,tab_tipo_expansao!$A$2:$B$4,2,0))</f>
        <v>opcional</v>
      </c>
      <c r="AG81" s="125">
        <v>2030</v>
      </c>
      <c r="AH81" s="125">
        <v>2100</v>
      </c>
      <c r="AI81" s="125">
        <v>30</v>
      </c>
      <c r="AJ81" s="530">
        <v>1802.8330468655877</v>
      </c>
      <c r="AK81" s="24">
        <f>AL81/constantes!$B$4</f>
        <v>3528.7395710815972</v>
      </c>
      <c r="AL81" s="33">
        <f t="shared" si="21"/>
        <v>13762.084327218228</v>
      </c>
      <c r="AM81" s="87">
        <v>2</v>
      </c>
      <c r="AN81" s="531">
        <v>0</v>
      </c>
      <c r="AO81" s="23"/>
      <c r="AP81" s="532">
        <f t="shared" si="22"/>
        <v>1802.8330468655877</v>
      </c>
      <c r="AR81" s="35">
        <f t="shared" si="23"/>
        <v>13762.084327218226</v>
      </c>
      <c r="AS81" s="36">
        <f ca="1">OFFSET(cod_desembolso!$A$1,AM81,23)</f>
        <v>1.1245293369208682</v>
      </c>
      <c r="AT81" s="37">
        <f ca="1">IF(AP81=0,0,AP81*(OFFSET(cod_desembolso!$A$1,AM81,23)))</f>
        <v>2027.3386507707878</v>
      </c>
      <c r="AU81" s="38">
        <f>(constantes!$B$3*(1+constantes!$B$3)^(AI81))/((1+constantes!$B$3)^(AI81)-1)</f>
        <v>8.8827433387272267E-2</v>
      </c>
      <c r="AV81" s="37">
        <f t="shared" ca="1" si="24"/>
        <v>186.6332889547846</v>
      </c>
      <c r="AW81" s="37">
        <f ca="1">IF(AP81=0,AY81/constantes!$B$3,AV81/constantes!$B$3)</f>
        <v>2332.9161119348073</v>
      </c>
      <c r="AX81" s="39">
        <f ca="1">IF(AP81=0,0,PV(constantes!$B$3,AI81,-AV81)*constantes!$B$3)</f>
        <v>168.08617053346185</v>
      </c>
      <c r="AY81" s="40">
        <f>constantes!$B$10*F81/1000</f>
        <v>6.55</v>
      </c>
      <c r="AZ81" s="533">
        <f>constantes!$B$12</f>
        <v>0</v>
      </c>
      <c r="BA81" s="20">
        <v>318</v>
      </c>
      <c r="BB81" s="43"/>
      <c r="BC81" s="3" t="s">
        <v>2217</v>
      </c>
      <c r="BE81" s="534">
        <v>1</v>
      </c>
      <c r="BF81" s="535">
        <v>2035</v>
      </c>
      <c r="BG81" s="536">
        <v>3</v>
      </c>
      <c r="BH81" s="537">
        <v>2050</v>
      </c>
    </row>
    <row r="82" spans="1:60" ht="14.45">
      <c r="A82" s="125">
        <v>1081</v>
      </c>
      <c r="B82" s="125">
        <v>1081</v>
      </c>
      <c r="C82" s="538" t="s">
        <v>2312</v>
      </c>
      <c r="D82" s="538" t="s">
        <v>2312</v>
      </c>
      <c r="E82" s="546"/>
      <c r="F82" s="526">
        <v>115.5</v>
      </c>
      <c r="G82" s="3" t="s">
        <v>2181</v>
      </c>
      <c r="H82" s="3" t="s">
        <v>2313</v>
      </c>
      <c r="I82" s="3">
        <v>-59.457456000000001</v>
      </c>
      <c r="J82" s="3">
        <v>-10.222343</v>
      </c>
      <c r="K82" s="539" t="s">
        <v>160</v>
      </c>
      <c r="L82" s="539" t="s">
        <v>160</v>
      </c>
      <c r="M82" s="554">
        <v>7</v>
      </c>
      <c r="N82" s="107"/>
      <c r="O82" s="529">
        <v>1.9820000000000001E-2</v>
      </c>
      <c r="P82" s="529">
        <v>5.2919999999999995E-2</v>
      </c>
      <c r="Q82" s="288">
        <f t="shared" si="15"/>
        <v>0.53685606060606061</v>
      </c>
      <c r="R82" s="30">
        <f t="shared" si="16"/>
        <v>62.006875000000001</v>
      </c>
      <c r="S82" s="30">
        <f t="shared" si="17"/>
        <v>53.493124999999999</v>
      </c>
      <c r="T82" s="107">
        <v>79.543809523809514</v>
      </c>
      <c r="U82" s="107">
        <v>83.358630952380963</v>
      </c>
      <c r="V82" s="107">
        <v>44.92208333333334</v>
      </c>
      <c r="W82" s="107">
        <v>40.202976190476186</v>
      </c>
      <c r="X82" s="288">
        <f t="shared" si="18"/>
        <v>0.53938969527204828</v>
      </c>
      <c r="Y82" s="289">
        <f t="shared" si="19"/>
        <v>62.29950980392158</v>
      </c>
      <c r="Z82" s="289">
        <f t="shared" si="20"/>
        <v>0.29263480392157959</v>
      </c>
      <c r="AA82" s="107">
        <v>97.152078431372558</v>
      </c>
      <c r="AB82" s="107">
        <v>85.744431372549059</v>
      </c>
      <c r="AC82" s="107">
        <v>32.27101960784313</v>
      </c>
      <c r="AD82" s="107">
        <v>34.030509803921575</v>
      </c>
      <c r="AE82" s="106">
        <v>1</v>
      </c>
      <c r="AF82" s="32" t="str">
        <f>IF(AE82=0,"",VLOOKUP(AE82,tab_tipo_expansao!$A$2:$B$4,2,0))</f>
        <v>opcional</v>
      </c>
      <c r="AG82" s="125">
        <v>2030</v>
      </c>
      <c r="AH82" s="125">
        <v>2100</v>
      </c>
      <c r="AI82" s="125">
        <v>30</v>
      </c>
      <c r="AJ82" s="530">
        <v>1915.1493509596571</v>
      </c>
      <c r="AK82" s="24">
        <f>AL82/constantes!$B$4</f>
        <v>4251.6358107662491</v>
      </c>
      <c r="AL82" s="33">
        <f t="shared" si="21"/>
        <v>16581.379661988372</v>
      </c>
      <c r="AM82" s="87">
        <v>2</v>
      </c>
      <c r="AN82" s="531">
        <v>0</v>
      </c>
      <c r="AO82" s="23"/>
      <c r="AP82" s="532">
        <f t="shared" si="22"/>
        <v>1915.1493509596571</v>
      </c>
      <c r="AR82" s="35">
        <f t="shared" si="23"/>
        <v>16581.379661988376</v>
      </c>
      <c r="AS82" s="36">
        <f ca="1">OFFSET(cod_desembolso!$A$1,AM82,23)</f>
        <v>1.1245293369208682</v>
      </c>
      <c r="AT82" s="37">
        <f ca="1">IF(AP82=0,0,AP82*(OFFSET(cod_desembolso!$A$1,AM82,23)))</f>
        <v>2153.6416297390942</v>
      </c>
      <c r="AU82" s="38">
        <f>(constantes!$B$3*(1+constantes!$B$3)^(AI82))/((1+constantes!$B$3)^(AI82)-1)</f>
        <v>8.8827433387272267E-2</v>
      </c>
      <c r="AV82" s="37">
        <f t="shared" ca="1" si="24"/>
        <v>197.0774584057059</v>
      </c>
      <c r="AW82" s="37">
        <f ca="1">IF(AP82=0,AY82/constantes!$B$3,AV82/constantes!$B$3)</f>
        <v>2463.4682300713239</v>
      </c>
      <c r="AX82" s="39">
        <f ca="1">IF(AP82=0,0,PV(constantes!$B$3,AI82,-AV82)*constantes!$B$3)</f>
        <v>177.49242628365246</v>
      </c>
      <c r="AY82" s="40">
        <f>constantes!$B$10*F82/1000</f>
        <v>5.7750000000000004</v>
      </c>
      <c r="AZ82" s="533">
        <f>constantes!$B$12</f>
        <v>0</v>
      </c>
      <c r="BA82" s="20">
        <v>318</v>
      </c>
      <c r="BB82" s="43"/>
      <c r="BC82" s="3" t="s">
        <v>2217</v>
      </c>
      <c r="BE82" s="534">
        <v>1</v>
      </c>
      <c r="BF82" s="535">
        <v>2035</v>
      </c>
      <c r="BG82" s="536">
        <v>3</v>
      </c>
      <c r="BH82" s="537">
        <v>2050</v>
      </c>
    </row>
    <row r="83" spans="1:60" ht="14.45">
      <c r="A83" s="125">
        <v>1082</v>
      </c>
      <c r="B83" s="125">
        <v>1082</v>
      </c>
      <c r="C83" s="538" t="s">
        <v>2314</v>
      </c>
      <c r="D83" s="538" t="s">
        <v>2314</v>
      </c>
      <c r="E83" s="546"/>
      <c r="F83" s="526">
        <v>361.1</v>
      </c>
      <c r="G83" s="3" t="s">
        <v>2181</v>
      </c>
      <c r="H83" s="3" t="s">
        <v>2253</v>
      </c>
      <c r="I83" s="3">
        <v>-60.960239999999999</v>
      </c>
      <c r="J83" s="3">
        <v>-8.4217779999999998</v>
      </c>
      <c r="K83" s="539" t="s">
        <v>156</v>
      </c>
      <c r="L83" s="539" t="s">
        <v>156</v>
      </c>
      <c r="M83" s="554">
        <v>7</v>
      </c>
      <c r="N83" s="107"/>
      <c r="O83" s="529">
        <v>1.6379999999999999E-2</v>
      </c>
      <c r="P83" s="529">
        <v>6.1409999999999999E-2</v>
      </c>
      <c r="Q83" s="288">
        <f t="shared" si="15"/>
        <v>0.55609645131938112</v>
      </c>
      <c r="R83" s="30">
        <f t="shared" si="16"/>
        <v>200.80642857142854</v>
      </c>
      <c r="S83" s="30">
        <f t="shared" si="17"/>
        <v>160.29357142857148</v>
      </c>
      <c r="T83" s="107">
        <v>307.08952380952377</v>
      </c>
      <c r="U83" s="107">
        <v>287.9283928571428</v>
      </c>
      <c r="V83" s="107">
        <v>93.359166666666667</v>
      </c>
      <c r="W83" s="107">
        <v>114.84863095238096</v>
      </c>
      <c r="X83" s="288">
        <f t="shared" si="18"/>
        <v>0.55758187129739711</v>
      </c>
      <c r="Y83" s="289">
        <f t="shared" si="19"/>
        <v>201.34281372549012</v>
      </c>
      <c r="Z83" s="289">
        <f t="shared" si="20"/>
        <v>0.53638515406157694</v>
      </c>
      <c r="AA83" s="107">
        <v>320.5316862745097</v>
      </c>
      <c r="AB83" s="107">
        <v>284.66952941176459</v>
      </c>
      <c r="AC83" s="107">
        <v>81.670980392156864</v>
      </c>
      <c r="AD83" s="107">
        <v>118.49905882352941</v>
      </c>
      <c r="AE83" s="106">
        <v>1</v>
      </c>
      <c r="AF83" s="32" t="str">
        <f>IF(AE83=0,"",VLOOKUP(AE83,tab_tipo_expansao!$A$2:$B$4,2,0))</f>
        <v>opcional</v>
      </c>
      <c r="AG83" s="125">
        <v>2030</v>
      </c>
      <c r="AH83" s="125">
        <v>2100</v>
      </c>
      <c r="AI83" s="125">
        <v>30</v>
      </c>
      <c r="AJ83" s="530">
        <v>3274.1668662863617</v>
      </c>
      <c r="AK83" s="24">
        <f>AL83/constantes!$B$4</f>
        <v>2324.923748863062</v>
      </c>
      <c r="AL83" s="33">
        <f t="shared" si="21"/>
        <v>9067.2026205659422</v>
      </c>
      <c r="AM83" s="87">
        <v>2</v>
      </c>
      <c r="AN83" s="531">
        <v>0</v>
      </c>
      <c r="AO83" s="23"/>
      <c r="AP83" s="532">
        <f t="shared" si="22"/>
        <v>3274.1668662863617</v>
      </c>
      <c r="AR83" s="35">
        <f t="shared" si="23"/>
        <v>9067.2026205659404</v>
      </c>
      <c r="AS83" s="36">
        <f ca="1">OFFSET(cod_desembolso!$A$1,AM83,23)</f>
        <v>1.1245293369208682</v>
      </c>
      <c r="AT83" s="37">
        <f ca="1">IF(AP83=0,0,AP83*(OFFSET(cod_desembolso!$A$1,AM83,23)))</f>
        <v>3681.8966951132793</v>
      </c>
      <c r="AU83" s="38">
        <f>(constantes!$B$3*(1+constantes!$B$3)^(AI83))/((1+constantes!$B$3)^(AI83)-1)</f>
        <v>8.8827433387272267E-2</v>
      </c>
      <c r="AV83" s="37">
        <f t="shared" ca="1" si="24"/>
        <v>345.10843342399272</v>
      </c>
      <c r="AW83" s="37">
        <f ca="1">IF(AP83=0,AY83/constantes!$B$3,AV83/constantes!$B$3)</f>
        <v>4313.8554177999085</v>
      </c>
      <c r="AX83" s="39">
        <f ca="1">IF(AP83=0,0,PV(constantes!$B$3,AI83,-AV83)*constantes!$B$3)</f>
        <v>310.81247786987569</v>
      </c>
      <c r="AY83" s="40">
        <f>constantes!$B$10*F83/1000</f>
        <v>18.055</v>
      </c>
      <c r="AZ83" s="533">
        <f>constantes!$B$12</f>
        <v>0</v>
      </c>
      <c r="BA83" s="20">
        <v>318</v>
      </c>
      <c r="BB83" s="43"/>
      <c r="BC83" s="3" t="s">
        <v>2217</v>
      </c>
      <c r="BE83" s="534">
        <v>1</v>
      </c>
      <c r="BF83" s="535">
        <v>2035</v>
      </c>
      <c r="BG83" s="536">
        <v>3</v>
      </c>
      <c r="BH83" s="537">
        <v>2050</v>
      </c>
    </row>
    <row r="84" spans="1:60" ht="14.45" hidden="1">
      <c r="A84" s="125">
        <v>1083</v>
      </c>
      <c r="B84" s="125">
        <v>1083</v>
      </c>
      <c r="C84" s="538" t="s">
        <v>2315</v>
      </c>
      <c r="D84" s="538" t="s">
        <v>2315</v>
      </c>
      <c r="E84" s="546"/>
      <c r="F84" s="526">
        <v>46</v>
      </c>
      <c r="G84" s="3" t="s">
        <v>2196</v>
      </c>
      <c r="H84" s="3" t="s">
        <v>2316</v>
      </c>
      <c r="I84" s="3">
        <v>-52.241897000000002</v>
      </c>
      <c r="J84" s="3">
        <v>-19.836089000000001</v>
      </c>
      <c r="K84" s="539" t="s">
        <v>2092</v>
      </c>
      <c r="L84" s="539" t="s">
        <v>2092</v>
      </c>
      <c r="M84" s="554">
        <v>1</v>
      </c>
      <c r="N84" s="107"/>
      <c r="O84" s="529">
        <v>2.068E-2</v>
      </c>
      <c r="P84" s="529">
        <v>4.6600000000000003E-2</v>
      </c>
      <c r="Q84" s="288">
        <f t="shared" si="15"/>
        <v>0.532119300920186</v>
      </c>
      <c r="R84" s="30">
        <f t="shared" si="16"/>
        <v>24.477487842328557</v>
      </c>
      <c r="S84" s="30">
        <f t="shared" si="17"/>
        <v>21.522512157671443</v>
      </c>
      <c r="T84" s="107">
        <v>30.674427201512874</v>
      </c>
      <c r="U84" s="107">
        <v>26.927485877231408</v>
      </c>
      <c r="V84" s="107">
        <v>19.101056359122353</v>
      </c>
      <c r="W84" s="107">
        <v>21.206981931447583</v>
      </c>
      <c r="X84" s="288">
        <f t="shared" si="18"/>
        <v>0.56765074645560576</v>
      </c>
      <c r="Y84" s="289">
        <f t="shared" si="19"/>
        <v>26.111934336957866</v>
      </c>
      <c r="Z84" s="289">
        <f t="shared" si="20"/>
        <v>1.6344464946293087</v>
      </c>
      <c r="AA84" s="107">
        <v>34.129735130684018</v>
      </c>
      <c r="AB84" s="107">
        <v>28.393596352084955</v>
      </c>
      <c r="AC84" s="107">
        <v>19.548521983475322</v>
      </c>
      <c r="AD84" s="107">
        <v>22.375883881587171</v>
      </c>
      <c r="AE84" s="106">
        <v>1</v>
      </c>
      <c r="AF84" s="32" t="str">
        <f>IF(AE84=0,"",VLOOKUP(AE84,tab_tipo_expansao!$A$2:$B$4,2,0))</f>
        <v>opcional</v>
      </c>
      <c r="AG84" s="125">
        <v>2028</v>
      </c>
      <c r="AH84" s="125">
        <v>2100</v>
      </c>
      <c r="AI84" s="125">
        <v>30</v>
      </c>
      <c r="AJ84" s="530">
        <v>600.05230080374645</v>
      </c>
      <c r="AK84" s="24">
        <f>AL84/constantes!$B$4</f>
        <v>3344.7731371446293</v>
      </c>
      <c r="AL84" s="33">
        <f t="shared" si="21"/>
        <v>13044.615234864053</v>
      </c>
      <c r="AM84" s="87">
        <v>2</v>
      </c>
      <c r="AN84" s="531">
        <v>0</v>
      </c>
      <c r="AO84" s="23"/>
      <c r="AP84" s="532">
        <f t="shared" si="22"/>
        <v>600.05230080374645</v>
      </c>
      <c r="AR84" s="35">
        <f t="shared" si="23"/>
        <v>13044.615234864053</v>
      </c>
      <c r="AS84" s="36">
        <f ca="1">OFFSET(cod_desembolso!$A$1,AM84,23)</f>
        <v>1.1245293369208682</v>
      </c>
      <c r="AT84" s="37">
        <f ca="1">IF(AP84=0,0,AP84*(OFFSET(cod_desembolso!$A$1,AM84,23)))</f>
        <v>674.77641594067836</v>
      </c>
      <c r="AU84" s="38">
        <f>(constantes!$B$3*(1+constantes!$B$3)^(AI84))/((1+constantes!$B$3)^(AI84)-1)</f>
        <v>8.8827433387272267E-2</v>
      </c>
      <c r="AV84" s="37">
        <f t="shared" ca="1" si="24"/>
        <v>62.238657138272927</v>
      </c>
      <c r="AW84" s="37">
        <f ca="1">IF(AP84=0,AY84/constantes!$B$3,AV84/constantes!$B$3)</f>
        <v>777.98321422841161</v>
      </c>
      <c r="AX84" s="39">
        <f ca="1">IF(AP84=0,0,PV(constantes!$B$3,AI84,-AV84)*constantes!$B$3)</f>
        <v>56.053545410389717</v>
      </c>
      <c r="AY84" s="40">
        <f>constantes!$B$10*F84/1000</f>
        <v>2.2999999999999998</v>
      </c>
      <c r="AZ84" s="533">
        <f>constantes!$B$12</f>
        <v>0</v>
      </c>
      <c r="BA84" s="20">
        <v>318</v>
      </c>
      <c r="BB84" s="43"/>
      <c r="BC84" s="3" t="s">
        <v>2197</v>
      </c>
      <c r="BE84" s="534">
        <v>1</v>
      </c>
      <c r="BF84" s="535">
        <v>2027</v>
      </c>
      <c r="BG84" s="536">
        <v>1</v>
      </c>
      <c r="BH84" s="537">
        <v>2027</v>
      </c>
    </row>
    <row r="85" spans="1:60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46"/>
      <c r="F85" s="526">
        <v>480</v>
      </c>
      <c r="G85" s="3" t="s">
        <v>2199</v>
      </c>
      <c r="H85" s="3" t="s">
        <v>2318</v>
      </c>
      <c r="I85" s="3">
        <v>-48.460092000000003</v>
      </c>
      <c r="J85" s="3">
        <v>-11.250871</v>
      </c>
      <c r="K85" s="539" t="s">
        <v>1983</v>
      </c>
      <c r="L85" s="539" t="s">
        <v>1983</v>
      </c>
      <c r="M85" s="554">
        <v>1</v>
      </c>
      <c r="N85" s="107"/>
      <c r="O85" s="529">
        <v>1.6379999999999999E-2</v>
      </c>
      <c r="P85" s="529">
        <v>6.1409999999999999E-2</v>
      </c>
      <c r="Q85" s="288">
        <f t="shared" si="15"/>
        <v>0.54833779761904766</v>
      </c>
      <c r="R85" s="30">
        <f t="shared" si="16"/>
        <v>263.20214285714286</v>
      </c>
      <c r="S85" s="30">
        <f t="shared" si="17"/>
        <v>216.79785714285714</v>
      </c>
      <c r="T85" s="107">
        <v>284.74952380952385</v>
      </c>
      <c r="U85" s="107">
        <v>237.01577380952381</v>
      </c>
      <c r="V85" s="107">
        <v>266.79916666666662</v>
      </c>
      <c r="W85" s="107">
        <v>264.2441071428571</v>
      </c>
      <c r="X85" s="288">
        <f t="shared" si="18"/>
        <v>0.62962636846405229</v>
      </c>
      <c r="Y85" s="289">
        <f t="shared" si="19"/>
        <v>302.2206568627451</v>
      </c>
      <c r="Z85" s="289">
        <f t="shared" si="20"/>
        <v>39.018514005602242</v>
      </c>
      <c r="AA85" s="107">
        <v>387.79117647058837</v>
      </c>
      <c r="AB85" s="107">
        <v>297.19294117647058</v>
      </c>
      <c r="AC85" s="107">
        <v>238.74952941176466</v>
      </c>
      <c r="AD85" s="107">
        <v>285.14898039215683</v>
      </c>
      <c r="AE85" s="106">
        <v>1</v>
      </c>
      <c r="AF85" s="32" t="str">
        <f>IF(AE85=0,"",VLOOKUP(AE85,tab_tipo_expansao!$A$2:$B$4,2,0))</f>
        <v>opcional</v>
      </c>
      <c r="AG85" s="125">
        <v>2030</v>
      </c>
      <c r="AH85" s="125">
        <v>2100</v>
      </c>
      <c r="AI85" s="125">
        <v>30</v>
      </c>
      <c r="AJ85" s="530">
        <v>4103.8529275311703</v>
      </c>
      <c r="AK85" s="24">
        <f>AL85/constantes!$B$4</f>
        <v>2192.2291279546848</v>
      </c>
      <c r="AL85" s="33">
        <f t="shared" si="21"/>
        <v>8549.6935990232705</v>
      </c>
      <c r="AM85" s="87">
        <v>3</v>
      </c>
      <c r="AN85" s="531">
        <v>0</v>
      </c>
      <c r="AO85" s="23"/>
      <c r="AP85" s="532">
        <f t="shared" si="22"/>
        <v>4103.8529275311703</v>
      </c>
      <c r="AR85" s="35">
        <f t="shared" si="23"/>
        <v>8549.6935990232705</v>
      </c>
      <c r="AS85" s="36">
        <f ca="1">OFFSET(cod_desembolso!$A$1,AM85,23)</f>
        <v>1.1255071012622904</v>
      </c>
      <c r="AT85" s="37">
        <f ca="1">IF(AP85=0,0,AP85*(OFFSET(cod_desembolso!$A$1,AM85,23)))</f>
        <v>4618.9156124723713</v>
      </c>
      <c r="AU85" s="38">
        <f>(constantes!$B$3*(1+constantes!$B$3)^(AI85))/((1+constantes!$B$3)^(AI85)-1)</f>
        <v>8.8827433387272267E-2</v>
      </c>
      <c r="AV85" s="37">
        <f t="shared" ca="1" si="24"/>
        <v>434.28641888832146</v>
      </c>
      <c r="AW85" s="37">
        <f ca="1">IF(AP85=0,AY85/constantes!$B$3,AV85/constantes!$B$3)</f>
        <v>5428.5802361040178</v>
      </c>
      <c r="AX85" s="39">
        <f ca="1">IF(AP85=0,0,PV(constantes!$B$3,AI85,-AV85)*constantes!$B$3)</f>
        <v>391.12819301659448</v>
      </c>
      <c r="AY85" s="40">
        <f>constantes!$B$10*F85/1000</f>
        <v>24</v>
      </c>
      <c r="AZ85" s="533">
        <f>constantes!$B$12</f>
        <v>0</v>
      </c>
      <c r="BA85" s="20">
        <v>318</v>
      </c>
      <c r="BB85" s="43"/>
      <c r="BC85" s="3" t="s">
        <v>2183</v>
      </c>
      <c r="BE85" s="534">
        <v>1</v>
      </c>
      <c r="BF85" s="535">
        <v>2027</v>
      </c>
      <c r="BG85" s="536">
        <v>1</v>
      </c>
      <c r="BH85" s="537">
        <v>2027</v>
      </c>
    </row>
    <row r="86" spans="1:60" ht="14.45">
      <c r="A86" s="125">
        <v>1085</v>
      </c>
      <c r="B86" s="125">
        <v>1085</v>
      </c>
      <c r="C86" s="538" t="s">
        <v>2319</v>
      </c>
      <c r="D86" s="538" t="s">
        <v>2319</v>
      </c>
      <c r="E86" s="546"/>
      <c r="F86" s="526">
        <v>381</v>
      </c>
      <c r="G86" s="3" t="s">
        <v>2097</v>
      </c>
      <c r="H86" s="3" t="s">
        <v>2097</v>
      </c>
      <c r="I86" s="3">
        <v>-53.350555999999997</v>
      </c>
      <c r="J86" s="3">
        <v>-27.113468000000001</v>
      </c>
      <c r="K86" s="539" t="s">
        <v>151</v>
      </c>
      <c r="L86" s="539" t="s">
        <v>151</v>
      </c>
      <c r="M86" s="554">
        <v>2</v>
      </c>
      <c r="N86" s="107"/>
      <c r="O86" s="529">
        <v>1.6379999999999999E-2</v>
      </c>
      <c r="P86" s="529">
        <v>6.1409999999999999E-2</v>
      </c>
      <c r="Q86" s="288">
        <f t="shared" si="15"/>
        <v>0.43384518341457318</v>
      </c>
      <c r="R86" s="30">
        <f t="shared" si="16"/>
        <v>165.29501488095238</v>
      </c>
      <c r="S86" s="30">
        <f t="shared" si="17"/>
        <v>215.70498511904762</v>
      </c>
      <c r="T86" s="107">
        <v>96.985238095238103</v>
      </c>
      <c r="U86" s="107">
        <v>154.76130952380953</v>
      </c>
      <c r="V86" s="107">
        <v>218.31166666666664</v>
      </c>
      <c r="W86" s="107">
        <v>191.12184523809526</v>
      </c>
      <c r="X86" s="288">
        <f t="shared" si="18"/>
        <v>0.45519686325973968</v>
      </c>
      <c r="Y86" s="289">
        <f t="shared" si="19"/>
        <v>173.43000490196081</v>
      </c>
      <c r="Z86" s="289">
        <f t="shared" si="20"/>
        <v>8.1349900210084343</v>
      </c>
      <c r="AA86" s="107">
        <v>123.64415686274511</v>
      </c>
      <c r="AB86" s="107">
        <v>164.90709803921575</v>
      </c>
      <c r="AC86" s="107">
        <v>232.44109803921575</v>
      </c>
      <c r="AD86" s="107">
        <v>172.72766666666666</v>
      </c>
      <c r="AE86" s="106">
        <v>1</v>
      </c>
      <c r="AF86" s="32" t="str">
        <f>IF(AE86=0,"",VLOOKUP(AE86,tab_tipo_expansao!$A$2:$B$4,2,0))</f>
        <v>opcional</v>
      </c>
      <c r="AG86" s="125">
        <v>2030</v>
      </c>
      <c r="AH86" s="125">
        <v>2100</v>
      </c>
      <c r="AI86" s="125">
        <v>30</v>
      </c>
      <c r="AJ86" s="530">
        <v>3200.3632195826231</v>
      </c>
      <c r="AK86" s="24">
        <f>AL86/constantes!$B$4</f>
        <v>2153.8214008901159</v>
      </c>
      <c r="AL86" s="33">
        <f t="shared" si="21"/>
        <v>8399.9034634714517</v>
      </c>
      <c r="AM86" s="87">
        <v>2</v>
      </c>
      <c r="AN86" s="531">
        <v>0</v>
      </c>
      <c r="AO86" s="23"/>
      <c r="AP86" s="532">
        <f t="shared" si="22"/>
        <v>3200.3632195826231</v>
      </c>
      <c r="AR86" s="35">
        <f t="shared" si="23"/>
        <v>8399.9034634714517</v>
      </c>
      <c r="AS86" s="36">
        <f ca="1">OFFSET(cod_desembolso!$A$1,AM86,23)</f>
        <v>1.1245293369208682</v>
      </c>
      <c r="AT86" s="37">
        <f ca="1">IF(AP86=0,0,AP86*(OFFSET(cod_desembolso!$A$1,AM86,23)))</f>
        <v>3598.9023292231818</v>
      </c>
      <c r="AU86" s="38">
        <f>(constantes!$B$3*(1+constantes!$B$3)^(AI86))/((1+constantes!$B$3)^(AI86)-1)</f>
        <v>8.8827433387272267E-2</v>
      </c>
      <c r="AV86" s="37">
        <f t="shared" ca="1" si="24"/>
        <v>338.73125691637119</v>
      </c>
      <c r="AW86" s="37">
        <f ca="1">IF(AP86=0,AY86/constantes!$B$3,AV86/constantes!$B$3)</f>
        <v>4234.14071145464</v>
      </c>
      <c r="AX86" s="39">
        <f ca="1">IF(AP86=0,0,PV(constantes!$B$3,AI86,-AV86)*constantes!$B$3)</f>
        <v>305.06904815278085</v>
      </c>
      <c r="AY86" s="40">
        <f>constantes!$B$10*F86/1000</f>
        <v>19.05</v>
      </c>
      <c r="AZ86" s="533">
        <f>constantes!$B$12</f>
        <v>0</v>
      </c>
      <c r="BA86" s="20">
        <v>318</v>
      </c>
      <c r="BB86" s="43"/>
      <c r="BC86" s="3" t="s">
        <v>2217</v>
      </c>
      <c r="BE86" s="534">
        <v>1</v>
      </c>
      <c r="BF86" s="535">
        <v>2035</v>
      </c>
      <c r="BG86" s="536">
        <v>3</v>
      </c>
      <c r="BH86" s="537">
        <v>2050</v>
      </c>
    </row>
    <row r="87" spans="1:60" ht="14.45" hidden="1">
      <c r="A87" s="125">
        <v>1086</v>
      </c>
      <c r="B87" s="125">
        <v>1086</v>
      </c>
      <c r="C87" s="538" t="s">
        <v>2320</v>
      </c>
      <c r="D87" s="538" t="s">
        <v>2320</v>
      </c>
      <c r="E87" s="546"/>
      <c r="F87" s="526">
        <v>92</v>
      </c>
      <c r="G87" s="3" t="s">
        <v>2196</v>
      </c>
      <c r="H87" s="3" t="s">
        <v>2281</v>
      </c>
      <c r="I87" s="3">
        <v>-50.687998999999998</v>
      </c>
      <c r="J87" s="3">
        <v>-19.008541999999998</v>
      </c>
      <c r="K87" s="539" t="s">
        <v>2005</v>
      </c>
      <c r="L87" s="539" t="s">
        <v>2005</v>
      </c>
      <c r="M87" s="554">
        <v>1</v>
      </c>
      <c r="N87" s="107"/>
      <c r="O87" s="529">
        <v>1.9820000000000001E-2</v>
      </c>
      <c r="P87" s="529">
        <v>5.2919999999999995E-2</v>
      </c>
      <c r="Q87" s="288">
        <f t="shared" si="15"/>
        <v>0.532119300920186</v>
      </c>
      <c r="R87" s="30">
        <f t="shared" si="16"/>
        <v>48.954975684657114</v>
      </c>
      <c r="S87" s="30">
        <f t="shared" si="17"/>
        <v>43.045024315342886</v>
      </c>
      <c r="T87" s="107">
        <v>61.348854403025747</v>
      </c>
      <c r="U87" s="107">
        <v>53.854971754462817</v>
      </c>
      <c r="V87" s="107">
        <v>38.202112718244706</v>
      </c>
      <c r="W87" s="107">
        <v>42.413963862895166</v>
      </c>
      <c r="X87" s="288">
        <f t="shared" si="18"/>
        <v>0.56765074645560576</v>
      </c>
      <c r="Y87" s="289">
        <f t="shared" si="19"/>
        <v>52.223868673915732</v>
      </c>
      <c r="Z87" s="289">
        <f t="shared" si="20"/>
        <v>3.2688929892586174</v>
      </c>
      <c r="AA87" s="107">
        <v>68.259470261368037</v>
      </c>
      <c r="AB87" s="107">
        <v>56.787192704169911</v>
      </c>
      <c r="AC87" s="107">
        <v>39.097043966950643</v>
      </c>
      <c r="AD87" s="107">
        <v>44.751767763174342</v>
      </c>
      <c r="AE87" s="106">
        <v>1</v>
      </c>
      <c r="AF87" s="32" t="str">
        <f>IF(AE87=0,"",VLOOKUP(AE87,tab_tipo_expansao!$A$2:$B$4,2,0))</f>
        <v>opcional</v>
      </c>
      <c r="AG87" s="125">
        <v>2028</v>
      </c>
      <c r="AH87" s="125">
        <v>2100</v>
      </c>
      <c r="AI87" s="125">
        <v>30</v>
      </c>
      <c r="AJ87" s="530">
        <v>591.57043740196946</v>
      </c>
      <c r="AK87" s="24">
        <f>AL87/constantes!$B$4</f>
        <v>1648.7470384670276</v>
      </c>
      <c r="AL87" s="33">
        <f t="shared" si="21"/>
        <v>6430.1134500214075</v>
      </c>
      <c r="AM87" s="87">
        <v>2</v>
      </c>
      <c r="AN87" s="531">
        <v>0</v>
      </c>
      <c r="AO87" s="23"/>
      <c r="AP87" s="532">
        <f t="shared" si="22"/>
        <v>591.57043740196946</v>
      </c>
      <c r="AR87" s="35">
        <f t="shared" si="23"/>
        <v>6430.1134500214075</v>
      </c>
      <c r="AS87" s="36">
        <f ca="1">OFFSET(cod_desembolso!$A$1,AM87,23)</f>
        <v>1.1245293369208682</v>
      </c>
      <c r="AT87" s="37">
        <f ca="1">IF(AP87=0,0,AP87*(OFFSET(cod_desembolso!$A$1,AM87,23)))</f>
        <v>665.23831171362474</v>
      </c>
      <c r="AU87" s="38">
        <f>(constantes!$B$3*(1+constantes!$B$3)^(AI87))/((1+constantes!$B$3)^(AI87)-1)</f>
        <v>8.8827433387272267E-2</v>
      </c>
      <c r="AV87" s="37">
        <f t="shared" ca="1" si="24"/>
        <v>63.691411820403466</v>
      </c>
      <c r="AW87" s="37">
        <f ca="1">IF(AP87=0,AY87/constantes!$B$3,AV87/constantes!$B$3)</f>
        <v>796.1426477550433</v>
      </c>
      <c r="AX87" s="39">
        <f ca="1">IF(AP87=0,0,PV(constantes!$B$3,AI87,-AV87)*constantes!$B$3)</f>
        <v>57.361929207360895</v>
      </c>
      <c r="AY87" s="40">
        <f>constantes!$B$10*F87/1000</f>
        <v>4.5999999999999996</v>
      </c>
      <c r="AZ87" s="533">
        <f>constantes!$B$12</f>
        <v>0</v>
      </c>
      <c r="BA87" s="20">
        <v>318</v>
      </c>
      <c r="BB87" s="43"/>
      <c r="BC87" s="3" t="s">
        <v>2197</v>
      </c>
      <c r="BE87" s="534">
        <v>1</v>
      </c>
      <c r="BF87" s="535">
        <v>2027</v>
      </c>
      <c r="BG87" s="536">
        <v>1</v>
      </c>
      <c r="BH87" s="537">
        <v>2027</v>
      </c>
    </row>
    <row r="88" spans="1:60" ht="14.45" hidden="1" customHeight="1">
      <c r="A88" s="125">
        <v>1087</v>
      </c>
      <c r="B88" s="125">
        <v>1087</v>
      </c>
      <c r="C88" s="627" t="s">
        <v>2321</v>
      </c>
      <c r="D88" s="538" t="s">
        <v>2321</v>
      </c>
      <c r="E88" s="546"/>
      <c r="F88" s="644">
        <v>725</v>
      </c>
      <c r="G88" s="3" t="s">
        <v>2097</v>
      </c>
      <c r="H88" s="3" t="s">
        <v>2097</v>
      </c>
      <c r="I88" s="3">
        <v>-53.681198000000002</v>
      </c>
      <c r="J88" s="3">
        <v>-27.162948</v>
      </c>
      <c r="K88" s="539" t="s">
        <v>1991</v>
      </c>
      <c r="L88" s="539" t="s">
        <v>1991</v>
      </c>
      <c r="M88" s="554">
        <v>2</v>
      </c>
      <c r="N88" s="107"/>
      <c r="O88" s="529">
        <v>1.6379999999999999E-2</v>
      </c>
      <c r="P88" s="529">
        <v>6.1409999999999999E-2</v>
      </c>
      <c r="Q88" s="288">
        <f t="shared" si="15"/>
        <v>0.46966525041050905</v>
      </c>
      <c r="R88" s="30">
        <f t="shared" si="16"/>
        <v>340.50730654761907</v>
      </c>
      <c r="S88" s="30">
        <f t="shared" si="17"/>
        <v>384.49269345238093</v>
      </c>
      <c r="T88" s="107">
        <v>201.83523809523808</v>
      </c>
      <c r="U88" s="107">
        <v>313.48053571428568</v>
      </c>
      <c r="V88" s="107">
        <v>451.89625000000001</v>
      </c>
      <c r="W88" s="107">
        <v>394.81720238095244</v>
      </c>
      <c r="X88" s="288">
        <f t="shared" si="18"/>
        <v>0.51991740365111572</v>
      </c>
      <c r="Y88" s="289">
        <f t="shared" si="19"/>
        <v>376.94011764705891</v>
      </c>
      <c r="Z88" s="289">
        <f t="shared" si="20"/>
        <v>36.432811099439846</v>
      </c>
      <c r="AA88" s="107">
        <v>261.32168627450989</v>
      </c>
      <c r="AB88" s="107">
        <v>346.95800000000003</v>
      </c>
      <c r="AC88" s="107">
        <v>491.96996078431386</v>
      </c>
      <c r="AD88" s="107">
        <v>407.51082352941194</v>
      </c>
      <c r="AE88" s="106">
        <v>1</v>
      </c>
      <c r="AF88" s="32" t="str">
        <f>IF(AE88=0,"",VLOOKUP(AE88,tab_tipo_expansao!$A$2:$B$4,2,0))</f>
        <v>opcional</v>
      </c>
      <c r="AG88" s="125">
        <v>2026</v>
      </c>
      <c r="AH88" s="125">
        <v>2100</v>
      </c>
      <c r="AI88" s="125">
        <v>30</v>
      </c>
      <c r="AJ88" s="530">
        <v>6684.2592540969081</v>
      </c>
      <c r="AK88" s="24">
        <f>AL88/constantes!$B$4</f>
        <v>2364.0174196629205</v>
      </c>
      <c r="AL88" s="33">
        <f t="shared" si="21"/>
        <v>9219.6679366853896</v>
      </c>
      <c r="AM88" s="87">
        <v>3</v>
      </c>
      <c r="AN88" s="531">
        <v>0</v>
      </c>
      <c r="AO88" s="23"/>
      <c r="AP88" s="532">
        <f t="shared" si="22"/>
        <v>6684.2592540969081</v>
      </c>
      <c r="AR88" s="35">
        <f t="shared" si="23"/>
        <v>9219.6679366853914</v>
      </c>
      <c r="AS88" s="36">
        <f ca="1">OFFSET(cod_desembolso!$A$1,AM88,23)</f>
        <v>1.1255071012622904</v>
      </c>
      <c r="AT88" s="37">
        <f ca="1">IF(AP88=0,0,AP88*(OFFSET(cod_desembolso!$A$1,AM88,23)))</f>
        <v>7523.1812571642504</v>
      </c>
      <c r="AU88" s="38">
        <f>(constantes!$B$3*(1+constantes!$B$3)^(AI88))/((1+constantes!$B$3)^(AI88)-1)</f>
        <v>8.8827433387272267E-2</v>
      </c>
      <c r="AV88" s="37">
        <f t="shared" ca="1" si="24"/>
        <v>704.5148819811327</v>
      </c>
      <c r="AW88" s="37">
        <f ca="1">IF(AP88=0,AY88/constantes!$B$3,AV88/constantes!$B$3)</f>
        <v>8806.436024764158</v>
      </c>
      <c r="AX88" s="39">
        <f ca="1">IF(AP88=0,0,PV(constantes!$B$3,AI88,-AV88)*constantes!$B$3)</f>
        <v>634.50207226820976</v>
      </c>
      <c r="AY88" s="40">
        <f>constantes!$B$10*F88/1000</f>
        <v>36.25</v>
      </c>
      <c r="AZ88" s="533">
        <f>constantes!$B$12</f>
        <v>0</v>
      </c>
      <c r="BA88" s="20">
        <v>318</v>
      </c>
      <c r="BB88" s="43"/>
      <c r="BC88" s="3" t="s">
        <v>2209</v>
      </c>
      <c r="BE88" s="534">
        <v>1</v>
      </c>
      <c r="BF88" s="535">
        <v>2026</v>
      </c>
      <c r="BG88" s="536">
        <v>1</v>
      </c>
      <c r="BH88" s="537">
        <v>2026</v>
      </c>
    </row>
    <row r="89" spans="1:60" ht="14.45" hidden="1">
      <c r="A89" s="125">
        <v>1088</v>
      </c>
      <c r="B89" s="125">
        <v>1088</v>
      </c>
      <c r="C89" s="538" t="s">
        <v>2322</v>
      </c>
      <c r="D89" s="538" t="s">
        <v>2322</v>
      </c>
      <c r="E89" s="546"/>
      <c r="F89" s="526">
        <v>50</v>
      </c>
      <c r="G89" s="3" t="s">
        <v>2196</v>
      </c>
      <c r="H89" s="3" t="s">
        <v>2323</v>
      </c>
      <c r="I89" s="3">
        <v>-52.069043000000001</v>
      </c>
      <c r="J89" s="3">
        <v>-18.508013999999999</v>
      </c>
      <c r="K89" s="539" t="s">
        <v>2005</v>
      </c>
      <c r="L89" s="539" t="s">
        <v>2005</v>
      </c>
      <c r="M89" s="554">
        <v>1</v>
      </c>
      <c r="N89" s="107"/>
      <c r="O89" s="529">
        <v>2.068E-2</v>
      </c>
      <c r="P89" s="529">
        <v>4.6600000000000003E-2</v>
      </c>
      <c r="Q89" s="288">
        <f t="shared" si="15"/>
        <v>0.60760238095238095</v>
      </c>
      <c r="R89" s="30">
        <f t="shared" si="16"/>
        <v>30.380119047619047</v>
      </c>
      <c r="S89" s="30">
        <f t="shared" si="17"/>
        <v>19.619880952380953</v>
      </c>
      <c r="T89" s="107">
        <v>39.072857142857139</v>
      </c>
      <c r="U89" s="107">
        <v>29.139523809523808</v>
      </c>
      <c r="V89" s="107">
        <v>23.081250000000001</v>
      </c>
      <c r="W89" s="107">
        <v>30.226845238095237</v>
      </c>
      <c r="X89" s="288">
        <f t="shared" si="18"/>
        <v>0.74494450980392202</v>
      </c>
      <c r="Y89" s="289">
        <f t="shared" si="19"/>
        <v>37.247225490196101</v>
      </c>
      <c r="Z89" s="289">
        <f t="shared" si="20"/>
        <v>6.8671064425770538</v>
      </c>
      <c r="AA89" s="107">
        <v>44.331058823529453</v>
      </c>
      <c r="AB89" s="107">
        <v>37.529882352941208</v>
      </c>
      <c r="AC89" s="107">
        <v>29.934156862745102</v>
      </c>
      <c r="AD89" s="107">
        <v>37.193803921568637</v>
      </c>
      <c r="AE89" s="106">
        <v>1</v>
      </c>
      <c r="AF89" s="32" t="str">
        <f>IF(AE89=0,"",VLOOKUP(AE89,tab_tipo_expansao!$A$2:$B$4,2,0))</f>
        <v>opcional</v>
      </c>
      <c r="AG89" s="125">
        <v>2028</v>
      </c>
      <c r="AH89" s="125">
        <v>2100</v>
      </c>
      <c r="AI89" s="125">
        <v>30</v>
      </c>
      <c r="AJ89" s="530">
        <v>500</v>
      </c>
      <c r="AK89" s="24">
        <f>AL89/constantes!$B$4</f>
        <v>2564.102564102564</v>
      </c>
      <c r="AL89" s="33">
        <f t="shared" si="21"/>
        <v>10000</v>
      </c>
      <c r="AM89" s="87">
        <v>2</v>
      </c>
      <c r="AN89" s="531">
        <v>0</v>
      </c>
      <c r="AO89" s="23"/>
      <c r="AP89" s="532">
        <f t="shared" si="22"/>
        <v>500</v>
      </c>
      <c r="AR89" s="35">
        <f t="shared" si="23"/>
        <v>10000</v>
      </c>
      <c r="AS89" s="36">
        <f ca="1">OFFSET(cod_desembolso!$A$1,AM89,23)</f>
        <v>1.1245293369208682</v>
      </c>
      <c r="AT89" s="37">
        <f ca="1">IF(AP89=0,0,AP89*(OFFSET(cod_desembolso!$A$1,AM89,23)))</f>
        <v>562.26466846043411</v>
      </c>
      <c r="AU89" s="38">
        <f>(constantes!$B$3*(1+constantes!$B$3)^(AI89))/((1+constantes!$B$3)^(AI89)-1)</f>
        <v>8.8827433387272267E-2</v>
      </c>
      <c r="AV89" s="37">
        <f t="shared" ca="1" si="24"/>
        <v>52.444527383685937</v>
      </c>
      <c r="AW89" s="37">
        <f ca="1">IF(AP89=0,AY89/constantes!$B$3,AV89/constantes!$B$3)</f>
        <v>655.5565922960742</v>
      </c>
      <c r="AX89" s="39">
        <f ca="1">IF(AP89=0,0,PV(constantes!$B$3,AI89,-AV89)*constantes!$B$3)</f>
        <v>47.232730145460231</v>
      </c>
      <c r="AY89" s="40">
        <f>constantes!$B$10*F89/1000</f>
        <v>2.5</v>
      </c>
      <c r="AZ89" s="533">
        <f>constantes!$B$12</f>
        <v>0</v>
      </c>
      <c r="BA89" s="20">
        <v>318</v>
      </c>
      <c r="BB89" s="43"/>
      <c r="BC89" s="3" t="s">
        <v>2197</v>
      </c>
      <c r="BE89" s="534">
        <v>1</v>
      </c>
      <c r="BF89" s="535">
        <v>2027</v>
      </c>
      <c r="BG89" s="536">
        <v>1</v>
      </c>
      <c r="BH89" s="537">
        <v>2027</v>
      </c>
    </row>
    <row r="90" spans="1:60" ht="14.45">
      <c r="A90" s="125">
        <v>1089</v>
      </c>
      <c r="B90" s="125">
        <v>1089</v>
      </c>
      <c r="C90" s="538" t="s">
        <v>2324</v>
      </c>
      <c r="D90" s="538" t="s">
        <v>2324</v>
      </c>
      <c r="E90" s="546"/>
      <c r="F90" s="526">
        <v>41.8</v>
      </c>
      <c r="G90" s="3" t="s">
        <v>2199</v>
      </c>
      <c r="H90" s="3" t="s">
        <v>2200</v>
      </c>
      <c r="I90" s="3">
        <v>-53.787706999999997</v>
      </c>
      <c r="J90" s="3">
        <v>-15.290737999999999</v>
      </c>
      <c r="K90" s="539" t="s">
        <v>160</v>
      </c>
      <c r="L90" s="539" t="s">
        <v>160</v>
      </c>
      <c r="M90" s="554">
        <v>1</v>
      </c>
      <c r="N90" s="107"/>
      <c r="O90" s="529">
        <v>2.068E-2</v>
      </c>
      <c r="P90" s="529">
        <v>4.6600000000000003E-2</v>
      </c>
      <c r="Q90" s="288">
        <f t="shared" si="15"/>
        <v>0.532119300920186</v>
      </c>
      <c r="R90" s="30">
        <f t="shared" si="16"/>
        <v>22.242586778463775</v>
      </c>
      <c r="S90" s="30">
        <f t="shared" si="17"/>
        <v>19.557413221536223</v>
      </c>
      <c r="T90" s="107">
        <v>27.873718630939962</v>
      </c>
      <c r="U90" s="107">
        <v>24.468889340614627</v>
      </c>
      <c r="V90" s="107">
        <v>17.357046865463357</v>
      </c>
      <c r="W90" s="107">
        <v>19.270692276837149</v>
      </c>
      <c r="X90" s="288">
        <f t="shared" si="18"/>
        <v>0.56765074645560576</v>
      </c>
      <c r="Y90" s="289">
        <f t="shared" si="19"/>
        <v>23.727801201844319</v>
      </c>
      <c r="Z90" s="289">
        <f t="shared" si="20"/>
        <v>1.485214423380544</v>
      </c>
      <c r="AA90" s="107">
        <v>31.013541923099822</v>
      </c>
      <c r="AB90" s="107">
        <v>25.801137554720672</v>
      </c>
      <c r="AC90" s="107">
        <v>17.763656932810179</v>
      </c>
      <c r="AD90" s="107">
        <v>20.332868396746601</v>
      </c>
      <c r="AE90" s="106">
        <v>1</v>
      </c>
      <c r="AF90" s="32" t="str">
        <f>IF(AE90=0,"",VLOOKUP(AE90,tab_tipo_expansao!$A$2:$B$4,2,0))</f>
        <v>opcional</v>
      </c>
      <c r="AG90" s="125">
        <v>2030</v>
      </c>
      <c r="AH90" s="125">
        <v>2100</v>
      </c>
      <c r="AI90" s="125">
        <v>30</v>
      </c>
      <c r="AJ90" s="530">
        <v>331.20295849873855</v>
      </c>
      <c r="AK90" s="24">
        <f>AL90/constantes!$B$4</f>
        <v>2031.6707060406</v>
      </c>
      <c r="AL90" s="33">
        <f t="shared" si="21"/>
        <v>7923.5157535583394</v>
      </c>
      <c r="AM90" s="87">
        <v>2</v>
      </c>
      <c r="AN90" s="531">
        <v>0</v>
      </c>
      <c r="AO90" s="23"/>
      <c r="AP90" s="532">
        <f t="shared" si="22"/>
        <v>331.20295849873855</v>
      </c>
      <c r="AR90" s="35">
        <f t="shared" si="23"/>
        <v>7923.5157535583385</v>
      </c>
      <c r="AS90" s="36">
        <f ca="1">OFFSET(cod_desembolso!$A$1,AM90,23)</f>
        <v>1.1245293369208682</v>
      </c>
      <c r="AT90" s="37">
        <f ca="1">IF(AP90=0,0,AP90*(OFFSET(cod_desembolso!$A$1,AM90,23)))</f>
        <v>372.4474433068163</v>
      </c>
      <c r="AU90" s="38">
        <f>(constantes!$B$3*(1+constantes!$B$3)^(AI90))/((1+constantes!$B$3)^(AI90)-1)</f>
        <v>8.8827433387272267E-2</v>
      </c>
      <c r="AV90" s="37">
        <f t="shared" ca="1" si="24"/>
        <v>35.17355046059609</v>
      </c>
      <c r="AW90" s="37">
        <f ca="1">IF(AP90=0,AY90/constantes!$B$3,AV90/constantes!$B$3)</f>
        <v>439.66938075745111</v>
      </c>
      <c r="AX90" s="39">
        <f ca="1">IF(AP90=0,0,PV(constantes!$B$3,AI90,-AV90)*constantes!$B$3)</f>
        <v>31.678096839516222</v>
      </c>
      <c r="AY90" s="40">
        <f>constantes!$B$10*F90/1000</f>
        <v>2.09</v>
      </c>
      <c r="AZ90" s="533">
        <f>constantes!$B$12</f>
        <v>0</v>
      </c>
      <c r="BA90" s="20">
        <v>318</v>
      </c>
      <c r="BB90" s="43"/>
      <c r="BC90" s="3" t="s">
        <v>2217</v>
      </c>
      <c r="BE90" s="534">
        <v>1</v>
      </c>
      <c r="BF90" s="535">
        <v>2035</v>
      </c>
      <c r="BG90" s="536">
        <v>3</v>
      </c>
      <c r="BH90" s="537">
        <v>2050</v>
      </c>
    </row>
    <row r="91" spans="1:60" ht="14.45">
      <c r="A91" s="125">
        <v>1090</v>
      </c>
      <c r="B91" s="125">
        <v>1090</v>
      </c>
      <c r="C91" s="538" t="s">
        <v>2325</v>
      </c>
      <c r="D91" s="538" t="s">
        <v>2325</v>
      </c>
      <c r="E91" s="546"/>
      <c r="F91" s="526">
        <v>53</v>
      </c>
      <c r="G91" s="3" t="s">
        <v>2181</v>
      </c>
      <c r="H91" s="3" t="s">
        <v>2298</v>
      </c>
      <c r="I91" s="3">
        <v>-59.208621999999998</v>
      </c>
      <c r="J91" s="3">
        <v>-12.903361</v>
      </c>
      <c r="K91" s="539" t="s">
        <v>160</v>
      </c>
      <c r="L91" s="539" t="s">
        <v>160</v>
      </c>
      <c r="M91" s="554">
        <v>10</v>
      </c>
      <c r="N91" s="107"/>
      <c r="O91" s="529">
        <v>2.1330000000000002E-2</v>
      </c>
      <c r="P91" s="529">
        <v>3.6880000000000003E-2</v>
      </c>
      <c r="Q91" s="288">
        <f t="shared" si="15"/>
        <v>0.71355289757412399</v>
      </c>
      <c r="R91" s="30">
        <f t="shared" si="16"/>
        <v>37.818303571428572</v>
      </c>
      <c r="S91" s="30">
        <f t="shared" si="17"/>
        <v>15.181696428571428</v>
      </c>
      <c r="T91" s="107">
        <v>34.408571428571427</v>
      </c>
      <c r="U91" s="107">
        <v>41.097202380952382</v>
      </c>
      <c r="V91" s="107">
        <v>42.073749999999997</v>
      </c>
      <c r="W91" s="107">
        <v>33.693690476190476</v>
      </c>
      <c r="X91" s="288">
        <f t="shared" si="18"/>
        <v>0.71642452830188685</v>
      </c>
      <c r="Y91" s="289">
        <f t="shared" si="19"/>
        <v>37.970500000000001</v>
      </c>
      <c r="Z91" s="289">
        <f t="shared" si="20"/>
        <v>0.15219642857142901</v>
      </c>
      <c r="AA91" s="107">
        <v>41.077960784313724</v>
      </c>
      <c r="AB91" s="107">
        <v>40.32505882352941</v>
      </c>
      <c r="AC91" s="107">
        <v>37.13964705882352</v>
      </c>
      <c r="AD91" s="107">
        <v>33.339333333333336</v>
      </c>
      <c r="AE91" s="106">
        <v>1</v>
      </c>
      <c r="AF91" s="32" t="str">
        <f>IF(AE91=0,"",VLOOKUP(AE91,tab_tipo_expansao!$A$2:$B$4,2,0))</f>
        <v>opcional</v>
      </c>
      <c r="AG91" s="125">
        <v>2030</v>
      </c>
      <c r="AH91" s="125">
        <v>2100</v>
      </c>
      <c r="AI91" s="125">
        <v>30</v>
      </c>
      <c r="AJ91" s="530">
        <v>964.17581106720957</v>
      </c>
      <c r="AK91" s="24">
        <f>AL91/constantes!$B$4</f>
        <v>4664.6144705718898</v>
      </c>
      <c r="AL91" s="33">
        <f t="shared" si="21"/>
        <v>18191.996435230369</v>
      </c>
      <c r="AM91" s="87">
        <v>2</v>
      </c>
      <c r="AN91" s="531">
        <v>0</v>
      </c>
      <c r="AO91" s="23"/>
      <c r="AP91" s="532">
        <f t="shared" si="22"/>
        <v>964.17581106720957</v>
      </c>
      <c r="AR91" s="35">
        <f t="shared" si="23"/>
        <v>18191.996435230369</v>
      </c>
      <c r="AS91" s="36">
        <f ca="1">OFFSET(cod_desembolso!$A$1,AM91,23)</f>
        <v>1.1245293369208682</v>
      </c>
      <c r="AT91" s="37">
        <f ca="1">IF(AP91=0,0,AP91*(OFFSET(cod_desembolso!$A$1,AM91,23)))</f>
        <v>1084.2439854945494</v>
      </c>
      <c r="AU91" s="38">
        <f>(constantes!$B$3*(1+constantes!$B$3)^(AI91))/((1+constantes!$B$3)^(AI91)-1)</f>
        <v>8.8827433387272267E-2</v>
      </c>
      <c r="AV91" s="37">
        <f t="shared" ca="1" si="24"/>
        <v>98.960610397067697</v>
      </c>
      <c r="AW91" s="37">
        <f ca="1">IF(AP91=0,AY91/constantes!$B$3,AV91/constantes!$B$3)</f>
        <v>1237.0076299633463</v>
      </c>
      <c r="AX91" s="39">
        <f ca="1">IF(AP91=0,0,PV(constantes!$B$3,AI91,-AV91)*constantes!$B$3)</f>
        <v>89.126168908306994</v>
      </c>
      <c r="AY91" s="40">
        <f>constantes!$B$10*F91/1000</f>
        <v>2.65</v>
      </c>
      <c r="AZ91" s="533">
        <f>constantes!$B$12</f>
        <v>0</v>
      </c>
      <c r="BA91" s="20">
        <v>318</v>
      </c>
      <c r="BB91" s="43"/>
      <c r="BC91" s="3" t="s">
        <v>2217</v>
      </c>
      <c r="BE91" s="534">
        <v>1</v>
      </c>
      <c r="BF91" s="535">
        <v>2035</v>
      </c>
      <c r="BG91" s="536">
        <v>3</v>
      </c>
      <c r="BH91" s="537">
        <v>2050</v>
      </c>
    </row>
    <row r="92" spans="1:60" ht="14.45">
      <c r="A92" s="125">
        <v>1091</v>
      </c>
      <c r="B92" s="125">
        <v>1091</v>
      </c>
      <c r="C92" s="538" t="s">
        <v>2250</v>
      </c>
      <c r="D92" s="538" t="s">
        <v>2250</v>
      </c>
      <c r="E92" s="546"/>
      <c r="F92" s="526">
        <v>881</v>
      </c>
      <c r="G92" s="3" t="s">
        <v>2181</v>
      </c>
      <c r="H92" s="3" t="s">
        <v>2250</v>
      </c>
      <c r="I92" s="3">
        <v>-55.874301000000003</v>
      </c>
      <c r="J92" s="3">
        <v>-5.6581469999999996</v>
      </c>
      <c r="K92" s="539" t="s">
        <v>155</v>
      </c>
      <c r="L92" s="539" t="s">
        <v>155</v>
      </c>
      <c r="M92" s="554">
        <v>9</v>
      </c>
      <c r="N92" s="107"/>
      <c r="O92" s="529">
        <v>1.9820000000000001E-2</v>
      </c>
      <c r="P92" s="529">
        <v>5.2919999999999995E-2</v>
      </c>
      <c r="Q92" s="288">
        <f t="shared" si="15"/>
        <v>0.52012555064591104</v>
      </c>
      <c r="R92" s="30">
        <f t="shared" si="16"/>
        <v>458.23061011904758</v>
      </c>
      <c r="S92" s="30">
        <f t="shared" si="17"/>
        <v>422.76938988095242</v>
      </c>
      <c r="T92" s="107">
        <v>744.49380952380943</v>
      </c>
      <c r="U92" s="107">
        <v>666.98690476190473</v>
      </c>
      <c r="V92" s="107">
        <v>112.86416666666666</v>
      </c>
      <c r="W92" s="107">
        <v>308.5775595238095</v>
      </c>
      <c r="X92" s="288">
        <f t="shared" si="18"/>
        <v>0.49327111571075649</v>
      </c>
      <c r="Y92" s="289">
        <f t="shared" si="19"/>
        <v>434.57185294117647</v>
      </c>
      <c r="Z92" s="289">
        <f t="shared" si="20"/>
        <v>-23.658757177871109</v>
      </c>
      <c r="AA92" s="107">
        <v>724.57639215686288</v>
      </c>
      <c r="AB92" s="107">
        <v>653.60007843137248</v>
      </c>
      <c r="AC92" s="107">
        <v>113.79627450980395</v>
      </c>
      <c r="AD92" s="107">
        <v>246.31466666666665</v>
      </c>
      <c r="AE92" s="106">
        <v>1</v>
      </c>
      <c r="AF92" s="32" t="str">
        <f>IF(AE92=0,"",VLOOKUP(AE92,tab_tipo_expansao!$A$2:$B$4,2,0))</f>
        <v>opcional</v>
      </c>
      <c r="AG92" s="125">
        <v>2030</v>
      </c>
      <c r="AH92" s="125">
        <v>2100</v>
      </c>
      <c r="AI92" s="125">
        <v>30</v>
      </c>
      <c r="AJ92" s="530">
        <v>3743.9208150419045</v>
      </c>
      <c r="AK92" s="24">
        <f>AL92/constantes!$B$4</f>
        <v>1089.6477822526572</v>
      </c>
      <c r="AL92" s="33">
        <f t="shared" si="21"/>
        <v>4249.6263507853628</v>
      </c>
      <c r="AM92" s="87">
        <v>3</v>
      </c>
      <c r="AN92" s="531">
        <v>0</v>
      </c>
      <c r="AO92" s="23"/>
      <c r="AP92" s="532">
        <f t="shared" si="22"/>
        <v>3743.9208150419045</v>
      </c>
      <c r="AR92" s="35">
        <f t="shared" si="23"/>
        <v>4249.6263507853628</v>
      </c>
      <c r="AS92" s="36">
        <f ca="1">OFFSET(cod_desembolso!$A$1,AM92,23)</f>
        <v>1.1255071012622904</v>
      </c>
      <c r="AT92" s="37">
        <f ca="1">IF(AP92=0,0,AP92*(OFFSET(cod_desembolso!$A$1,AM92,23)))</f>
        <v>4213.8094638933653</v>
      </c>
      <c r="AU92" s="38">
        <f>(constantes!$B$3*(1+constantes!$B$3)^(AI92))/((1+constantes!$B$3)^(AI92)-1)</f>
        <v>8.8827433387272267E-2</v>
      </c>
      <c r="AV92" s="37">
        <f t="shared" ca="1" si="24"/>
        <v>418.35187946064536</v>
      </c>
      <c r="AW92" s="37">
        <f ca="1">IF(AP92=0,AY92/constantes!$B$3,AV92/constantes!$B$3)</f>
        <v>5229.398493258067</v>
      </c>
      <c r="AX92" s="39">
        <f ca="1">IF(AP92=0,0,PV(constantes!$B$3,AI92,-AV92)*constantes!$B$3)</f>
        <v>376.7771856126505</v>
      </c>
      <c r="AY92" s="40">
        <f>constantes!$B$10*F92/1000</f>
        <v>44.05</v>
      </c>
      <c r="AZ92" s="533">
        <f>constantes!$B$12</f>
        <v>0</v>
      </c>
      <c r="BA92" s="20">
        <v>318</v>
      </c>
      <c r="BB92" s="43"/>
      <c r="BC92" s="3" t="s">
        <v>2185</v>
      </c>
      <c r="BE92" s="534">
        <v>1</v>
      </c>
      <c r="BF92" s="535">
        <v>2030</v>
      </c>
      <c r="BG92" s="536">
        <v>1</v>
      </c>
      <c r="BH92" s="537">
        <v>2030</v>
      </c>
    </row>
    <row r="93" spans="1:60" ht="14.45">
      <c r="A93" s="125">
        <v>1092</v>
      </c>
      <c r="B93" s="125">
        <v>1092</v>
      </c>
      <c r="C93" s="538" t="s">
        <v>2326</v>
      </c>
      <c r="D93" s="538" t="s">
        <v>2326</v>
      </c>
      <c r="E93" s="546"/>
      <c r="F93" s="526">
        <v>227</v>
      </c>
      <c r="G93" s="3" t="s">
        <v>2181</v>
      </c>
      <c r="H93" s="3" t="s">
        <v>2250</v>
      </c>
      <c r="I93" s="3">
        <v>-55.765546999999998</v>
      </c>
      <c r="J93" s="3">
        <v>-6.2633910000000004</v>
      </c>
      <c r="K93" s="539" t="s">
        <v>155</v>
      </c>
      <c r="L93" s="539" t="s">
        <v>155</v>
      </c>
      <c r="M93" s="554">
        <v>9</v>
      </c>
      <c r="N93" s="107"/>
      <c r="O93" s="529">
        <v>1.9820000000000001E-2</v>
      </c>
      <c r="P93" s="529">
        <v>5.2919999999999995E-2</v>
      </c>
      <c r="Q93" s="288">
        <f t="shared" si="15"/>
        <v>0.43379149622404028</v>
      </c>
      <c r="R93" s="30">
        <f t="shared" si="16"/>
        <v>98.470669642857146</v>
      </c>
      <c r="S93" s="30">
        <f t="shared" si="17"/>
        <v>128.52933035714284</v>
      </c>
      <c r="T93" s="107">
        <v>162.88285714285715</v>
      </c>
      <c r="U93" s="107">
        <v>142.03863095238094</v>
      </c>
      <c r="V93" s="107">
        <v>24.238333333333333</v>
      </c>
      <c r="W93" s="107">
        <v>64.722857142857137</v>
      </c>
      <c r="X93" s="288">
        <f t="shared" si="18"/>
        <v>0.42302824565949726</v>
      </c>
      <c r="Y93" s="289">
        <f t="shared" si="19"/>
        <v>96.027411764705874</v>
      </c>
      <c r="Z93" s="289">
        <f t="shared" si="20"/>
        <v>-2.4432578781512717</v>
      </c>
      <c r="AA93" s="107">
        <v>160.01843137254897</v>
      </c>
      <c r="AB93" s="107">
        <v>144.24972549019608</v>
      </c>
      <c r="AC93" s="107">
        <v>25.153372549019604</v>
      </c>
      <c r="AD93" s="107">
        <v>54.688117647058824</v>
      </c>
      <c r="AE93" s="106">
        <v>1</v>
      </c>
      <c r="AF93" s="32" t="str">
        <f>IF(AE93=0,"",VLOOKUP(AE93,tab_tipo_expansao!$A$2:$B$4,2,0))</f>
        <v>opcional</v>
      </c>
      <c r="AG93" s="125">
        <v>2030</v>
      </c>
      <c r="AH93" s="125">
        <v>2100</v>
      </c>
      <c r="AI93" s="125">
        <v>30</v>
      </c>
      <c r="AJ93" s="530">
        <v>1893.9521597062976</v>
      </c>
      <c r="AK93" s="24">
        <f>AL93/constantes!$B$4</f>
        <v>2139.3337396433949</v>
      </c>
      <c r="AL93" s="33">
        <f t="shared" si="21"/>
        <v>8343.4015846092407</v>
      </c>
      <c r="AM93" s="87">
        <v>2</v>
      </c>
      <c r="AN93" s="531">
        <v>0</v>
      </c>
      <c r="AO93" s="23"/>
      <c r="AP93" s="532">
        <f t="shared" si="22"/>
        <v>1893.9521597062976</v>
      </c>
      <c r="AR93" s="35">
        <f t="shared" si="23"/>
        <v>8343.4015846092407</v>
      </c>
      <c r="AS93" s="36">
        <f ca="1">OFFSET(cod_desembolso!$A$1,AM93,23)</f>
        <v>1.1245293369208682</v>
      </c>
      <c r="AT93" s="37">
        <f ca="1">IF(AP93=0,0,AP93*(OFFSET(cod_desembolso!$A$1,AM93,23)))</f>
        <v>2129.8047663143693</v>
      </c>
      <c r="AU93" s="38">
        <f>(constantes!$B$3*(1+constantes!$B$3)^(AI93))/((1+constantes!$B$3)^(AI93)-1)</f>
        <v>8.8827433387272267E-2</v>
      </c>
      <c r="AV93" s="37">
        <f t="shared" ca="1" si="24"/>
        <v>200.5350910076846</v>
      </c>
      <c r="AW93" s="37">
        <f ca="1">IF(AP93=0,AY93/constantes!$B$3,AV93/constantes!$B$3)</f>
        <v>2506.6886375960576</v>
      </c>
      <c r="AX93" s="39">
        <f ca="1">IF(AP93=0,0,PV(constantes!$B$3,AI93,-AV93)*constantes!$B$3)</f>
        <v>180.60644858070927</v>
      </c>
      <c r="AY93" s="40">
        <f>constantes!$B$10*F93/1000</f>
        <v>11.35</v>
      </c>
      <c r="AZ93" s="533">
        <f>constantes!$B$12</f>
        <v>0</v>
      </c>
      <c r="BA93" s="20">
        <v>318</v>
      </c>
      <c r="BB93" s="43"/>
      <c r="BC93" s="3" t="s">
        <v>2183</v>
      </c>
      <c r="BE93" s="534">
        <v>1</v>
      </c>
      <c r="BF93" s="535">
        <v>2027</v>
      </c>
      <c r="BG93" s="536">
        <v>1</v>
      </c>
      <c r="BH93" s="537">
        <v>2027</v>
      </c>
    </row>
    <row r="94" spans="1:60" ht="14.45" hidden="1" customHeight="1">
      <c r="A94" s="125">
        <v>1093</v>
      </c>
      <c r="B94" s="125">
        <v>1093</v>
      </c>
      <c r="C94" s="625" t="s">
        <v>2327</v>
      </c>
      <c r="D94" s="538" t="s">
        <v>2327</v>
      </c>
      <c r="E94" s="546"/>
      <c r="F94" s="526">
        <v>2338</v>
      </c>
      <c r="G94" s="3" t="s">
        <v>2181</v>
      </c>
      <c r="H94" s="3" t="s">
        <v>2264</v>
      </c>
      <c r="I94" s="3">
        <v>-56.919674000000001</v>
      </c>
      <c r="J94" s="3">
        <v>-5.1966190000000001</v>
      </c>
      <c r="K94" s="539" t="s">
        <v>155</v>
      </c>
      <c r="L94" s="539" t="s">
        <v>155</v>
      </c>
      <c r="M94" s="554">
        <v>9</v>
      </c>
      <c r="N94" s="107"/>
      <c r="O94" s="529">
        <v>2.068E-2</v>
      </c>
      <c r="P94" s="529">
        <v>4.6600000000000003E-2</v>
      </c>
      <c r="Q94" s="288">
        <f t="shared" si="15"/>
        <v>0.5618491588252067</v>
      </c>
      <c r="R94" s="30">
        <f t="shared" si="16"/>
        <v>1313.6033333333332</v>
      </c>
      <c r="S94" s="30">
        <f t="shared" si="17"/>
        <v>1024.3966666666668</v>
      </c>
      <c r="T94" s="107">
        <v>1994.7014285714288</v>
      </c>
      <c r="U94" s="107">
        <v>1774.0823214285713</v>
      </c>
      <c r="V94" s="107">
        <v>622.59916666666663</v>
      </c>
      <c r="W94" s="107">
        <v>863.03041666666661</v>
      </c>
      <c r="X94" s="288">
        <f t="shared" si="18"/>
        <v>0.54012106040020791</v>
      </c>
      <c r="Y94" s="289">
        <f t="shared" si="19"/>
        <v>1262.8030392156861</v>
      </c>
      <c r="Z94" s="289">
        <f t="shared" si="20"/>
        <v>-50.800294117647127</v>
      </c>
      <c r="AA94" s="107">
        <v>1931.2147450980385</v>
      </c>
      <c r="AB94" s="107">
        <v>1677.1333333333332</v>
      </c>
      <c r="AC94" s="107">
        <v>598.74643137254907</v>
      </c>
      <c r="AD94" s="107">
        <v>844.11764705882376</v>
      </c>
      <c r="AE94" s="106">
        <v>1</v>
      </c>
      <c r="AF94" s="32" t="str">
        <f>IF(AE94=0,"",VLOOKUP(AE94,tab_tipo_expansao!$A$2:$B$4,2,0))</f>
        <v>opcional</v>
      </c>
      <c r="AG94" s="125">
        <v>2030</v>
      </c>
      <c r="AH94" s="125">
        <v>2100</v>
      </c>
      <c r="AI94" s="125">
        <v>30</v>
      </c>
      <c r="AJ94" s="530">
        <v>14697.024028436779</v>
      </c>
      <c r="AK94" s="24">
        <f>AL94/constantes!$B$4</f>
        <v>1611.8339177070891</v>
      </c>
      <c r="AL94" s="33">
        <f t="shared" si="21"/>
        <v>6286.1522790576473</v>
      </c>
      <c r="AM94" s="87">
        <v>4</v>
      </c>
      <c r="AN94" s="531">
        <v>0</v>
      </c>
      <c r="AO94" s="23"/>
      <c r="AP94" s="532">
        <f t="shared" si="22"/>
        <v>14697.024028436779</v>
      </c>
      <c r="AR94" s="35">
        <f t="shared" si="23"/>
        <v>6286.1522790576473</v>
      </c>
      <c r="AS94" s="36">
        <f ca="1">OFFSET(cod_desembolso!$A$1,AM94,23)</f>
        <v>1.103153897336226</v>
      </c>
      <c r="AT94" s="37">
        <f ca="1">IF(AP94=0,0,AP94*(OFFSET(cod_desembolso!$A$1,AM94,23)))</f>
        <v>16213.079336214194</v>
      </c>
      <c r="AU94" s="38">
        <f>(constantes!$B$3*(1+constantes!$B$3)^(AI94))/((1+constantes!$B$3)^(AI94)-1)</f>
        <v>8.8827433387272267E-2</v>
      </c>
      <c r="AV94" s="37">
        <f t="shared" ca="1" si="24"/>
        <v>1557.0662247401269</v>
      </c>
      <c r="AW94" s="37">
        <f ca="1">IF(AP94=0,AY94/constantes!$B$3,AV94/constantes!$B$3)</f>
        <v>19463.327809251587</v>
      </c>
      <c r="AX94" s="39">
        <f ca="1">IF(AP94=0,0,PV(constantes!$B$3,AI94,-AV94)*constantes!$B$3)</f>
        <v>1402.3291367220638</v>
      </c>
      <c r="AY94" s="40">
        <f>constantes!$B$10*F94/1000</f>
        <v>116.9</v>
      </c>
      <c r="AZ94" s="533">
        <f>constantes!$B$12</f>
        <v>0</v>
      </c>
      <c r="BA94" s="20">
        <v>318</v>
      </c>
      <c r="BB94" s="43"/>
      <c r="BC94" s="3" t="s">
        <v>2209</v>
      </c>
      <c r="BE94" s="534">
        <v>1</v>
      </c>
      <c r="BF94" s="535">
        <v>2025</v>
      </c>
      <c r="BG94" s="536">
        <v>1</v>
      </c>
      <c r="BH94" s="537">
        <v>2025</v>
      </c>
    </row>
    <row r="95" spans="1:60" ht="14.45" hidden="1">
      <c r="A95" s="125">
        <v>1094</v>
      </c>
      <c r="B95" s="125">
        <v>1094</v>
      </c>
      <c r="C95" s="538" t="s">
        <v>2328</v>
      </c>
      <c r="D95" s="538" t="s">
        <v>2328</v>
      </c>
      <c r="E95" s="546"/>
      <c r="F95" s="526">
        <v>96.1</v>
      </c>
      <c r="G95" s="3" t="s">
        <v>2206</v>
      </c>
      <c r="H95" s="3" t="s">
        <v>2207</v>
      </c>
      <c r="I95" s="3">
        <v>-41.845948</v>
      </c>
      <c r="J95" s="3">
        <v>-16.628520000000002</v>
      </c>
      <c r="K95" s="539" t="s">
        <v>152</v>
      </c>
      <c r="L95" s="539" t="s">
        <v>152</v>
      </c>
      <c r="M95" s="554">
        <v>1</v>
      </c>
      <c r="N95" s="107"/>
      <c r="O95" s="529">
        <v>1.9820000000000001E-2</v>
      </c>
      <c r="P95" s="529">
        <v>5.2919999999999995E-2</v>
      </c>
      <c r="Q95" s="288">
        <f t="shared" si="15"/>
        <v>0.48880351568306823</v>
      </c>
      <c r="R95" s="30">
        <f t="shared" si="16"/>
        <v>46.974017857142854</v>
      </c>
      <c r="S95" s="30">
        <f t="shared" si="17"/>
        <v>49.12598214285714</v>
      </c>
      <c r="T95" s="107">
        <v>22.710000000000004</v>
      </c>
      <c r="U95" s="107">
        <v>26.640059523809523</v>
      </c>
      <c r="V95" s="107">
        <v>72.352500000000006</v>
      </c>
      <c r="W95" s="107">
        <v>66.193511904761905</v>
      </c>
      <c r="X95" s="288">
        <f t="shared" si="18"/>
        <v>0.49651129338311817</v>
      </c>
      <c r="Y95" s="289">
        <f t="shared" si="19"/>
        <v>47.714735294117652</v>
      </c>
      <c r="Z95" s="289">
        <f t="shared" si="20"/>
        <v>0.74071743697479775</v>
      </c>
      <c r="AA95" s="107">
        <v>49.42203921568629</v>
      </c>
      <c r="AB95" s="107">
        <v>31.504235294117649</v>
      </c>
      <c r="AC95" s="107">
        <v>55.96243137254902</v>
      </c>
      <c r="AD95" s="107">
        <v>53.97023529411765</v>
      </c>
      <c r="AE95" s="106">
        <v>1</v>
      </c>
      <c r="AF95" s="32" t="str">
        <f>IF(AE95=0,"",VLOOKUP(AE95,tab_tipo_expansao!$A$2:$B$4,2,0))</f>
        <v>opcional</v>
      </c>
      <c r="AG95" s="125">
        <v>2028</v>
      </c>
      <c r="AH95" s="125">
        <v>2100</v>
      </c>
      <c r="AI95" s="125">
        <v>30</v>
      </c>
      <c r="AJ95" s="530">
        <v>1676.5813416460971</v>
      </c>
      <c r="AK95" s="24">
        <f>AL95/constantes!$B$4</f>
        <v>4473.3886753811394</v>
      </c>
      <c r="AL95" s="33">
        <f t="shared" si="21"/>
        <v>17446.215833986444</v>
      </c>
      <c r="AM95" s="87">
        <v>2</v>
      </c>
      <c r="AN95" s="531">
        <v>0</v>
      </c>
      <c r="AO95" s="23"/>
      <c r="AP95" s="532">
        <f t="shared" si="22"/>
        <v>1676.5813416460971</v>
      </c>
      <c r="AR95" s="35">
        <f t="shared" si="23"/>
        <v>17446.215833986444</v>
      </c>
      <c r="AS95" s="36">
        <f ca="1">OFFSET(cod_desembolso!$A$1,AM95,23)</f>
        <v>1.1245293369208682</v>
      </c>
      <c r="AT95" s="37">
        <f ca="1">IF(AP95=0,0,AP95*(OFFSET(cod_desembolso!$A$1,AM95,23)))</f>
        <v>1885.3649044151853</v>
      </c>
      <c r="AU95" s="38">
        <f>(constantes!$B$3*(1+constantes!$B$3)^(AI95))/((1+constantes!$B$3)^(AI95)-1)</f>
        <v>8.8827433387272267E-2</v>
      </c>
      <c r="AV95" s="37">
        <f t="shared" ca="1" si="24"/>
        <v>172.27712545764081</v>
      </c>
      <c r="AW95" s="37">
        <f ca="1">IF(AP95=0,AY95/constantes!$B$3,AV95/constantes!$B$3)</f>
        <v>2153.4640682205099</v>
      </c>
      <c r="AX95" s="39">
        <f ca="1">IF(AP95=0,0,PV(constantes!$B$3,AI95,-AV95)*constantes!$B$3)</f>
        <v>155.15668427031301</v>
      </c>
      <c r="AY95" s="40">
        <f>constantes!$B$10*F95/1000</f>
        <v>4.8049999999999997</v>
      </c>
      <c r="AZ95" s="533">
        <f>constantes!$B$12</f>
        <v>0</v>
      </c>
      <c r="BA95" s="20">
        <v>318</v>
      </c>
      <c r="BB95" s="43"/>
      <c r="BC95" s="3" t="s">
        <v>2197</v>
      </c>
      <c r="BE95" s="534">
        <v>1</v>
      </c>
      <c r="BF95" s="535">
        <v>2027</v>
      </c>
      <c r="BG95" s="536">
        <v>1</v>
      </c>
      <c r="BH95" s="537">
        <v>2027</v>
      </c>
    </row>
    <row r="96" spans="1:60" ht="14.45">
      <c r="A96" s="125">
        <v>1095</v>
      </c>
      <c r="B96" s="125">
        <v>1095</v>
      </c>
      <c r="C96" s="538" t="s">
        <v>2329</v>
      </c>
      <c r="D96" s="538" t="s">
        <v>2329</v>
      </c>
      <c r="E96" s="546"/>
      <c r="F96" s="526">
        <v>46.1</v>
      </c>
      <c r="G96" s="3" t="s">
        <v>2206</v>
      </c>
      <c r="H96" s="3" t="s">
        <v>2330</v>
      </c>
      <c r="I96" s="3">
        <v>-39.184659000000003</v>
      </c>
      <c r="J96" s="3">
        <v>-13.625408</v>
      </c>
      <c r="K96" s="539" t="s">
        <v>154</v>
      </c>
      <c r="L96" s="539" t="s">
        <v>154</v>
      </c>
      <c r="M96" s="554">
        <v>3</v>
      </c>
      <c r="N96" s="107"/>
      <c r="O96" s="529">
        <v>2.068E-2</v>
      </c>
      <c r="P96" s="529">
        <v>4.6600000000000003E-2</v>
      </c>
      <c r="Q96" s="288">
        <f t="shared" si="15"/>
        <v>0.50184473158491616</v>
      </c>
      <c r="R96" s="30">
        <f t="shared" si="16"/>
        <v>23.135042126064636</v>
      </c>
      <c r="S96" s="30">
        <f t="shared" si="17"/>
        <v>22.964957873935365</v>
      </c>
      <c r="T96" s="107">
        <v>19.151254845595119</v>
      </c>
      <c r="U96" s="107">
        <v>22.151529651942557</v>
      </c>
      <c r="V96" s="107">
        <v>29.208277300150314</v>
      </c>
      <c r="W96" s="107">
        <v>22.029106706570563</v>
      </c>
      <c r="X96" s="288">
        <f t="shared" si="18"/>
        <v>0.48889284425325702</v>
      </c>
      <c r="Y96" s="289">
        <f t="shared" si="19"/>
        <v>22.537960120075148</v>
      </c>
      <c r="Z96" s="289">
        <f t="shared" si="20"/>
        <v>-0.59708200598948835</v>
      </c>
      <c r="AA96" s="107">
        <v>23.768699130760414</v>
      </c>
      <c r="AB96" s="107">
        <v>22.405588394556641</v>
      </c>
      <c r="AC96" s="107">
        <v>24.422559911172133</v>
      </c>
      <c r="AD96" s="107">
        <v>19.554993043811404</v>
      </c>
      <c r="AE96" s="106">
        <v>1</v>
      </c>
      <c r="AF96" s="32" t="str">
        <f>IF(AE96=0,"",VLOOKUP(AE96,tab_tipo_expansao!$A$2:$B$4,2,0))</f>
        <v>opcional</v>
      </c>
      <c r="AG96" s="125">
        <v>2030</v>
      </c>
      <c r="AH96" s="125">
        <v>2100</v>
      </c>
      <c r="AI96" s="125">
        <v>30</v>
      </c>
      <c r="AJ96" s="530">
        <v>334.97122066952517</v>
      </c>
      <c r="AK96" s="24">
        <f>AL96/constantes!$B$4</f>
        <v>1863.1248716253695</v>
      </c>
      <c r="AL96" s="33">
        <f t="shared" si="21"/>
        <v>7266.186999338941</v>
      </c>
      <c r="AM96" s="87">
        <v>2</v>
      </c>
      <c r="AN96" s="531">
        <v>0</v>
      </c>
      <c r="AO96" s="23"/>
      <c r="AP96" s="532">
        <f t="shared" si="22"/>
        <v>334.97122066952517</v>
      </c>
      <c r="AR96" s="35">
        <f t="shared" si="23"/>
        <v>7266.18699933894</v>
      </c>
      <c r="AS96" s="36">
        <f ca="1">OFFSET(cod_desembolso!$A$1,AM96,23)</f>
        <v>1.1245293369208682</v>
      </c>
      <c r="AT96" s="37">
        <f ca="1">IF(AP96=0,0,AP96*(OFFSET(cod_desembolso!$A$1,AM96,23)))</f>
        <v>376.68496466707495</v>
      </c>
      <c r="AU96" s="38">
        <f>(constantes!$B$3*(1+constantes!$B$3)^(AI96))/((1+constantes!$B$3)^(AI96)-1)</f>
        <v>8.8827433387272267E-2</v>
      </c>
      <c r="AV96" s="37">
        <f t="shared" ca="1" si="24"/>
        <v>35.764958606951609</v>
      </c>
      <c r="AW96" s="37">
        <f ca="1">IF(AP96=0,AY96/constantes!$B$3,AV96/constantes!$B$3)</f>
        <v>447.06198258689511</v>
      </c>
      <c r="AX96" s="39">
        <f ca="1">IF(AP96=0,0,PV(constantes!$B$3,AI96,-AV96)*constantes!$B$3)</f>
        <v>32.210732421838699</v>
      </c>
      <c r="AY96" s="40">
        <f>constantes!$B$10*F96/1000</f>
        <v>2.3050000000000002</v>
      </c>
      <c r="AZ96" s="533">
        <f>constantes!$B$12</f>
        <v>0</v>
      </c>
      <c r="BA96" s="20">
        <v>318</v>
      </c>
      <c r="BB96" s="43"/>
      <c r="BC96" s="3" t="s">
        <v>2183</v>
      </c>
      <c r="BE96" s="534">
        <v>1</v>
      </c>
      <c r="BF96" s="535">
        <v>2027</v>
      </c>
      <c r="BG96" s="536">
        <v>1</v>
      </c>
      <c r="BH96" s="537">
        <v>2027</v>
      </c>
    </row>
    <row r="97" spans="1:60" ht="14.45">
      <c r="A97" s="125">
        <v>1096</v>
      </c>
      <c r="B97" s="125">
        <v>1096</v>
      </c>
      <c r="C97" s="538" t="s">
        <v>2207</v>
      </c>
      <c r="D97" s="538" t="s">
        <v>2207</v>
      </c>
      <c r="E97" s="546"/>
      <c r="F97" s="526">
        <v>101.28</v>
      </c>
      <c r="G97" s="3" t="s">
        <v>2206</v>
      </c>
      <c r="H97" s="3" t="s">
        <v>2207</v>
      </c>
      <c r="I97" s="3">
        <v>-41.073332999999998</v>
      </c>
      <c r="J97" s="3">
        <v>-16.429167</v>
      </c>
      <c r="K97" s="539" t="s">
        <v>152</v>
      </c>
      <c r="L97" s="539" t="s">
        <v>152</v>
      </c>
      <c r="M97" s="554">
        <v>1</v>
      </c>
      <c r="N97" s="107"/>
      <c r="O97" s="529">
        <v>1.9820000000000001E-2</v>
      </c>
      <c r="P97" s="529">
        <v>5.2919999999999995E-2</v>
      </c>
      <c r="Q97" s="288">
        <f t="shared" si="15"/>
        <v>0.48988982688256971</v>
      </c>
      <c r="R97" s="30">
        <f t="shared" si="16"/>
        <v>49.616041666666661</v>
      </c>
      <c r="S97" s="30">
        <f t="shared" si="17"/>
        <v>51.663958333333341</v>
      </c>
      <c r="T97" s="107">
        <v>29.167142857142853</v>
      </c>
      <c r="U97" s="107">
        <v>28.931309523809521</v>
      </c>
      <c r="V97" s="107">
        <v>71.055416666666659</v>
      </c>
      <c r="W97" s="107">
        <v>69.310297619047631</v>
      </c>
      <c r="X97" s="288">
        <f t="shared" si="18"/>
        <v>0.49885466034755127</v>
      </c>
      <c r="Y97" s="289">
        <f t="shared" si="19"/>
        <v>50.523999999999994</v>
      </c>
      <c r="Z97" s="289">
        <f t="shared" si="20"/>
        <v>0.9079583333333332</v>
      </c>
      <c r="AA97" s="107">
        <v>54.779333333333319</v>
      </c>
      <c r="AB97" s="107">
        <v>33.705607843137244</v>
      </c>
      <c r="AC97" s="107">
        <v>55.381960784313726</v>
      </c>
      <c r="AD97" s="107">
        <v>58.229098039215692</v>
      </c>
      <c r="AE97" s="106">
        <v>1</v>
      </c>
      <c r="AF97" s="32" t="str">
        <f>IF(AE97=0,"",VLOOKUP(AE97,tab_tipo_expansao!$A$2:$B$4,2,0))</f>
        <v>opcional</v>
      </c>
      <c r="AG97" s="125">
        <v>2030</v>
      </c>
      <c r="AH97" s="125">
        <v>2100</v>
      </c>
      <c r="AI97" s="125">
        <v>30</v>
      </c>
      <c r="AJ97" s="530">
        <v>1771.6635580086472</v>
      </c>
      <c r="AK97" s="24">
        <f>AL97/constantes!$B$4</f>
        <v>4485.3150393138276</v>
      </c>
      <c r="AL97" s="33">
        <f t="shared" si="21"/>
        <v>17492.728653323928</v>
      </c>
      <c r="AM97" s="87">
        <v>2</v>
      </c>
      <c r="AN97" s="531">
        <v>0</v>
      </c>
      <c r="AO97" s="23"/>
      <c r="AP97" s="532">
        <f t="shared" si="22"/>
        <v>1771.6635580086472</v>
      </c>
      <c r="AR97" s="35">
        <f t="shared" si="23"/>
        <v>17492.728653323928</v>
      </c>
      <c r="AS97" s="36">
        <f ca="1">OFFSET(cod_desembolso!$A$1,AM97,23)</f>
        <v>1.1245293369208682</v>
      </c>
      <c r="AT97" s="37">
        <f ca="1">IF(AP97=0,0,AP97*(OFFSET(cod_desembolso!$A$1,AM97,23)))</f>
        <v>1992.2876461343301</v>
      </c>
      <c r="AU97" s="38">
        <f>(constantes!$B$3*(1+constantes!$B$3)^(AI97))/((1+constantes!$B$3)^(AI97)-1)</f>
        <v>8.8827433387272267E-2</v>
      </c>
      <c r="AV97" s="37">
        <f t="shared" ca="1" si="24"/>
        <v>182.03379817528267</v>
      </c>
      <c r="AW97" s="37">
        <f ca="1">IF(AP97=0,AY97/constantes!$B$3,AV97/constantes!$B$3)</f>
        <v>2275.4224771910335</v>
      </c>
      <c r="AX97" s="39">
        <f ca="1">IF(AP97=0,0,PV(constantes!$B$3,AI97,-AV97)*constantes!$B$3)</f>
        <v>163.94376487871421</v>
      </c>
      <c r="AY97" s="40">
        <f>constantes!$B$10*F97/1000</f>
        <v>5.0640000000000001</v>
      </c>
      <c r="AZ97" s="533">
        <f>constantes!$B$12</f>
        <v>0</v>
      </c>
      <c r="BA97" s="20">
        <v>318</v>
      </c>
      <c r="BB97" s="43"/>
      <c r="BC97" s="3" t="s">
        <v>2185</v>
      </c>
      <c r="BE97" s="534">
        <v>1</v>
      </c>
      <c r="BF97" s="535">
        <v>2030</v>
      </c>
      <c r="BG97" s="536">
        <v>1</v>
      </c>
      <c r="BH97" s="537">
        <v>2030</v>
      </c>
    </row>
    <row r="98" spans="1:60" ht="14.45" hidden="1">
      <c r="A98" s="125">
        <v>1097</v>
      </c>
      <c r="B98" s="125">
        <v>1097</v>
      </c>
      <c r="C98" s="538" t="s">
        <v>2255</v>
      </c>
      <c r="D98" s="538" t="s">
        <v>2255</v>
      </c>
      <c r="E98" s="546"/>
      <c r="F98" s="526">
        <v>46</v>
      </c>
      <c r="G98" s="3" t="s">
        <v>2181</v>
      </c>
      <c r="H98" s="3" t="s">
        <v>2255</v>
      </c>
      <c r="I98" s="3">
        <v>-59.007601999999999</v>
      </c>
      <c r="J98" s="3">
        <v>-13.401799</v>
      </c>
      <c r="K98" s="539" t="s">
        <v>160</v>
      </c>
      <c r="L98" s="539" t="s">
        <v>160</v>
      </c>
      <c r="M98" s="554">
        <v>10</v>
      </c>
      <c r="N98" s="107"/>
      <c r="O98" s="529">
        <v>2.068E-2</v>
      </c>
      <c r="P98" s="529">
        <v>4.6600000000000003E-2</v>
      </c>
      <c r="Q98" s="288">
        <f t="shared" ref="Q98:Q129" si="25">R98/$F98</f>
        <v>0.93326086956521737</v>
      </c>
      <c r="R98" s="30">
        <f t="shared" si="16"/>
        <v>42.93</v>
      </c>
      <c r="S98" s="30">
        <f t="shared" ref="S98:S129" si="26">F98-R98</f>
        <v>3.0700000000000003</v>
      </c>
      <c r="T98" s="107">
        <v>42.93</v>
      </c>
      <c r="U98" s="107">
        <v>42.93</v>
      </c>
      <c r="V98" s="107">
        <v>42.93</v>
      </c>
      <c r="W98" s="107">
        <v>42.93</v>
      </c>
      <c r="X98" s="288">
        <f t="shared" ref="X98:X129" si="27">Y98/$F98</f>
        <v>0.92986508951406555</v>
      </c>
      <c r="Y98" s="289">
        <f t="shared" si="19"/>
        <v>42.773794117647014</v>
      </c>
      <c r="Z98" s="289">
        <f t="shared" si="20"/>
        <v>-0.15620588235298527</v>
      </c>
      <c r="AA98" s="107">
        <v>42.920039215686224</v>
      </c>
      <c r="AB98" s="107">
        <v>42.829215686274459</v>
      </c>
      <c r="AC98" s="107">
        <v>42.615254901960746</v>
      </c>
      <c r="AD98" s="107">
        <v>42.730666666666622</v>
      </c>
      <c r="AE98" s="106">
        <v>1</v>
      </c>
      <c r="AF98" s="32" t="str">
        <f>IF(AE98=0,"",VLOOKUP(AE98,tab_tipo_expansao!$A$2:$B$4,2,0))</f>
        <v>opcional</v>
      </c>
      <c r="AG98" s="125">
        <v>2028</v>
      </c>
      <c r="AH98" s="125">
        <v>2100</v>
      </c>
      <c r="AI98" s="125">
        <v>30</v>
      </c>
      <c r="AJ98" s="530">
        <v>356.92037914653076</v>
      </c>
      <c r="AK98" s="24">
        <f>AL98/constantes!$B$4</f>
        <v>1989.5227377175627</v>
      </c>
      <c r="AL98" s="33">
        <f t="shared" ref="AL98:AL128" si="28">AJ98/F98*1000</f>
        <v>7759.1386770984946</v>
      </c>
      <c r="AM98" s="87">
        <v>2</v>
      </c>
      <c r="AN98" s="531">
        <v>0</v>
      </c>
      <c r="AO98" s="23"/>
      <c r="AP98" s="532">
        <f t="shared" si="22"/>
        <v>356.92037914653076</v>
      </c>
      <c r="AR98" s="35">
        <f t="shared" ref="AR98:AR129" si="29">AP98*1000/F98</f>
        <v>7759.1386770984946</v>
      </c>
      <c r="AS98" s="36">
        <f ca="1">OFFSET(cod_desembolso!$A$1,AM98,23)</f>
        <v>1.1245293369208682</v>
      </c>
      <c r="AT98" s="37">
        <f ca="1">IF(AP98=0,0,AP98*(OFFSET(cod_desembolso!$A$1,AM98,23)))</f>
        <v>401.3674372951931</v>
      </c>
      <c r="AU98" s="38">
        <f>(constantes!$B$3*(1+constantes!$B$3)^(AI98))/((1+constantes!$B$3)^(AI98)-1)</f>
        <v>8.8827433387272267E-2</v>
      </c>
      <c r="AV98" s="37">
        <f t="shared" ca="1" si="24"/>
        <v>37.952439300158943</v>
      </c>
      <c r="AW98" s="37">
        <f ca="1">IF(AP98=0,AY98/constantes!$B$3,AV98/constantes!$B$3)</f>
        <v>474.4054912519868</v>
      </c>
      <c r="AX98" s="39">
        <f ca="1">IF(AP98=0,0,PV(constantes!$B$3,AI98,-AV98)*constantes!$B$3)</f>
        <v>34.180827118750905</v>
      </c>
      <c r="AY98" s="40">
        <f>constantes!$B$10*F98/1000</f>
        <v>2.2999999999999998</v>
      </c>
      <c r="AZ98" s="533">
        <f>constantes!$B$12</f>
        <v>0</v>
      </c>
      <c r="BA98" s="20">
        <v>318</v>
      </c>
      <c r="BB98" s="43"/>
      <c r="BC98" s="3" t="s">
        <v>2197</v>
      </c>
      <c r="BE98" s="534">
        <v>1</v>
      </c>
      <c r="BF98" s="535">
        <v>2027</v>
      </c>
      <c r="BG98" s="536">
        <v>1</v>
      </c>
      <c r="BH98" s="537">
        <v>2027</v>
      </c>
    </row>
    <row r="99" spans="1:60" ht="14.45">
      <c r="A99" s="125">
        <v>1098</v>
      </c>
      <c r="B99" s="125">
        <v>1098</v>
      </c>
      <c r="C99" s="538" t="s">
        <v>2331</v>
      </c>
      <c r="D99" s="538" t="s">
        <v>2331</v>
      </c>
      <c r="E99" s="546"/>
      <c r="F99" s="526">
        <v>48</v>
      </c>
      <c r="G99" s="3" t="s">
        <v>2231</v>
      </c>
      <c r="H99" s="3" t="s">
        <v>2241</v>
      </c>
      <c r="I99" s="3">
        <v>-42.997968</v>
      </c>
      <c r="J99" s="3">
        <v>-20.515218000000001</v>
      </c>
      <c r="K99" s="539" t="s">
        <v>152</v>
      </c>
      <c r="L99" s="539" t="s">
        <v>152</v>
      </c>
      <c r="M99" s="554">
        <v>1</v>
      </c>
      <c r="N99" s="107"/>
      <c r="O99" s="529">
        <v>2.068E-2</v>
      </c>
      <c r="P99" s="529">
        <v>4.6600000000000003E-2</v>
      </c>
      <c r="Q99" s="288">
        <f t="shared" si="25"/>
        <v>0.5210212053571428</v>
      </c>
      <c r="R99" s="30">
        <f t="shared" si="16"/>
        <v>25.009017857142855</v>
      </c>
      <c r="S99" s="30">
        <f t="shared" si="26"/>
        <v>22.990982142857145</v>
      </c>
      <c r="T99" s="107">
        <v>34.298095238095236</v>
      </c>
      <c r="U99" s="107">
        <v>24.012440476190477</v>
      </c>
      <c r="V99" s="107">
        <v>15.480416666666665</v>
      </c>
      <c r="W99" s="107">
        <v>26.245119047619045</v>
      </c>
      <c r="X99" s="288">
        <f t="shared" si="27"/>
        <v>0.52257230392156873</v>
      </c>
      <c r="Y99" s="289">
        <f t="shared" si="19"/>
        <v>25.083470588235297</v>
      </c>
      <c r="Z99" s="289">
        <f t="shared" si="20"/>
        <v>7.4452731092442548E-2</v>
      </c>
      <c r="AA99" s="107">
        <v>35.852901960784315</v>
      </c>
      <c r="AB99" s="107">
        <v>22.376705882352951</v>
      </c>
      <c r="AC99" s="107">
        <v>15.457921568627464</v>
      </c>
      <c r="AD99" s="107">
        <v>26.646352941176463</v>
      </c>
      <c r="AE99" s="106">
        <v>1</v>
      </c>
      <c r="AF99" s="32" t="str">
        <f>IF(AE99=0,"",VLOOKUP(AE99,tab_tipo_expansao!$A$2:$B$4,2,0))</f>
        <v>opcional</v>
      </c>
      <c r="AG99" s="125">
        <v>2030</v>
      </c>
      <c r="AH99" s="125">
        <v>2100</v>
      </c>
      <c r="AI99" s="125">
        <v>30</v>
      </c>
      <c r="AJ99" s="530">
        <v>480</v>
      </c>
      <c r="AK99" s="24">
        <f>AL99/constantes!$B$4</f>
        <v>2564.102564102564</v>
      </c>
      <c r="AL99" s="33">
        <f t="shared" si="28"/>
        <v>10000</v>
      </c>
      <c r="AM99" s="87">
        <v>2</v>
      </c>
      <c r="AN99" s="531">
        <v>0</v>
      </c>
      <c r="AO99" s="23"/>
      <c r="AP99" s="532">
        <f t="shared" si="22"/>
        <v>480</v>
      </c>
      <c r="AR99" s="35">
        <f t="shared" si="29"/>
        <v>10000</v>
      </c>
      <c r="AS99" s="36">
        <f ca="1">OFFSET(cod_desembolso!$A$1,AM99,23)</f>
        <v>1.1245293369208682</v>
      </c>
      <c r="AT99" s="37">
        <f ca="1">IF(AP99=0,0,AP99*(OFFSET(cod_desembolso!$A$1,AM99,23)))</f>
        <v>539.77408172201672</v>
      </c>
      <c r="AU99" s="38">
        <f>(constantes!$B$3*(1+constantes!$B$3)^(AI99))/((1+constantes!$B$3)^(AI99)-1)</f>
        <v>8.8827433387272267E-2</v>
      </c>
      <c r="AV99" s="37">
        <f t="shared" ca="1" si="24"/>
        <v>50.346746288338494</v>
      </c>
      <c r="AW99" s="37">
        <f ca="1">IF(AP99=0,AY99/constantes!$B$3,AV99/constantes!$B$3)</f>
        <v>629.33432860423113</v>
      </c>
      <c r="AX99" s="39">
        <f ca="1">IF(AP99=0,0,PV(constantes!$B$3,AI99,-AV99)*constantes!$B$3)</f>
        <v>45.34342093964181</v>
      </c>
      <c r="AY99" s="40">
        <f>constantes!$B$10*F99/1000</f>
        <v>2.4</v>
      </c>
      <c r="AZ99" s="533">
        <f>constantes!$B$12</f>
        <v>0</v>
      </c>
      <c r="BA99" s="20">
        <v>318</v>
      </c>
      <c r="BB99" s="43"/>
      <c r="BC99" s="3" t="s">
        <v>2183</v>
      </c>
      <c r="BE99" s="534">
        <v>1</v>
      </c>
      <c r="BF99" s="535">
        <v>2027</v>
      </c>
      <c r="BG99" s="536">
        <v>1</v>
      </c>
      <c r="BH99" s="537">
        <v>2027</v>
      </c>
    </row>
    <row r="100" spans="1:60" ht="14.45">
      <c r="A100" s="125">
        <v>1099</v>
      </c>
      <c r="B100" s="125">
        <v>1099</v>
      </c>
      <c r="C100" s="538" t="s">
        <v>2332</v>
      </c>
      <c r="D100" s="538" t="s">
        <v>2332</v>
      </c>
      <c r="E100" s="546"/>
      <c r="F100" s="526">
        <v>66</v>
      </c>
      <c r="G100" s="3" t="s">
        <v>2181</v>
      </c>
      <c r="H100" s="3" t="s">
        <v>2333</v>
      </c>
      <c r="I100" s="3">
        <v>-54.495033999999997</v>
      </c>
      <c r="J100" s="3">
        <v>-1.3294509999999999</v>
      </c>
      <c r="K100" s="539" t="s">
        <v>155</v>
      </c>
      <c r="L100" s="539" t="s">
        <v>155</v>
      </c>
      <c r="M100" s="554">
        <v>4</v>
      </c>
      <c r="N100" s="107"/>
      <c r="O100" s="529">
        <v>1.9820000000000001E-2</v>
      </c>
      <c r="P100" s="529">
        <v>5.2919999999999995E-2</v>
      </c>
      <c r="Q100" s="288">
        <f t="shared" si="25"/>
        <v>0.54172528860028857</v>
      </c>
      <c r="R100" s="30">
        <f t="shared" si="16"/>
        <v>35.753869047619048</v>
      </c>
      <c r="S100" s="30">
        <f t="shared" si="26"/>
        <v>30.246130952380952</v>
      </c>
      <c r="T100" s="107">
        <v>29.589523809523811</v>
      </c>
      <c r="U100" s="107">
        <v>58.083809523809521</v>
      </c>
      <c r="V100" s="107">
        <v>45.85958333333334</v>
      </c>
      <c r="W100" s="107">
        <v>9.4825595238095257</v>
      </c>
      <c r="X100" s="288">
        <f t="shared" si="27"/>
        <v>0.51411066547831274</v>
      </c>
      <c r="Y100" s="289">
        <f t="shared" si="19"/>
        <v>33.931303921568642</v>
      </c>
      <c r="Z100" s="289">
        <f t="shared" si="20"/>
        <v>-1.8225651260504065</v>
      </c>
      <c r="AA100" s="107">
        <v>29.401686274509814</v>
      </c>
      <c r="AB100" s="107">
        <v>55.842000000000006</v>
      </c>
      <c r="AC100" s="107">
        <v>40.579333333333345</v>
      </c>
      <c r="AD100" s="107">
        <v>9.9021960784313752</v>
      </c>
      <c r="AE100" s="106">
        <v>1</v>
      </c>
      <c r="AF100" s="32" t="str">
        <f>IF(AE100=0,"",VLOOKUP(AE100,tab_tipo_expansao!$A$2:$B$4,2,0))</f>
        <v>opcional</v>
      </c>
      <c r="AG100" s="125">
        <v>2030</v>
      </c>
      <c r="AH100" s="125">
        <v>2100</v>
      </c>
      <c r="AI100" s="125">
        <v>30</v>
      </c>
      <c r="AJ100" s="530">
        <v>546.69656203951365</v>
      </c>
      <c r="AK100" s="24">
        <f>AL100/constantes!$B$4</f>
        <v>2123.918267441778</v>
      </c>
      <c r="AL100" s="33">
        <f t="shared" si="28"/>
        <v>8283.2812430229333</v>
      </c>
      <c r="AM100" s="87">
        <v>2</v>
      </c>
      <c r="AN100" s="531">
        <v>0</v>
      </c>
      <c r="AO100" s="23"/>
      <c r="AP100" s="532">
        <f t="shared" si="22"/>
        <v>546.69656203951365</v>
      </c>
      <c r="AR100" s="35">
        <f t="shared" si="29"/>
        <v>8283.2812430229333</v>
      </c>
      <c r="AS100" s="36">
        <f ca="1">OFFSET(cod_desembolso!$A$1,AM100,23)</f>
        <v>1.1245293369208682</v>
      </c>
      <c r="AT100" s="37">
        <f ca="1">IF(AP100=0,0,AP100*(OFFSET(cod_desembolso!$A$1,AM100,23)))</f>
        <v>614.77632240721255</v>
      </c>
      <c r="AU100" s="38">
        <f>(constantes!$B$3*(1+constantes!$B$3)^(AI100))/((1+constantes!$B$3)^(AI100)-1)</f>
        <v>8.8827433387272267E-2</v>
      </c>
      <c r="AV100" s="37">
        <f t="shared" ca="1" si="24"/>
        <v>57.909002826698888</v>
      </c>
      <c r="AW100" s="37">
        <f ca="1">IF(AP100=0,AY100/constantes!$B$3,AV100/constantes!$B$3)</f>
        <v>723.8625353337361</v>
      </c>
      <c r="AX100" s="39">
        <f ca="1">IF(AP100=0,0,PV(constantes!$B$3,AI100,-AV100)*constantes!$B$3)</f>
        <v>52.154160595162651</v>
      </c>
      <c r="AY100" s="40">
        <f>constantes!$B$10*F100/1000</f>
        <v>3.3</v>
      </c>
      <c r="AZ100" s="533">
        <f>constantes!$B$12</f>
        <v>0</v>
      </c>
      <c r="BA100" s="20">
        <v>318</v>
      </c>
      <c r="BB100" s="43"/>
      <c r="BC100" s="3" t="s">
        <v>2183</v>
      </c>
      <c r="BE100" s="534">
        <v>1</v>
      </c>
      <c r="BF100" s="535">
        <v>2027</v>
      </c>
      <c r="BG100" s="536">
        <v>1</v>
      </c>
      <c r="BH100" s="537">
        <v>2027</v>
      </c>
    </row>
    <row r="101" spans="1:60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46"/>
      <c r="F101" s="526">
        <v>241.2</v>
      </c>
      <c r="G101" s="3" t="s">
        <v>2181</v>
      </c>
      <c r="H101" s="3" t="s">
        <v>2335</v>
      </c>
      <c r="I101" s="3">
        <v>-58.128953000000003</v>
      </c>
      <c r="J101" s="3">
        <v>-11.322917</v>
      </c>
      <c r="K101" s="539" t="s">
        <v>160</v>
      </c>
      <c r="L101" s="539" t="s">
        <v>160</v>
      </c>
      <c r="M101" s="554">
        <v>10</v>
      </c>
      <c r="N101" s="107"/>
      <c r="O101" s="529">
        <v>1.6379999999999999E-2</v>
      </c>
      <c r="P101" s="529">
        <v>6.1409999999999999E-2</v>
      </c>
      <c r="Q101" s="288">
        <f t="shared" si="25"/>
        <v>0.4207663320303246</v>
      </c>
      <c r="R101" s="30">
        <f t="shared" si="16"/>
        <v>101.48883928571429</v>
      </c>
      <c r="S101" s="30">
        <f t="shared" si="26"/>
        <v>139.71116071428571</v>
      </c>
      <c r="T101" s="107">
        <v>140.56285714285715</v>
      </c>
      <c r="U101" s="107">
        <v>117.53059523809524</v>
      </c>
      <c r="V101" s="107">
        <v>67.623750000000015</v>
      </c>
      <c r="W101" s="107">
        <v>80.238154761904767</v>
      </c>
      <c r="X101" s="288">
        <f t="shared" si="27"/>
        <v>0.38809274704906843</v>
      </c>
      <c r="Y101" s="289">
        <f t="shared" si="19"/>
        <v>93.607970588235304</v>
      </c>
      <c r="Z101" s="289">
        <f t="shared" si="20"/>
        <v>-7.8808686974789879</v>
      </c>
      <c r="AA101" s="107">
        <v>129.47937254901964</v>
      </c>
      <c r="AB101" s="107">
        <v>103.46572549019611</v>
      </c>
      <c r="AC101" s="107">
        <v>63.775686274509788</v>
      </c>
      <c r="AD101" s="107">
        <v>77.711098039215699</v>
      </c>
      <c r="AE101" s="106">
        <v>1</v>
      </c>
      <c r="AF101" s="32" t="str">
        <f>IF(AE101=0,"",VLOOKUP(AE101,tab_tipo_expansao!$A$2:$B$4,2,0))</f>
        <v>opcional</v>
      </c>
      <c r="AG101" s="125">
        <v>2030</v>
      </c>
      <c r="AH101" s="125">
        <v>2100</v>
      </c>
      <c r="AI101" s="125">
        <v>30</v>
      </c>
      <c r="AJ101" s="530">
        <v>3429.6022493210062</v>
      </c>
      <c r="AK101" s="24">
        <f>AL101/constantes!$B$4</f>
        <v>3645.8755892769127</v>
      </c>
      <c r="AL101" s="33">
        <f t="shared" si="28"/>
        <v>14218.91479817996</v>
      </c>
      <c r="AM101" s="87">
        <v>2</v>
      </c>
      <c r="AN101" s="531">
        <v>0</v>
      </c>
      <c r="AO101" s="23"/>
      <c r="AP101" s="532">
        <f t="shared" si="22"/>
        <v>3429.6022493210062</v>
      </c>
      <c r="AR101" s="35">
        <f t="shared" si="29"/>
        <v>14218.91479817996</v>
      </c>
      <c r="AS101" s="36">
        <f ca="1">OFFSET(cod_desembolso!$A$1,AM101,23)</f>
        <v>1.1245293369208682</v>
      </c>
      <c r="AT101" s="37">
        <f ca="1">IF(AP101=0,0,AP101*(OFFSET(cod_desembolso!$A$1,AM101,23)))</f>
        <v>3856.6883433312692</v>
      </c>
      <c r="AU101" s="38">
        <f>(constantes!$B$3*(1+constantes!$B$3)^(AI101))/((1+constantes!$B$3)^(AI101)-1)</f>
        <v>8.8827433387272267E-2</v>
      </c>
      <c r="AV101" s="37">
        <f t="shared" ca="1" si="24"/>
        <v>354.63972691272772</v>
      </c>
      <c r="AW101" s="37">
        <f ca="1">IF(AP101=0,AY101/constantes!$B$3,AV101/constantes!$B$3)</f>
        <v>4432.9965864090964</v>
      </c>
      <c r="AX101" s="39">
        <f ca="1">IF(AP101=0,0,PV(constantes!$B$3,AI101,-AV101)*constantes!$B$3)</f>
        <v>319.3965768359509</v>
      </c>
      <c r="AY101" s="40">
        <f>constantes!$B$10*F101/1000</f>
        <v>12.06</v>
      </c>
      <c r="AZ101" s="533">
        <f>constantes!$B$12</f>
        <v>0</v>
      </c>
      <c r="BA101" s="20">
        <v>318</v>
      </c>
      <c r="BB101" s="43"/>
      <c r="BC101" s="3" t="s">
        <v>2217</v>
      </c>
      <c r="BE101" s="534">
        <v>1</v>
      </c>
      <c r="BF101" s="535">
        <v>2035</v>
      </c>
      <c r="BG101" s="536">
        <v>3</v>
      </c>
      <c r="BH101" s="537">
        <v>2050</v>
      </c>
    </row>
    <row r="102" spans="1:60" ht="14.45" hidden="1">
      <c r="A102" s="125">
        <v>1101</v>
      </c>
      <c r="B102" s="125">
        <v>1101</v>
      </c>
      <c r="C102" s="538" t="s">
        <v>2336</v>
      </c>
      <c r="D102" s="538" t="s">
        <v>2336</v>
      </c>
      <c r="E102" s="546"/>
      <c r="F102" s="526">
        <v>37.1</v>
      </c>
      <c r="G102" s="3" t="s">
        <v>2211</v>
      </c>
      <c r="H102" s="3" t="s">
        <v>2337</v>
      </c>
      <c r="I102" s="3">
        <v>-45.711328000000002</v>
      </c>
      <c r="J102" s="3">
        <v>-18.964921</v>
      </c>
      <c r="K102" s="539" t="s">
        <v>152</v>
      </c>
      <c r="L102" s="539" t="s">
        <v>152</v>
      </c>
      <c r="M102" s="554">
        <v>1</v>
      </c>
      <c r="N102" s="107"/>
      <c r="O102" s="529">
        <v>2.068E-2</v>
      </c>
      <c r="P102" s="529">
        <v>4.6600000000000003E-2</v>
      </c>
      <c r="Q102" s="288">
        <f t="shared" si="25"/>
        <v>0.38648801501732771</v>
      </c>
      <c r="R102" s="30">
        <f t="shared" si="16"/>
        <v>14.338705357142858</v>
      </c>
      <c r="S102" s="30">
        <f t="shared" si="26"/>
        <v>22.761294642857145</v>
      </c>
      <c r="T102" s="107">
        <v>14.304761904761904</v>
      </c>
      <c r="U102" s="107">
        <v>11.733571428571429</v>
      </c>
      <c r="V102" s="107">
        <v>16.490833333333331</v>
      </c>
      <c r="W102" s="107">
        <v>14.825654761904763</v>
      </c>
      <c r="X102" s="288">
        <f t="shared" si="27"/>
        <v>0.40237091062840236</v>
      </c>
      <c r="Y102" s="289">
        <f t="shared" si="19"/>
        <v>14.927960784313727</v>
      </c>
      <c r="Z102" s="289">
        <f t="shared" si="20"/>
        <v>0.58925542717086898</v>
      </c>
      <c r="AA102" s="107">
        <v>21.450117647058828</v>
      </c>
      <c r="AB102" s="107">
        <v>9.6152156862745102</v>
      </c>
      <c r="AC102" s="107">
        <v>12.953333333333333</v>
      </c>
      <c r="AD102" s="107">
        <v>15.693176470588236</v>
      </c>
      <c r="AE102" s="106">
        <v>1</v>
      </c>
      <c r="AF102" s="32" t="str">
        <f>IF(AE102=0,"",VLOOKUP(AE102,tab_tipo_expansao!$A$2:$B$4,2,0))</f>
        <v>opcional</v>
      </c>
      <c r="AG102" s="125">
        <v>2028</v>
      </c>
      <c r="AH102" s="125">
        <v>2100</v>
      </c>
      <c r="AI102" s="125">
        <v>30</v>
      </c>
      <c r="AJ102" s="530">
        <v>469.35976325244377</v>
      </c>
      <c r="AK102" s="24">
        <f>AL102/constantes!$B$4</f>
        <v>3243.8991170947802</v>
      </c>
      <c r="AL102" s="33">
        <f t="shared" si="28"/>
        <v>12651.206556669642</v>
      </c>
      <c r="AM102" s="87">
        <v>2</v>
      </c>
      <c r="AN102" s="531">
        <v>0</v>
      </c>
      <c r="AO102" s="23"/>
      <c r="AP102" s="532">
        <f t="shared" si="22"/>
        <v>469.35976325244377</v>
      </c>
      <c r="AR102" s="35">
        <f t="shared" si="29"/>
        <v>12651.206556669642</v>
      </c>
      <c r="AS102" s="36">
        <f ca="1">OFFSET(cod_desembolso!$A$1,AM102,23)</f>
        <v>1.1245293369208682</v>
      </c>
      <c r="AT102" s="37">
        <f ca="1">IF(AP102=0,0,AP102*(OFFSET(cod_desembolso!$A$1,AM102,23)))</f>
        <v>527.80882334760622</v>
      </c>
      <c r="AU102" s="38">
        <f>(constantes!$B$3*(1+constantes!$B$3)^(AI102))/((1+constantes!$B$3)^(AI102)-1)</f>
        <v>8.8827433387272267E-2</v>
      </c>
      <c r="AV102" s="37">
        <f t="shared" ca="1" si="24"/>
        <v>48.738903097124044</v>
      </c>
      <c r="AW102" s="37">
        <f ca="1">IF(AP102=0,AY102/constantes!$B$3,AV102/constantes!$B$3)</f>
        <v>609.23628871405049</v>
      </c>
      <c r="AX102" s="39">
        <f ca="1">IF(AP102=0,0,PV(constantes!$B$3,AI102,-AV102)*constantes!$B$3)</f>
        <v>43.895360915928613</v>
      </c>
      <c r="AY102" s="40">
        <f>constantes!$B$10*F102/1000</f>
        <v>1.855</v>
      </c>
      <c r="AZ102" s="533">
        <f>constantes!$B$12</f>
        <v>0</v>
      </c>
      <c r="BA102" s="20">
        <v>318</v>
      </c>
      <c r="BB102" s="43"/>
      <c r="BC102" s="3" t="s">
        <v>2197</v>
      </c>
      <c r="BE102" s="534">
        <v>1</v>
      </c>
      <c r="BF102" s="535">
        <v>2027</v>
      </c>
      <c r="BG102" s="536">
        <v>1</v>
      </c>
      <c r="BH102" s="537">
        <v>2027</v>
      </c>
    </row>
    <row r="103" spans="1:60" ht="14.45">
      <c r="A103" s="125">
        <v>1102</v>
      </c>
      <c r="B103" s="125">
        <v>1102</v>
      </c>
      <c r="C103" s="538" t="s">
        <v>2338</v>
      </c>
      <c r="D103" s="538" t="s">
        <v>2338</v>
      </c>
      <c r="E103" s="546"/>
      <c r="F103" s="526">
        <v>36</v>
      </c>
      <c r="G103" s="3" t="s">
        <v>2199</v>
      </c>
      <c r="H103" s="3" t="s">
        <v>2339</v>
      </c>
      <c r="I103" s="3">
        <v>-48.820276999999997</v>
      </c>
      <c r="J103" s="3">
        <v>-14.680557</v>
      </c>
      <c r="K103" s="539" t="s">
        <v>2005</v>
      </c>
      <c r="L103" s="539" t="s">
        <v>2005</v>
      </c>
      <c r="M103" s="554">
        <v>1</v>
      </c>
      <c r="N103" s="107"/>
      <c r="O103" s="529">
        <v>2.068E-2</v>
      </c>
      <c r="P103" s="529">
        <v>4.6600000000000003E-2</v>
      </c>
      <c r="Q103" s="288">
        <f t="shared" si="25"/>
        <v>0.73053778108465606</v>
      </c>
      <c r="R103" s="30">
        <f t="shared" si="16"/>
        <v>26.29936011904762</v>
      </c>
      <c r="S103" s="30">
        <f t="shared" si="26"/>
        <v>9.7006398809523802</v>
      </c>
      <c r="T103" s="107">
        <v>30.50809523809524</v>
      </c>
      <c r="U103" s="107">
        <v>22.025059523809528</v>
      </c>
      <c r="V103" s="107">
        <v>23.251249999999999</v>
      </c>
      <c r="W103" s="107">
        <v>29.413035714285712</v>
      </c>
      <c r="X103" s="288">
        <f t="shared" si="27"/>
        <v>0.75637418300653581</v>
      </c>
      <c r="Y103" s="289">
        <f t="shared" si="19"/>
        <v>27.229470588235291</v>
      </c>
      <c r="Z103" s="289">
        <f t="shared" si="20"/>
        <v>0.93011046918767093</v>
      </c>
      <c r="AA103" s="107">
        <v>31.359607843137251</v>
      </c>
      <c r="AB103" s="107">
        <v>24.343411764705881</v>
      </c>
      <c r="AC103" s="107">
        <v>24.023058823529407</v>
      </c>
      <c r="AD103" s="107">
        <v>29.191803921568624</v>
      </c>
      <c r="AE103" s="106">
        <v>1</v>
      </c>
      <c r="AF103" s="32" t="str">
        <f>IF(AE103=0,"",VLOOKUP(AE103,tab_tipo_expansao!$A$2:$B$4,2,0))</f>
        <v>opcional</v>
      </c>
      <c r="AG103" s="125">
        <v>2030</v>
      </c>
      <c r="AH103" s="125">
        <v>2100</v>
      </c>
      <c r="AI103" s="125">
        <v>30</v>
      </c>
      <c r="AJ103" s="530">
        <v>360</v>
      </c>
      <c r="AK103" s="24">
        <f>AL103/constantes!$B$4</f>
        <v>2564.102564102564</v>
      </c>
      <c r="AL103" s="33">
        <f t="shared" si="28"/>
        <v>10000</v>
      </c>
      <c r="AM103" s="87">
        <v>2</v>
      </c>
      <c r="AN103" s="531">
        <v>0</v>
      </c>
      <c r="AO103" s="23"/>
      <c r="AP103" s="532">
        <f t="shared" si="22"/>
        <v>360</v>
      </c>
      <c r="AR103" s="35">
        <f t="shared" si="29"/>
        <v>10000</v>
      </c>
      <c r="AS103" s="36">
        <f ca="1">OFFSET(cod_desembolso!$A$1,AM103,23)</f>
        <v>1.1245293369208682</v>
      </c>
      <c r="AT103" s="37">
        <f ca="1">IF(AP103=0,0,AP103*(OFFSET(cod_desembolso!$A$1,AM103,23)))</f>
        <v>404.83056129151254</v>
      </c>
      <c r="AU103" s="38">
        <f>(constantes!$B$3*(1+constantes!$B$3)^(AI103))/((1+constantes!$B$3)^(AI103)-1)</f>
        <v>8.8827433387272267E-2</v>
      </c>
      <c r="AV103" s="37">
        <f t="shared" ca="1" si="24"/>
        <v>37.76005971625387</v>
      </c>
      <c r="AW103" s="37">
        <f ca="1">IF(AP103=0,AY103/constantes!$B$3,AV103/constantes!$B$3)</f>
        <v>472.00074645317335</v>
      </c>
      <c r="AX103" s="39">
        <f ca="1">IF(AP103=0,0,PV(constantes!$B$3,AI103,-AV103)*constantes!$B$3)</f>
        <v>34.007565704731356</v>
      </c>
      <c r="AY103" s="40">
        <f>constantes!$B$10*F103/1000</f>
        <v>1.8</v>
      </c>
      <c r="AZ103" s="533">
        <f>constantes!$B$12</f>
        <v>0</v>
      </c>
      <c r="BA103" s="20">
        <v>318</v>
      </c>
      <c r="BB103" s="43"/>
      <c r="BC103" s="3" t="s">
        <v>2217</v>
      </c>
      <c r="BE103" s="534">
        <v>1</v>
      </c>
      <c r="BF103" s="535">
        <v>2035</v>
      </c>
      <c r="BG103" s="536">
        <v>3</v>
      </c>
      <c r="BH103" s="537">
        <v>2050</v>
      </c>
    </row>
    <row r="104" spans="1:60" ht="14.45" hidden="1">
      <c r="A104" s="125">
        <v>1103</v>
      </c>
      <c r="B104" s="125">
        <v>1103</v>
      </c>
      <c r="C104" s="538" t="s">
        <v>2340</v>
      </c>
      <c r="D104" s="538" t="s">
        <v>2340</v>
      </c>
      <c r="E104" s="546"/>
      <c r="F104" s="526">
        <v>46.8</v>
      </c>
      <c r="G104" s="3" t="s">
        <v>2196</v>
      </c>
      <c r="H104" s="3" t="s">
        <v>2341</v>
      </c>
      <c r="I104" s="3">
        <v>-51.619371999999998</v>
      </c>
      <c r="J104" s="3">
        <v>-24.047984</v>
      </c>
      <c r="K104" s="539" t="s">
        <v>153</v>
      </c>
      <c r="L104" s="539" t="s">
        <v>153</v>
      </c>
      <c r="M104" s="554">
        <v>2</v>
      </c>
      <c r="N104" s="107"/>
      <c r="O104" s="529">
        <v>2.068E-2</v>
      </c>
      <c r="P104" s="529">
        <v>4.6600000000000003E-2</v>
      </c>
      <c r="Q104" s="288">
        <f t="shared" si="25"/>
        <v>0.56577953296703298</v>
      </c>
      <c r="R104" s="30">
        <f t="shared" si="16"/>
        <v>26.478482142857143</v>
      </c>
      <c r="S104" s="30">
        <f t="shared" si="26"/>
        <v>20.321517857142855</v>
      </c>
      <c r="T104" s="107">
        <v>27.841428571428565</v>
      </c>
      <c r="U104" s="107">
        <v>26.957857142857147</v>
      </c>
      <c r="V104" s="107">
        <v>23.168333333333333</v>
      </c>
      <c r="W104" s="107">
        <v>27.946309523809521</v>
      </c>
      <c r="X104" s="288">
        <f t="shared" si="27"/>
        <v>0.65399300318417963</v>
      </c>
      <c r="Y104" s="289">
        <f t="shared" si="19"/>
        <v>30.606872549019606</v>
      </c>
      <c r="Z104" s="289">
        <f t="shared" si="20"/>
        <v>4.1283904061624632</v>
      </c>
      <c r="AA104" s="107">
        <v>33.039372549019596</v>
      </c>
      <c r="AB104" s="107">
        <v>27.561803921568625</v>
      </c>
      <c r="AC104" s="107">
        <v>28.956313725490194</v>
      </c>
      <c r="AD104" s="107">
        <v>32.869999999999997</v>
      </c>
      <c r="AE104" s="106">
        <v>1</v>
      </c>
      <c r="AF104" s="32" t="str">
        <f>IF(AE104=0,"",VLOOKUP(AE104,tab_tipo_expansao!$A$2:$B$4,2,0))</f>
        <v>opcional</v>
      </c>
      <c r="AG104" s="125">
        <v>2028</v>
      </c>
      <c r="AH104" s="125">
        <v>2100</v>
      </c>
      <c r="AI104" s="125">
        <v>30</v>
      </c>
      <c r="AJ104" s="530">
        <v>459.80002795178706</v>
      </c>
      <c r="AK104" s="24">
        <f>AL104/constantes!$B$4</f>
        <v>2519.1761338581364</v>
      </c>
      <c r="AL104" s="33">
        <f t="shared" si="28"/>
        <v>9824.786922046731</v>
      </c>
      <c r="AM104" s="87">
        <v>2</v>
      </c>
      <c r="AN104" s="531">
        <v>0</v>
      </c>
      <c r="AO104" s="23"/>
      <c r="AP104" s="532">
        <f t="shared" si="22"/>
        <v>459.80002795178706</v>
      </c>
      <c r="AR104" s="35">
        <f t="shared" si="29"/>
        <v>9824.7869220467328</v>
      </c>
      <c r="AS104" s="36">
        <f ca="1">OFFSET(cod_desembolso!$A$1,AM104,23)</f>
        <v>1.1245293369208682</v>
      </c>
      <c r="AT104" s="37">
        <f ca="1">IF(AP104=0,0,AP104*(OFFSET(cod_desembolso!$A$1,AM104,23)))</f>
        <v>517.05862054881982</v>
      </c>
      <c r="AU104" s="38">
        <f>(constantes!$B$3*(1+constantes!$B$3)^(AI104))/((1+constantes!$B$3)^(AI104)-1)</f>
        <v>8.8827433387272267E-2</v>
      </c>
      <c r="AV104" s="37">
        <f t="shared" ca="1" si="24"/>
        <v>48.268990174115174</v>
      </c>
      <c r="AW104" s="37">
        <f ca="1">IF(AP104=0,AY104/constantes!$B$3,AV104/constantes!$B$3)</f>
        <v>603.36237717643962</v>
      </c>
      <c r="AX104" s="39">
        <f ca="1">IF(AP104=0,0,PV(constantes!$B$3,AI104,-AV104)*constantes!$B$3)</f>
        <v>43.472146685739048</v>
      </c>
      <c r="AY104" s="40">
        <f>constantes!$B$10*F104/1000</f>
        <v>2.34</v>
      </c>
      <c r="AZ104" s="533">
        <f>constantes!$B$12</f>
        <v>0</v>
      </c>
      <c r="BA104" s="20">
        <v>318</v>
      </c>
      <c r="BB104" s="43"/>
      <c r="BC104" s="3" t="s">
        <v>2197</v>
      </c>
      <c r="BE104" s="534">
        <v>1</v>
      </c>
      <c r="BF104" s="535">
        <v>2027</v>
      </c>
      <c r="BG104" s="536">
        <v>1</v>
      </c>
      <c r="BH104" s="537">
        <v>2027</v>
      </c>
    </row>
    <row r="105" spans="1:60" ht="14.45" hidden="1">
      <c r="A105" s="125">
        <v>1104</v>
      </c>
      <c r="B105" s="125">
        <v>1104</v>
      </c>
      <c r="C105" s="538" t="s">
        <v>2342</v>
      </c>
      <c r="D105" s="538" t="s">
        <v>2342</v>
      </c>
      <c r="E105" s="546"/>
      <c r="F105" s="526">
        <v>142</v>
      </c>
      <c r="G105" s="3" t="s">
        <v>2196</v>
      </c>
      <c r="H105" s="3" t="s">
        <v>2078</v>
      </c>
      <c r="I105" s="3">
        <v>-50.982348999999999</v>
      </c>
      <c r="J105" s="3">
        <v>-23.328268999999999</v>
      </c>
      <c r="K105" s="539" t="s">
        <v>153</v>
      </c>
      <c r="L105" s="539" t="s">
        <v>153</v>
      </c>
      <c r="M105" s="554">
        <v>2</v>
      </c>
      <c r="N105" s="107"/>
      <c r="O105" s="529">
        <v>1.6379999999999999E-2</v>
      </c>
      <c r="P105" s="529">
        <v>6.1409999999999999E-2</v>
      </c>
      <c r="Q105" s="288">
        <f t="shared" si="25"/>
        <v>0.55127818997317235</v>
      </c>
      <c r="R105" s="30">
        <f t="shared" si="16"/>
        <v>78.281502976190467</v>
      </c>
      <c r="S105" s="30">
        <f t="shared" si="26"/>
        <v>63.718497023809533</v>
      </c>
      <c r="T105" s="107">
        <v>73.271428571428558</v>
      </c>
      <c r="U105" s="107">
        <v>71.209285714285727</v>
      </c>
      <c r="V105" s="107">
        <v>78.861666666666665</v>
      </c>
      <c r="W105" s="107">
        <v>89.783630952380932</v>
      </c>
      <c r="X105" s="288">
        <f t="shared" si="27"/>
        <v>0.67696499585749781</v>
      </c>
      <c r="Y105" s="289">
        <f t="shared" si="19"/>
        <v>96.129029411764691</v>
      </c>
      <c r="Z105" s="289">
        <f t="shared" si="20"/>
        <v>17.847526435574224</v>
      </c>
      <c r="AA105" s="107">
        <v>103.81121568627452</v>
      </c>
      <c r="AB105" s="107">
        <v>84.898313725490183</v>
      </c>
      <c r="AC105" s="107">
        <v>93.679450980392133</v>
      </c>
      <c r="AD105" s="107">
        <v>102.12713725490194</v>
      </c>
      <c r="AE105" s="106">
        <v>1</v>
      </c>
      <c r="AF105" s="32" t="str">
        <f>IF(AE105=0,"",VLOOKUP(AE105,tab_tipo_expansao!$A$2:$B$4,2,0))</f>
        <v>opcional</v>
      </c>
      <c r="AG105" s="125">
        <v>2028</v>
      </c>
      <c r="AH105" s="125">
        <v>2100</v>
      </c>
      <c r="AI105" s="125">
        <v>30</v>
      </c>
      <c r="AJ105" s="530">
        <v>1475.9395837929367</v>
      </c>
      <c r="AK105" s="24">
        <f>AL105/constantes!$B$4</f>
        <v>2665.1130079323525</v>
      </c>
      <c r="AL105" s="33">
        <f t="shared" si="28"/>
        <v>10393.940730936174</v>
      </c>
      <c r="AM105" s="87">
        <v>2</v>
      </c>
      <c r="AN105" s="531">
        <v>0</v>
      </c>
      <c r="AO105" s="23"/>
      <c r="AP105" s="532">
        <f t="shared" si="22"/>
        <v>1475.9395837929367</v>
      </c>
      <c r="AR105" s="35">
        <f t="shared" si="29"/>
        <v>10393.940730936174</v>
      </c>
      <c r="AS105" s="36">
        <f ca="1">OFFSET(cod_desembolso!$A$1,AM105,23)</f>
        <v>1.1245293369208682</v>
      </c>
      <c r="AT105" s="37">
        <f ca="1">IF(AP105=0,0,AP105*(OFFSET(cod_desembolso!$A$1,AM105,23)))</f>
        <v>1659.7373614979333</v>
      </c>
      <c r="AU105" s="38">
        <f>(constantes!$B$3*(1+constantes!$B$3)^(AI105))/((1+constantes!$B$3)^(AI105)-1)</f>
        <v>8.8827433387272267E-2</v>
      </c>
      <c r="AV105" s="37">
        <f t="shared" ca="1" si="24"/>
        <v>154.53020991882468</v>
      </c>
      <c r="AW105" s="37">
        <f ca="1">IF(AP105=0,AY105/constantes!$B$3,AV105/constantes!$B$3)</f>
        <v>1931.6276239853084</v>
      </c>
      <c r="AX105" s="39">
        <f ca="1">IF(AP105=0,0,PV(constantes!$B$3,AI105,-AV105)*constantes!$B$3)</f>
        <v>139.17340985873105</v>
      </c>
      <c r="AY105" s="40">
        <f>constantes!$B$10*F105/1000</f>
        <v>7.1</v>
      </c>
      <c r="AZ105" s="533">
        <f>constantes!$B$12</f>
        <v>0</v>
      </c>
      <c r="BA105" s="20">
        <v>318</v>
      </c>
      <c r="BB105" s="43"/>
      <c r="BC105" s="3" t="s">
        <v>2197</v>
      </c>
      <c r="BE105" s="534">
        <v>1</v>
      </c>
      <c r="BF105" s="535">
        <v>2027</v>
      </c>
      <c r="BG105" s="536">
        <v>1</v>
      </c>
      <c r="BH105" s="537">
        <v>2027</v>
      </c>
    </row>
    <row r="106" spans="1:60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46"/>
      <c r="F106" s="526">
        <v>102.81</v>
      </c>
      <c r="G106" s="3" t="s">
        <v>2206</v>
      </c>
      <c r="H106" s="3" t="s">
        <v>2207</v>
      </c>
      <c r="I106" s="3">
        <v>-40.299948999999998</v>
      </c>
      <c r="J106" s="3">
        <v>-16.134338</v>
      </c>
      <c r="K106" s="539" t="s">
        <v>152</v>
      </c>
      <c r="L106" s="539" t="s">
        <v>152</v>
      </c>
      <c r="M106" s="554">
        <v>1</v>
      </c>
      <c r="N106" s="107"/>
      <c r="O106" s="529">
        <v>1.9820000000000001E-2</v>
      </c>
      <c r="P106" s="529">
        <v>5.2919999999999995E-2</v>
      </c>
      <c r="Q106" s="288">
        <f t="shared" si="25"/>
        <v>0.48763582614253759</v>
      </c>
      <c r="R106" s="30">
        <f t="shared" si="16"/>
        <v>50.133839285714288</v>
      </c>
      <c r="S106" s="30">
        <f t="shared" si="26"/>
        <v>52.676160714285714</v>
      </c>
      <c r="T106" s="107">
        <v>35.064761904761909</v>
      </c>
      <c r="U106" s="107">
        <v>30.178630952380946</v>
      </c>
      <c r="V106" s="107">
        <v>65.874166666666667</v>
      </c>
      <c r="W106" s="107">
        <v>69.417797619047619</v>
      </c>
      <c r="X106" s="288">
        <f t="shared" si="27"/>
        <v>0.49697633746621894</v>
      </c>
      <c r="Y106" s="289">
        <f t="shared" si="19"/>
        <v>51.094137254901973</v>
      </c>
      <c r="Z106" s="289">
        <f t="shared" si="20"/>
        <v>0.9602979691876854</v>
      </c>
      <c r="AA106" s="107">
        <v>58.040196078431372</v>
      </c>
      <c r="AB106" s="107">
        <v>34.596745098039221</v>
      </c>
      <c r="AC106" s="107">
        <v>51.895215686274518</v>
      </c>
      <c r="AD106" s="107">
        <v>59.84439215686276</v>
      </c>
      <c r="AE106" s="106">
        <v>1</v>
      </c>
      <c r="AF106" s="32" t="str">
        <f>IF(AE106=0,"",VLOOKUP(AE106,tab_tipo_expansao!$A$2:$B$4,2,0))</f>
        <v>opcional</v>
      </c>
      <c r="AG106" s="125">
        <v>2030</v>
      </c>
      <c r="AH106" s="125">
        <v>2100</v>
      </c>
      <c r="AI106" s="125">
        <v>30</v>
      </c>
      <c r="AJ106" s="530">
        <v>1690.9853671985097</v>
      </c>
      <c r="AK106" s="24">
        <f>AL106/constantes!$B$4</f>
        <v>4217.3523158190983</v>
      </c>
      <c r="AL106" s="33">
        <f t="shared" si="28"/>
        <v>16447.674031694482</v>
      </c>
      <c r="AM106" s="87">
        <v>2</v>
      </c>
      <c r="AN106" s="531">
        <v>0</v>
      </c>
      <c r="AO106" s="23"/>
      <c r="AP106" s="532">
        <f t="shared" si="22"/>
        <v>1690.9853671985097</v>
      </c>
      <c r="AR106" s="35">
        <f t="shared" si="29"/>
        <v>16447.674031694482</v>
      </c>
      <c r="AS106" s="36">
        <f ca="1">OFFSET(cod_desembolso!$A$1,AM106,23)</f>
        <v>1.1245293369208682</v>
      </c>
      <c r="AT106" s="37">
        <f ca="1">IF(AP106=0,0,AP106*(OFFSET(cod_desembolso!$A$1,AM106,23)))</f>
        <v>1901.5626537186311</v>
      </c>
      <c r="AU106" s="38">
        <f>(constantes!$B$3*(1+constantes!$B$3)^(AI106))/((1+constantes!$B$3)^(AI106)-1)</f>
        <v>8.8827433387272267E-2</v>
      </c>
      <c r="AV106" s="37">
        <f t="shared" ca="1" si="24"/>
        <v>174.05142995491639</v>
      </c>
      <c r="AW106" s="37">
        <f ca="1">IF(AP106=0,AY106/constantes!$B$3,AV106/constantes!$B$3)</f>
        <v>2175.6428744364548</v>
      </c>
      <c r="AX106" s="39">
        <f ca="1">IF(AP106=0,0,PV(constantes!$B$3,AI106,-AV106)*constantes!$B$3)</f>
        <v>156.75466311951823</v>
      </c>
      <c r="AY106" s="40">
        <f>constantes!$B$10*F106/1000</f>
        <v>5.1405000000000003</v>
      </c>
      <c r="AZ106" s="533">
        <f>constantes!$B$12</f>
        <v>0</v>
      </c>
      <c r="BA106" s="20">
        <v>318</v>
      </c>
      <c r="BB106" s="43"/>
      <c r="BC106" s="3" t="s">
        <v>2217</v>
      </c>
      <c r="BE106" s="534">
        <v>1</v>
      </c>
      <c r="BF106" s="535">
        <v>2035</v>
      </c>
      <c r="BG106" s="536">
        <v>3</v>
      </c>
      <c r="BH106" s="537">
        <v>2050</v>
      </c>
    </row>
    <row r="107" spans="1:60" ht="14.45">
      <c r="A107" s="125">
        <v>1106</v>
      </c>
      <c r="B107" s="125">
        <v>1106</v>
      </c>
      <c r="C107" s="538" t="s">
        <v>2344</v>
      </c>
      <c r="D107" s="538" t="s">
        <v>2344</v>
      </c>
      <c r="E107" s="546"/>
      <c r="F107" s="526">
        <v>53</v>
      </c>
      <c r="G107" s="3" t="s">
        <v>2181</v>
      </c>
      <c r="H107" s="3" t="s">
        <v>2154</v>
      </c>
      <c r="I107" s="3">
        <v>-55.264957000000003</v>
      </c>
      <c r="J107" s="3">
        <v>-13.576389000000001</v>
      </c>
      <c r="K107" s="539" t="s">
        <v>160</v>
      </c>
      <c r="L107" s="539" t="s">
        <v>160</v>
      </c>
      <c r="M107" s="554">
        <v>10</v>
      </c>
      <c r="N107" s="107"/>
      <c r="O107" s="529">
        <v>2.068E-2</v>
      </c>
      <c r="P107" s="529">
        <v>4.6600000000000003E-2</v>
      </c>
      <c r="Q107" s="288">
        <f t="shared" si="25"/>
        <v>0.57763982479784359</v>
      </c>
      <c r="R107" s="30">
        <f t="shared" si="16"/>
        <v>30.614910714285713</v>
      </c>
      <c r="S107" s="30">
        <f t="shared" si="26"/>
        <v>22.385089285714287</v>
      </c>
      <c r="T107" s="107">
        <v>46.404761904761905</v>
      </c>
      <c r="U107" s="107">
        <v>39.669345238095239</v>
      </c>
      <c r="V107" s="107">
        <v>11.758749999999999</v>
      </c>
      <c r="W107" s="107">
        <v>24.626785714285717</v>
      </c>
      <c r="X107" s="288">
        <f t="shared" si="27"/>
        <v>0.56579874213836434</v>
      </c>
      <c r="Y107" s="289">
        <f t="shared" si="19"/>
        <v>29.987333333333311</v>
      </c>
      <c r="Z107" s="289">
        <f t="shared" si="20"/>
        <v>-0.62757738095240256</v>
      </c>
      <c r="AA107" s="107">
        <v>46.266470588235222</v>
      </c>
      <c r="AB107" s="107">
        <v>34.195019607843129</v>
      </c>
      <c r="AC107" s="107">
        <v>11.58098039215686</v>
      </c>
      <c r="AD107" s="107">
        <v>27.906862745098021</v>
      </c>
      <c r="AE107" s="106">
        <v>1</v>
      </c>
      <c r="AF107" s="32" t="str">
        <f>IF(AE107=0,"",VLOOKUP(AE107,tab_tipo_expansao!$A$2:$B$4,2,0))</f>
        <v>opcional</v>
      </c>
      <c r="AG107" s="125">
        <v>2030</v>
      </c>
      <c r="AH107" s="125">
        <v>2100</v>
      </c>
      <c r="AI107" s="125">
        <v>30</v>
      </c>
      <c r="AJ107" s="530">
        <v>470.62370480673081</v>
      </c>
      <c r="AK107" s="24">
        <f>AL107/constantes!$B$4</f>
        <v>2276.8442419290313</v>
      </c>
      <c r="AL107" s="33">
        <f t="shared" si="28"/>
        <v>8879.6925435232224</v>
      </c>
      <c r="AM107" s="87">
        <v>2</v>
      </c>
      <c r="AN107" s="531">
        <v>0</v>
      </c>
      <c r="AO107" s="23"/>
      <c r="AP107" s="532">
        <f t="shared" si="22"/>
        <v>470.62370480673081</v>
      </c>
      <c r="AR107" s="35">
        <f t="shared" si="29"/>
        <v>8879.6925435232224</v>
      </c>
      <c r="AS107" s="36">
        <f ca="1">OFFSET(cod_desembolso!$A$1,AM107,23)</f>
        <v>1.1245293369208682</v>
      </c>
      <c r="AT107" s="37">
        <f ca="1">IF(AP107=0,0,AP107*(OFFSET(cod_desembolso!$A$1,AM107,23)))</f>
        <v>529.23016270555547</v>
      </c>
      <c r="AU107" s="38">
        <f>(constantes!$B$3*(1+constantes!$B$3)^(AI107))/((1+constantes!$B$3)^(AI107)-1)</f>
        <v>8.8827433387272267E-2</v>
      </c>
      <c r="AV107" s="37">
        <f t="shared" ca="1" si="24"/>
        <v>49.660157024262993</v>
      </c>
      <c r="AW107" s="37">
        <f ca="1">IF(AP107=0,AY107/constantes!$B$3,AV107/constantes!$B$3)</f>
        <v>620.75196280328737</v>
      </c>
      <c r="AX107" s="39">
        <f ca="1">IF(AP107=0,0,PV(constantes!$B$3,AI107,-AV107)*constantes!$B$3)</f>
        <v>44.725063085187465</v>
      </c>
      <c r="AY107" s="40">
        <f>constantes!$B$10*F107/1000</f>
        <v>2.65</v>
      </c>
      <c r="AZ107" s="533">
        <f>constantes!$B$12</f>
        <v>0</v>
      </c>
      <c r="BA107" s="20">
        <v>318</v>
      </c>
      <c r="BB107" s="43"/>
      <c r="BC107" s="3" t="s">
        <v>2183</v>
      </c>
      <c r="BE107" s="534">
        <v>1</v>
      </c>
      <c r="BF107" s="535">
        <v>2027</v>
      </c>
      <c r="BG107" s="536">
        <v>1</v>
      </c>
      <c r="BH107" s="537">
        <v>2027</v>
      </c>
    </row>
    <row r="108" spans="1:60" ht="14.45">
      <c r="A108" s="125">
        <v>1107</v>
      </c>
      <c r="B108" s="125">
        <v>1107</v>
      </c>
      <c r="C108" s="538" t="s">
        <v>2345</v>
      </c>
      <c r="D108" s="538" t="s">
        <v>2345</v>
      </c>
      <c r="E108" s="546"/>
      <c r="F108" s="526">
        <v>1850</v>
      </c>
      <c r="G108" s="3" t="s">
        <v>2199</v>
      </c>
      <c r="H108" s="3" t="s">
        <v>2318</v>
      </c>
      <c r="I108" s="3">
        <v>-49.036639000000001</v>
      </c>
      <c r="J108" s="3">
        <v>-5.3251819999999999</v>
      </c>
      <c r="K108" s="539" t="s">
        <v>155</v>
      </c>
      <c r="L108" s="539" t="s">
        <v>155</v>
      </c>
      <c r="M108" s="554">
        <v>4</v>
      </c>
      <c r="N108" s="107"/>
      <c r="O108" s="529">
        <v>1.6379999999999999E-2</v>
      </c>
      <c r="P108" s="529">
        <v>6.1409999999999999E-2</v>
      </c>
      <c r="Q108" s="288">
        <f t="shared" si="25"/>
        <v>0.56283653474903483</v>
      </c>
      <c r="R108" s="30">
        <f t="shared" si="16"/>
        <v>1041.2475892857144</v>
      </c>
      <c r="S108" s="30">
        <f t="shared" si="26"/>
        <v>808.75241071428559</v>
      </c>
      <c r="T108" s="107">
        <v>1487.8661904761905</v>
      </c>
      <c r="U108" s="107">
        <v>1415.1289880952384</v>
      </c>
      <c r="V108" s="107">
        <v>579.72500000000002</v>
      </c>
      <c r="W108" s="107">
        <v>682.27017857142857</v>
      </c>
      <c r="X108" s="288">
        <f t="shared" si="27"/>
        <v>0.61817976682564912</v>
      </c>
      <c r="Y108" s="289">
        <f t="shared" si="19"/>
        <v>1143.6325686274508</v>
      </c>
      <c r="Z108" s="289">
        <f t="shared" si="20"/>
        <v>102.38497934173643</v>
      </c>
      <c r="AA108" s="107">
        <v>1661.5771372549013</v>
      </c>
      <c r="AB108" s="107">
        <v>1487.1431372549014</v>
      </c>
      <c r="AC108" s="107">
        <v>609.27156862745107</v>
      </c>
      <c r="AD108" s="107">
        <v>816.53843137254898</v>
      </c>
      <c r="AE108" s="106">
        <v>1</v>
      </c>
      <c r="AF108" s="32" t="str">
        <f>IF(AE108=0,"",VLOOKUP(AE108,tab_tipo_expansao!$A$2:$B$4,2,0))</f>
        <v>opcional</v>
      </c>
      <c r="AG108" s="125">
        <v>2030</v>
      </c>
      <c r="AH108" s="125">
        <v>2100</v>
      </c>
      <c r="AI108" s="125">
        <v>30</v>
      </c>
      <c r="AJ108" s="530">
        <v>15723.350134482474</v>
      </c>
      <c r="AK108" s="24">
        <f>AL108/constantes!$B$4</f>
        <v>2179.2585078977791</v>
      </c>
      <c r="AL108" s="33">
        <f t="shared" si="28"/>
        <v>8499.1081808013387</v>
      </c>
      <c r="AM108" s="87">
        <v>4</v>
      </c>
      <c r="AN108" s="531">
        <v>0</v>
      </c>
      <c r="AO108" s="23"/>
      <c r="AP108" s="532">
        <f t="shared" si="22"/>
        <v>15723.350134482474</v>
      </c>
      <c r="AR108" s="35">
        <f t="shared" si="29"/>
        <v>8499.1081808013387</v>
      </c>
      <c r="AS108" s="36">
        <f ca="1">OFFSET(cod_desembolso!$A$1,AM108,23)</f>
        <v>1.103153897336226</v>
      </c>
      <c r="AT108" s="37">
        <f ca="1">IF(AP108=0,0,AP108*(OFFSET(cod_desembolso!$A$1,AM108,23)))</f>
        <v>17345.274980036414</v>
      </c>
      <c r="AU108" s="38">
        <f>(constantes!$B$3*(1+constantes!$B$3)^(AI108))/((1+constantes!$B$3)^(AI108)-1)</f>
        <v>8.8827433387272267E-2</v>
      </c>
      <c r="AV108" s="37">
        <f t="shared" ca="1" si="24"/>
        <v>1633.2362578731049</v>
      </c>
      <c r="AW108" s="37">
        <f ca="1">IF(AP108=0,AY108/constantes!$B$3,AV108/constantes!$B$3)</f>
        <v>20415.45322341381</v>
      </c>
      <c r="AX108" s="39">
        <f ca="1">IF(AP108=0,0,PV(constantes!$B$3,AI108,-AV108)*constantes!$B$3)</f>
        <v>1470.9295951420568</v>
      </c>
      <c r="AY108" s="40">
        <f>constantes!$B$10*F108/1000</f>
        <v>92.5</v>
      </c>
      <c r="AZ108" s="533">
        <f>constantes!$B$12</f>
        <v>0</v>
      </c>
      <c r="BA108" s="20">
        <v>318</v>
      </c>
      <c r="BB108" s="43"/>
      <c r="BC108" s="3" t="s">
        <v>2217</v>
      </c>
      <c r="BE108" s="534">
        <v>1</v>
      </c>
      <c r="BF108" s="535">
        <v>2035</v>
      </c>
      <c r="BG108" s="536">
        <v>3</v>
      </c>
      <c r="BH108" s="537">
        <v>2050</v>
      </c>
    </row>
    <row r="109" spans="1:60" ht="14.45" hidden="1" customHeight="1">
      <c r="A109" s="125">
        <v>1108</v>
      </c>
      <c r="B109" s="125">
        <v>1108</v>
      </c>
      <c r="C109" s="627" t="s">
        <v>2339</v>
      </c>
      <c r="D109" s="538" t="s">
        <v>2339</v>
      </c>
      <c r="E109" s="546"/>
      <c r="F109" s="526">
        <v>125</v>
      </c>
      <c r="G109" s="3" t="s">
        <v>2199</v>
      </c>
      <c r="H109" s="3" t="s">
        <v>2339</v>
      </c>
      <c r="I109" s="3">
        <v>-48.627907</v>
      </c>
      <c r="J109" s="3">
        <v>-15.121651999999999</v>
      </c>
      <c r="K109" s="539" t="s">
        <v>2005</v>
      </c>
      <c r="L109" s="539" t="s">
        <v>2005</v>
      </c>
      <c r="M109" s="554">
        <v>1</v>
      </c>
      <c r="N109" s="107"/>
      <c r="O109" s="529">
        <v>1.9820000000000001E-2</v>
      </c>
      <c r="P109" s="529">
        <v>5.2919999999999995E-2</v>
      </c>
      <c r="Q109" s="288">
        <f t="shared" si="25"/>
        <v>0.43234511904761908</v>
      </c>
      <c r="R109" s="30">
        <f t="shared" si="16"/>
        <v>54.043139880952381</v>
      </c>
      <c r="S109" s="30">
        <f t="shared" si="26"/>
        <v>70.956860119047619</v>
      </c>
      <c r="T109" s="107">
        <v>67.068571428571431</v>
      </c>
      <c r="U109" s="107">
        <v>44.035654761904766</v>
      </c>
      <c r="V109" s="107">
        <v>42.879583333333329</v>
      </c>
      <c r="W109" s="107">
        <v>62.188749999999999</v>
      </c>
      <c r="X109" s="288">
        <f t="shared" si="27"/>
        <v>0.57181835294117633</v>
      </c>
      <c r="Y109" s="289">
        <f t="shared" si="19"/>
        <v>71.477294117647048</v>
      </c>
      <c r="Z109" s="289">
        <f t="shared" si="20"/>
        <v>17.434154236694667</v>
      </c>
      <c r="AA109" s="107">
        <v>95.242039215686248</v>
      </c>
      <c r="AB109" s="107">
        <v>66.547294117647041</v>
      </c>
      <c r="AC109" s="107">
        <v>55.148666666666678</v>
      </c>
      <c r="AD109" s="107">
        <v>68.971176470588247</v>
      </c>
      <c r="AE109" s="106">
        <v>1</v>
      </c>
      <c r="AF109" s="32" t="str">
        <f>IF(AE109=0,"",VLOOKUP(AE109,tab_tipo_expansao!$A$2:$B$4,2,0))</f>
        <v>opcional</v>
      </c>
      <c r="AG109" s="125">
        <v>2026</v>
      </c>
      <c r="AH109" s="125">
        <v>2100</v>
      </c>
      <c r="AI109" s="125">
        <v>30</v>
      </c>
      <c r="AJ109" s="530">
        <v>1067.7441362336494</v>
      </c>
      <c r="AK109" s="24">
        <f>AL109/constantes!$B$4</f>
        <v>2190.2443820177423</v>
      </c>
      <c r="AL109" s="33">
        <f t="shared" si="28"/>
        <v>8541.9530898691955</v>
      </c>
      <c r="AM109" s="87">
        <v>2</v>
      </c>
      <c r="AN109" s="531">
        <v>0</v>
      </c>
      <c r="AO109" s="23"/>
      <c r="AP109" s="532">
        <f t="shared" si="22"/>
        <v>1067.7441362336494</v>
      </c>
      <c r="AR109" s="35">
        <f t="shared" si="29"/>
        <v>8541.9530898691955</v>
      </c>
      <c r="AS109" s="36">
        <f ca="1">OFFSET(cod_desembolso!$A$1,AM109,23)</f>
        <v>1.1245293369208682</v>
      </c>
      <c r="AT109" s="37">
        <f ca="1">IF(AP109=0,0,AP109*(OFFSET(cod_desembolso!$A$1,AM109,23)))</f>
        <v>1200.7096055199709</v>
      </c>
      <c r="AU109" s="38">
        <f>(constantes!$B$3*(1+constantes!$B$3)^(AI109))/((1+constantes!$B$3)^(AI109)-1)</f>
        <v>8.8827433387272267E-2</v>
      </c>
      <c r="AV109" s="37">
        <f t="shared" ca="1" si="24"/>
        <v>112.90595250178318</v>
      </c>
      <c r="AW109" s="37">
        <f ca="1">IF(AP109=0,AY109/constantes!$B$3,AV109/constantes!$B$3)</f>
        <v>1411.3244062722897</v>
      </c>
      <c r="AX109" s="39">
        <f ca="1">IF(AP109=0,0,PV(constantes!$B$3,AI109,-AV109)*constantes!$B$3)</f>
        <v>101.68566011316142</v>
      </c>
      <c r="AY109" s="40">
        <f>constantes!$B$10*F109/1000</f>
        <v>6.25</v>
      </c>
      <c r="AZ109" s="533">
        <f>constantes!$B$12</f>
        <v>0</v>
      </c>
      <c r="BA109" s="20">
        <v>318</v>
      </c>
      <c r="BB109" s="43"/>
      <c r="BC109" s="3" t="s">
        <v>2209</v>
      </c>
      <c r="BE109" s="534">
        <v>1</v>
      </c>
      <c r="BF109" s="535">
        <v>2026</v>
      </c>
      <c r="BG109" s="536">
        <v>1</v>
      </c>
      <c r="BH109" s="537">
        <v>2026</v>
      </c>
    </row>
    <row r="110" spans="1:60" ht="14.45">
      <c r="A110" s="125">
        <v>1109</v>
      </c>
      <c r="B110" s="125">
        <v>1109</v>
      </c>
      <c r="C110" s="538" t="s">
        <v>2346</v>
      </c>
      <c r="D110" s="538" t="s">
        <v>2346</v>
      </c>
      <c r="E110" s="546"/>
      <c r="F110" s="526">
        <v>80</v>
      </c>
      <c r="G110" s="3" t="s">
        <v>2199</v>
      </c>
      <c r="H110" s="3" t="s">
        <v>2347</v>
      </c>
      <c r="I110" s="3">
        <v>-47.926211000000002</v>
      </c>
      <c r="J110" s="3">
        <v>-14.302897</v>
      </c>
      <c r="K110" s="539" t="s">
        <v>2005</v>
      </c>
      <c r="L110" s="539" t="s">
        <v>2005</v>
      </c>
      <c r="M110" s="554">
        <v>1</v>
      </c>
      <c r="N110" s="107"/>
      <c r="O110" s="529">
        <v>1.9820000000000001E-2</v>
      </c>
      <c r="P110" s="529">
        <v>5.2919999999999995E-2</v>
      </c>
      <c r="Q110" s="288">
        <f t="shared" si="25"/>
        <v>0.59594345238095237</v>
      </c>
      <c r="R110" s="30">
        <f t="shared" si="16"/>
        <v>47.675476190476189</v>
      </c>
      <c r="S110" s="30">
        <f t="shared" si="26"/>
        <v>32.324523809523811</v>
      </c>
      <c r="T110" s="107">
        <v>58.490476190476187</v>
      </c>
      <c r="U110" s="107">
        <v>40.486964285714286</v>
      </c>
      <c r="V110" s="107">
        <v>38.912916666666661</v>
      </c>
      <c r="W110" s="107">
        <v>52.811547619047616</v>
      </c>
      <c r="X110" s="288">
        <f t="shared" si="27"/>
        <v>0.7116823529411771</v>
      </c>
      <c r="Y110" s="289">
        <f t="shared" si="19"/>
        <v>56.934588235294164</v>
      </c>
      <c r="Z110" s="289">
        <f t="shared" si="20"/>
        <v>9.2591120448179751</v>
      </c>
      <c r="AA110" s="107">
        <v>70.516313725490292</v>
      </c>
      <c r="AB110" s="107">
        <v>53.528039215686313</v>
      </c>
      <c r="AC110" s="107">
        <v>44.974352941176477</v>
      </c>
      <c r="AD110" s="107">
        <v>58.719647058823568</v>
      </c>
      <c r="AE110" s="106">
        <v>1</v>
      </c>
      <c r="AF110" s="32" t="str">
        <f>IF(AE110=0,"",VLOOKUP(AE110,tab_tipo_expansao!$A$2:$B$4,2,0))</f>
        <v>opcional</v>
      </c>
      <c r="AG110" s="125">
        <v>2030</v>
      </c>
      <c r="AH110" s="125">
        <v>2100</v>
      </c>
      <c r="AI110" s="125">
        <v>30</v>
      </c>
      <c r="AJ110" s="530">
        <v>613.24520420396971</v>
      </c>
      <c r="AK110" s="24">
        <f>AL110/constantes!$B$4</f>
        <v>1965.529500653749</v>
      </c>
      <c r="AL110" s="33">
        <f t="shared" si="28"/>
        <v>7665.5650525496212</v>
      </c>
      <c r="AM110" s="87">
        <v>2</v>
      </c>
      <c r="AN110" s="531">
        <v>0</v>
      </c>
      <c r="AO110" s="23"/>
      <c r="AP110" s="532">
        <f t="shared" si="22"/>
        <v>613.24520420396971</v>
      </c>
      <c r="AR110" s="35">
        <f t="shared" si="29"/>
        <v>7665.5650525496212</v>
      </c>
      <c r="AS110" s="36">
        <f ca="1">OFFSET(cod_desembolso!$A$1,AM110,23)</f>
        <v>1.1245293369208682</v>
      </c>
      <c r="AT110" s="37">
        <f ca="1">IF(AP110=0,0,AP110*(OFFSET(cod_desembolso!$A$1,AM110,23)))</f>
        <v>689.6122228533925</v>
      </c>
      <c r="AU110" s="38">
        <f>(constantes!$B$3*(1+constantes!$B$3)^(AI110))/((1+constantes!$B$3)^(AI110)-1)</f>
        <v>8.8827433387272267E-2</v>
      </c>
      <c r="AV110" s="37">
        <f t="shared" ca="1" si="24"/>
        <v>65.256483788558484</v>
      </c>
      <c r="AW110" s="37">
        <f ca="1">IF(AP110=0,AY110/constantes!$B$3,AV110/constantes!$B$3)</f>
        <v>815.706047356981</v>
      </c>
      <c r="AX110" s="39">
        <f ca="1">IF(AP110=0,0,PV(constantes!$B$3,AI110,-AV110)*constantes!$B$3)</f>
        <v>58.771468498072203</v>
      </c>
      <c r="AY110" s="40">
        <f>constantes!$B$10*F110/1000</f>
        <v>4</v>
      </c>
      <c r="AZ110" s="533">
        <f>constantes!$B$12</f>
        <v>0</v>
      </c>
      <c r="BA110" s="20">
        <v>318</v>
      </c>
      <c r="BB110" s="43"/>
      <c r="BC110" s="3" t="s">
        <v>2183</v>
      </c>
      <c r="BE110" s="534">
        <v>1</v>
      </c>
      <c r="BF110" s="535">
        <v>2027</v>
      </c>
      <c r="BG110" s="536">
        <v>1</v>
      </c>
      <c r="BH110" s="537">
        <v>2027</v>
      </c>
    </row>
    <row r="111" spans="1:60" ht="14.45">
      <c r="A111" s="125">
        <v>1110</v>
      </c>
      <c r="B111" s="125">
        <v>1110</v>
      </c>
      <c r="C111" s="538" t="s">
        <v>2348</v>
      </c>
      <c r="D111" s="538" t="s">
        <v>2348</v>
      </c>
      <c r="E111" s="546"/>
      <c r="F111" s="526">
        <v>95</v>
      </c>
      <c r="G111" s="3" t="s">
        <v>2181</v>
      </c>
      <c r="H111" s="3" t="s">
        <v>2333</v>
      </c>
      <c r="I111" s="3">
        <v>-54.443610999999997</v>
      </c>
      <c r="J111" s="3">
        <v>-1.485833</v>
      </c>
      <c r="K111" s="539" t="s">
        <v>155</v>
      </c>
      <c r="L111" s="539" t="s">
        <v>155</v>
      </c>
      <c r="M111" s="554">
        <v>4</v>
      </c>
      <c r="N111" s="107"/>
      <c r="O111" s="529">
        <v>1.9820000000000001E-2</v>
      </c>
      <c r="P111" s="529">
        <v>5.2919999999999995E-2</v>
      </c>
      <c r="Q111" s="288">
        <f t="shared" si="25"/>
        <v>0.54104855889724313</v>
      </c>
      <c r="R111" s="30">
        <f t="shared" si="16"/>
        <v>51.399613095238095</v>
      </c>
      <c r="S111" s="30">
        <f t="shared" si="26"/>
        <v>43.600386904761905</v>
      </c>
      <c r="T111" s="107">
        <v>41.82</v>
      </c>
      <c r="U111" s="107">
        <v>88.186249999999987</v>
      </c>
      <c r="V111" s="107">
        <v>63.396250000000002</v>
      </c>
      <c r="W111" s="107">
        <v>12.195952380952383</v>
      </c>
      <c r="X111" s="288">
        <f t="shared" si="27"/>
        <v>0.5116284829721357</v>
      </c>
      <c r="Y111" s="289">
        <f t="shared" si="19"/>
        <v>48.604705882352896</v>
      </c>
      <c r="Z111" s="289">
        <f t="shared" si="20"/>
        <v>-2.7949072128851995</v>
      </c>
      <c r="AA111" s="107">
        <v>41.367411764705842</v>
      </c>
      <c r="AB111" s="107">
        <v>84.120156862744977</v>
      </c>
      <c r="AC111" s="107">
        <v>56.105843137254872</v>
      </c>
      <c r="AD111" s="107">
        <v>12.825411764705878</v>
      </c>
      <c r="AE111" s="106">
        <v>1</v>
      </c>
      <c r="AF111" s="32" t="str">
        <f>IF(AE111=0,"",VLOOKUP(AE111,tab_tipo_expansao!$A$2:$B$4,2,0))</f>
        <v>opcional</v>
      </c>
      <c r="AG111" s="125">
        <v>2030</v>
      </c>
      <c r="AH111" s="125">
        <v>2100</v>
      </c>
      <c r="AI111" s="125">
        <v>30</v>
      </c>
      <c r="AJ111" s="530">
        <v>730.58188803158919</v>
      </c>
      <c r="AK111" s="24">
        <f>AL111/constantes!$B$4</f>
        <v>1971.8809393565159</v>
      </c>
      <c r="AL111" s="33">
        <f t="shared" si="28"/>
        <v>7690.3356634904121</v>
      </c>
      <c r="AM111" s="87">
        <v>2</v>
      </c>
      <c r="AN111" s="531">
        <v>0</v>
      </c>
      <c r="AO111" s="23"/>
      <c r="AP111" s="532">
        <f t="shared" si="22"/>
        <v>730.58188803158919</v>
      </c>
      <c r="AR111" s="35">
        <f t="shared" si="29"/>
        <v>7690.335663490413</v>
      </c>
      <c r="AS111" s="36">
        <f ca="1">OFFSET(cod_desembolso!$A$1,AM111,23)</f>
        <v>1.1245293369208682</v>
      </c>
      <c r="AT111" s="37">
        <f ca="1">IF(AP111=0,0,AP111*(OFFSET(cod_desembolso!$A$1,AM111,23)))</f>
        <v>821.56076611455899</v>
      </c>
      <c r="AU111" s="38">
        <f>(constantes!$B$3*(1+constantes!$B$3)^(AI111))/((1+constantes!$B$3)^(AI111)-1)</f>
        <v>8.8827433387272267E-2</v>
      </c>
      <c r="AV111" s="37">
        <f t="shared" ca="1" si="24"/>
        <v>77.727134225637357</v>
      </c>
      <c r="AW111" s="37">
        <f ca="1">IF(AP111=0,AY111/constantes!$B$3,AV111/constantes!$B$3)</f>
        <v>971.58917782046694</v>
      </c>
      <c r="AX111" s="39">
        <f ca="1">IF(AP111=0,0,PV(constantes!$B$3,AI111,-AV111)*constantes!$B$3)</f>
        <v>70.002818959553167</v>
      </c>
      <c r="AY111" s="40">
        <f>constantes!$B$10*F111/1000</f>
        <v>4.75</v>
      </c>
      <c r="AZ111" s="533">
        <f>constantes!$B$12</f>
        <v>0</v>
      </c>
      <c r="BA111" s="20">
        <v>318</v>
      </c>
      <c r="BB111" s="43"/>
      <c r="BC111" s="3" t="s">
        <v>2183</v>
      </c>
      <c r="BE111" s="534">
        <v>1</v>
      </c>
      <c r="BF111" s="535">
        <v>2027</v>
      </c>
      <c r="BG111" s="536">
        <v>1</v>
      </c>
      <c r="BH111" s="537">
        <v>2027</v>
      </c>
    </row>
    <row r="112" spans="1:60" ht="14.45" hidden="1">
      <c r="A112" s="125">
        <v>1111</v>
      </c>
      <c r="B112" s="125">
        <v>1111</v>
      </c>
      <c r="C112" s="538" t="s">
        <v>2349</v>
      </c>
      <c r="D112" s="538" t="s">
        <v>2349</v>
      </c>
      <c r="E112" s="546"/>
      <c r="F112" s="526">
        <v>48.9</v>
      </c>
      <c r="G112" s="3" t="s">
        <v>2199</v>
      </c>
      <c r="H112" s="3" t="s">
        <v>2350</v>
      </c>
      <c r="I112" s="3">
        <v>-47.622494000000003</v>
      </c>
      <c r="J112" s="3">
        <v>-9.9872219999999992</v>
      </c>
      <c r="K112" s="539" t="s">
        <v>1983</v>
      </c>
      <c r="L112" s="539" t="s">
        <v>1983</v>
      </c>
      <c r="M112" s="554">
        <v>1</v>
      </c>
      <c r="N112" s="107"/>
      <c r="O112" s="529">
        <v>2.068E-2</v>
      </c>
      <c r="P112" s="529">
        <v>4.6600000000000003E-2</v>
      </c>
      <c r="Q112" s="288">
        <f t="shared" si="25"/>
        <v>0.61856223828999912</v>
      </c>
      <c r="R112" s="30">
        <f t="shared" si="16"/>
        <v>30.247693452380954</v>
      </c>
      <c r="S112" s="30">
        <f t="shared" si="26"/>
        <v>18.652306547619045</v>
      </c>
      <c r="T112" s="107">
        <v>40.68333333333333</v>
      </c>
      <c r="U112" s="107">
        <v>32.407023809523814</v>
      </c>
      <c r="V112" s="107">
        <v>18.169583333333335</v>
      </c>
      <c r="W112" s="107">
        <v>29.730833333333333</v>
      </c>
      <c r="X112" s="288">
        <f t="shared" si="27"/>
        <v>0.66614880307951396</v>
      </c>
      <c r="Y112" s="289">
        <f t="shared" si="19"/>
        <v>32.57467647058823</v>
      </c>
      <c r="Z112" s="289">
        <f t="shared" si="20"/>
        <v>2.3269830182072759</v>
      </c>
      <c r="AA112" s="107">
        <v>41.925960784313723</v>
      </c>
      <c r="AB112" s="107">
        <v>34.305921568627447</v>
      </c>
      <c r="AC112" s="107">
        <v>21.351450980392155</v>
      </c>
      <c r="AD112" s="107">
        <v>32.715372549019605</v>
      </c>
      <c r="AE112" s="106">
        <v>1</v>
      </c>
      <c r="AF112" s="32" t="str">
        <f>IF(AE112=0,"",VLOOKUP(AE112,tab_tipo_expansao!$A$2:$B$4,2,0))</f>
        <v>opcional</v>
      </c>
      <c r="AG112" s="125">
        <v>2028</v>
      </c>
      <c r="AH112" s="125">
        <v>2100</v>
      </c>
      <c r="AI112" s="125">
        <v>30</v>
      </c>
      <c r="AJ112" s="530">
        <v>438.34438516626267</v>
      </c>
      <c r="AK112" s="24">
        <f>AL112/constantes!$B$4</f>
        <v>2298.4866297848184</v>
      </c>
      <c r="AL112" s="33">
        <f t="shared" si="28"/>
        <v>8964.0978561607917</v>
      </c>
      <c r="AM112" s="87">
        <v>2</v>
      </c>
      <c r="AN112" s="531">
        <v>0</v>
      </c>
      <c r="AO112" s="23"/>
      <c r="AP112" s="532">
        <f t="shared" si="22"/>
        <v>438.34438516626267</v>
      </c>
      <c r="AR112" s="35">
        <f t="shared" si="29"/>
        <v>8964.0978561607917</v>
      </c>
      <c r="AS112" s="36">
        <f ca="1">OFFSET(cod_desembolso!$A$1,AM112,23)</f>
        <v>1.1245293369208682</v>
      </c>
      <c r="AT112" s="37">
        <f ca="1">IF(AP112=0,0,AP112*(OFFSET(cod_desembolso!$A$1,AM112,23)))</f>
        <v>492.93112079400299</v>
      </c>
      <c r="AU112" s="38">
        <f>(constantes!$B$3*(1+constantes!$B$3)^(AI112))/((1+constantes!$B$3)^(AI112)-1)</f>
        <v>8.8827433387272267E-2</v>
      </c>
      <c r="AV112" s="37">
        <f t="shared" ca="1" si="24"/>
        <v>46.230806296842758</v>
      </c>
      <c r="AW112" s="37">
        <f ca="1">IF(AP112=0,AY112/constantes!$B$3,AV112/constantes!$B$3)</f>
        <v>577.88507871053446</v>
      </c>
      <c r="AX112" s="39">
        <f ca="1">IF(AP112=0,0,PV(constantes!$B$3,AI112,-AV112)*constantes!$B$3)</f>
        <v>41.636512085435974</v>
      </c>
      <c r="AY112" s="40">
        <f>constantes!$B$10*F112/1000</f>
        <v>2.4449999999999998</v>
      </c>
      <c r="AZ112" s="533">
        <f>constantes!$B$12</f>
        <v>0</v>
      </c>
      <c r="BA112" s="20">
        <v>318</v>
      </c>
      <c r="BB112" s="43"/>
      <c r="BC112" s="3" t="s">
        <v>2197</v>
      </c>
      <c r="BE112" s="534">
        <v>1</v>
      </c>
      <c r="BF112" s="535">
        <v>2027</v>
      </c>
      <c r="BG112" s="536">
        <v>1</v>
      </c>
      <c r="BH112" s="537">
        <v>2027</v>
      </c>
    </row>
    <row r="113" spans="1:60" ht="14.45">
      <c r="A113" s="125">
        <v>1112</v>
      </c>
      <c r="B113" s="125">
        <v>1112</v>
      </c>
      <c r="C113" s="538" t="s">
        <v>2351</v>
      </c>
      <c r="D113" s="538" t="s">
        <v>2351</v>
      </c>
      <c r="E113" s="546"/>
      <c r="F113" s="526">
        <v>310.39999999999998</v>
      </c>
      <c r="G113" s="3" t="s">
        <v>2199</v>
      </c>
      <c r="H113" s="3" t="s">
        <v>2200</v>
      </c>
      <c r="I113" s="3">
        <v>-52.611621999999997</v>
      </c>
      <c r="J113" s="3">
        <v>-14.779544</v>
      </c>
      <c r="K113" s="539" t="s">
        <v>160</v>
      </c>
      <c r="L113" s="539" t="s">
        <v>160</v>
      </c>
      <c r="M113" s="554">
        <v>1</v>
      </c>
      <c r="N113" s="107"/>
      <c r="O113" s="529">
        <v>1.6379999999999999E-2</v>
      </c>
      <c r="P113" s="529">
        <v>6.1409999999999999E-2</v>
      </c>
      <c r="Q113" s="288">
        <f t="shared" si="25"/>
        <v>0.58210699711585667</v>
      </c>
      <c r="R113" s="30">
        <f t="shared" si="16"/>
        <v>180.6860119047619</v>
      </c>
      <c r="S113" s="30">
        <f t="shared" si="26"/>
        <v>129.71398809523808</v>
      </c>
      <c r="T113" s="107">
        <v>192.95761904761903</v>
      </c>
      <c r="U113" s="107">
        <v>190.86946428571426</v>
      </c>
      <c r="V113" s="107">
        <v>183.98958333333334</v>
      </c>
      <c r="W113" s="107">
        <v>154.92738095238096</v>
      </c>
      <c r="X113" s="288">
        <f t="shared" si="27"/>
        <v>0.64861115322417617</v>
      </c>
      <c r="Y113" s="289">
        <f t="shared" si="19"/>
        <v>201.32890196078426</v>
      </c>
      <c r="Z113" s="289">
        <f t="shared" si="20"/>
        <v>20.642890056022367</v>
      </c>
      <c r="AA113" s="107">
        <v>259.43199999999985</v>
      </c>
      <c r="AB113" s="107">
        <v>208.69058823529406</v>
      </c>
      <c r="AC113" s="107">
        <v>162.01529411764707</v>
      </c>
      <c r="AD113" s="107">
        <v>175.17772549019605</v>
      </c>
      <c r="AE113" s="106">
        <v>1</v>
      </c>
      <c r="AF113" s="32" t="str">
        <f>IF(AE113=0,"",VLOOKUP(AE113,tab_tipo_expansao!$A$2:$B$4,2,0))</f>
        <v>opcional</v>
      </c>
      <c r="AG113" s="125">
        <v>2030</v>
      </c>
      <c r="AH113" s="125">
        <v>2100</v>
      </c>
      <c r="AI113" s="125">
        <v>30</v>
      </c>
      <c r="AJ113" s="530">
        <v>3106.5128912067503</v>
      </c>
      <c r="AK113" s="24">
        <f>AL113/constantes!$B$4</f>
        <v>2566.1783729899803</v>
      </c>
      <c r="AL113" s="33">
        <f t="shared" si="28"/>
        <v>10008.095654660923</v>
      </c>
      <c r="AM113" s="87">
        <v>2</v>
      </c>
      <c r="AN113" s="531">
        <v>0</v>
      </c>
      <c r="AO113" s="23"/>
      <c r="AP113" s="532">
        <f t="shared" si="22"/>
        <v>3106.5128912067503</v>
      </c>
      <c r="AR113" s="35">
        <f t="shared" si="29"/>
        <v>10008.095654660923</v>
      </c>
      <c r="AS113" s="36">
        <f ca="1">OFFSET(cod_desembolso!$A$1,AM113,23)</f>
        <v>1.1245293369208682</v>
      </c>
      <c r="AT113" s="37">
        <f ca="1">IF(AP113=0,0,AP113*(OFFSET(cod_desembolso!$A$1,AM113,23)))</f>
        <v>3493.3648816848563</v>
      </c>
      <c r="AU113" s="38">
        <f>(constantes!$B$3*(1+constantes!$B$3)^(AI113))/((1+constantes!$B$3)^(AI113)-1)</f>
        <v>8.8827433387272267E-2</v>
      </c>
      <c r="AV113" s="37">
        <f t="shared" ca="1" si="24"/>
        <v>325.82663632529784</v>
      </c>
      <c r="AW113" s="37">
        <f ca="1">IF(AP113=0,AY113/constantes!$B$3,AV113/constantes!$B$3)</f>
        <v>4072.832954066223</v>
      </c>
      <c r="AX113" s="39">
        <f ca="1">IF(AP113=0,0,PV(constantes!$B$3,AI113,-AV113)*constantes!$B$3)</f>
        <v>293.44685433361559</v>
      </c>
      <c r="AY113" s="40">
        <f>constantes!$B$10*F113/1000</f>
        <v>15.519999999999998</v>
      </c>
      <c r="AZ113" s="533">
        <f>constantes!$B$12</f>
        <v>0</v>
      </c>
      <c r="BA113" s="20">
        <v>318</v>
      </c>
      <c r="BB113" s="43"/>
      <c r="BC113" s="3" t="s">
        <v>2217</v>
      </c>
      <c r="BE113" s="534">
        <v>1</v>
      </c>
      <c r="BF113" s="535">
        <v>2035</v>
      </c>
      <c r="BG113" s="536">
        <v>3</v>
      </c>
      <c r="BH113" s="537">
        <v>2050</v>
      </c>
    </row>
    <row r="114" spans="1:60" ht="14.45" hidden="1">
      <c r="A114" s="125">
        <v>1113</v>
      </c>
      <c r="B114" s="125">
        <v>1113</v>
      </c>
      <c r="C114" s="538" t="s">
        <v>2352</v>
      </c>
      <c r="D114" s="538" t="s">
        <v>2352</v>
      </c>
      <c r="E114" s="546"/>
      <c r="F114" s="526">
        <v>79.5</v>
      </c>
      <c r="G114" s="3" t="s">
        <v>2221</v>
      </c>
      <c r="H114" s="3" t="s">
        <v>2222</v>
      </c>
      <c r="I114" s="3">
        <v>-51.859344999999998</v>
      </c>
      <c r="J114" s="3">
        <v>-29.146484999999998</v>
      </c>
      <c r="K114" s="539" t="s">
        <v>151</v>
      </c>
      <c r="L114" s="539" t="s">
        <v>151</v>
      </c>
      <c r="M114" s="554">
        <v>2</v>
      </c>
      <c r="N114" s="107"/>
      <c r="O114" s="529">
        <v>1.9820000000000001E-2</v>
      </c>
      <c r="P114" s="529">
        <v>5.2919999999999995E-2</v>
      </c>
      <c r="Q114" s="288">
        <f t="shared" si="25"/>
        <v>0.51886848607367475</v>
      </c>
      <c r="R114" s="30">
        <f t="shared" si="16"/>
        <v>41.250044642857141</v>
      </c>
      <c r="S114" s="30">
        <f t="shared" si="26"/>
        <v>38.249955357142859</v>
      </c>
      <c r="T114" s="107">
        <v>30.340476190476192</v>
      </c>
      <c r="U114" s="107">
        <v>39.762559523809522</v>
      </c>
      <c r="V114" s="107">
        <v>55.279166666666669</v>
      </c>
      <c r="W114" s="107">
        <v>39.617976190476192</v>
      </c>
      <c r="X114" s="288">
        <f t="shared" si="27"/>
        <v>0.61425292884449412</v>
      </c>
      <c r="Y114" s="289">
        <f t="shared" si="19"/>
        <v>48.833107843137284</v>
      </c>
      <c r="Z114" s="289">
        <f t="shared" si="20"/>
        <v>7.5830632002801437</v>
      </c>
      <c r="AA114" s="107">
        <v>35.563372549019618</v>
      </c>
      <c r="AB114" s="107">
        <v>47.129490196078471</v>
      </c>
      <c r="AC114" s="107">
        <v>63.016941176470631</v>
      </c>
      <c r="AD114" s="107">
        <v>49.62262745098041</v>
      </c>
      <c r="AE114" s="106">
        <v>1</v>
      </c>
      <c r="AF114" s="32" t="str">
        <f>IF(AE114=0,"",VLOOKUP(AE114,tab_tipo_expansao!$A$2:$B$4,2,0))</f>
        <v>opcional</v>
      </c>
      <c r="AG114" s="125">
        <v>2028</v>
      </c>
      <c r="AH114" s="125">
        <v>2100</v>
      </c>
      <c r="AI114" s="125">
        <v>30</v>
      </c>
      <c r="AJ114" s="530">
        <v>1076.1879772438726</v>
      </c>
      <c r="AK114" s="24">
        <f>AL114/constantes!$B$4</f>
        <v>3471.0142791287617</v>
      </c>
      <c r="AL114" s="33">
        <f t="shared" si="28"/>
        <v>13536.955688602171</v>
      </c>
      <c r="AM114" s="87">
        <v>2</v>
      </c>
      <c r="AN114" s="531">
        <v>0</v>
      </c>
      <c r="AO114" s="23"/>
      <c r="AP114" s="532">
        <f t="shared" si="22"/>
        <v>1076.1879772438726</v>
      </c>
      <c r="AR114" s="35">
        <f t="shared" si="29"/>
        <v>13536.955688602171</v>
      </c>
      <c r="AS114" s="36">
        <f ca="1">OFFSET(cod_desembolso!$A$1,AM114,23)</f>
        <v>1.1245293369208682</v>
      </c>
      <c r="AT114" s="37">
        <f ca="1">IF(AP114=0,0,AP114*(OFFSET(cod_desembolso!$A$1,AM114,23)))</f>
        <v>1210.2049524522624</v>
      </c>
      <c r="AU114" s="38">
        <f>(constantes!$B$3*(1+constantes!$B$3)^(AI114))/((1+constantes!$B$3)^(AI114)-1)</f>
        <v>8.8827433387272267E-2</v>
      </c>
      <c r="AV114" s="37">
        <f t="shared" ca="1" si="24"/>
        <v>111.47439979890034</v>
      </c>
      <c r="AW114" s="37">
        <f ca="1">IF(AP114=0,AY114/constantes!$B$3,AV114/constantes!$B$3)</f>
        <v>1393.4299974862543</v>
      </c>
      <c r="AX114" s="39">
        <f ca="1">IF(AP114=0,0,PV(constantes!$B$3,AI114,-AV114)*constantes!$B$3)</f>
        <v>100.39637129929552</v>
      </c>
      <c r="AY114" s="40">
        <f>constantes!$B$10*F114/1000</f>
        <v>3.9750000000000001</v>
      </c>
      <c r="AZ114" s="533">
        <f>constantes!$B$12</f>
        <v>0</v>
      </c>
      <c r="BA114" s="20">
        <v>318</v>
      </c>
      <c r="BB114" s="43"/>
      <c r="BC114" s="3" t="s">
        <v>2197</v>
      </c>
      <c r="BE114" s="534">
        <v>1</v>
      </c>
      <c r="BF114" s="535">
        <v>2027</v>
      </c>
      <c r="BG114" s="536">
        <v>1</v>
      </c>
      <c r="BH114" s="537">
        <v>2027</v>
      </c>
    </row>
    <row r="115" spans="1:60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46"/>
      <c r="F115" s="526">
        <v>73</v>
      </c>
      <c r="G115" s="3" t="s">
        <v>2181</v>
      </c>
      <c r="H115" s="3" t="s">
        <v>2298</v>
      </c>
      <c r="I115" s="3">
        <v>-58.981906000000002</v>
      </c>
      <c r="J115" s="3">
        <v>-12.688057000000001</v>
      </c>
      <c r="K115" s="539" t="s">
        <v>160</v>
      </c>
      <c r="L115" s="539" t="s">
        <v>160</v>
      </c>
      <c r="M115" s="554">
        <v>10</v>
      </c>
      <c r="N115" s="107"/>
      <c r="O115" s="529">
        <v>1.9820000000000001E-2</v>
      </c>
      <c r="P115" s="529">
        <v>5.2919999999999995E-2</v>
      </c>
      <c r="Q115" s="288">
        <f t="shared" si="25"/>
        <v>0.75277825342465754</v>
      </c>
      <c r="R115" s="30">
        <f t="shared" si="16"/>
        <v>54.9528125</v>
      </c>
      <c r="S115" s="30">
        <f t="shared" si="26"/>
        <v>18.0471875</v>
      </c>
      <c r="T115" s="107">
        <v>54.12</v>
      </c>
      <c r="U115" s="107">
        <v>57.515773809523807</v>
      </c>
      <c r="V115" s="107">
        <v>55.870416666666664</v>
      </c>
      <c r="W115" s="107">
        <v>52.305059523809518</v>
      </c>
      <c r="X115" s="288">
        <f t="shared" si="27"/>
        <v>0.7272343540155789</v>
      </c>
      <c r="Y115" s="289">
        <f t="shared" si="19"/>
        <v>53.088107843137259</v>
      </c>
      <c r="Z115" s="289">
        <f t="shared" si="20"/>
        <v>-1.8647046568627417</v>
      </c>
      <c r="AA115" s="107">
        <v>58.660274509803912</v>
      </c>
      <c r="AB115" s="107">
        <v>55.339607843137266</v>
      </c>
      <c r="AC115" s="107">
        <v>49.744823529411768</v>
      </c>
      <c r="AD115" s="107">
        <v>48.607725490196081</v>
      </c>
      <c r="AE115" s="106">
        <v>1</v>
      </c>
      <c r="AF115" s="32" t="str">
        <f>IF(AE115=0,"",VLOOKUP(AE115,tab_tipo_expansao!$A$2:$B$4,2,0))</f>
        <v>opcional</v>
      </c>
      <c r="AG115" s="125">
        <v>2030</v>
      </c>
      <c r="AH115" s="125">
        <v>2100</v>
      </c>
      <c r="AI115" s="125">
        <v>30</v>
      </c>
      <c r="AJ115" s="530">
        <v>912.12592082544711</v>
      </c>
      <c r="AK115" s="24">
        <f>AL115/constantes!$B$4</f>
        <v>3203.8142635245772</v>
      </c>
      <c r="AL115" s="33">
        <f t="shared" si="28"/>
        <v>12494.875627745851</v>
      </c>
      <c r="AM115" s="87">
        <v>2</v>
      </c>
      <c r="AN115" s="531">
        <v>0</v>
      </c>
      <c r="AO115" s="23"/>
      <c r="AP115" s="532">
        <f t="shared" si="22"/>
        <v>912.12592082544711</v>
      </c>
      <c r="AR115" s="35">
        <f t="shared" si="29"/>
        <v>12494.875627745851</v>
      </c>
      <c r="AS115" s="36">
        <f ca="1">OFFSET(cod_desembolso!$A$1,AM115,23)</f>
        <v>1.1245293369208682</v>
      </c>
      <c r="AT115" s="37">
        <f ca="1">IF(AP115=0,0,AP115*(OFFSET(cod_desembolso!$A$1,AM115,23)))</f>
        <v>1025.7123569341763</v>
      </c>
      <c r="AU115" s="38">
        <f>(constantes!$B$3*(1+constantes!$B$3)^(AI115))/((1+constantes!$B$3)^(AI115)-1)</f>
        <v>8.8827433387272267E-2</v>
      </c>
      <c r="AV115" s="37">
        <f t="shared" ca="1" si="24"/>
        <v>94.761396060072585</v>
      </c>
      <c r="AW115" s="37">
        <f ca="1">IF(AP115=0,AY115/constantes!$B$3,AV115/constantes!$B$3)</f>
        <v>1184.5174507509073</v>
      </c>
      <c r="AX115" s="39">
        <f ca="1">IF(AP115=0,0,PV(constantes!$B$3,AI115,-AV115)*constantes!$B$3)</f>
        <v>85.344261290927335</v>
      </c>
      <c r="AY115" s="40">
        <f>constantes!$B$10*F115/1000</f>
        <v>3.65</v>
      </c>
      <c r="AZ115" s="533">
        <f>constantes!$B$12</f>
        <v>0</v>
      </c>
      <c r="BA115" s="20">
        <v>318</v>
      </c>
      <c r="BB115" s="43"/>
      <c r="BC115" s="3" t="s">
        <v>2217</v>
      </c>
      <c r="BE115" s="534">
        <v>1</v>
      </c>
      <c r="BF115" s="535">
        <v>2035</v>
      </c>
      <c r="BG115" s="536">
        <v>3</v>
      </c>
      <c r="BH115" s="537">
        <v>2050</v>
      </c>
    </row>
    <row r="116" spans="1:60" ht="15" hidden="1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46"/>
      <c r="F116" s="526">
        <v>49.79</v>
      </c>
      <c r="G116" s="3" t="s">
        <v>2199</v>
      </c>
      <c r="H116" s="3" t="s">
        <v>2355</v>
      </c>
      <c r="I116" s="3">
        <v>-46.88805</v>
      </c>
      <c r="J116" s="3">
        <v>-13.599548</v>
      </c>
      <c r="K116" s="539" t="s">
        <v>2005</v>
      </c>
      <c r="L116" s="539" t="s">
        <v>2005</v>
      </c>
      <c r="M116" s="554">
        <v>1</v>
      </c>
      <c r="N116" s="107"/>
      <c r="O116" s="529">
        <v>2.068E-2</v>
      </c>
      <c r="P116" s="529">
        <v>4.6600000000000003E-2</v>
      </c>
      <c r="Q116" s="288">
        <f t="shared" si="25"/>
        <v>0.532119300920186</v>
      </c>
      <c r="R116" s="30">
        <f t="shared" si="16"/>
        <v>26.49421999281606</v>
      </c>
      <c r="S116" s="30">
        <f t="shared" si="26"/>
        <v>23.295780007183939</v>
      </c>
      <c r="T116" s="107">
        <v>33.20173326876796</v>
      </c>
      <c r="U116" s="107">
        <v>29.14607656146417</v>
      </c>
      <c r="V116" s="107">
        <v>20.674817306971786</v>
      </c>
      <c r="W116" s="107">
        <v>22.954252834060327</v>
      </c>
      <c r="X116" s="288">
        <f t="shared" si="27"/>
        <v>0.56765074645560576</v>
      </c>
      <c r="Y116" s="289">
        <f t="shared" si="19"/>
        <v>28.263330666024611</v>
      </c>
      <c r="Z116" s="289">
        <f t="shared" si="20"/>
        <v>1.7691106732085515</v>
      </c>
      <c r="AA116" s="107">
        <v>36.941728525146893</v>
      </c>
      <c r="AB116" s="107">
        <v>30.732981790658911</v>
      </c>
      <c r="AC116" s="107">
        <v>21.159150207766</v>
      </c>
      <c r="AD116" s="107">
        <v>24.219462140526634</v>
      </c>
      <c r="AE116" s="106">
        <v>1</v>
      </c>
      <c r="AF116" s="32" t="str">
        <f>IF(AE116=0,"",VLOOKUP(AE116,tab_tipo_expansao!$A$2:$B$4,2,0))</f>
        <v>opcional</v>
      </c>
      <c r="AG116" s="125">
        <v>2028</v>
      </c>
      <c r="AH116" s="125">
        <v>2100</v>
      </c>
      <c r="AI116" s="125">
        <v>30</v>
      </c>
      <c r="AJ116" s="530">
        <v>586.57527263478221</v>
      </c>
      <c r="AK116" s="24">
        <f>AL116/constantes!$B$4</f>
        <v>3020.7655364571315</v>
      </c>
      <c r="AL116" s="33">
        <f t="shared" si="28"/>
        <v>11780.985592182813</v>
      </c>
      <c r="AM116" s="87">
        <v>2</v>
      </c>
      <c r="AN116" s="531">
        <v>0</v>
      </c>
      <c r="AO116" s="23"/>
      <c r="AP116" s="532">
        <f t="shared" si="22"/>
        <v>586.57527263478221</v>
      </c>
      <c r="AR116" s="35">
        <f t="shared" si="29"/>
        <v>11780.985592182813</v>
      </c>
      <c r="AS116" s="36">
        <f ca="1">OFFSET(cod_desembolso!$A$1,AM116,23)</f>
        <v>1.1245293369208682</v>
      </c>
      <c r="AT116" s="37">
        <f ca="1">IF(AP116=0,0,AP116*(OFFSET(cod_desembolso!$A$1,AM116,23)))</f>
        <v>659.62110239016909</v>
      </c>
      <c r="AU116" s="38">
        <f>(constantes!$B$3*(1+constantes!$B$3)^(AI116))/((1+constantes!$B$3)^(AI116)-1)</f>
        <v>8.8827433387272267E-2</v>
      </c>
      <c r="AV116" s="37">
        <f t="shared" ca="1" si="24"/>
        <v>61.081949533401847</v>
      </c>
      <c r="AW116" s="37">
        <f ca="1">IF(AP116=0,AY116/constantes!$B$3,AV116/constantes!$B$3)</f>
        <v>763.5243691675231</v>
      </c>
      <c r="AX116" s="39">
        <f ca="1">IF(AP116=0,0,PV(constantes!$B$3,AI116,-AV116)*constantes!$B$3)</f>
        <v>55.011788321830799</v>
      </c>
      <c r="AY116" s="40">
        <f>constantes!$B$10*F116/1000</f>
        <v>2.4895</v>
      </c>
      <c r="AZ116" s="533">
        <f>constantes!$B$12</f>
        <v>0</v>
      </c>
      <c r="BA116" s="20">
        <v>318</v>
      </c>
      <c r="BB116" s="43"/>
      <c r="BC116" s="3" t="s">
        <v>2197</v>
      </c>
      <c r="BE116" s="534">
        <v>1</v>
      </c>
      <c r="BF116" s="535">
        <v>2027</v>
      </c>
      <c r="BG116" s="536">
        <v>1</v>
      </c>
      <c r="BH116" s="537">
        <v>2027</v>
      </c>
    </row>
    <row r="117" spans="1:60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46"/>
      <c r="F117" s="526">
        <v>32.4</v>
      </c>
      <c r="G117" s="3" t="s">
        <v>2097</v>
      </c>
      <c r="H117" s="3" t="s">
        <v>2357</v>
      </c>
      <c r="I117" s="3">
        <v>-52.581511999999996</v>
      </c>
      <c r="J117" s="3">
        <v>-26.798359999999999</v>
      </c>
      <c r="K117" s="539" t="s">
        <v>1991</v>
      </c>
      <c r="L117" s="539" t="s">
        <v>1991</v>
      </c>
      <c r="M117" s="554">
        <v>2</v>
      </c>
      <c r="N117" s="107"/>
      <c r="O117" s="529">
        <v>2.068E-2</v>
      </c>
      <c r="P117" s="529">
        <v>4.6600000000000003E-2</v>
      </c>
      <c r="Q117" s="288">
        <f t="shared" si="25"/>
        <v>0.54117982069370962</v>
      </c>
      <c r="R117" s="30">
        <f t="shared" si="16"/>
        <v>17.53422619047619</v>
      </c>
      <c r="S117" s="30">
        <f t="shared" si="26"/>
        <v>14.865773809523809</v>
      </c>
      <c r="T117" s="107">
        <v>14.079523809523808</v>
      </c>
      <c r="U117" s="107">
        <v>20.100178571428568</v>
      </c>
      <c r="V117" s="107">
        <v>18.997083333333336</v>
      </c>
      <c r="W117" s="107">
        <v>16.960119047619045</v>
      </c>
      <c r="X117" s="288">
        <f t="shared" si="27"/>
        <v>0.61365861776809483</v>
      </c>
      <c r="Y117" s="289">
        <f t="shared" si="19"/>
        <v>19.882539215686272</v>
      </c>
      <c r="Z117" s="289">
        <f t="shared" si="20"/>
        <v>2.3483130252100821</v>
      </c>
      <c r="AA117" s="107">
        <v>16.949568627450969</v>
      </c>
      <c r="AB117" s="107">
        <v>20.786745098039219</v>
      </c>
      <c r="AC117" s="107">
        <v>22.403254901960779</v>
      </c>
      <c r="AD117" s="107">
        <v>19.390588235294121</v>
      </c>
      <c r="AE117" s="106">
        <v>1</v>
      </c>
      <c r="AF117" s="32" t="str">
        <f>IF(AE117=0,"",VLOOKUP(AE117,tab_tipo_expansao!$A$2:$B$4,2,0))</f>
        <v>opcional</v>
      </c>
      <c r="AG117" s="125">
        <v>2030</v>
      </c>
      <c r="AH117" s="125">
        <v>2100</v>
      </c>
      <c r="AI117" s="125">
        <v>30</v>
      </c>
      <c r="AJ117" s="530">
        <v>564.77103767364235</v>
      </c>
      <c r="AK117" s="24">
        <f>AL117/constantes!$B$4</f>
        <v>4469.5397093513966</v>
      </c>
      <c r="AL117" s="33">
        <f t="shared" si="28"/>
        <v>17431.204866470445</v>
      </c>
      <c r="AM117" s="87">
        <v>2</v>
      </c>
      <c r="AN117" s="531">
        <v>0</v>
      </c>
      <c r="AO117" s="23"/>
      <c r="AP117" s="532">
        <f t="shared" si="22"/>
        <v>564.77103767364235</v>
      </c>
      <c r="AR117" s="35">
        <f t="shared" si="29"/>
        <v>17431.204866470445</v>
      </c>
      <c r="AS117" s="36">
        <f ca="1">OFFSET(cod_desembolso!$A$1,AM117,23)</f>
        <v>1.1245293369208682</v>
      </c>
      <c r="AT117" s="37">
        <f ca="1">IF(AP117=0,0,AP117*(OFFSET(cod_desembolso!$A$1,AM117,23)))</f>
        <v>635.10160050725176</v>
      </c>
      <c r="AU117" s="38">
        <f>(constantes!$B$3*(1+constantes!$B$3)^(AI117))/((1+constantes!$B$3)^(AI117)-1)</f>
        <v>8.8827433387272267E-2</v>
      </c>
      <c r="AV117" s="37">
        <f t="shared" ca="1" si="24"/>
        <v>58.034445113207909</v>
      </c>
      <c r="AW117" s="37">
        <f ca="1">IF(AP117=0,AY117/constantes!$B$3,AV117/constantes!$B$3)</f>
        <v>725.43056391509879</v>
      </c>
      <c r="AX117" s="39">
        <f ca="1">IF(AP117=0,0,PV(constantes!$B$3,AI117,-AV117)*constantes!$B$3)</f>
        <v>52.267136761849464</v>
      </c>
      <c r="AY117" s="40">
        <f>constantes!$B$10*F117/1000</f>
        <v>1.62</v>
      </c>
      <c r="AZ117" s="533">
        <f>constantes!$B$12</f>
        <v>0</v>
      </c>
      <c r="BA117" s="20">
        <v>318</v>
      </c>
      <c r="BB117" s="43"/>
      <c r="BC117" s="3" t="s">
        <v>2217</v>
      </c>
      <c r="BE117" s="534">
        <v>1</v>
      </c>
      <c r="BF117" s="535">
        <v>2035</v>
      </c>
      <c r="BG117" s="536">
        <v>3</v>
      </c>
      <c r="BH117" s="537">
        <v>2050</v>
      </c>
    </row>
    <row r="118" spans="1:60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46"/>
      <c r="F118" s="526">
        <v>33</v>
      </c>
      <c r="G118" s="3" t="s">
        <v>2196</v>
      </c>
      <c r="H118" s="3" t="s">
        <v>2323</v>
      </c>
      <c r="I118" s="3">
        <v>-51.615808999999999</v>
      </c>
      <c r="J118" s="3">
        <v>-18.796824999999998</v>
      </c>
      <c r="K118" s="539" t="s">
        <v>2005</v>
      </c>
      <c r="L118" s="539" t="s">
        <v>2005</v>
      </c>
      <c r="M118" s="554">
        <v>1</v>
      </c>
      <c r="N118" s="107"/>
      <c r="O118" s="529">
        <v>2.068E-2</v>
      </c>
      <c r="P118" s="529">
        <v>4.6600000000000003E-2</v>
      </c>
      <c r="Q118" s="288">
        <f t="shared" si="25"/>
        <v>0.77294462481962489</v>
      </c>
      <c r="R118" s="30">
        <f t="shared" si="16"/>
        <v>25.507172619047623</v>
      </c>
      <c r="S118" s="30">
        <f t="shared" si="26"/>
        <v>7.4928273809523773</v>
      </c>
      <c r="T118" s="107">
        <v>28.912380952380957</v>
      </c>
      <c r="U118" s="107">
        <v>24.89559523809524</v>
      </c>
      <c r="V118" s="107">
        <v>21.827500000000001</v>
      </c>
      <c r="W118" s="107">
        <v>26.39321428571429</v>
      </c>
      <c r="X118" s="288">
        <f t="shared" si="27"/>
        <v>0.82486185383244215</v>
      </c>
      <c r="Y118" s="289">
        <f t="shared" si="19"/>
        <v>27.22044117647059</v>
      </c>
      <c r="Z118" s="289">
        <f t="shared" si="20"/>
        <v>1.7132685574229676</v>
      </c>
      <c r="AA118" s="107">
        <v>29.043176470588236</v>
      </c>
      <c r="AB118" s="107">
        <v>27.426980392156867</v>
      </c>
      <c r="AC118" s="107">
        <v>24.505529411764712</v>
      </c>
      <c r="AD118" s="107">
        <v>27.906078431372546</v>
      </c>
      <c r="AE118" s="106">
        <v>1</v>
      </c>
      <c r="AF118" s="32" t="str">
        <f>IF(AE118=0,"",VLOOKUP(AE118,tab_tipo_expansao!$A$2:$B$4,2,0))</f>
        <v>opcional</v>
      </c>
      <c r="AG118" s="125">
        <v>2030</v>
      </c>
      <c r="AH118" s="125">
        <v>2100</v>
      </c>
      <c r="AI118" s="125">
        <v>30</v>
      </c>
      <c r="AJ118" s="530">
        <v>298.8487686472705</v>
      </c>
      <c r="AK118" s="24">
        <f>AL118/constantes!$B$4</f>
        <v>2322.0572544465463</v>
      </c>
      <c r="AL118" s="33">
        <f t="shared" si="28"/>
        <v>9056.0232923415297</v>
      </c>
      <c r="AM118" s="87">
        <v>2</v>
      </c>
      <c r="AN118" s="531">
        <v>0</v>
      </c>
      <c r="AO118" s="23"/>
      <c r="AP118" s="532">
        <f t="shared" si="22"/>
        <v>298.8487686472705</v>
      </c>
      <c r="AR118" s="35">
        <f t="shared" si="29"/>
        <v>9056.0232923415315</v>
      </c>
      <c r="AS118" s="36">
        <f ca="1">OFFSET(cod_desembolso!$A$1,AM118,23)</f>
        <v>1.1245293369208682</v>
      </c>
      <c r="AT118" s="37">
        <f ca="1">IF(AP118=0,0,AP118*(OFFSET(cod_desembolso!$A$1,AM118,23)))</f>
        <v>336.06420764653302</v>
      </c>
      <c r="AU118" s="38">
        <f>(constantes!$B$3*(1+constantes!$B$3)^(AI118))/((1+constantes!$B$3)^(AI118)-1)</f>
        <v>8.8827433387272267E-2</v>
      </c>
      <c r="AV118" s="37">
        <f t="shared" ca="1" si="24"/>
        <v>31.501721018568844</v>
      </c>
      <c r="AW118" s="37">
        <f ca="1">IF(AP118=0,AY118/constantes!$B$3,AV118/constantes!$B$3)</f>
        <v>393.77151273211052</v>
      </c>
      <c r="AX118" s="39">
        <f ca="1">IF(AP118=0,0,PV(constantes!$B$3,AI118,-AV118)*constantes!$B$3)</f>
        <v>28.371164013015463</v>
      </c>
      <c r="AY118" s="40">
        <f>constantes!$B$10*F118/1000</f>
        <v>1.65</v>
      </c>
      <c r="AZ118" s="533">
        <f>constantes!$B$12</f>
        <v>0</v>
      </c>
      <c r="BA118" s="20">
        <v>318</v>
      </c>
      <c r="BB118" s="43"/>
      <c r="BC118" s="3" t="s">
        <v>2183</v>
      </c>
      <c r="BE118" s="534">
        <v>1</v>
      </c>
      <c r="BF118" s="535">
        <v>2027</v>
      </c>
      <c r="BG118" s="536">
        <v>1</v>
      </c>
      <c r="BH118" s="537">
        <v>2027</v>
      </c>
    </row>
    <row r="119" spans="1:60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46"/>
      <c r="F119" s="526">
        <v>45.5</v>
      </c>
      <c r="G119" s="3" t="s">
        <v>2231</v>
      </c>
      <c r="H119" s="3" t="s">
        <v>2360</v>
      </c>
      <c r="I119" s="3">
        <v>-44.446559999999998</v>
      </c>
      <c r="J119" s="3">
        <v>-22.874324000000001</v>
      </c>
      <c r="K119" s="539" t="s">
        <v>284</v>
      </c>
      <c r="L119" s="539" t="s">
        <v>284</v>
      </c>
      <c r="M119" s="554">
        <v>1</v>
      </c>
      <c r="N119" s="107"/>
      <c r="O119" s="529">
        <v>2.068E-2</v>
      </c>
      <c r="P119" s="529">
        <v>4.6600000000000003E-2</v>
      </c>
      <c r="Q119" s="288">
        <f t="shared" si="25"/>
        <v>0.532119300920186</v>
      </c>
      <c r="R119" s="30">
        <f t="shared" si="16"/>
        <v>24.211428191868464</v>
      </c>
      <c r="S119" s="30">
        <f t="shared" si="26"/>
        <v>21.288571808131536</v>
      </c>
      <c r="T119" s="107">
        <v>30.341009514539916</v>
      </c>
      <c r="U119" s="107">
        <v>26.634795813348461</v>
      </c>
      <c r="V119" s="107">
        <v>18.893436181305805</v>
      </c>
      <c r="W119" s="107">
        <v>20.976471258279673</v>
      </c>
      <c r="X119" s="288">
        <f t="shared" si="27"/>
        <v>0.56765074645560576</v>
      </c>
      <c r="Y119" s="289">
        <f t="shared" si="19"/>
        <v>25.828108963730063</v>
      </c>
      <c r="Z119" s="289">
        <f t="shared" si="20"/>
        <v>1.6166807718615992</v>
      </c>
      <c r="AA119" s="107">
        <v>33.758759748828759</v>
      </c>
      <c r="AB119" s="107">
        <v>28.084970304779684</v>
      </c>
      <c r="AC119" s="107">
        <v>19.336038048872325</v>
      </c>
      <c r="AD119" s="107">
        <v>22.132667752439485</v>
      </c>
      <c r="AE119" s="106">
        <v>1</v>
      </c>
      <c r="AF119" s="32" t="str">
        <f>IF(AE119=0,"",VLOOKUP(AE119,tab_tipo_expansao!$A$2:$B$4,2,0))</f>
        <v>opcional</v>
      </c>
      <c r="AG119" s="125">
        <v>2030</v>
      </c>
      <c r="AH119" s="125">
        <v>2100</v>
      </c>
      <c r="AI119" s="125">
        <v>30</v>
      </c>
      <c r="AJ119" s="530">
        <v>303.85450572611541</v>
      </c>
      <c r="AK119" s="24">
        <f>AL119/constantes!$B$4</f>
        <v>1712.3387192229666</v>
      </c>
      <c r="AL119" s="33">
        <f t="shared" si="28"/>
        <v>6678.1210049695692</v>
      </c>
      <c r="AM119" s="87">
        <v>2</v>
      </c>
      <c r="AN119" s="531">
        <v>0</v>
      </c>
      <c r="AO119" s="23"/>
      <c r="AP119" s="532">
        <f t="shared" si="22"/>
        <v>303.85450572611541</v>
      </c>
      <c r="AR119" s="35">
        <f t="shared" si="29"/>
        <v>6678.1210049695701</v>
      </c>
      <c r="AS119" s="36">
        <f ca="1">OFFSET(cod_desembolso!$A$1,AM119,23)</f>
        <v>1.1245293369208682</v>
      </c>
      <c r="AT119" s="37">
        <f ca="1">IF(AP119=0,0,AP119*(OFFSET(cod_desembolso!$A$1,AM119,23)))</f>
        <v>341.6933058446067</v>
      </c>
      <c r="AU119" s="38">
        <f>(constantes!$B$3*(1+constantes!$B$3)^(AI119))/((1+constantes!$B$3)^(AI119)-1)</f>
        <v>8.8827433387272267E-2</v>
      </c>
      <c r="AV119" s="37">
        <f t="shared" ca="1" si="24"/>
        <v>32.626739363788651</v>
      </c>
      <c r="AW119" s="37">
        <f ca="1">IF(AP119=0,AY119/constantes!$B$3,AV119/constantes!$B$3)</f>
        <v>407.83424204735815</v>
      </c>
      <c r="AX119" s="39">
        <f ca="1">IF(AP119=0,0,PV(constantes!$B$3,AI119,-AV119)*constantes!$B$3)</f>
        <v>29.384381036017739</v>
      </c>
      <c r="AY119" s="40">
        <f>constantes!$B$10*F119/1000</f>
        <v>2.2749999999999999</v>
      </c>
      <c r="AZ119" s="533">
        <f>constantes!$B$12</f>
        <v>0</v>
      </c>
      <c r="BA119" s="20">
        <v>318</v>
      </c>
      <c r="BB119" s="43"/>
      <c r="BC119" s="3" t="s">
        <v>2217</v>
      </c>
      <c r="BE119" s="534">
        <v>1</v>
      </c>
      <c r="BF119" s="535">
        <v>2035</v>
      </c>
      <c r="BG119" s="536">
        <v>3</v>
      </c>
      <c r="BH119" s="537">
        <v>2050</v>
      </c>
    </row>
    <row r="120" spans="1:60" ht="14.45" hidden="1">
      <c r="A120" s="125">
        <v>1119</v>
      </c>
      <c r="B120" s="125">
        <v>1119</v>
      </c>
      <c r="C120" s="538" t="s">
        <v>2361</v>
      </c>
      <c r="D120" s="538" t="s">
        <v>2361</v>
      </c>
      <c r="E120" s="546"/>
      <c r="F120" s="526">
        <v>292</v>
      </c>
      <c r="G120" s="3" t="s">
        <v>2097</v>
      </c>
      <c r="H120" s="3" t="s">
        <v>2310</v>
      </c>
      <c r="I120" s="3">
        <v>-50.663587999999997</v>
      </c>
      <c r="J120" s="3">
        <v>-28.339153</v>
      </c>
      <c r="K120" s="539" t="s">
        <v>1991</v>
      </c>
      <c r="L120" s="539" t="s">
        <v>1991</v>
      </c>
      <c r="M120" s="554">
        <v>2</v>
      </c>
      <c r="N120" s="107"/>
      <c r="O120" s="529">
        <v>1.6379999999999999E-2</v>
      </c>
      <c r="P120" s="529">
        <v>6.1409999999999999E-2</v>
      </c>
      <c r="Q120" s="288">
        <f t="shared" si="25"/>
        <v>0.54002278008806259</v>
      </c>
      <c r="R120" s="30">
        <f t="shared" si="16"/>
        <v>157.68665178571428</v>
      </c>
      <c r="S120" s="30">
        <f t="shared" si="26"/>
        <v>134.31334821428572</v>
      </c>
      <c r="T120" s="107">
        <v>87.609523809523807</v>
      </c>
      <c r="U120" s="107">
        <v>131.0975</v>
      </c>
      <c r="V120" s="107">
        <v>239.09708333333336</v>
      </c>
      <c r="W120" s="107">
        <v>172.9425</v>
      </c>
      <c r="X120" s="288">
        <f t="shared" si="27"/>
        <v>0.55607339511146914</v>
      </c>
      <c r="Y120" s="289">
        <f t="shared" si="19"/>
        <v>162.37343137254899</v>
      </c>
      <c r="Z120" s="289">
        <f t="shared" si="20"/>
        <v>4.6867795868347173</v>
      </c>
      <c r="AA120" s="107">
        <v>116.26337254901961</v>
      </c>
      <c r="AB120" s="107">
        <v>137.708</v>
      </c>
      <c r="AC120" s="107">
        <v>232.25733333333324</v>
      </c>
      <c r="AD120" s="107">
        <v>163.26501960784307</v>
      </c>
      <c r="AE120" s="106">
        <v>1</v>
      </c>
      <c r="AF120" s="32" t="str">
        <f>IF(AE120=0,"",VLOOKUP(AE120,tab_tipo_expansao!$A$2:$B$4,2,0))</f>
        <v>opcional</v>
      </c>
      <c r="AG120" s="125">
        <v>2028</v>
      </c>
      <c r="AH120" s="125">
        <v>2100</v>
      </c>
      <c r="AI120" s="125">
        <v>30</v>
      </c>
      <c r="AJ120" s="530">
        <v>1435.5827055077154</v>
      </c>
      <c r="AK120" s="24">
        <f>AL120/constantes!$B$4</f>
        <v>1260.6100329361743</v>
      </c>
      <c r="AL120" s="33">
        <f t="shared" si="28"/>
        <v>4916.3791284510799</v>
      </c>
      <c r="AM120" s="87">
        <v>2</v>
      </c>
      <c r="AN120" s="531">
        <v>0</v>
      </c>
      <c r="AO120" s="23"/>
      <c r="AP120" s="532">
        <f t="shared" si="22"/>
        <v>1435.5827055077154</v>
      </c>
      <c r="AR120" s="35">
        <f t="shared" si="29"/>
        <v>4916.3791284510808</v>
      </c>
      <c r="AS120" s="36">
        <f ca="1">OFFSET(cod_desembolso!$A$1,AM120,23)</f>
        <v>1.1245293369208682</v>
      </c>
      <c r="AT120" s="37">
        <f ca="1">IF(AP120=0,0,AP120*(OFFSET(cod_desembolso!$A$1,AM120,23)))</f>
        <v>1614.3548679196572</v>
      </c>
      <c r="AU120" s="38">
        <f>(constantes!$B$3*(1+constantes!$B$3)^(AI120))/((1+constantes!$B$3)^(AI120)-1)</f>
        <v>8.8827433387272267E-2</v>
      </c>
      <c r="AV120" s="37">
        <f t="shared" ca="1" si="24"/>
        <v>157.99899949355205</v>
      </c>
      <c r="AW120" s="37">
        <f ca="1">IF(AP120=0,AY120/constantes!$B$3,AV120/constantes!$B$3)</f>
        <v>1974.9874936694005</v>
      </c>
      <c r="AX120" s="39">
        <f ca="1">IF(AP120=0,0,PV(constantes!$B$3,AI120,-AV120)*constantes!$B$3)</f>
        <v>142.29748037834545</v>
      </c>
      <c r="AY120" s="40">
        <f>constantes!$B$10*F120/1000</f>
        <v>14.6</v>
      </c>
      <c r="AZ120" s="533">
        <f>constantes!$B$12</f>
        <v>0</v>
      </c>
      <c r="BA120" s="20">
        <v>318</v>
      </c>
      <c r="BB120" s="43"/>
      <c r="BC120" s="3" t="s">
        <v>2197</v>
      </c>
      <c r="BE120" s="534">
        <v>1</v>
      </c>
      <c r="BF120" s="535">
        <v>2027</v>
      </c>
      <c r="BG120" s="536">
        <v>1</v>
      </c>
      <c r="BH120" s="537">
        <v>2027</v>
      </c>
    </row>
    <row r="121" spans="1:60" ht="14.45" hidden="1">
      <c r="A121" s="125">
        <v>1120</v>
      </c>
      <c r="B121" s="125">
        <v>1120</v>
      </c>
      <c r="C121" s="538" t="s">
        <v>2362</v>
      </c>
      <c r="D121" s="538" t="s">
        <v>2362</v>
      </c>
      <c r="E121" s="546"/>
      <c r="F121" s="526">
        <v>103.29</v>
      </c>
      <c r="G121" s="3" t="s">
        <v>2196</v>
      </c>
      <c r="H121" s="3" t="s">
        <v>2341</v>
      </c>
      <c r="I121" s="3">
        <v>-52.300275999999997</v>
      </c>
      <c r="J121" s="3">
        <v>-23.578451000000001</v>
      </c>
      <c r="K121" s="539" t="s">
        <v>153</v>
      </c>
      <c r="L121" s="539" t="s">
        <v>153</v>
      </c>
      <c r="M121" s="554">
        <v>2</v>
      </c>
      <c r="N121" s="107"/>
      <c r="O121" s="529">
        <v>1.9820000000000001E-2</v>
      </c>
      <c r="P121" s="529">
        <v>5.2919999999999995E-2</v>
      </c>
      <c r="Q121" s="288">
        <f t="shared" si="25"/>
        <v>0.56770782908961814</v>
      </c>
      <c r="R121" s="30">
        <f t="shared" si="16"/>
        <v>58.638541666666661</v>
      </c>
      <c r="S121" s="30">
        <f t="shared" si="26"/>
        <v>44.651458333333345</v>
      </c>
      <c r="T121" s="107">
        <v>61.397142857142853</v>
      </c>
      <c r="U121" s="107">
        <v>58.371309523809515</v>
      </c>
      <c r="V121" s="107">
        <v>51.513749999999995</v>
      </c>
      <c r="W121" s="107">
        <v>63.271964285714283</v>
      </c>
      <c r="X121" s="288">
        <f t="shared" si="27"/>
        <v>0.65428851567735236</v>
      </c>
      <c r="Y121" s="289">
        <f t="shared" si="19"/>
        <v>67.581460784313734</v>
      </c>
      <c r="Z121" s="289">
        <f t="shared" si="20"/>
        <v>8.9429191176470724</v>
      </c>
      <c r="AA121" s="107">
        <v>74.203372549019619</v>
      </c>
      <c r="AB121" s="107">
        <v>61.752549019607848</v>
      </c>
      <c r="AC121" s="107">
        <v>62.025411764705865</v>
      </c>
      <c r="AD121" s="107">
        <v>72.344509803921582</v>
      </c>
      <c r="AE121" s="106">
        <v>1</v>
      </c>
      <c r="AF121" s="32" t="str">
        <f>IF(AE121=0,"",VLOOKUP(AE121,tab_tipo_expansao!$A$2:$B$4,2,0))</f>
        <v>opcional</v>
      </c>
      <c r="AG121" s="125">
        <v>2028</v>
      </c>
      <c r="AH121" s="125">
        <v>2100</v>
      </c>
      <c r="AI121" s="125">
        <v>30</v>
      </c>
      <c r="AJ121" s="530">
        <v>1174.1818208158463</v>
      </c>
      <c r="AK121" s="24">
        <f>AL121/constantes!$B$4</f>
        <v>2914.8248789587847</v>
      </c>
      <c r="AL121" s="33">
        <f t="shared" si="28"/>
        <v>11367.81702793926</v>
      </c>
      <c r="AM121" s="87">
        <v>2</v>
      </c>
      <c r="AN121" s="531">
        <v>0</v>
      </c>
      <c r="AO121" s="23"/>
      <c r="AP121" s="532">
        <f t="shared" si="22"/>
        <v>1174.1818208158463</v>
      </c>
      <c r="AR121" s="35">
        <f t="shared" si="29"/>
        <v>11367.817027939262</v>
      </c>
      <c r="AS121" s="36">
        <f ca="1">OFFSET(cod_desembolso!$A$1,AM121,23)</f>
        <v>1.1245293369208682</v>
      </c>
      <c r="AT121" s="37">
        <f ca="1">IF(AP121=0,0,AP121*(OFFSET(cod_desembolso!$A$1,AM121,23)))</f>
        <v>1320.4019043865812</v>
      </c>
      <c r="AU121" s="38">
        <f>(constantes!$B$3*(1+constantes!$B$3)^(AI121))/((1+constantes!$B$3)^(AI121)-1)</f>
        <v>8.8827433387272267E-2</v>
      </c>
      <c r="AV121" s="37">
        <f t="shared" ca="1" si="24"/>
        <v>122.4524122063265</v>
      </c>
      <c r="AW121" s="37">
        <f ca="1">IF(AP121=0,AY121/constantes!$B$3,AV121/constantes!$B$3)</f>
        <v>1530.6551525790812</v>
      </c>
      <c r="AX121" s="39">
        <f ca="1">IF(AP121=0,0,PV(constantes!$B$3,AI121,-AV121)*constantes!$B$3)</f>
        <v>110.28341811697305</v>
      </c>
      <c r="AY121" s="40">
        <f>constantes!$B$10*F121/1000</f>
        <v>5.1645000000000003</v>
      </c>
      <c r="AZ121" s="533">
        <f>constantes!$B$12</f>
        <v>0</v>
      </c>
      <c r="BA121" s="20">
        <v>318</v>
      </c>
      <c r="BB121" s="43"/>
      <c r="BC121" s="3" t="s">
        <v>2197</v>
      </c>
      <c r="BE121" s="534">
        <v>1</v>
      </c>
      <c r="BF121" s="535">
        <v>2027</v>
      </c>
      <c r="BG121" s="536">
        <v>1</v>
      </c>
      <c r="BH121" s="537">
        <v>2027</v>
      </c>
    </row>
    <row r="122" spans="1:60" ht="14.45">
      <c r="A122" s="125">
        <v>1121</v>
      </c>
      <c r="B122" s="125">
        <v>1121</v>
      </c>
      <c r="C122" s="538" t="s">
        <v>2363</v>
      </c>
      <c r="D122" s="538" t="s">
        <v>2363</v>
      </c>
      <c r="E122" s="546"/>
      <c r="F122" s="526">
        <v>524</v>
      </c>
      <c r="G122" s="3" t="s">
        <v>2097</v>
      </c>
      <c r="H122" s="3" t="s">
        <v>2097</v>
      </c>
      <c r="I122">
        <v>-54.904443999999998</v>
      </c>
      <c r="J122">
        <v>-27.651109000000002</v>
      </c>
      <c r="K122" s="539" t="s">
        <v>151</v>
      </c>
      <c r="L122" s="539" t="s">
        <v>151</v>
      </c>
      <c r="M122" s="554">
        <v>2</v>
      </c>
      <c r="N122" s="107"/>
      <c r="O122" s="529">
        <v>1.6379999999999999E-2</v>
      </c>
      <c r="P122" s="529">
        <v>6.1409999999999999E-2</v>
      </c>
      <c r="Q122" s="288">
        <f t="shared" si="25"/>
        <v>0.47938573473282442</v>
      </c>
      <c r="R122" s="30">
        <f t="shared" si="16"/>
        <v>251.198125</v>
      </c>
      <c r="S122" s="30">
        <f t="shared" si="26"/>
        <v>272.801875</v>
      </c>
      <c r="T122" s="107">
        <v>151.52071428571426</v>
      </c>
      <c r="U122" s="107">
        <v>242.80437500000002</v>
      </c>
      <c r="V122" s="107">
        <v>320.42770833333333</v>
      </c>
      <c r="W122" s="107">
        <v>290.03970238095241</v>
      </c>
      <c r="X122" s="288">
        <f t="shared" si="27"/>
        <v>0.55372075662326004</v>
      </c>
      <c r="Y122" s="289">
        <f t="shared" si="19"/>
        <v>290.14967647058825</v>
      </c>
      <c r="Z122" s="289">
        <f t="shared" si="20"/>
        <v>38.951551470588242</v>
      </c>
      <c r="AA122" s="107">
        <v>200.40786274509807</v>
      </c>
      <c r="AB122" s="107">
        <v>278.69650980392157</v>
      </c>
      <c r="AC122" s="107">
        <v>364.19805882352944</v>
      </c>
      <c r="AD122" s="107">
        <v>317.29627450980388</v>
      </c>
      <c r="AE122" s="106">
        <v>1</v>
      </c>
      <c r="AF122" s="32" t="str">
        <f>IF(AE122=0,"",VLOOKUP(AE122,tab_tipo_expansao!$A$2:$B$4,2,0))</f>
        <v>opcional</v>
      </c>
      <c r="AG122" s="125">
        <v>2030</v>
      </c>
      <c r="AH122" s="125">
        <v>2100</v>
      </c>
      <c r="AI122" s="125">
        <v>30</v>
      </c>
      <c r="AJ122" s="530">
        <v>5169.4175308654503</v>
      </c>
      <c r="AK122" s="24">
        <f>AL122/constantes!$B$4</f>
        <v>2529.5642644673371</v>
      </c>
      <c r="AL122" s="33">
        <f t="shared" si="28"/>
        <v>9865.300631422615</v>
      </c>
      <c r="AM122" s="87">
        <v>3</v>
      </c>
      <c r="AN122" s="531">
        <v>0</v>
      </c>
      <c r="AO122" s="23"/>
      <c r="AP122" s="532">
        <f t="shared" si="22"/>
        <v>5169.4175308654503</v>
      </c>
      <c r="AR122" s="35">
        <f t="shared" si="29"/>
        <v>9865.300631422615</v>
      </c>
      <c r="AS122" s="36">
        <f ca="1">OFFSET(cod_desembolso!$A$1,AM122,23)</f>
        <v>1.1255071012622904</v>
      </c>
      <c r="AT122" s="37">
        <f ca="1">IF(AP122=0,0,AP122*(OFFSET(cod_desembolso!$A$1,AM122,23)))</f>
        <v>5818.2161403788396</v>
      </c>
      <c r="AU122" s="38">
        <f>(constantes!$B$3*(1+constantes!$B$3)^(AI122))/((1+constantes!$B$3)^(AI122)-1)</f>
        <v>8.8827433387272267E-2</v>
      </c>
      <c r="AV122" s="37">
        <f t="shared" ca="1" si="24"/>
        <v>543.01720664225377</v>
      </c>
      <c r="AW122" s="37">
        <f ca="1">IF(AP122=0,AY122/constantes!$B$3,AV122/constantes!$B$3)</f>
        <v>6787.7150830281716</v>
      </c>
      <c r="AX122" s="39">
        <f ca="1">IF(AP122=0,0,PV(constantes!$B$3,AI122,-AV122)*constantes!$B$3)</f>
        <v>489.05360511750246</v>
      </c>
      <c r="AY122" s="40">
        <f>constantes!$B$10*F122/1000</f>
        <v>26.2</v>
      </c>
      <c r="AZ122" s="533">
        <f>constantes!$B$12</f>
        <v>0</v>
      </c>
      <c r="BA122" s="20">
        <v>318</v>
      </c>
      <c r="BB122" s="43"/>
      <c r="BC122" s="3" t="s">
        <v>2185</v>
      </c>
      <c r="BE122" s="534">
        <v>1</v>
      </c>
      <c r="BF122" s="535">
        <v>2030</v>
      </c>
      <c r="BG122" s="536">
        <v>1</v>
      </c>
      <c r="BH122" s="537">
        <v>2030</v>
      </c>
    </row>
    <row r="123" spans="1:60" ht="14.45" hidden="1">
      <c r="A123" s="125">
        <v>1122</v>
      </c>
      <c r="B123" s="125">
        <v>1122</v>
      </c>
      <c r="C123" s="538" t="s">
        <v>2364</v>
      </c>
      <c r="D123" s="538" t="s">
        <v>2364</v>
      </c>
      <c r="E123" s="546"/>
      <c r="F123" s="526">
        <v>54</v>
      </c>
      <c r="G123" s="3" t="s">
        <v>2231</v>
      </c>
      <c r="H123" s="3" t="s">
        <v>2365</v>
      </c>
      <c r="I123">
        <v>-41.708378000000003</v>
      </c>
      <c r="J123">
        <v>-19.806308999999999</v>
      </c>
      <c r="K123" s="539" t="s">
        <v>152</v>
      </c>
      <c r="L123" s="539" t="s">
        <v>152</v>
      </c>
      <c r="M123" s="554">
        <v>1</v>
      </c>
      <c r="N123" s="107"/>
      <c r="O123" s="529">
        <v>2.068E-2</v>
      </c>
      <c r="P123" s="529">
        <v>4.6600000000000003E-2</v>
      </c>
      <c r="Q123" s="288">
        <f t="shared" si="25"/>
        <v>0.532119300920186</v>
      </c>
      <c r="R123" s="30">
        <f t="shared" si="16"/>
        <v>28.734442249690044</v>
      </c>
      <c r="S123" s="30">
        <f t="shared" si="26"/>
        <v>25.265557750309956</v>
      </c>
      <c r="T123" s="107">
        <v>36.009110193080339</v>
      </c>
      <c r="U123" s="107">
        <v>31.610526899358607</v>
      </c>
      <c r="V123" s="107">
        <v>22.422979204187111</v>
      </c>
      <c r="W123" s="107">
        <v>24.895152702134116</v>
      </c>
      <c r="X123" s="288">
        <f t="shared" si="27"/>
        <v>0.56765074645560576</v>
      </c>
      <c r="Y123" s="289">
        <f t="shared" si="19"/>
        <v>30.653140308602708</v>
      </c>
      <c r="Z123" s="289">
        <f t="shared" si="20"/>
        <v>1.9186980589126641</v>
      </c>
      <c r="AA123" s="107">
        <v>40.065341240368191</v>
      </c>
      <c r="AB123" s="107">
        <v>33.331613108969293</v>
      </c>
      <c r="AC123" s="107">
        <v>22.948264937123202</v>
      </c>
      <c r="AD123" s="107">
        <v>26.267341947950158</v>
      </c>
      <c r="AE123" s="106">
        <v>1</v>
      </c>
      <c r="AF123" s="32" t="str">
        <f>IF(AE123=0,"",VLOOKUP(AE123,tab_tipo_expansao!$A$2:$B$4,2,0))</f>
        <v>opcional</v>
      </c>
      <c r="AG123" s="125">
        <v>2028</v>
      </c>
      <c r="AH123" s="125">
        <v>2100</v>
      </c>
      <c r="AI123" s="125">
        <v>30</v>
      </c>
      <c r="AJ123" s="530">
        <v>540</v>
      </c>
      <c r="AK123" s="24">
        <f>AL123/constantes!$B$4</f>
        <v>2564.102564102564</v>
      </c>
      <c r="AL123" s="33">
        <f t="shared" si="28"/>
        <v>10000</v>
      </c>
      <c r="AM123" s="87">
        <v>2</v>
      </c>
      <c r="AN123" s="531">
        <v>0</v>
      </c>
      <c r="AO123" s="23"/>
      <c r="AP123" s="532">
        <f t="shared" si="22"/>
        <v>540</v>
      </c>
      <c r="AR123" s="35">
        <f t="shared" si="29"/>
        <v>10000</v>
      </c>
      <c r="AS123" s="36">
        <f ca="1">OFFSET(cod_desembolso!$A$1,AM123,23)</f>
        <v>1.1245293369208682</v>
      </c>
      <c r="AT123" s="37">
        <f ca="1">IF(AP123=0,0,AP123*(OFFSET(cod_desembolso!$A$1,AM123,23)))</f>
        <v>607.24584193726878</v>
      </c>
      <c r="AU123" s="38">
        <f>(constantes!$B$3*(1+constantes!$B$3)^(AI123))/((1+constantes!$B$3)^(AI123)-1)</f>
        <v>8.8827433387272267E-2</v>
      </c>
      <c r="AV123" s="37">
        <f t="shared" ca="1" si="24"/>
        <v>56.640089574380809</v>
      </c>
      <c r="AW123" s="37">
        <f ca="1">IF(AP123=0,AY123/constantes!$B$3,AV123/constantes!$B$3)</f>
        <v>708.00111967976011</v>
      </c>
      <c r="AX123" s="39">
        <f ca="1">IF(AP123=0,0,PV(constantes!$B$3,AI123,-AV123)*constantes!$B$3)</f>
        <v>51.011348557097037</v>
      </c>
      <c r="AY123" s="40">
        <f>constantes!$B$10*F123/1000</f>
        <v>2.7</v>
      </c>
      <c r="AZ123" s="533">
        <f>constantes!$B$12</f>
        <v>0</v>
      </c>
      <c r="BA123" s="20">
        <v>318</v>
      </c>
      <c r="BB123" s="43"/>
      <c r="BC123" s="3" t="s">
        <v>2197</v>
      </c>
      <c r="BE123" s="534">
        <v>1</v>
      </c>
      <c r="BF123" s="535">
        <v>2027</v>
      </c>
      <c r="BG123" s="536">
        <v>1</v>
      </c>
      <c r="BH123" s="537">
        <v>2027</v>
      </c>
    </row>
    <row r="124" spans="1:60" ht="14.45">
      <c r="A124" s="125">
        <v>1123</v>
      </c>
      <c r="B124" s="125">
        <v>1123</v>
      </c>
      <c r="C124" s="538" t="s">
        <v>2355</v>
      </c>
      <c r="D124" s="538" t="s">
        <v>2355</v>
      </c>
      <c r="E124" s="546"/>
      <c r="F124" s="526">
        <v>90</v>
      </c>
      <c r="G124" s="3" t="s">
        <v>2199</v>
      </c>
      <c r="H124" s="3" t="s">
        <v>2355</v>
      </c>
      <c r="I124" s="3">
        <v>-47.81671</v>
      </c>
      <c r="J124" s="3">
        <v>-12.667058000000001</v>
      </c>
      <c r="K124" s="539" t="s">
        <v>1983</v>
      </c>
      <c r="L124" s="539" t="s">
        <v>1983</v>
      </c>
      <c r="M124" s="554">
        <v>1</v>
      </c>
      <c r="N124" s="107"/>
      <c r="O124" s="529">
        <v>1.9820000000000001E-2</v>
      </c>
      <c r="P124" s="529">
        <v>5.2919999999999995E-2</v>
      </c>
      <c r="Q124" s="288">
        <f t="shared" si="25"/>
        <v>0.48875744047619052</v>
      </c>
      <c r="R124" s="30">
        <f t="shared" si="16"/>
        <v>43.988169642857144</v>
      </c>
      <c r="S124" s="30">
        <f t="shared" si="26"/>
        <v>46.011830357142856</v>
      </c>
      <c r="T124" s="107">
        <v>64.278571428571425</v>
      </c>
      <c r="U124" s="107">
        <v>39.370059523809523</v>
      </c>
      <c r="V124" s="107">
        <v>28.348333333333333</v>
      </c>
      <c r="W124" s="107">
        <v>43.955714285714286</v>
      </c>
      <c r="X124" s="288">
        <f t="shared" si="27"/>
        <v>0.53799673202614373</v>
      </c>
      <c r="Y124" s="289">
        <f t="shared" si="19"/>
        <v>48.419705882352936</v>
      </c>
      <c r="Z124" s="289">
        <f t="shared" si="20"/>
        <v>4.4315362394957916</v>
      </c>
      <c r="AA124" s="107">
        <v>70.503490196078431</v>
      </c>
      <c r="AB124" s="107">
        <v>45.979294117647036</v>
      </c>
      <c r="AC124" s="107">
        <v>27.821058823529413</v>
      </c>
      <c r="AD124" s="107">
        <v>49.37498039215685</v>
      </c>
      <c r="AE124" s="106">
        <v>1</v>
      </c>
      <c r="AF124" s="32" t="str">
        <f>IF(AE124=0,"",VLOOKUP(AE124,tab_tipo_expansao!$A$2:$B$4,2,0))</f>
        <v>opcional</v>
      </c>
      <c r="AG124" s="125">
        <v>2030</v>
      </c>
      <c r="AH124" s="125">
        <v>2100</v>
      </c>
      <c r="AI124" s="125">
        <v>30</v>
      </c>
      <c r="AJ124" s="530">
        <v>660.09883238526129</v>
      </c>
      <c r="AK124" s="24">
        <f>AL124/constantes!$B$4</f>
        <v>1880.6234540890634</v>
      </c>
      <c r="AL124" s="33">
        <f t="shared" si="28"/>
        <v>7334.4314709473474</v>
      </c>
      <c r="AM124" s="87">
        <v>2</v>
      </c>
      <c r="AN124" s="531">
        <v>0</v>
      </c>
      <c r="AO124" s="23"/>
      <c r="AP124" s="532">
        <f t="shared" si="22"/>
        <v>660.09883238526129</v>
      </c>
      <c r="AR124" s="35">
        <f t="shared" si="29"/>
        <v>7334.4314709473483</v>
      </c>
      <c r="AS124" s="36">
        <f ca="1">OFFSET(cod_desembolso!$A$1,AM124,23)</f>
        <v>1.1245293369208682</v>
      </c>
      <c r="AT124" s="37">
        <f ca="1">IF(AP124=0,0,AP124*(OFFSET(cod_desembolso!$A$1,AM124,23)))</f>
        <v>742.30050228443724</v>
      </c>
      <c r="AU124" s="38">
        <f>(constantes!$B$3*(1+constantes!$B$3)^(AI124))/((1+constantes!$B$3)^(AI124)-1)</f>
        <v>8.8827433387272267E-2</v>
      </c>
      <c r="AV124" s="37">
        <f t="shared" ca="1" si="24"/>
        <v>70.43664842000959</v>
      </c>
      <c r="AW124" s="37">
        <f ca="1">IF(AP124=0,AY124/constantes!$B$3,AV124/constantes!$B$3)</f>
        <v>880.45810525011984</v>
      </c>
      <c r="AX124" s="39">
        <f ca="1">IF(AP124=0,0,PV(constantes!$B$3,AI124,-AV124)*constantes!$B$3)</f>
        <v>63.436842186280863</v>
      </c>
      <c r="AY124" s="40">
        <f>constantes!$B$10*F124/1000</f>
        <v>4.5</v>
      </c>
      <c r="AZ124" s="533">
        <f>constantes!$B$12</f>
        <v>0</v>
      </c>
      <c r="BA124" s="20">
        <v>318</v>
      </c>
      <c r="BB124" s="43"/>
      <c r="BC124" s="3" t="s">
        <v>2183</v>
      </c>
      <c r="BE124" s="534">
        <v>1</v>
      </c>
      <c r="BF124" s="535">
        <v>2027</v>
      </c>
      <c r="BG124" s="536">
        <v>1</v>
      </c>
      <c r="BH124" s="537">
        <v>2027</v>
      </c>
    </row>
    <row r="125" spans="1:60" ht="14.45">
      <c r="A125" s="125">
        <v>1124</v>
      </c>
      <c r="B125" s="125">
        <v>1124</v>
      </c>
      <c r="C125" s="538" t="s">
        <v>2366</v>
      </c>
      <c r="D125" s="538" t="s">
        <v>2366</v>
      </c>
      <c r="E125" s="546"/>
      <c r="F125" s="526">
        <v>74.5</v>
      </c>
      <c r="G125" s="3" t="s">
        <v>2181</v>
      </c>
      <c r="H125" s="3" t="s">
        <v>2335</v>
      </c>
      <c r="I125" s="3">
        <v>-57.389727999999998</v>
      </c>
      <c r="J125" s="3">
        <v>-12.818666</v>
      </c>
      <c r="K125" s="539" t="s">
        <v>160</v>
      </c>
      <c r="L125" s="539" t="s">
        <v>160</v>
      </c>
      <c r="M125" s="554">
        <v>10</v>
      </c>
      <c r="N125" s="107"/>
      <c r="O125" s="529">
        <v>1.9820000000000001E-2</v>
      </c>
      <c r="P125" s="529">
        <v>5.2919999999999995E-2</v>
      </c>
      <c r="Q125" s="288">
        <f t="shared" si="25"/>
        <v>0.35690316395014376</v>
      </c>
      <c r="R125" s="30">
        <f t="shared" si="16"/>
        <v>26.589285714285712</v>
      </c>
      <c r="S125" s="30">
        <f t="shared" si="26"/>
        <v>47.910714285714292</v>
      </c>
      <c r="T125" s="107">
        <v>33.089999999999996</v>
      </c>
      <c r="U125" s="107">
        <v>27.067023809523807</v>
      </c>
      <c r="V125" s="107">
        <v>20.861249999999998</v>
      </c>
      <c r="W125" s="107">
        <v>25.338869047619045</v>
      </c>
      <c r="X125" s="288">
        <f t="shared" si="27"/>
        <v>0.35025977102250283</v>
      </c>
      <c r="Y125" s="289">
        <f t="shared" si="19"/>
        <v>26.09435294117646</v>
      </c>
      <c r="Z125" s="289">
        <f t="shared" si="20"/>
        <v>-0.49493277310925166</v>
      </c>
      <c r="AA125" s="107">
        <v>34.324549019607829</v>
      </c>
      <c r="AB125" s="107">
        <v>26.628352941176463</v>
      </c>
      <c r="AC125" s="107">
        <v>19.016980392156853</v>
      </c>
      <c r="AD125" s="107">
        <v>24.407529411764699</v>
      </c>
      <c r="AE125" s="106">
        <v>1</v>
      </c>
      <c r="AF125" s="32" t="str">
        <f>IF(AE125=0,"",VLOOKUP(AE125,tab_tipo_expansao!$A$2:$B$4,2,0))</f>
        <v>opcional</v>
      </c>
      <c r="AG125" s="125">
        <v>2030</v>
      </c>
      <c r="AH125" s="125">
        <v>2100</v>
      </c>
      <c r="AI125" s="125">
        <v>30</v>
      </c>
      <c r="AJ125" s="530">
        <v>1287.3131015122779</v>
      </c>
      <c r="AK125" s="24">
        <f>AL125/constantes!$B$4</f>
        <v>4430.6078179737669</v>
      </c>
      <c r="AL125" s="33">
        <f t="shared" si="28"/>
        <v>17279.370490097692</v>
      </c>
      <c r="AM125" s="87">
        <v>2</v>
      </c>
      <c r="AN125" s="531">
        <v>0</v>
      </c>
      <c r="AO125" s="23"/>
      <c r="AP125" s="532">
        <f t="shared" si="22"/>
        <v>1287.3131015122779</v>
      </c>
      <c r="AR125" s="35">
        <f t="shared" si="29"/>
        <v>17279.370490097692</v>
      </c>
      <c r="AS125" s="36">
        <f ca="1">OFFSET(cod_desembolso!$A$1,AM125,23)</f>
        <v>1.1245293369208682</v>
      </c>
      <c r="AT125" s="37">
        <f ca="1">IF(AP125=0,0,AP125*(OFFSET(cod_desembolso!$A$1,AM125,23)))</f>
        <v>1447.6213484531481</v>
      </c>
      <c r="AU125" s="38">
        <f>(constantes!$B$3*(1+constantes!$B$3)^(AI125))/((1+constantes!$B$3)^(AI125)-1)</f>
        <v>8.8827433387272267E-2</v>
      </c>
      <c r="AV125" s="37">
        <f t="shared" ca="1" si="24"/>
        <v>132.31348889971525</v>
      </c>
      <c r="AW125" s="37">
        <f ca="1">IF(AP125=0,AY125/constantes!$B$3,AV125/constantes!$B$3)</f>
        <v>1653.9186112464406</v>
      </c>
      <c r="AX125" s="39">
        <f ca="1">IF(AP125=0,0,PV(constantes!$B$3,AI125,-AV125)*constantes!$B$3)</f>
        <v>119.16452731250382</v>
      </c>
      <c r="AY125" s="40">
        <f>constantes!$B$10*F125/1000</f>
        <v>3.7250000000000001</v>
      </c>
      <c r="AZ125" s="533">
        <f>constantes!$B$12</f>
        <v>0</v>
      </c>
      <c r="BA125" s="20">
        <v>318</v>
      </c>
      <c r="BB125" s="43"/>
      <c r="BC125" s="3" t="s">
        <v>2217</v>
      </c>
      <c r="BE125" s="534">
        <v>1</v>
      </c>
      <c r="BF125" s="535">
        <v>2035</v>
      </c>
      <c r="BG125" s="536">
        <v>3</v>
      </c>
      <c r="BH125" s="537">
        <v>2050</v>
      </c>
    </row>
    <row r="126" spans="1:60" ht="14.45">
      <c r="A126" s="125">
        <v>1125</v>
      </c>
      <c r="B126" s="125">
        <v>1125</v>
      </c>
      <c r="C126" s="538" t="s">
        <v>2367</v>
      </c>
      <c r="D126" s="538" t="s">
        <v>2367</v>
      </c>
      <c r="E126" s="546"/>
      <c r="F126" s="526">
        <v>199.3</v>
      </c>
      <c r="G126" s="3" t="s">
        <v>2181</v>
      </c>
      <c r="H126" s="3" t="s">
        <v>2290</v>
      </c>
      <c r="I126" s="3">
        <v>-61.588611</v>
      </c>
      <c r="J126" s="3">
        <v>2.940833</v>
      </c>
      <c r="K126" s="539" t="s">
        <v>159</v>
      </c>
      <c r="L126" s="539" t="s">
        <v>159</v>
      </c>
      <c r="M126" s="554">
        <v>4</v>
      </c>
      <c r="N126" s="107"/>
      <c r="O126" s="529">
        <v>1.6379999999999999E-2</v>
      </c>
      <c r="P126" s="529">
        <v>6.1409999999999999E-2</v>
      </c>
      <c r="Q126" s="288">
        <f t="shared" si="25"/>
        <v>0.51988044465151839</v>
      </c>
      <c r="R126" s="30">
        <f t="shared" si="16"/>
        <v>103.61217261904761</v>
      </c>
      <c r="S126" s="30">
        <f t="shared" si="26"/>
        <v>95.687827380952399</v>
      </c>
      <c r="T126" s="107">
        <v>51.911428571428566</v>
      </c>
      <c r="U126" s="107">
        <v>119.79119047619048</v>
      </c>
      <c r="V126" s="107">
        <v>165.94541666666666</v>
      </c>
      <c r="W126" s="107">
        <v>76.800654761904767</v>
      </c>
      <c r="X126" s="288">
        <f t="shared" si="27"/>
        <v>0.44201942091437679</v>
      </c>
      <c r="Y126" s="289">
        <f t="shared" si="19"/>
        <v>88.094470588235296</v>
      </c>
      <c r="Z126" s="289">
        <f t="shared" si="20"/>
        <v>-15.517702030812316</v>
      </c>
      <c r="AA126" s="107">
        <v>43.095176470588228</v>
      </c>
      <c r="AB126" s="107">
        <v>105.64650980392157</v>
      </c>
      <c r="AC126" s="107">
        <v>139.45988235294121</v>
      </c>
      <c r="AD126" s="107">
        <v>64.176313725490161</v>
      </c>
      <c r="AE126" s="106">
        <v>1</v>
      </c>
      <c r="AF126" s="32" t="str">
        <f>IF(AE126=0,"",VLOOKUP(AE126,tab_tipo_expansao!$A$2:$B$4,2,0))</f>
        <v>opcional</v>
      </c>
      <c r="AG126" s="125">
        <v>2030</v>
      </c>
      <c r="AH126" s="125">
        <v>2100</v>
      </c>
      <c r="AI126" s="125">
        <v>30</v>
      </c>
      <c r="AJ126" s="530">
        <v>1402.9147658261079</v>
      </c>
      <c r="AK126" s="24">
        <f>AL126/constantes!$B$4</f>
        <v>1804.9259148379685</v>
      </c>
      <c r="AL126" s="33">
        <f t="shared" si="28"/>
        <v>7039.2110678680774</v>
      </c>
      <c r="AM126" s="87">
        <v>2</v>
      </c>
      <c r="AN126" s="531">
        <v>0</v>
      </c>
      <c r="AO126" s="23"/>
      <c r="AP126" s="532">
        <f t="shared" si="22"/>
        <v>1402.9147658261079</v>
      </c>
      <c r="AR126" s="35">
        <f t="shared" si="29"/>
        <v>7039.2110678680774</v>
      </c>
      <c r="AS126" s="36">
        <f ca="1">OFFSET(cod_desembolso!$A$1,AM126,23)</f>
        <v>1.1245293369208682</v>
      </c>
      <c r="AT126" s="37">
        <f ca="1">IF(AP126=0,0,AP126*(OFFSET(cod_desembolso!$A$1,AM126,23)))</f>
        <v>1577.6188113709281</v>
      </c>
      <c r="AU126" s="38">
        <f>(constantes!$B$3*(1+constantes!$B$3)^(AI126))/((1+constantes!$B$3)^(AI126)-1)</f>
        <v>8.8827433387272267E-2</v>
      </c>
      <c r="AV126" s="37">
        <f t="shared" ca="1" si="24"/>
        <v>150.10082987755877</v>
      </c>
      <c r="AW126" s="37">
        <f ca="1">IF(AP126=0,AY126/constantes!$B$3,AV126/constantes!$B$3)</f>
        <v>1876.2603734694846</v>
      </c>
      <c r="AX126" s="39">
        <f ca="1">IF(AP126=0,0,PV(constantes!$B$3,AI126,-AV126)*constantes!$B$3)</f>
        <v>135.18420979081549</v>
      </c>
      <c r="AY126" s="40">
        <f>constantes!$B$10*F126/1000</f>
        <v>9.9649999999999999</v>
      </c>
      <c r="AZ126" s="533">
        <f>constantes!$B$12</f>
        <v>0</v>
      </c>
      <c r="BA126" s="20">
        <v>318</v>
      </c>
      <c r="BB126" s="43"/>
      <c r="BC126" s="3" t="s">
        <v>2183</v>
      </c>
      <c r="BE126" s="534">
        <v>1</v>
      </c>
      <c r="BF126" s="535">
        <v>2027</v>
      </c>
      <c r="BG126" s="536">
        <v>1</v>
      </c>
      <c r="BH126" s="537">
        <v>2027</v>
      </c>
    </row>
    <row r="127" spans="1:60" ht="14.45">
      <c r="A127" s="125">
        <v>1126</v>
      </c>
      <c r="B127" s="125">
        <v>1126</v>
      </c>
      <c r="C127" s="538" t="s">
        <v>2368</v>
      </c>
      <c r="D127" s="538" t="s">
        <v>2368</v>
      </c>
      <c r="E127" s="546"/>
      <c r="F127" s="526">
        <v>69.900000000000006</v>
      </c>
      <c r="G127" s="3" t="s">
        <v>2181</v>
      </c>
      <c r="H127" s="3" t="s">
        <v>2290</v>
      </c>
      <c r="I127" s="3">
        <v>-61.663888999999998</v>
      </c>
      <c r="J127" s="3">
        <v>2.895556</v>
      </c>
      <c r="K127" s="539" t="s">
        <v>159</v>
      </c>
      <c r="L127" s="539" t="s">
        <v>159</v>
      </c>
      <c r="M127" s="554">
        <v>4</v>
      </c>
      <c r="N127" s="107"/>
      <c r="O127" s="529">
        <v>1.9820000000000001E-2</v>
      </c>
      <c r="P127" s="529">
        <v>5.2919999999999995E-2</v>
      </c>
      <c r="Q127" s="288">
        <f t="shared" si="25"/>
        <v>0.51053758771033453</v>
      </c>
      <c r="R127" s="30">
        <f t="shared" si="16"/>
        <v>35.686577380952386</v>
      </c>
      <c r="S127" s="30">
        <f t="shared" si="26"/>
        <v>34.21342261904762</v>
      </c>
      <c r="T127" s="107">
        <v>18.95571428571429</v>
      </c>
      <c r="U127" s="107">
        <v>41.366250000000001</v>
      </c>
      <c r="V127" s="107">
        <v>54.29</v>
      </c>
      <c r="W127" s="107">
        <v>28.134345238095239</v>
      </c>
      <c r="X127" s="288">
        <f t="shared" si="27"/>
        <v>0.4469433925215292</v>
      </c>
      <c r="Y127" s="289">
        <f t="shared" si="19"/>
        <v>31.241343137254894</v>
      </c>
      <c r="Z127" s="289">
        <f t="shared" si="20"/>
        <v>-4.4452342436974916</v>
      </c>
      <c r="AA127" s="107">
        <v>15.782980392156858</v>
      </c>
      <c r="AB127" s="107">
        <v>37.200235294117647</v>
      </c>
      <c r="AC127" s="107">
        <v>48.481215686274481</v>
      </c>
      <c r="AD127" s="107">
        <v>23.500941176470594</v>
      </c>
      <c r="AE127" s="106">
        <v>1</v>
      </c>
      <c r="AF127" s="32" t="str">
        <f>IF(AE127=0,"",VLOOKUP(AE127,tab_tipo_expansao!$A$2:$B$4,2,0))</f>
        <v>opcional</v>
      </c>
      <c r="AG127" s="125">
        <v>2030</v>
      </c>
      <c r="AH127" s="125">
        <v>2100</v>
      </c>
      <c r="AI127" s="125">
        <v>30</v>
      </c>
      <c r="AJ127" s="530">
        <v>923.23114173989666</v>
      </c>
      <c r="AK127" s="24">
        <f>AL127/constantes!$B$4</f>
        <v>3386.6371070022983</v>
      </c>
      <c r="AL127" s="33">
        <f t="shared" si="28"/>
        <v>13207.884717308963</v>
      </c>
      <c r="AM127" s="87">
        <v>2</v>
      </c>
      <c r="AN127" s="531">
        <v>0</v>
      </c>
      <c r="AO127" s="23"/>
      <c r="AP127" s="532">
        <f t="shared" si="22"/>
        <v>923.23114173989666</v>
      </c>
      <c r="AR127" s="35">
        <f t="shared" si="29"/>
        <v>13207.884717308963</v>
      </c>
      <c r="AS127" s="36">
        <f ca="1">OFFSET(cod_desembolso!$A$1,AM127,23)</f>
        <v>1.1245293369208682</v>
      </c>
      <c r="AT127" s="37">
        <f ca="1">IF(AP127=0,0,AP127*(OFFSET(cod_desembolso!$A$1,AM127,23)))</f>
        <v>1038.200503645462</v>
      </c>
      <c r="AU127" s="38">
        <f>(constantes!$B$3*(1+constantes!$B$3)^(AI127))/((1+constantes!$B$3)^(AI127)-1)</f>
        <v>8.8827433387272267E-2</v>
      </c>
      <c r="AV127" s="37">
        <f t="shared" ca="1" si="24"/>
        <v>95.715686080199802</v>
      </c>
      <c r="AW127" s="37">
        <f ca="1">IF(AP127=0,AY127/constantes!$B$3,AV127/constantes!$B$3)</f>
        <v>1196.4460760024974</v>
      </c>
      <c r="AX127" s="39">
        <f ca="1">IF(AP127=0,0,PV(constantes!$B$3,AI127,-AV127)*constantes!$B$3)</f>
        <v>86.203716514375415</v>
      </c>
      <c r="AY127" s="40">
        <f>constantes!$B$10*F127/1000</f>
        <v>3.4950000000000006</v>
      </c>
      <c r="AZ127" s="533">
        <f>constantes!$B$12</f>
        <v>0</v>
      </c>
      <c r="BA127" s="20">
        <v>318</v>
      </c>
      <c r="BB127" s="43"/>
      <c r="BC127" s="3" t="s">
        <v>2183</v>
      </c>
      <c r="BE127" s="534">
        <v>1</v>
      </c>
      <c r="BF127" s="535">
        <v>2027</v>
      </c>
      <c r="BG127" s="536">
        <v>1</v>
      </c>
      <c r="BH127" s="537">
        <v>2027</v>
      </c>
    </row>
    <row r="128" spans="1:60" ht="14.45" hidden="1">
      <c r="A128" s="125">
        <v>1127</v>
      </c>
      <c r="B128" s="125">
        <v>1127</v>
      </c>
      <c r="C128" s="538" t="s">
        <v>2369</v>
      </c>
      <c r="D128" s="538" t="s">
        <v>2369</v>
      </c>
      <c r="E128" s="546"/>
      <c r="F128" s="526">
        <v>64</v>
      </c>
      <c r="G128" s="3" t="s">
        <v>2199</v>
      </c>
      <c r="H128" s="3" t="s">
        <v>2219</v>
      </c>
      <c r="I128" s="3">
        <v>-47.134112999999999</v>
      </c>
      <c r="J128" s="3">
        <v>-12.364687999999999</v>
      </c>
      <c r="K128" s="539" t="s">
        <v>1983</v>
      </c>
      <c r="L128" s="539" t="s">
        <v>1983</v>
      </c>
      <c r="M128" s="554">
        <v>1</v>
      </c>
      <c r="N128" s="107"/>
      <c r="O128" s="529">
        <v>1.9820000000000001E-2</v>
      </c>
      <c r="P128" s="529">
        <v>5.2919999999999995E-2</v>
      </c>
      <c r="Q128" s="288">
        <f t="shared" si="25"/>
        <v>0.51287062872023814</v>
      </c>
      <c r="R128" s="30">
        <f t="shared" si="16"/>
        <v>32.823720238095241</v>
      </c>
      <c r="S128" s="30">
        <f t="shared" si="26"/>
        <v>31.176279761904759</v>
      </c>
      <c r="T128" s="107">
        <v>42.313809523809518</v>
      </c>
      <c r="U128" s="107">
        <v>31.258333333333336</v>
      </c>
      <c r="V128" s="107">
        <v>25.91416666666667</v>
      </c>
      <c r="W128" s="107">
        <v>31.80857142857143</v>
      </c>
      <c r="X128" s="288">
        <f t="shared" si="27"/>
        <v>0.59711672794117643</v>
      </c>
      <c r="Y128" s="289">
        <f t="shared" si="19"/>
        <v>38.215470588235291</v>
      </c>
      <c r="Z128" s="289">
        <f t="shared" si="20"/>
        <v>5.3917503501400503</v>
      </c>
      <c r="AA128" s="107">
        <v>51.365333333333332</v>
      </c>
      <c r="AB128" s="107">
        <v>36.814784313725475</v>
      </c>
      <c r="AC128" s="107">
        <v>28.142980392156868</v>
      </c>
      <c r="AD128" s="107">
        <v>36.538784313725493</v>
      </c>
      <c r="AE128" s="106">
        <v>1</v>
      </c>
      <c r="AF128" s="32" t="str">
        <f>IF(AE128=0,"",VLOOKUP(AE128,tab_tipo_expansao!$A$2:$B$4,2,0))</f>
        <v>opcional</v>
      </c>
      <c r="AG128" s="125">
        <v>2028</v>
      </c>
      <c r="AH128" s="125">
        <v>2100</v>
      </c>
      <c r="AI128" s="125">
        <v>30</v>
      </c>
      <c r="AJ128" s="530">
        <v>653.83668530205478</v>
      </c>
      <c r="AK128" s="24">
        <f>AL128/constantes!$B$4</f>
        <v>2619.5380020114371</v>
      </c>
      <c r="AL128" s="33">
        <f t="shared" si="28"/>
        <v>10216.198207844605</v>
      </c>
      <c r="AM128" s="87">
        <v>2</v>
      </c>
      <c r="AN128" s="531">
        <v>0</v>
      </c>
      <c r="AO128" s="23"/>
      <c r="AP128" s="532">
        <f t="shared" si="22"/>
        <v>653.83668530205478</v>
      </c>
      <c r="AR128" s="35">
        <f t="shared" si="29"/>
        <v>10216.198207844605</v>
      </c>
      <c r="AS128" s="36">
        <f ca="1">OFFSET(cod_desembolso!$A$1,AM128,23)</f>
        <v>1.1245293369208682</v>
      </c>
      <c r="AT128" s="37">
        <f ca="1">IF(AP128=0,0,AP128*(OFFSET(cod_desembolso!$A$1,AM128,23)))</f>
        <v>735.25853417725807</v>
      </c>
      <c r="AU128" s="38">
        <f>(constantes!$B$3*(1+constantes!$B$3)^(AI128))/((1+constantes!$B$3)^(AI128)-1)</f>
        <v>8.8827433387272267E-2</v>
      </c>
      <c r="AV128" s="37">
        <f t="shared" ca="1" si="24"/>
        <v>68.511128467053837</v>
      </c>
      <c r="AW128" s="37">
        <f ca="1">IF(AP128=0,AY128/constantes!$B$3,AV128/constantes!$B$3)</f>
        <v>856.3891058381729</v>
      </c>
      <c r="AX128" s="39">
        <f ca="1">IF(AP128=0,0,PV(constantes!$B$3,AI128,-AV128)*constantes!$B$3)</f>
        <v>61.702675270021274</v>
      </c>
      <c r="AY128" s="40">
        <f>constantes!$B$10*F128/1000</f>
        <v>3.2</v>
      </c>
      <c r="AZ128" s="533">
        <f>constantes!$B$12</f>
        <v>0</v>
      </c>
      <c r="BA128" s="20">
        <v>318</v>
      </c>
      <c r="BB128" s="43"/>
      <c r="BC128" s="3" t="s">
        <v>2197</v>
      </c>
      <c r="BE128" s="534">
        <v>1</v>
      </c>
      <c r="BF128" s="535">
        <v>2027</v>
      </c>
      <c r="BG128" s="536">
        <v>1</v>
      </c>
      <c r="BH128" s="537">
        <v>2027</v>
      </c>
    </row>
    <row r="129" spans="1:60" ht="14.45" hidden="1">
      <c r="A129" s="125">
        <v>1301</v>
      </c>
      <c r="B129" s="125">
        <v>1301</v>
      </c>
      <c r="C129" s="538" t="s">
        <v>2370</v>
      </c>
      <c r="D129" s="538" t="s">
        <v>2370</v>
      </c>
      <c r="E129" s="546"/>
      <c r="F129" s="526">
        <v>1</v>
      </c>
      <c r="K129" s="539" t="s">
        <v>151</v>
      </c>
      <c r="L129" s="539" t="s">
        <v>151</v>
      </c>
      <c r="M129" s="554">
        <v>2</v>
      </c>
      <c r="N129" s="107"/>
      <c r="O129" s="529">
        <v>1.6719999999999999E-2</v>
      </c>
      <c r="P129" s="529">
        <v>5.4030000000000002E-2</v>
      </c>
      <c r="Q129" s="288">
        <f t="shared" si="25"/>
        <v>0.54455888158338783</v>
      </c>
      <c r="R129" s="30">
        <f t="shared" si="16"/>
        <v>0.54455888158338783</v>
      </c>
      <c r="S129" s="30">
        <f t="shared" si="26"/>
        <v>0.45544111841661217</v>
      </c>
      <c r="T129" s="107">
        <v>0.51274816274463664</v>
      </c>
      <c r="U129" s="107">
        <v>0.50865090613562824</v>
      </c>
      <c r="V129" s="107">
        <v>0.59339865393857982</v>
      </c>
      <c r="W129" s="107">
        <v>0.56343780351470685</v>
      </c>
      <c r="X129" s="288">
        <f t="shared" si="27"/>
        <v>0.54455888158338783</v>
      </c>
      <c r="Y129" s="289">
        <f t="shared" si="19"/>
        <v>0.54455888158338783</v>
      </c>
      <c r="Z129" s="289">
        <f t="shared" si="20"/>
        <v>0</v>
      </c>
      <c r="AA129" s="107">
        <v>0.51274816274463664</v>
      </c>
      <c r="AB129" s="107">
        <v>0.50865090613562824</v>
      </c>
      <c r="AC129" s="107">
        <v>0.59339865393857982</v>
      </c>
      <c r="AD129" s="107">
        <v>0.56343780351470685</v>
      </c>
      <c r="AE129" s="106">
        <v>2</v>
      </c>
      <c r="AF129" s="32" t="str">
        <f>IF(AE129=0,"",VLOOKUP(AE129,tab_tipo_expansao!$A$2:$B$4,2,0))</f>
        <v>obrigatoria</v>
      </c>
      <c r="AG129" s="125">
        <v>2015</v>
      </c>
      <c r="AH129" s="125">
        <v>2100</v>
      </c>
      <c r="AI129" s="125">
        <v>30</v>
      </c>
      <c r="AJ129" s="530">
        <f t="shared" ref="AJ129:AJ150" si="30">AL129*F129/1000</f>
        <v>5.97</v>
      </c>
      <c r="AK129" s="24">
        <f>AL129/constantes!$B$4</f>
        <v>1530.7692307692307</v>
      </c>
      <c r="AL129" s="22">
        <v>5970</v>
      </c>
      <c r="AM129" s="87">
        <v>6</v>
      </c>
      <c r="AN129" s="531">
        <v>0</v>
      </c>
      <c r="AO129" s="23"/>
      <c r="AP129" s="532">
        <f t="shared" si="22"/>
        <v>5.97</v>
      </c>
      <c r="AR129" s="35">
        <f t="shared" si="29"/>
        <v>5970</v>
      </c>
      <c r="AS129" s="36">
        <f ca="1">OFFSET(cod_desembolso!$A$1,AM129,23)</f>
        <v>1.07328</v>
      </c>
      <c r="AT129" s="37">
        <f ca="1">IF(AP129=0,0,AP129*(OFFSET(cod_desembolso!$A$1,AM129,23)))</f>
        <v>6.4074815999999997</v>
      </c>
      <c r="AU129" s="38">
        <f>(constantes!$B$3*(1+constantes!$B$3)^(AI129))/((1+constantes!$B$3)^(AI129)-1)</f>
        <v>8.8827433387272267E-2</v>
      </c>
      <c r="AV129" s="37">
        <f t="shared" ca="1" si="24"/>
        <v>0.66916014500417265</v>
      </c>
      <c r="AW129" s="37">
        <f ca="1">IF(AP129=0,AY129/constantes!$B$3,AV129/constantes!$B$3)</f>
        <v>8.3645018125521577</v>
      </c>
      <c r="AX129" s="39">
        <f ca="1">IF(AP129=0,0,PV(constantes!$B$3,AI129,-AV129)*constantes!$B$3)</f>
        <v>0.60266079474501977</v>
      </c>
      <c r="AY129" s="40">
        <f>2*constantes!$B$10*F129/1000</f>
        <v>0.1</v>
      </c>
      <c r="AZ129" s="533">
        <f>constantes!$B$12</f>
        <v>0</v>
      </c>
      <c r="BA129" s="20">
        <v>319</v>
      </c>
      <c r="BB129" s="43"/>
      <c r="BE129" s="534"/>
      <c r="BF129" s="535"/>
      <c r="BG129" s="536"/>
      <c r="BH129" s="537"/>
    </row>
    <row r="130" spans="1:60" ht="14.45" hidden="1">
      <c r="A130" s="125">
        <v>1302</v>
      </c>
      <c r="B130" s="125">
        <v>1302</v>
      </c>
      <c r="C130" s="538" t="s">
        <v>2371</v>
      </c>
      <c r="D130" s="538" t="s">
        <v>2371</v>
      </c>
      <c r="E130" s="546"/>
      <c r="F130" s="526">
        <v>3.4</v>
      </c>
      <c r="K130" s="539" t="s">
        <v>155</v>
      </c>
      <c r="L130" s="539" t="s">
        <v>155</v>
      </c>
      <c r="M130" s="554">
        <v>9</v>
      </c>
      <c r="N130" s="107"/>
      <c r="O130" s="529">
        <v>1.9820000000000001E-2</v>
      </c>
      <c r="P130" s="529">
        <v>5.2919999999999995E-2</v>
      </c>
      <c r="Q130" s="288">
        <f t="shared" ref="Q130:Q148" si="31">R130/$F130</f>
        <v>0.53361857228515952</v>
      </c>
      <c r="R130" s="30">
        <f t="shared" ref="R130:R193" si="32">AVERAGE(T130:W130)</f>
        <v>1.8143031457695422</v>
      </c>
      <c r="S130" s="30">
        <f t="shared" ref="S130:S148" si="33">F130-R130</f>
        <v>1.5856968542304577</v>
      </c>
      <c r="T130" s="107">
        <v>2.0989980301451632</v>
      </c>
      <c r="U130" s="107">
        <v>1.9712020886314214</v>
      </c>
      <c r="V130" s="107">
        <v>1.4807809950338366</v>
      </c>
      <c r="W130" s="107">
        <v>1.7062314692677472</v>
      </c>
      <c r="X130" s="288">
        <f t="shared" ref="X130:X148" si="34">Y130/$F130</f>
        <v>0.53361857228515952</v>
      </c>
      <c r="Y130" s="289">
        <f t="shared" ref="Y130:Y193" si="35">AVERAGE(AA130:AD130)</f>
        <v>1.8143031457695422</v>
      </c>
      <c r="Z130" s="289">
        <f t="shared" ref="Z130:Z193" si="36">Y130-R130</f>
        <v>0</v>
      </c>
      <c r="AA130" s="107">
        <v>2.0989980301451632</v>
      </c>
      <c r="AB130" s="107">
        <v>1.9712020886314214</v>
      </c>
      <c r="AC130" s="107">
        <v>1.4807809950338366</v>
      </c>
      <c r="AD130" s="107">
        <v>1.7062314692677472</v>
      </c>
      <c r="AE130" s="106">
        <v>2</v>
      </c>
      <c r="AF130" s="32" t="str">
        <f>IF(AE130=0,"",VLOOKUP(AE130,tab_tipo_expansao!$A$2:$B$4,2,0))</f>
        <v>obrigatoria</v>
      </c>
      <c r="AG130" s="125">
        <v>2015</v>
      </c>
      <c r="AH130" s="125">
        <v>2100</v>
      </c>
      <c r="AI130" s="125">
        <v>30</v>
      </c>
      <c r="AJ130" s="530">
        <f t="shared" si="30"/>
        <v>20.491799999999994</v>
      </c>
      <c r="AK130" s="24">
        <f>AL130/constantes!$B$4</f>
        <v>1545.3846153846152</v>
      </c>
      <c r="AL130" s="22">
        <v>6026.9999999999991</v>
      </c>
      <c r="AM130" s="87">
        <v>6</v>
      </c>
      <c r="AN130" s="531">
        <v>0</v>
      </c>
      <c r="AO130" s="23"/>
      <c r="AP130" s="532">
        <f t="shared" ref="AP130:AP193" si="37">AJ130+AN130+AO130</f>
        <v>20.491799999999994</v>
      </c>
      <c r="AR130" s="35">
        <f t="shared" ref="AR130:AR150" si="38">AP130*1000/F130</f>
        <v>6026.9999999999991</v>
      </c>
      <c r="AS130" s="36">
        <f ca="1">OFFSET(cod_desembolso!$A$1,AM130,23)</f>
        <v>1.07328</v>
      </c>
      <c r="AT130" s="37">
        <f ca="1">IF(AP130=0,0,AP130*(OFFSET(cod_desembolso!$A$1,AM130,23)))</f>
        <v>21.993439103999993</v>
      </c>
      <c r="AU130" s="38">
        <f>(constantes!$B$3*(1+constantes!$B$3)^(AI130))/((1+constantes!$B$3)^(AI130)-1)</f>
        <v>8.8827433387272267E-2</v>
      </c>
      <c r="AV130" s="37">
        <f t="shared" ref="AV130:AV193" ca="1" si="39">IF(AND(AP130=0,AY130=0),0,AT130*AU130+AY130)</f>
        <v>2.2936207469675884</v>
      </c>
      <c r="AW130" s="37">
        <f ca="1">IF(AP130=0,AY130/constantes!$B$3,AV130/constantes!$B$3)</f>
        <v>28.670259337094855</v>
      </c>
      <c r="AX130" s="39">
        <f ca="1">IF(AP130=0,0,PV(constantes!$B$3,AI130,-AV130)*constantes!$B$3)</f>
        <v>2.0656868352530671</v>
      </c>
      <c r="AY130" s="40">
        <f>2*constantes!$B$10*F130/1000</f>
        <v>0.34</v>
      </c>
      <c r="AZ130" s="533">
        <f>constantes!$B$12</f>
        <v>0</v>
      </c>
      <c r="BA130" s="20">
        <v>319</v>
      </c>
      <c r="BB130" s="43"/>
      <c r="BE130" s="534"/>
      <c r="BF130" s="535"/>
      <c r="BG130" s="536"/>
      <c r="BH130" s="537"/>
    </row>
    <row r="131" spans="1:60" ht="14.45" hidden="1">
      <c r="A131" s="125">
        <v>1306</v>
      </c>
      <c r="B131" s="125">
        <v>1306</v>
      </c>
      <c r="C131" s="538" t="s">
        <v>2372</v>
      </c>
      <c r="D131" s="538" t="s">
        <v>2372</v>
      </c>
      <c r="E131" s="546"/>
      <c r="F131" s="526">
        <v>7.4</v>
      </c>
      <c r="K131" s="539" t="s">
        <v>157</v>
      </c>
      <c r="L131" s="539" t="s">
        <v>157</v>
      </c>
      <c r="M131" s="554">
        <v>6</v>
      </c>
      <c r="N131" s="107"/>
      <c r="O131" s="529">
        <v>1.6719999999999999E-2</v>
      </c>
      <c r="P131" s="529">
        <v>5.4030000000000002E-2</v>
      </c>
      <c r="Q131" s="288">
        <f t="shared" si="31"/>
        <v>0.48482570767764749</v>
      </c>
      <c r="R131" s="30">
        <f t="shared" si="32"/>
        <v>3.5877102368145914</v>
      </c>
      <c r="S131" s="30">
        <f t="shared" si="33"/>
        <v>3.8122897631854089</v>
      </c>
      <c r="T131" s="107">
        <v>4.2576876736473475</v>
      </c>
      <c r="U131" s="107">
        <v>4.0140233026323635</v>
      </c>
      <c r="V131" s="107">
        <v>2.7568099176329404</v>
      </c>
      <c r="W131" s="107">
        <v>3.3223200533457153</v>
      </c>
      <c r="X131" s="288">
        <f t="shared" si="34"/>
        <v>0.48482570767764749</v>
      </c>
      <c r="Y131" s="289">
        <f t="shared" si="35"/>
        <v>3.5877102368145914</v>
      </c>
      <c r="Z131" s="289">
        <f t="shared" si="36"/>
        <v>0</v>
      </c>
      <c r="AA131" s="107">
        <v>4.2576876736473475</v>
      </c>
      <c r="AB131" s="107">
        <v>4.0140233026323635</v>
      </c>
      <c r="AC131" s="107">
        <v>2.7568099176329404</v>
      </c>
      <c r="AD131" s="107">
        <v>3.3223200533457153</v>
      </c>
      <c r="AE131" s="106">
        <v>2</v>
      </c>
      <c r="AF131" s="32" t="str">
        <f>IF(AE131=0,"",VLOOKUP(AE131,tab_tipo_expansao!$A$2:$B$4,2,0))</f>
        <v>obrigatoria</v>
      </c>
      <c r="AG131" s="125">
        <v>2016</v>
      </c>
      <c r="AH131" s="125">
        <v>2100</v>
      </c>
      <c r="AI131" s="125">
        <v>30</v>
      </c>
      <c r="AJ131" s="530">
        <f t="shared" si="30"/>
        <v>44.599799999999995</v>
      </c>
      <c r="AK131" s="24">
        <f>AL131/constantes!$B$4</f>
        <v>1545.3846153846152</v>
      </c>
      <c r="AL131" s="22">
        <v>6026.9999999999991</v>
      </c>
      <c r="AM131" s="87">
        <v>6</v>
      </c>
      <c r="AN131" s="531">
        <v>0</v>
      </c>
      <c r="AO131" s="23"/>
      <c r="AP131" s="532">
        <f t="shared" si="37"/>
        <v>44.599799999999995</v>
      </c>
      <c r="AR131" s="35">
        <f t="shared" si="38"/>
        <v>6026.9999999999991</v>
      </c>
      <c r="AS131" s="36">
        <f ca="1">OFFSET(cod_desembolso!$A$1,AM131,23)</f>
        <v>1.07328</v>
      </c>
      <c r="AT131" s="37">
        <f ca="1">IF(AP131=0,0,AP131*(OFFSET(cod_desembolso!$A$1,AM131,23)))</f>
        <v>47.868073343999995</v>
      </c>
      <c r="AU131" s="38">
        <f>(constantes!$B$3*(1+constantes!$B$3)^(AI131))/((1+constantes!$B$3)^(AI131)-1)</f>
        <v>8.8827433387272267E-2</v>
      </c>
      <c r="AV131" s="37">
        <f t="shared" ca="1" si="39"/>
        <v>4.9919980963412227</v>
      </c>
      <c r="AW131" s="37">
        <f ca="1">IF(AP131=0,AY131/constantes!$B$3,AV131/constantes!$B$3)</f>
        <v>62.399976204265286</v>
      </c>
      <c r="AX131" s="39">
        <f ca="1">IF(AP131=0,0,PV(constantes!$B$3,AI131,-AV131)*constantes!$B$3)</f>
        <v>4.4959066414331463</v>
      </c>
      <c r="AY131" s="40">
        <f>2*constantes!$B$10*F131/1000</f>
        <v>0.74</v>
      </c>
      <c r="AZ131" s="533">
        <f>constantes!$B$12</f>
        <v>0</v>
      </c>
      <c r="BA131" s="20">
        <v>319</v>
      </c>
      <c r="BB131" s="43"/>
      <c r="BE131" s="534"/>
      <c r="BF131" s="535"/>
      <c r="BG131" s="536"/>
      <c r="BH131" s="537"/>
    </row>
    <row r="132" spans="1:60" ht="14.45" hidden="1">
      <c r="A132" s="125">
        <v>1305</v>
      </c>
      <c r="B132" s="125">
        <v>1305</v>
      </c>
      <c r="C132" s="538" t="s">
        <v>2373</v>
      </c>
      <c r="D132" s="538" t="s">
        <v>2373</v>
      </c>
      <c r="E132" s="546"/>
      <c r="F132" s="526">
        <v>5.8</v>
      </c>
      <c r="K132" s="539" t="s">
        <v>154</v>
      </c>
      <c r="L132" s="539" t="s">
        <v>154</v>
      </c>
      <c r="M132" s="554">
        <v>3</v>
      </c>
      <c r="N132" s="107"/>
      <c r="O132" s="529">
        <v>1.6719999999999999E-2</v>
      </c>
      <c r="P132" s="529">
        <v>5.4030000000000002E-2</v>
      </c>
      <c r="Q132" s="288">
        <f t="shared" si="31"/>
        <v>0.31921215183791418</v>
      </c>
      <c r="R132" s="30">
        <f t="shared" si="32"/>
        <v>1.8514304806599022</v>
      </c>
      <c r="S132" s="30">
        <f t="shared" si="33"/>
        <v>3.9485695193400976</v>
      </c>
      <c r="T132" s="107">
        <v>1.668918936122066</v>
      </c>
      <c r="U132" s="107">
        <v>1.7976075743650111</v>
      </c>
      <c r="V132" s="107">
        <v>2.1038190088363407</v>
      </c>
      <c r="W132" s="107">
        <v>1.835376403316191</v>
      </c>
      <c r="X132" s="288">
        <f t="shared" si="34"/>
        <v>0.31921215183791418</v>
      </c>
      <c r="Y132" s="289">
        <f t="shared" si="35"/>
        <v>1.8514304806599022</v>
      </c>
      <c r="Z132" s="289">
        <f t="shared" si="36"/>
        <v>0</v>
      </c>
      <c r="AA132" s="107">
        <v>1.668918936122066</v>
      </c>
      <c r="AB132" s="107">
        <v>1.7976075743650111</v>
      </c>
      <c r="AC132" s="107">
        <v>2.1038190088363407</v>
      </c>
      <c r="AD132" s="107">
        <v>1.835376403316191</v>
      </c>
      <c r="AE132" s="106">
        <v>2</v>
      </c>
      <c r="AF132" s="32" t="str">
        <f>IF(AE132=0,"",VLOOKUP(AE132,tab_tipo_expansao!$A$2:$B$4,2,0))</f>
        <v>obrigatoria</v>
      </c>
      <c r="AG132" s="125">
        <v>2016</v>
      </c>
      <c r="AH132" s="125">
        <v>2100</v>
      </c>
      <c r="AI132" s="125">
        <v>30</v>
      </c>
      <c r="AJ132" s="530">
        <f t="shared" si="30"/>
        <v>34.956600000000002</v>
      </c>
      <c r="AK132" s="24">
        <f>AL132/constantes!$B$4</f>
        <v>1545.3846153846155</v>
      </c>
      <c r="AL132" s="22">
        <v>6027</v>
      </c>
      <c r="AM132" s="87">
        <v>6</v>
      </c>
      <c r="AN132" s="531">
        <v>0</v>
      </c>
      <c r="AO132" s="23"/>
      <c r="AP132" s="532">
        <f t="shared" si="37"/>
        <v>34.956600000000002</v>
      </c>
      <c r="AR132" s="35">
        <f t="shared" si="38"/>
        <v>6027</v>
      </c>
      <c r="AS132" s="36">
        <f ca="1">OFFSET(cod_desembolso!$A$1,AM132,23)</f>
        <v>1.07328</v>
      </c>
      <c r="AT132" s="37">
        <f ca="1">IF(AP132=0,0,AP132*(OFFSET(cod_desembolso!$A$1,AM132,23)))</f>
        <v>37.518219647999999</v>
      </c>
      <c r="AU132" s="38">
        <f>(constantes!$B$3*(1+constantes!$B$3)^(AI132))/((1+constantes!$B$3)^(AI132)-1)</f>
        <v>8.8827433387272267E-2</v>
      </c>
      <c r="AV132" s="37">
        <f t="shared" ca="1" si="39"/>
        <v>3.9126471565917695</v>
      </c>
      <c r="AW132" s="37">
        <f ca="1">IF(AP132=0,AY132/constantes!$B$3,AV132/constantes!$B$3)</f>
        <v>48.908089457397118</v>
      </c>
      <c r="AX132" s="39">
        <f ca="1">IF(AP132=0,0,PV(constantes!$B$3,AI132,-AV132)*constantes!$B$3)</f>
        <v>3.523818718961115</v>
      </c>
      <c r="AY132" s="40">
        <f>2*constantes!$B$10*F132/1000</f>
        <v>0.57999999999999996</v>
      </c>
      <c r="AZ132" s="533">
        <f>constantes!$B$12</f>
        <v>0</v>
      </c>
      <c r="BA132" s="20">
        <v>319</v>
      </c>
      <c r="BB132" s="43"/>
      <c r="BE132" s="534"/>
      <c r="BF132" s="535"/>
      <c r="BG132" s="536"/>
      <c r="BH132" s="537"/>
    </row>
    <row r="133" spans="1:60" ht="14.45" hidden="1">
      <c r="A133" s="125">
        <v>1304</v>
      </c>
      <c r="B133" s="125">
        <v>1304</v>
      </c>
      <c r="C133" s="538" t="s">
        <v>2374</v>
      </c>
      <c r="D133" s="538" t="s">
        <v>2374</v>
      </c>
      <c r="E133" s="546"/>
      <c r="F133" s="526">
        <v>115.5</v>
      </c>
      <c r="K133" s="539" t="s">
        <v>151</v>
      </c>
      <c r="L133" s="539" t="s">
        <v>151</v>
      </c>
      <c r="M133" s="554">
        <v>2</v>
      </c>
      <c r="N133" s="107"/>
      <c r="O133" s="529">
        <v>1.6719999999999999E-2</v>
      </c>
      <c r="P133" s="529">
        <v>5.4030000000000002E-2</v>
      </c>
      <c r="Q133" s="288">
        <f t="shared" si="31"/>
        <v>0.5449435220580533</v>
      </c>
      <c r="R133" s="30">
        <f t="shared" si="32"/>
        <v>62.940976797705162</v>
      </c>
      <c r="S133" s="30">
        <f t="shared" si="33"/>
        <v>52.559023202294838</v>
      </c>
      <c r="T133" s="107">
        <v>59.264243603075279</v>
      </c>
      <c r="U133" s="107">
        <v>58.790676204060524</v>
      </c>
      <c r="V133" s="107">
        <v>68.585954930602654</v>
      </c>
      <c r="W133" s="107">
        <v>65.123032453082217</v>
      </c>
      <c r="X133" s="288">
        <f t="shared" si="34"/>
        <v>0.5449435220580533</v>
      </c>
      <c r="Y133" s="289">
        <f t="shared" si="35"/>
        <v>62.940976797705162</v>
      </c>
      <c r="Z133" s="289">
        <f t="shared" si="36"/>
        <v>0</v>
      </c>
      <c r="AA133" s="107">
        <v>59.264243603075279</v>
      </c>
      <c r="AB133" s="107">
        <v>58.790676204060524</v>
      </c>
      <c r="AC133" s="107">
        <v>68.585954930602654</v>
      </c>
      <c r="AD133" s="107">
        <v>65.123032453082217</v>
      </c>
      <c r="AE133" s="106">
        <v>2</v>
      </c>
      <c r="AF133" s="32" t="str">
        <f>IF(AE133=0,"",VLOOKUP(AE133,tab_tipo_expansao!$A$2:$B$4,2,0))</f>
        <v>obrigatoria</v>
      </c>
      <c r="AG133" s="125">
        <v>2016</v>
      </c>
      <c r="AH133" s="125">
        <v>2100</v>
      </c>
      <c r="AI133" s="125">
        <v>30</v>
      </c>
      <c r="AJ133" s="530">
        <f t="shared" si="30"/>
        <v>689.53499999999997</v>
      </c>
      <c r="AK133" s="24">
        <f>AL133/constantes!$B$4</f>
        <v>1530.7692307692307</v>
      </c>
      <c r="AL133" s="22">
        <v>5970</v>
      </c>
      <c r="AM133" s="87">
        <v>6</v>
      </c>
      <c r="AN133" s="531">
        <v>0</v>
      </c>
      <c r="AO133" s="23"/>
      <c r="AP133" s="532">
        <f t="shared" si="37"/>
        <v>689.53499999999997</v>
      </c>
      <c r="AR133" s="35">
        <f t="shared" si="38"/>
        <v>5970</v>
      </c>
      <c r="AS133" s="36">
        <f ca="1">OFFSET(cod_desembolso!$A$1,AM133,23)</f>
        <v>1.07328</v>
      </c>
      <c r="AT133" s="37">
        <f ca="1">IF(AP133=0,0,AP133*(OFFSET(cod_desembolso!$A$1,AM133,23)))</f>
        <v>740.06412479999995</v>
      </c>
      <c r="AU133" s="38">
        <f>(constantes!$B$3*(1+constantes!$B$3)^(AI133))/((1+constantes!$B$3)^(AI133)-1)</f>
        <v>8.8827433387272267E-2</v>
      </c>
      <c r="AV133" s="37">
        <f t="shared" ca="1" si="39"/>
        <v>77.287996747981936</v>
      </c>
      <c r="AW133" s="37">
        <f ca="1">IF(AP133=0,AY133/constantes!$B$3,AV133/constantes!$B$3)</f>
        <v>966.09995934977417</v>
      </c>
      <c r="AX133" s="39">
        <f ca="1">IF(AP133=0,0,PV(constantes!$B$3,AI133,-AV133)*constantes!$B$3)</f>
        <v>69.607321793049778</v>
      </c>
      <c r="AY133" s="40">
        <f>2*constantes!$B$10*F133/1000</f>
        <v>11.55</v>
      </c>
      <c r="AZ133" s="533">
        <f>constantes!$B$12</f>
        <v>0</v>
      </c>
      <c r="BA133" s="20">
        <v>319</v>
      </c>
      <c r="BB133" s="43"/>
      <c r="BE133" s="534"/>
      <c r="BF133" s="535"/>
      <c r="BG133" s="536"/>
      <c r="BH133" s="537"/>
    </row>
    <row r="134" spans="1:60" ht="14.45" hidden="1">
      <c r="A134" s="125">
        <v>1303</v>
      </c>
      <c r="B134" s="125">
        <v>1303</v>
      </c>
      <c r="C134" s="538" t="s">
        <v>2375</v>
      </c>
      <c r="D134" s="538" t="s">
        <v>2375</v>
      </c>
      <c r="E134" s="546"/>
      <c r="F134" s="526">
        <v>166.4</v>
      </c>
      <c r="K134" s="539" t="s">
        <v>148</v>
      </c>
      <c r="L134" s="539" t="s">
        <v>148</v>
      </c>
      <c r="M134" s="554">
        <v>1</v>
      </c>
      <c r="N134" s="107"/>
      <c r="O134" s="529">
        <v>2.5329999923706055E-2</v>
      </c>
      <c r="P134" s="529">
        <v>8.0909996032714843E-2</v>
      </c>
      <c r="Q134" s="288">
        <f t="shared" si="31"/>
        <v>0.48442264106550825</v>
      </c>
      <c r="R134" s="30">
        <f t="shared" si="32"/>
        <v>80.607927473300578</v>
      </c>
      <c r="S134" s="30">
        <f t="shared" si="33"/>
        <v>85.792072526699428</v>
      </c>
      <c r="T134" s="107">
        <v>95.6608411904664</v>
      </c>
      <c r="U134" s="107">
        <v>90.186240776793625</v>
      </c>
      <c r="V134" s="107">
        <v>61.939431902263721</v>
      </c>
      <c r="W134" s="107">
        <v>74.645196023678608</v>
      </c>
      <c r="X134" s="288">
        <f t="shared" si="34"/>
        <v>0.48442264106550825</v>
      </c>
      <c r="Y134" s="289">
        <f t="shared" si="35"/>
        <v>80.607927473300578</v>
      </c>
      <c r="Z134" s="289">
        <f t="shared" si="36"/>
        <v>0</v>
      </c>
      <c r="AA134" s="107">
        <v>95.6608411904664</v>
      </c>
      <c r="AB134" s="107">
        <v>90.186240776793625</v>
      </c>
      <c r="AC134" s="107">
        <v>61.939431902263721</v>
      </c>
      <c r="AD134" s="107">
        <v>74.645196023678608</v>
      </c>
      <c r="AE134" s="106">
        <v>2</v>
      </c>
      <c r="AF134" s="32" t="str">
        <f>IF(AE134=0,"",VLOOKUP(AE134,tab_tipo_expansao!$A$2:$B$4,2,0))</f>
        <v>obrigatoria</v>
      </c>
      <c r="AG134" s="125">
        <v>2016</v>
      </c>
      <c r="AH134" s="125">
        <v>2100</v>
      </c>
      <c r="AI134" s="125">
        <v>30</v>
      </c>
      <c r="AJ134" s="530">
        <f t="shared" si="30"/>
        <v>1006.0544</v>
      </c>
      <c r="AK134" s="24">
        <f>AL134/constantes!$B$4</f>
        <v>1550.2564102564104</v>
      </c>
      <c r="AL134" s="22">
        <v>6046</v>
      </c>
      <c r="AM134" s="87">
        <v>6</v>
      </c>
      <c r="AN134" s="531">
        <v>0</v>
      </c>
      <c r="AO134" s="23"/>
      <c r="AP134" s="532">
        <f t="shared" si="37"/>
        <v>1006.0544</v>
      </c>
      <c r="AR134" s="35">
        <f t="shared" si="38"/>
        <v>6046</v>
      </c>
      <c r="AS134" s="36">
        <f ca="1">OFFSET(cod_desembolso!$A$1,AM134,23)</f>
        <v>1.07328</v>
      </c>
      <c r="AT134" s="37">
        <f ca="1">IF(AP134=0,0,AP134*(OFFSET(cod_desembolso!$A$1,AM134,23)))</f>
        <v>1079.7780664320001</v>
      </c>
      <c r="AU134" s="38">
        <f>(constantes!$B$3*(1+constantes!$B$3)^(AI134))/((1+constantes!$B$3)^(AI134)-1)</f>
        <v>8.8827433387272267E-2</v>
      </c>
      <c r="AV134" s="37">
        <f t="shared" ca="1" si="39"/>
        <v>112.55391426902614</v>
      </c>
      <c r="AW134" s="37">
        <f ca="1">IF(AP134=0,AY134/constantes!$B$3,AV134/constantes!$B$3)</f>
        <v>1406.9239283628267</v>
      </c>
      <c r="AX134" s="39">
        <f ca="1">IF(AP134=0,0,PV(constantes!$B$3,AI134,-AV134)*constantes!$B$3)</f>
        <v>101.36860650093131</v>
      </c>
      <c r="AY134" s="40">
        <f>2*constantes!$B$10*F134/1000</f>
        <v>16.64</v>
      </c>
      <c r="AZ134" s="533">
        <f>constantes!$B$12</f>
        <v>0</v>
      </c>
      <c r="BA134" s="20">
        <v>319</v>
      </c>
      <c r="BB134" s="43"/>
      <c r="BE134" s="534"/>
      <c r="BF134" s="535"/>
      <c r="BG134" s="536"/>
      <c r="BH134" s="537"/>
    </row>
    <row r="135" spans="1:60" ht="14.45" hidden="1" customHeight="1">
      <c r="A135" s="125">
        <v>1307</v>
      </c>
      <c r="B135" s="125">
        <v>1307</v>
      </c>
      <c r="C135" s="639" t="s">
        <v>2376</v>
      </c>
      <c r="D135" s="639" t="s">
        <v>2376</v>
      </c>
      <c r="E135"/>
      <c r="F135" s="42">
        <v>11.2</v>
      </c>
      <c r="K135" s="548" t="s">
        <v>152</v>
      </c>
      <c r="L135" s="548" t="s">
        <v>152</v>
      </c>
      <c r="M135" s="23">
        <v>1</v>
      </c>
      <c r="N135" s="540"/>
      <c r="O135" s="287">
        <v>2.5329999923706055E-2</v>
      </c>
      <c r="P135" s="287">
        <v>8.0909996032714843E-2</v>
      </c>
      <c r="Q135" s="288">
        <f t="shared" si="31"/>
        <v>0.48493093173882967</v>
      </c>
      <c r="R135" s="30">
        <f t="shared" si="32"/>
        <v>5.4312264354748923</v>
      </c>
      <c r="S135" s="30">
        <f t="shared" si="33"/>
        <v>5.768773564525107</v>
      </c>
      <c r="T135" s="42">
        <v>6.4454664174999001</v>
      </c>
      <c r="U135" s="42">
        <v>6.0765970590828893</v>
      </c>
      <c r="V135" s="42">
        <v>4.1733746356063826</v>
      </c>
      <c r="W135" s="42">
        <v>5.0294676297103953</v>
      </c>
      <c r="X135" s="288">
        <f t="shared" si="34"/>
        <v>0.48493093173882967</v>
      </c>
      <c r="Y135" s="289">
        <f t="shared" si="35"/>
        <v>5.4312264354748923</v>
      </c>
      <c r="Z135" s="289">
        <f t="shared" si="36"/>
        <v>0</v>
      </c>
      <c r="AA135" s="42">
        <v>6.4454664174999001</v>
      </c>
      <c r="AB135" s="42">
        <v>6.0765970590828893</v>
      </c>
      <c r="AC135" s="42">
        <v>4.1733746356063826</v>
      </c>
      <c r="AD135" s="42">
        <v>5.0294676297103953</v>
      </c>
      <c r="AE135" s="106">
        <v>2</v>
      </c>
      <c r="AF135" s="32" t="str">
        <f>IF(AE135=0,"",VLOOKUP(AE135,tab_tipo_expansao!$A$2:$B$4,2,0))</f>
        <v>obrigatoria</v>
      </c>
      <c r="AG135" s="125">
        <v>2017</v>
      </c>
      <c r="AH135" s="23">
        <v>2100</v>
      </c>
      <c r="AI135" s="125">
        <v>30</v>
      </c>
      <c r="AJ135" s="106">
        <f t="shared" si="30"/>
        <v>66.864000000000004</v>
      </c>
      <c r="AK135" s="24">
        <f>AL135/constantes!$B$4</f>
        <v>1530.7692307692307</v>
      </c>
      <c r="AL135">
        <v>5970</v>
      </c>
      <c r="AM135" s="87">
        <v>6</v>
      </c>
      <c r="AN135" s="531">
        <v>0</v>
      </c>
      <c r="AP135" s="532">
        <f t="shared" si="37"/>
        <v>66.864000000000004</v>
      </c>
      <c r="AQ135" s="34"/>
      <c r="AR135" s="35">
        <f t="shared" si="38"/>
        <v>5970</v>
      </c>
      <c r="AS135" s="36">
        <f ca="1">OFFSET(cod_desembolso!$A$1,AM135,23)</f>
        <v>1.07328</v>
      </c>
      <c r="AT135" s="37">
        <f ca="1">IF(AP135=0,0,AP135*(OFFSET(cod_desembolso!$A$1,AM135,23)))</f>
        <v>71.763793920000012</v>
      </c>
      <c r="AU135" s="38">
        <f>(constantes!$B$3*(1+constantes!$B$3)^(AI135))/((1+constantes!$B$3)^(AI135)-1)</f>
        <v>8.8827433387272267E-2</v>
      </c>
      <c r="AV135" s="37">
        <f t="shared" ca="1" si="39"/>
        <v>7.4945936240467361</v>
      </c>
      <c r="AW135" s="37">
        <f ca="1">IF(AP135=0,AY135/constantes!$B$3,AV135/constantes!$B$3)</f>
        <v>93.682420300584198</v>
      </c>
      <c r="AX135" s="39">
        <f ca="1">IF(AP135=0,0,PV(constantes!$B$3,AI135,-AV135)*constantes!$B$3)</f>
        <v>6.7498009011442228</v>
      </c>
      <c r="AY135" s="40">
        <f>2*constantes!$B$10*F135/1000</f>
        <v>1.1200000000000001</v>
      </c>
      <c r="AZ135" s="533">
        <f>constantes!$B$12</f>
        <v>0</v>
      </c>
      <c r="BA135" s="20">
        <v>319</v>
      </c>
      <c r="BE135" s="534"/>
      <c r="BF135" s="541"/>
      <c r="BG135" s="536"/>
      <c r="BH135" s="537"/>
    </row>
    <row r="136" spans="1:60" ht="14.45" hidden="1" customHeight="1">
      <c r="A136" s="125">
        <v>1308</v>
      </c>
      <c r="B136" s="125">
        <v>1308</v>
      </c>
      <c r="C136" s="639" t="s">
        <v>2377</v>
      </c>
      <c r="D136" s="639" t="s">
        <v>2377</v>
      </c>
      <c r="E136"/>
      <c r="F136" s="42">
        <v>48.6</v>
      </c>
      <c r="K136" s="548" t="s">
        <v>153</v>
      </c>
      <c r="L136" s="548" t="s">
        <v>153</v>
      </c>
      <c r="M136" s="23">
        <v>2</v>
      </c>
      <c r="N136" s="540"/>
      <c r="O136" s="287">
        <v>1.6719999999999999E-2</v>
      </c>
      <c r="P136" s="287">
        <v>5.4030000000000002E-2</v>
      </c>
      <c r="Q136" s="288">
        <f t="shared" si="31"/>
        <v>0.54485162261267495</v>
      </c>
      <c r="R136" s="30">
        <f t="shared" si="32"/>
        <v>26.479788858976001</v>
      </c>
      <c r="S136" s="30">
        <f t="shared" si="33"/>
        <v>22.120211141024001</v>
      </c>
      <c r="T136" s="42">
        <v>24.932956832560148</v>
      </c>
      <c r="U136" s="42">
        <v>24.733723115919407</v>
      </c>
      <c r="V136" s="42">
        <v>28.854677789490854</v>
      </c>
      <c r="W136" s="42">
        <v>27.397797697933601</v>
      </c>
      <c r="X136" s="288">
        <f t="shared" si="34"/>
        <v>0.54485162261267495</v>
      </c>
      <c r="Y136" s="289">
        <f t="shared" si="35"/>
        <v>26.479788858976001</v>
      </c>
      <c r="Z136" s="289">
        <f t="shared" si="36"/>
        <v>0</v>
      </c>
      <c r="AA136" s="42">
        <v>24.932956832560148</v>
      </c>
      <c r="AB136" s="42">
        <v>24.733723115919407</v>
      </c>
      <c r="AC136" s="42">
        <v>28.854677789490854</v>
      </c>
      <c r="AD136" s="42">
        <v>27.397797697933601</v>
      </c>
      <c r="AE136" s="106">
        <v>2</v>
      </c>
      <c r="AF136" s="32" t="str">
        <f>IF(AE136=0,"",VLOOKUP(AE136,tab_tipo_expansao!$A$2:$B$4,2,0))</f>
        <v>obrigatoria</v>
      </c>
      <c r="AG136" s="125">
        <v>2017</v>
      </c>
      <c r="AH136" s="23">
        <v>2100</v>
      </c>
      <c r="AI136" s="125">
        <v>30</v>
      </c>
      <c r="AJ136" s="106">
        <f t="shared" si="30"/>
        <v>293.83560000000006</v>
      </c>
      <c r="AK136" s="24">
        <f>AL136/constantes!$B$4</f>
        <v>1550.2564102564104</v>
      </c>
      <c r="AL136">
        <v>6046</v>
      </c>
      <c r="AM136" s="87">
        <v>6</v>
      </c>
      <c r="AN136" s="531">
        <v>0</v>
      </c>
      <c r="AP136" s="532">
        <f t="shared" si="37"/>
        <v>293.83560000000006</v>
      </c>
      <c r="AQ136" s="34"/>
      <c r="AR136" s="35">
        <f t="shared" si="38"/>
        <v>6046.0000000000009</v>
      </c>
      <c r="AS136" s="36">
        <f ca="1">OFFSET(cod_desembolso!$A$1,AM136,23)</f>
        <v>1.07328</v>
      </c>
      <c r="AT136" s="37">
        <f ca="1">IF(AP136=0,0,AP136*(OFFSET(cod_desembolso!$A$1,AM136,23)))</f>
        <v>315.36787276800004</v>
      </c>
      <c r="AU136" s="38">
        <f>(constantes!$B$3*(1+constantes!$B$3)^(AI136))/((1+constantes!$B$3)^(AI136)-1)</f>
        <v>8.8827433387272267E-2</v>
      </c>
      <c r="AV136" s="37">
        <f t="shared" ca="1" si="39"/>
        <v>32.873318710785277</v>
      </c>
      <c r="AW136" s="37">
        <f ca="1">IF(AP136=0,AY136/constantes!$B$3,AV136/constantes!$B$3)</f>
        <v>410.91648388481593</v>
      </c>
      <c r="AX136" s="39">
        <f ca="1">IF(AP136=0,0,PV(constantes!$B$3,AI136,-AV136)*constantes!$B$3)</f>
        <v>29.606455985247969</v>
      </c>
      <c r="AY136" s="40">
        <f>2*constantes!$B$10*F136/1000</f>
        <v>4.8600000000000003</v>
      </c>
      <c r="AZ136" s="533">
        <f>constantes!$B$12</f>
        <v>0</v>
      </c>
      <c r="BA136" s="20">
        <v>319</v>
      </c>
      <c r="BE136" s="534"/>
      <c r="BF136" s="541"/>
      <c r="BG136" s="536"/>
      <c r="BH136" s="537"/>
    </row>
    <row r="137" spans="1:60" ht="14.45" hidden="1" customHeight="1">
      <c r="A137" s="125">
        <v>1309</v>
      </c>
      <c r="B137" s="125">
        <v>1309</v>
      </c>
      <c r="C137" s="639" t="s">
        <v>2378</v>
      </c>
      <c r="D137" s="639" t="s">
        <v>2378</v>
      </c>
      <c r="E137"/>
      <c r="F137" s="42">
        <v>172</v>
      </c>
      <c r="K137" s="548" t="s">
        <v>157</v>
      </c>
      <c r="L137" s="548" t="s">
        <v>157</v>
      </c>
      <c r="M137" s="23">
        <v>6</v>
      </c>
      <c r="N137" s="540"/>
      <c r="O137" s="287">
        <v>1.6719999999999999E-2</v>
      </c>
      <c r="P137" s="287">
        <v>5.4030000000000002E-2</v>
      </c>
      <c r="Q137" s="288">
        <f t="shared" si="31"/>
        <v>0.48401947928948963</v>
      </c>
      <c r="R137" s="30">
        <f t="shared" si="32"/>
        <v>83.251350437792212</v>
      </c>
      <c r="S137" s="30">
        <f t="shared" si="33"/>
        <v>88.748649562207788</v>
      </c>
      <c r="T137" s="42">
        <v>98.79790316851097</v>
      </c>
      <c r="U137" s="42">
        <v>93.143770977895883</v>
      </c>
      <c r="V137" s="42">
        <v>63.970647960414347</v>
      </c>
      <c r="W137" s="42">
        <v>77.09307964434764</v>
      </c>
      <c r="X137" s="288">
        <f t="shared" si="34"/>
        <v>0.48401947928948963</v>
      </c>
      <c r="Y137" s="289">
        <f t="shared" si="35"/>
        <v>83.251350437792212</v>
      </c>
      <c r="Z137" s="289">
        <f t="shared" si="36"/>
        <v>0</v>
      </c>
      <c r="AA137" s="42">
        <v>98.79790316851097</v>
      </c>
      <c r="AB137" s="42">
        <v>93.143770977895883</v>
      </c>
      <c r="AC137" s="42">
        <v>63.970647960414347</v>
      </c>
      <c r="AD137" s="42">
        <v>77.09307964434764</v>
      </c>
      <c r="AE137" s="106">
        <v>2</v>
      </c>
      <c r="AF137" s="32" t="str">
        <f>IF(AE137=0,"",VLOOKUP(AE137,tab_tipo_expansao!$A$2:$B$4,2,0))</f>
        <v>obrigatoria</v>
      </c>
      <c r="AG137" s="125">
        <v>2017</v>
      </c>
      <c r="AH137" s="23">
        <v>2100</v>
      </c>
      <c r="AI137" s="125">
        <v>30</v>
      </c>
      <c r="AJ137" s="106">
        <f t="shared" si="30"/>
        <v>1036.6439999999998</v>
      </c>
      <c r="AK137" s="24">
        <f>AL137/constantes!$B$4</f>
        <v>1545.3846153846152</v>
      </c>
      <c r="AL137">
        <v>6026.9999999999991</v>
      </c>
      <c r="AM137" s="87">
        <v>6</v>
      </c>
      <c r="AN137" s="531">
        <v>0</v>
      </c>
      <c r="AP137" s="532">
        <f t="shared" si="37"/>
        <v>1036.6439999999998</v>
      </c>
      <c r="AQ137" s="34"/>
      <c r="AR137" s="35">
        <f t="shared" si="38"/>
        <v>6026.9999999999991</v>
      </c>
      <c r="AS137" s="36">
        <f ca="1">OFFSET(cod_desembolso!$A$1,AM137,23)</f>
        <v>1.07328</v>
      </c>
      <c r="AT137" s="37">
        <f ca="1">IF(AP137=0,0,AP137*(OFFSET(cod_desembolso!$A$1,AM137,23)))</f>
        <v>1112.6092723199997</v>
      </c>
      <c r="AU137" s="38">
        <f>(constantes!$B$3*(1+constantes!$B$3)^(AI137))/((1+constantes!$B$3)^(AI137)-1)</f>
        <v>8.8827433387272267E-2</v>
      </c>
      <c r="AV137" s="37">
        <f t="shared" ca="1" si="39"/>
        <v>116.03022602306625</v>
      </c>
      <c r="AW137" s="37">
        <f ca="1">IF(AP137=0,AY137/constantes!$B$3,AV137/constantes!$B$3)</f>
        <v>1450.377825288328</v>
      </c>
      <c r="AX137" s="39">
        <f ca="1">IF(AP137=0,0,PV(constantes!$B$3,AI137,-AV137)*constantes!$B$3)</f>
        <v>104.49945166574341</v>
      </c>
      <c r="AY137" s="40">
        <f>2*constantes!$B$10*F137/1000</f>
        <v>17.2</v>
      </c>
      <c r="AZ137" s="533">
        <f>constantes!$B$12</f>
        <v>0</v>
      </c>
      <c r="BA137" s="20">
        <v>319</v>
      </c>
      <c r="BE137" s="534"/>
      <c r="BF137" s="541"/>
      <c r="BG137" s="536"/>
      <c r="BH137" s="537"/>
    </row>
    <row r="138" spans="1:60" ht="14.45" hidden="1" customHeight="1">
      <c r="A138" s="125">
        <v>1310</v>
      </c>
      <c r="B138" s="125">
        <v>1310</v>
      </c>
      <c r="C138" s="639" t="s">
        <v>2379</v>
      </c>
      <c r="D138" s="639" t="s">
        <v>2379</v>
      </c>
      <c r="E138"/>
      <c r="F138" s="42">
        <v>81.400000000000006</v>
      </c>
      <c r="K138" s="548" t="s">
        <v>152</v>
      </c>
      <c r="L138" s="548" t="s">
        <v>152</v>
      </c>
      <c r="M138" s="23">
        <v>1</v>
      </c>
      <c r="N138" s="540"/>
      <c r="O138" s="287">
        <v>2.5329999923706055E-2</v>
      </c>
      <c r="P138" s="287">
        <v>8.0909996032714843E-2</v>
      </c>
      <c r="Q138" s="288">
        <f t="shared" si="31"/>
        <v>0.54543211941776359</v>
      </c>
      <c r="R138" s="30">
        <f t="shared" si="32"/>
        <v>44.398174520605963</v>
      </c>
      <c r="S138" s="30">
        <f t="shared" si="33"/>
        <v>37.001825479394043</v>
      </c>
      <c r="T138" s="42">
        <v>41.804629737125026</v>
      </c>
      <c r="U138" s="42">
        <v>41.470578232072853</v>
      </c>
      <c r="V138" s="42">
        <v>48.380107071715109</v>
      </c>
      <c r="W138" s="42">
        <v>45.937383041510863</v>
      </c>
      <c r="X138" s="288">
        <f t="shared" si="34"/>
        <v>0.54543211941776359</v>
      </c>
      <c r="Y138" s="289">
        <f t="shared" si="35"/>
        <v>44.398174520605963</v>
      </c>
      <c r="Z138" s="289">
        <f t="shared" si="36"/>
        <v>0</v>
      </c>
      <c r="AA138" s="42">
        <v>41.804629737125026</v>
      </c>
      <c r="AB138" s="42">
        <v>41.470578232072853</v>
      </c>
      <c r="AC138" s="42">
        <v>48.380107071715109</v>
      </c>
      <c r="AD138" s="42">
        <v>45.937383041510863</v>
      </c>
      <c r="AE138" s="106">
        <v>2</v>
      </c>
      <c r="AF138" s="32" t="str">
        <f>IF(AE138=0,"",VLOOKUP(AE138,tab_tipo_expansao!$A$2:$B$4,2,0))</f>
        <v>obrigatoria</v>
      </c>
      <c r="AG138" s="125">
        <v>2018</v>
      </c>
      <c r="AH138" s="23">
        <v>2100</v>
      </c>
      <c r="AI138" s="125">
        <v>30</v>
      </c>
      <c r="AJ138" s="106">
        <f t="shared" si="30"/>
        <v>485.95800000000008</v>
      </c>
      <c r="AK138" s="24">
        <f>AL138/constantes!$B$4</f>
        <v>1530.7692307692307</v>
      </c>
      <c r="AL138">
        <v>5970</v>
      </c>
      <c r="AM138" s="87">
        <v>6</v>
      </c>
      <c r="AN138" s="531">
        <v>0</v>
      </c>
      <c r="AP138" s="532">
        <f t="shared" si="37"/>
        <v>485.95800000000008</v>
      </c>
      <c r="AQ138" s="34"/>
      <c r="AR138" s="35">
        <f t="shared" si="38"/>
        <v>5970</v>
      </c>
      <c r="AS138" s="36">
        <f ca="1">OFFSET(cod_desembolso!$A$1,AM138,23)</f>
        <v>1.07328</v>
      </c>
      <c r="AT138" s="37">
        <f ca="1">IF(AP138=0,0,AP138*(OFFSET(cod_desembolso!$A$1,AM138,23)))</f>
        <v>521.56900224000015</v>
      </c>
      <c r="AU138" s="38">
        <f>(constantes!$B$3*(1+constantes!$B$3)^(AI138))/((1+constantes!$B$3)^(AI138)-1)</f>
        <v>8.8827433387272267E-2</v>
      </c>
      <c r="AV138" s="37">
        <f t="shared" ca="1" si="39"/>
        <v>54.469635803339671</v>
      </c>
      <c r="AW138" s="37">
        <f ca="1">IF(AP138=0,AY138/constantes!$B$3,AV138/constantes!$B$3)</f>
        <v>680.87044754174588</v>
      </c>
      <c r="AX138" s="39">
        <f ca="1">IF(AP138=0,0,PV(constantes!$B$3,AI138,-AV138)*constantes!$B$3)</f>
        <v>49.056588692244624</v>
      </c>
      <c r="AY138" s="40">
        <f>2*constantes!$B$10*F138/1000</f>
        <v>8.14</v>
      </c>
      <c r="AZ138" s="533">
        <f>constantes!$B$12</f>
        <v>0</v>
      </c>
      <c r="BA138" s="20">
        <v>319</v>
      </c>
      <c r="BE138" s="534"/>
      <c r="BF138" s="541"/>
      <c r="BG138" s="536"/>
      <c r="BH138" s="537"/>
    </row>
    <row r="139" spans="1:60" ht="14.45" hidden="1" customHeight="1">
      <c r="A139" s="125">
        <v>1311</v>
      </c>
      <c r="B139" s="125">
        <v>1311</v>
      </c>
      <c r="C139" s="639" t="s">
        <v>2380</v>
      </c>
      <c r="D139" s="639" t="s">
        <v>2380</v>
      </c>
      <c r="E139"/>
      <c r="F139" s="42">
        <v>136.9</v>
      </c>
      <c r="K139" s="548" t="s">
        <v>153</v>
      </c>
      <c r="L139" s="548" t="s">
        <v>153</v>
      </c>
      <c r="M139" s="23">
        <v>2</v>
      </c>
      <c r="N139" s="540"/>
      <c r="O139" s="287">
        <v>2.5329999923706055E-2</v>
      </c>
      <c r="P139" s="287">
        <v>8.0909996032714843E-2</v>
      </c>
      <c r="Q139" s="288">
        <f t="shared" si="31"/>
        <v>0.48453019553945686</v>
      </c>
      <c r="R139" s="30">
        <f t="shared" si="32"/>
        <v>66.332183769351644</v>
      </c>
      <c r="S139" s="30">
        <f t="shared" si="33"/>
        <v>70.567816230648361</v>
      </c>
      <c r="T139" s="42">
        <v>78.719211574798734</v>
      </c>
      <c r="U139" s="42">
        <v>74.214168310613658</v>
      </c>
      <c r="V139" s="42">
        <v>50.969897233383968</v>
      </c>
      <c r="W139" s="42">
        <v>61.425457958610217</v>
      </c>
      <c r="X139" s="288">
        <f t="shared" si="34"/>
        <v>0.48453019553945686</v>
      </c>
      <c r="Y139" s="289">
        <f t="shared" si="35"/>
        <v>66.332183769351644</v>
      </c>
      <c r="Z139" s="289">
        <f t="shared" si="36"/>
        <v>0</v>
      </c>
      <c r="AA139" s="42">
        <v>78.719211574798734</v>
      </c>
      <c r="AB139" s="42">
        <v>74.214168310613658</v>
      </c>
      <c r="AC139" s="42">
        <v>50.969897233383968</v>
      </c>
      <c r="AD139" s="42">
        <v>61.425457958610217</v>
      </c>
      <c r="AE139" s="106">
        <v>2</v>
      </c>
      <c r="AF139" s="32" t="str">
        <f>IF(AE139=0,"",VLOOKUP(AE139,tab_tipo_expansao!$A$2:$B$4,2,0))</f>
        <v>obrigatoria</v>
      </c>
      <c r="AG139" s="125">
        <v>2018</v>
      </c>
      <c r="AH139" s="23">
        <v>2100</v>
      </c>
      <c r="AI139" s="125">
        <v>30</v>
      </c>
      <c r="AJ139" s="106">
        <f t="shared" si="30"/>
        <v>827.69740000000002</v>
      </c>
      <c r="AK139" s="24">
        <f>AL139/constantes!$B$4</f>
        <v>1550.2564102564104</v>
      </c>
      <c r="AL139">
        <v>6046</v>
      </c>
      <c r="AM139" s="87">
        <v>6</v>
      </c>
      <c r="AN139" s="531">
        <v>0</v>
      </c>
      <c r="AP139" s="532">
        <f t="shared" si="37"/>
        <v>827.69740000000002</v>
      </c>
      <c r="AQ139" s="34"/>
      <c r="AR139" s="35">
        <f t="shared" si="38"/>
        <v>6046</v>
      </c>
      <c r="AS139" s="36">
        <f ca="1">OFFSET(cod_desembolso!$A$1,AM139,23)</f>
        <v>1.07328</v>
      </c>
      <c r="AT139" s="37">
        <f ca="1">IF(AP139=0,0,AP139*(OFFSET(cod_desembolso!$A$1,AM139,23)))</f>
        <v>888.35106547200007</v>
      </c>
      <c r="AU139" s="38">
        <f>(constantes!$B$3*(1+constantes!$B$3)^(AI139))/((1+constantes!$B$3)^(AI139)-1)</f>
        <v>8.8827433387272267E-2</v>
      </c>
      <c r="AV139" s="37">
        <f t="shared" ca="1" si="39"/>
        <v>92.599945092726429</v>
      </c>
      <c r="AW139" s="37">
        <f ca="1">IF(AP139=0,AY139/constantes!$B$3,AV139/constantes!$B$3)</f>
        <v>1157.4993136590804</v>
      </c>
      <c r="AX139" s="39">
        <f ca="1">IF(AP139=0,0,PV(constantes!$B$3,AI139,-AV139)*constantes!$B$3)</f>
        <v>83.39760955515321</v>
      </c>
      <c r="AY139" s="40">
        <f>2*constantes!$B$10*F139/1000</f>
        <v>13.69</v>
      </c>
      <c r="AZ139" s="533">
        <f>constantes!$B$12</f>
        <v>0</v>
      </c>
      <c r="BA139" s="20">
        <v>319</v>
      </c>
      <c r="BE139" s="534"/>
      <c r="BF139" s="541"/>
      <c r="BG139" s="536"/>
      <c r="BH139" s="537"/>
    </row>
    <row r="140" spans="1:60" ht="14.45" hidden="1" customHeight="1">
      <c r="A140" s="125">
        <v>1312</v>
      </c>
      <c r="B140" s="125">
        <v>1312</v>
      </c>
      <c r="C140" s="639" t="s">
        <v>2381</v>
      </c>
      <c r="D140" s="639" t="s">
        <v>2381</v>
      </c>
      <c r="E140"/>
      <c r="F140" s="42">
        <v>37.9</v>
      </c>
      <c r="K140" s="548" t="s">
        <v>152</v>
      </c>
      <c r="L140" s="548" t="s">
        <v>152</v>
      </c>
      <c r="M140" s="23">
        <v>1</v>
      </c>
      <c r="N140" s="540"/>
      <c r="O140" s="287">
        <v>2.5329999923706055E-2</v>
      </c>
      <c r="P140" s="287">
        <v>8.0909996032714843E-2</v>
      </c>
      <c r="Q140" s="288">
        <f t="shared" si="31"/>
        <v>0.54510398556895689</v>
      </c>
      <c r="R140" s="30">
        <f t="shared" si="32"/>
        <v>20.659441053063464</v>
      </c>
      <c r="S140" s="30">
        <f t="shared" si="33"/>
        <v>17.240558946936535</v>
      </c>
      <c r="T140" s="42">
        <v>19.452607975997722</v>
      </c>
      <c r="U140" s="42">
        <v>19.297166509049358</v>
      </c>
      <c r="V140" s="42">
        <v>22.512321305577757</v>
      </c>
      <c r="W140" s="42">
        <v>21.375668421629015</v>
      </c>
      <c r="X140" s="288">
        <f t="shared" si="34"/>
        <v>0.54510398556895689</v>
      </c>
      <c r="Y140" s="289">
        <f t="shared" si="35"/>
        <v>20.659441053063464</v>
      </c>
      <c r="Z140" s="289">
        <f t="shared" si="36"/>
        <v>0</v>
      </c>
      <c r="AA140" s="42">
        <v>19.452607975997722</v>
      </c>
      <c r="AB140" s="42">
        <v>19.297166509049358</v>
      </c>
      <c r="AC140" s="42">
        <v>22.512321305577757</v>
      </c>
      <c r="AD140" s="42">
        <v>21.375668421629015</v>
      </c>
      <c r="AE140" s="106">
        <v>2</v>
      </c>
      <c r="AF140" s="32" t="str">
        <f>IF(AE140=0,"",VLOOKUP(AE140,tab_tipo_expansao!$A$2:$B$4,2,0))</f>
        <v>obrigatoria</v>
      </c>
      <c r="AG140" s="125">
        <v>2019</v>
      </c>
      <c r="AH140" s="23">
        <v>2100</v>
      </c>
      <c r="AI140" s="125">
        <v>30</v>
      </c>
      <c r="AJ140" s="106">
        <f t="shared" si="30"/>
        <v>226.26300000000001</v>
      </c>
      <c r="AK140" s="24">
        <f>AL140/constantes!$B$4</f>
        <v>1530.7692307692307</v>
      </c>
      <c r="AL140">
        <v>5970</v>
      </c>
      <c r="AM140" s="87">
        <v>6</v>
      </c>
      <c r="AN140" s="531">
        <v>0</v>
      </c>
      <c r="AP140" s="532">
        <f t="shared" si="37"/>
        <v>226.26300000000001</v>
      </c>
      <c r="AQ140" s="34"/>
      <c r="AR140" s="35">
        <f t="shared" si="38"/>
        <v>5970</v>
      </c>
      <c r="AS140" s="36">
        <f ca="1">OFFSET(cod_desembolso!$A$1,AM140,23)</f>
        <v>1.07328</v>
      </c>
      <c r="AT140" s="37">
        <f ca="1">IF(AP140=0,0,AP140*(OFFSET(cod_desembolso!$A$1,AM140,23)))</f>
        <v>242.84355264000001</v>
      </c>
      <c r="AU140" s="38">
        <f>(constantes!$B$3*(1+constantes!$B$3)^(AI140))/((1+constantes!$B$3)^(AI140)-1)</f>
        <v>8.8827433387272267E-2</v>
      </c>
      <c r="AV140" s="37">
        <f t="shared" ca="1" si="39"/>
        <v>25.361169495658146</v>
      </c>
      <c r="AW140" s="37">
        <f ca="1">IF(AP140=0,AY140/constantes!$B$3,AV140/constantes!$B$3)</f>
        <v>317.01461869572682</v>
      </c>
      <c r="AX140" s="39">
        <f ca="1">IF(AP140=0,0,PV(constantes!$B$3,AI140,-AV140)*constantes!$B$3)</f>
        <v>22.840844120836255</v>
      </c>
      <c r="AY140" s="40">
        <f>2*constantes!$B$10*F140/1000</f>
        <v>3.79</v>
      </c>
      <c r="AZ140" s="533">
        <f>constantes!$B$12</f>
        <v>0</v>
      </c>
      <c r="BA140" s="20">
        <v>319</v>
      </c>
      <c r="BE140" s="534"/>
      <c r="BF140" s="541"/>
      <c r="BG140" s="536"/>
      <c r="BH140" s="537"/>
    </row>
    <row r="141" spans="1:60" ht="14.45" hidden="1" customHeight="1">
      <c r="A141" s="125">
        <v>1313</v>
      </c>
      <c r="B141" s="125">
        <v>1313</v>
      </c>
      <c r="C141" s="639" t="s">
        <v>2382</v>
      </c>
      <c r="D141" s="639" t="s">
        <v>2382</v>
      </c>
      <c r="E141"/>
      <c r="F141" s="42">
        <v>85.2</v>
      </c>
      <c r="K141" s="548" t="s">
        <v>153</v>
      </c>
      <c r="L141" s="548" t="s">
        <v>153</v>
      </c>
      <c r="M141" s="23">
        <v>2</v>
      </c>
      <c r="N141" s="540"/>
      <c r="O141" s="287">
        <v>1.6719999999999999E-2</v>
      </c>
      <c r="P141" s="287">
        <v>5.4030000000000002E-2</v>
      </c>
      <c r="Q141" s="288">
        <f t="shared" si="31"/>
        <v>0.48466894194017429</v>
      </c>
      <c r="R141" s="30">
        <f t="shared" si="32"/>
        <v>41.293793853302851</v>
      </c>
      <c r="S141" s="30">
        <f t="shared" si="33"/>
        <v>43.906206146697151</v>
      </c>
      <c r="T141" s="42">
        <v>49.005093912891745</v>
      </c>
      <c r="U141" s="42">
        <v>46.200568005854997</v>
      </c>
      <c r="V141" s="42">
        <v>31.730305101938626</v>
      </c>
      <c r="W141" s="42">
        <v>38.239208392526045</v>
      </c>
      <c r="X141" s="288">
        <f t="shared" si="34"/>
        <v>0.48466894194017429</v>
      </c>
      <c r="Y141" s="289">
        <f t="shared" si="35"/>
        <v>41.293793853302851</v>
      </c>
      <c r="Z141" s="289">
        <f t="shared" si="36"/>
        <v>0</v>
      </c>
      <c r="AA141" s="42">
        <v>49.005093912891745</v>
      </c>
      <c r="AB141" s="42">
        <v>46.200568005854997</v>
      </c>
      <c r="AC141" s="42">
        <v>31.730305101938626</v>
      </c>
      <c r="AD141" s="42">
        <v>38.239208392526045</v>
      </c>
      <c r="AE141" s="106">
        <v>2</v>
      </c>
      <c r="AF141" s="32" t="str">
        <f>IF(AE141=0,"",VLOOKUP(AE141,tab_tipo_expansao!$A$2:$B$4,2,0))</f>
        <v>obrigatoria</v>
      </c>
      <c r="AG141" s="125">
        <v>2019</v>
      </c>
      <c r="AH141" s="23">
        <v>2100</v>
      </c>
      <c r="AI141" s="125">
        <v>30</v>
      </c>
      <c r="AJ141" s="106">
        <f t="shared" si="30"/>
        <v>515.11919999999998</v>
      </c>
      <c r="AK141" s="24">
        <f>AL141/constantes!$B$4</f>
        <v>1550.2564102564104</v>
      </c>
      <c r="AL141">
        <v>6046</v>
      </c>
      <c r="AM141" s="87">
        <v>6</v>
      </c>
      <c r="AN141" s="531">
        <v>0</v>
      </c>
      <c r="AP141" s="532">
        <f t="shared" si="37"/>
        <v>515.11919999999998</v>
      </c>
      <c r="AQ141" s="34"/>
      <c r="AR141" s="35">
        <f t="shared" si="38"/>
        <v>6045.9999999999991</v>
      </c>
      <c r="AS141" s="36">
        <f ca="1">OFFSET(cod_desembolso!$A$1,AM141,23)</f>
        <v>1.07328</v>
      </c>
      <c r="AT141" s="37">
        <f ca="1">IF(AP141=0,0,AP141*(OFFSET(cod_desembolso!$A$1,AM141,23)))</f>
        <v>552.86713497599999</v>
      </c>
      <c r="AU141" s="38">
        <f>(constantes!$B$3*(1+constantes!$B$3)^(AI141))/((1+constantes!$B$3)^(AI141)-1)</f>
        <v>8.8827433387272267E-2</v>
      </c>
      <c r="AV141" s="37">
        <f t="shared" ca="1" si="39"/>
        <v>57.629768604092703</v>
      </c>
      <c r="AW141" s="37">
        <f ca="1">IF(AP141=0,AY141/constantes!$B$3,AV141/constantes!$B$3)</f>
        <v>720.37210755115882</v>
      </c>
      <c r="AX141" s="39">
        <f ca="1">IF(AP141=0,0,PV(constantes!$B$3,AI141,-AV141)*constantes!$B$3)</f>
        <v>51.902675924755684</v>
      </c>
      <c r="AY141" s="40">
        <f>2*constantes!$B$10*F141/1000</f>
        <v>8.52</v>
      </c>
      <c r="AZ141" s="533">
        <f>constantes!$B$12</f>
        <v>0</v>
      </c>
      <c r="BA141" s="20">
        <v>319</v>
      </c>
      <c r="BE141" s="534"/>
      <c r="BF141" s="541"/>
      <c r="BG141" s="536"/>
      <c r="BH141" s="537"/>
    </row>
    <row r="142" spans="1:60" ht="14.45" hidden="1" customHeight="1">
      <c r="A142" s="125">
        <v>1314</v>
      </c>
      <c r="B142" s="125">
        <v>1314</v>
      </c>
      <c r="C142" s="639" t="s">
        <v>2383</v>
      </c>
      <c r="D142" s="639" t="s">
        <v>2383</v>
      </c>
      <c r="E142"/>
      <c r="F142" s="42">
        <v>1.3</v>
      </c>
      <c r="K142" s="548" t="s">
        <v>152</v>
      </c>
      <c r="L142" s="548" t="s">
        <v>152</v>
      </c>
      <c r="M142" s="23">
        <v>1</v>
      </c>
      <c r="N142" s="540"/>
      <c r="O142" s="287">
        <v>2.5329999923706055E-2</v>
      </c>
      <c r="P142" s="287">
        <v>8.0909996032714843E-2</v>
      </c>
      <c r="Q142" s="288">
        <f t="shared" si="31"/>
        <v>0.47480837705311274</v>
      </c>
      <c r="R142" s="30">
        <f t="shared" si="32"/>
        <v>0.61725089016904655</v>
      </c>
      <c r="S142" s="30">
        <f t="shared" si="33"/>
        <v>0.68274910983095349</v>
      </c>
      <c r="T142" s="42">
        <v>0.73251777126626882</v>
      </c>
      <c r="U142" s="42">
        <v>0.69059631162101709</v>
      </c>
      <c r="V142" s="42">
        <v>0.47429788454616695</v>
      </c>
      <c r="W142" s="42">
        <v>0.57159159324273356</v>
      </c>
      <c r="X142" s="288">
        <f t="shared" si="34"/>
        <v>0.47480837705311274</v>
      </c>
      <c r="Y142" s="289">
        <f t="shared" si="35"/>
        <v>0.61725089016904655</v>
      </c>
      <c r="Z142" s="289">
        <f t="shared" si="36"/>
        <v>0</v>
      </c>
      <c r="AA142" s="42">
        <v>0.73251777126626882</v>
      </c>
      <c r="AB142" s="42">
        <v>0.69059631162101709</v>
      </c>
      <c r="AC142" s="42">
        <v>0.47429788454616695</v>
      </c>
      <c r="AD142" s="42">
        <v>0.57159159324273356</v>
      </c>
      <c r="AE142" s="106">
        <v>2</v>
      </c>
      <c r="AF142" s="32" t="str">
        <f>IF(AE142=0,"",VLOOKUP(AE142,tab_tipo_expansao!$A$2:$B$4,2,0))</f>
        <v>obrigatoria</v>
      </c>
      <c r="AG142" s="125">
        <v>2020</v>
      </c>
      <c r="AH142" s="23">
        <v>2100</v>
      </c>
      <c r="AI142" s="125">
        <v>30</v>
      </c>
      <c r="AJ142" s="106">
        <f t="shared" si="30"/>
        <v>7.7610000000000001</v>
      </c>
      <c r="AK142" s="24">
        <f>AL142/constantes!$B$4</f>
        <v>1530.7692307692307</v>
      </c>
      <c r="AL142">
        <v>5970</v>
      </c>
      <c r="AM142" s="87">
        <v>6</v>
      </c>
      <c r="AN142" s="531">
        <v>0</v>
      </c>
      <c r="AP142" s="532">
        <f t="shared" si="37"/>
        <v>7.7610000000000001</v>
      </c>
      <c r="AQ142" s="34"/>
      <c r="AR142" s="35">
        <f t="shared" si="38"/>
        <v>5970</v>
      </c>
      <c r="AS142" s="36">
        <f ca="1">OFFSET(cod_desembolso!$A$1,AM142,23)</f>
        <v>1.07328</v>
      </c>
      <c r="AT142" s="37">
        <f ca="1">IF(AP142=0,0,AP142*(OFFSET(cod_desembolso!$A$1,AM142,23)))</f>
        <v>8.3297260800000004</v>
      </c>
      <c r="AU142" s="38">
        <f>(constantes!$B$3*(1+constantes!$B$3)^(AI142))/((1+constantes!$B$3)^(AI142)-1)</f>
        <v>8.8827433387272267E-2</v>
      </c>
      <c r="AV142" s="37">
        <f t="shared" ca="1" si="39"/>
        <v>0.86990818850542462</v>
      </c>
      <c r="AW142" s="37">
        <f ca="1">IF(AP142=0,AY142/constantes!$B$3,AV142/constantes!$B$3)</f>
        <v>10.873852356317807</v>
      </c>
      <c r="AX142" s="39">
        <f ca="1">IF(AP142=0,0,PV(constantes!$B$3,AI142,-AV142)*constantes!$B$3)</f>
        <v>0.78345903316852583</v>
      </c>
      <c r="AY142" s="40">
        <f>2*constantes!$B$10*F142/1000</f>
        <v>0.13</v>
      </c>
      <c r="AZ142" s="533">
        <f>constantes!$B$12</f>
        <v>0</v>
      </c>
      <c r="BA142" s="20">
        <v>319</v>
      </c>
      <c r="BE142" s="534"/>
      <c r="BF142" s="541"/>
      <c r="BG142" s="536"/>
      <c r="BH142" s="537"/>
    </row>
    <row r="143" spans="1:60" ht="14.45" hidden="1" customHeight="1">
      <c r="A143" s="125">
        <v>1315</v>
      </c>
      <c r="B143" s="125">
        <v>1315</v>
      </c>
      <c r="C143" s="639" t="s">
        <v>2384</v>
      </c>
      <c r="D143" s="639" t="s">
        <v>2384</v>
      </c>
      <c r="E143"/>
      <c r="F143" s="42">
        <v>13.7</v>
      </c>
      <c r="G143" s="21"/>
      <c r="H143" s="17"/>
      <c r="I143" s="17"/>
      <c r="K143" s="548" t="s">
        <v>153</v>
      </c>
      <c r="L143" s="548" t="s">
        <v>153</v>
      </c>
      <c r="M143" s="23">
        <v>2</v>
      </c>
      <c r="N143" s="540"/>
      <c r="O143" s="287">
        <v>2.5329999923706055E-2</v>
      </c>
      <c r="P143" s="287">
        <v>8.0909996032714843E-2</v>
      </c>
      <c r="Q143" s="288">
        <f t="shared" si="31"/>
        <v>0.32096847562319974</v>
      </c>
      <c r="R143" s="30">
        <f t="shared" si="32"/>
        <v>4.3972681160378366</v>
      </c>
      <c r="S143" s="30">
        <f t="shared" si="33"/>
        <v>9.3027318839621636</v>
      </c>
      <c r="T143" s="42">
        <v>3.9637912969033731</v>
      </c>
      <c r="U143" s="42">
        <v>4.2694352040082917</v>
      </c>
      <c r="V143" s="42">
        <v>4.9967073277161482</v>
      </c>
      <c r="W143" s="42">
        <v>4.3591386355235349</v>
      </c>
      <c r="X143" s="288">
        <f t="shared" si="34"/>
        <v>0.32096847562319974</v>
      </c>
      <c r="Y143" s="289">
        <f t="shared" si="35"/>
        <v>4.3972681160378366</v>
      </c>
      <c r="Z143" s="289">
        <f t="shared" si="36"/>
        <v>0</v>
      </c>
      <c r="AA143" s="42">
        <v>3.9637912969033731</v>
      </c>
      <c r="AB143" s="42">
        <v>4.2694352040082917</v>
      </c>
      <c r="AC143" s="42">
        <v>4.9967073277161482</v>
      </c>
      <c r="AD143" s="42">
        <v>4.3591386355235349</v>
      </c>
      <c r="AE143" s="106">
        <v>2</v>
      </c>
      <c r="AF143" s="32" t="str">
        <f>IF(AE143=0,"",VLOOKUP(AE143,tab_tipo_expansao!$A$2:$B$4,2,0))</f>
        <v>obrigatoria</v>
      </c>
      <c r="AG143" s="125">
        <v>2020</v>
      </c>
      <c r="AH143" s="23">
        <v>2100</v>
      </c>
      <c r="AI143" s="125">
        <v>30</v>
      </c>
      <c r="AJ143" s="106">
        <f t="shared" si="30"/>
        <v>82.830199999999991</v>
      </c>
      <c r="AK143" s="24">
        <f>AL143/constantes!$B$4</f>
        <v>1550.2564102564104</v>
      </c>
      <c r="AL143">
        <v>6046</v>
      </c>
      <c r="AM143" s="87">
        <v>6</v>
      </c>
      <c r="AN143" s="531">
        <v>0</v>
      </c>
      <c r="AP143" s="532">
        <f t="shared" si="37"/>
        <v>82.830199999999991</v>
      </c>
      <c r="AQ143" s="34"/>
      <c r="AR143" s="35">
        <f t="shared" si="38"/>
        <v>6046</v>
      </c>
      <c r="AS143" s="36">
        <f ca="1">OFFSET(cod_desembolso!$A$1,AM143,23)</f>
        <v>1.07328</v>
      </c>
      <c r="AT143" s="37">
        <f ca="1">IF(AP143=0,0,AP143*(OFFSET(cod_desembolso!$A$1,AM143,23)))</f>
        <v>88.899997055999989</v>
      </c>
      <c r="AU143" s="38">
        <f>(constantes!$B$3*(1+constantes!$B$3)^(AI143))/((1+constantes!$B$3)^(AI143)-1)</f>
        <v>8.8827433387272267E-2</v>
      </c>
      <c r="AV143" s="37">
        <f t="shared" ca="1" si="39"/>
        <v>9.2667585666205401</v>
      </c>
      <c r="AW143" s="37">
        <f ca="1">IF(AP143=0,AY143/constantes!$B$3,AV143/constantes!$B$3)</f>
        <v>115.83448208275675</v>
      </c>
      <c r="AX143" s="39">
        <f ca="1">IF(AP143=0,0,PV(constantes!$B$3,AI143,-AV143)*constantes!$B$3)</f>
        <v>8.3458528188867724</v>
      </c>
      <c r="AY143" s="40">
        <f>2*constantes!$B$10*F143/1000</f>
        <v>1.37</v>
      </c>
      <c r="AZ143" s="533">
        <f>constantes!$B$12</f>
        <v>0</v>
      </c>
      <c r="BA143" s="20">
        <v>319</v>
      </c>
      <c r="BE143" s="534"/>
      <c r="BF143" s="541"/>
      <c r="BG143" s="536"/>
      <c r="BH143" s="537"/>
    </row>
    <row r="144" spans="1:60" ht="14.45" hidden="1" customHeight="1">
      <c r="A144" s="125">
        <v>1316</v>
      </c>
      <c r="B144" s="125">
        <v>1316</v>
      </c>
      <c r="C144" s="639" t="s">
        <v>2385</v>
      </c>
      <c r="D144" s="639" t="s">
        <v>2385</v>
      </c>
      <c r="E144"/>
      <c r="F144" s="42">
        <v>92</v>
      </c>
      <c r="K144" s="548" t="s">
        <v>154</v>
      </c>
      <c r="L144" s="548" t="s">
        <v>154</v>
      </c>
      <c r="M144" s="23">
        <v>3</v>
      </c>
      <c r="N144" s="540"/>
      <c r="O144" s="287">
        <v>1.6719999999999999E-2</v>
      </c>
      <c r="P144" s="287">
        <v>5.4030000000000002E-2</v>
      </c>
      <c r="Q144" s="288">
        <f t="shared" si="31"/>
        <v>0.54510398556895689</v>
      </c>
      <c r="R144" s="30">
        <f t="shared" si="32"/>
        <v>50.149566672344029</v>
      </c>
      <c r="S144" s="30">
        <f t="shared" si="33"/>
        <v>41.850433327655971</v>
      </c>
      <c r="T144" s="42">
        <v>47.220051023530097</v>
      </c>
      <c r="U144" s="42">
        <v>46.842726090568362</v>
      </c>
      <c r="V144" s="42">
        <v>54.647323485835187</v>
      </c>
      <c r="W144" s="42">
        <v>51.888166089442471</v>
      </c>
      <c r="X144" s="288">
        <f t="shared" si="34"/>
        <v>0.54510398556895689</v>
      </c>
      <c r="Y144" s="289">
        <f t="shared" si="35"/>
        <v>50.149566672344029</v>
      </c>
      <c r="Z144" s="289">
        <f t="shared" si="36"/>
        <v>0</v>
      </c>
      <c r="AA144" s="42">
        <v>47.220051023530097</v>
      </c>
      <c r="AB144" s="42">
        <v>46.842726090568362</v>
      </c>
      <c r="AC144" s="42">
        <v>54.647323485835187</v>
      </c>
      <c r="AD144" s="42">
        <v>51.888166089442471</v>
      </c>
      <c r="AE144" s="106">
        <v>2</v>
      </c>
      <c r="AF144" s="32" t="str">
        <f>IF(AE144=0,"",VLOOKUP(AE144,tab_tipo_expansao!$A$2:$B$4,2,0))</f>
        <v>obrigatoria</v>
      </c>
      <c r="AG144" s="125">
        <v>2020</v>
      </c>
      <c r="AH144" s="23">
        <v>2100</v>
      </c>
      <c r="AI144" s="125">
        <v>30</v>
      </c>
      <c r="AJ144" s="106">
        <f t="shared" si="30"/>
        <v>554.48400000000004</v>
      </c>
      <c r="AK144" s="24">
        <f>AL144/constantes!$B$4</f>
        <v>1545.3846153846155</v>
      </c>
      <c r="AL144">
        <v>6027</v>
      </c>
      <c r="AM144" s="87">
        <v>6</v>
      </c>
      <c r="AN144" s="531">
        <v>0</v>
      </c>
      <c r="AP144" s="532">
        <f t="shared" si="37"/>
        <v>554.48400000000004</v>
      </c>
      <c r="AQ144" s="34"/>
      <c r="AR144" s="35">
        <f t="shared" si="38"/>
        <v>6027</v>
      </c>
      <c r="AS144" s="36">
        <f ca="1">OFFSET(cod_desembolso!$A$1,AM144,23)</f>
        <v>1.07328</v>
      </c>
      <c r="AT144" s="37">
        <f ca="1">IF(AP144=0,0,AP144*(OFFSET(cod_desembolso!$A$1,AM144,23)))</f>
        <v>595.11658752000005</v>
      </c>
      <c r="AU144" s="38">
        <f>(constantes!$B$3*(1+constantes!$B$3)^(AI144))/((1+constantes!$B$3)^(AI144)-1)</f>
        <v>8.8827433387272267E-2</v>
      </c>
      <c r="AV144" s="37">
        <f t="shared" ca="1" si="39"/>
        <v>62.06267903559359</v>
      </c>
      <c r="AW144" s="37">
        <f ca="1">IF(AP144=0,AY144/constantes!$B$3,AV144/constantes!$B$3)</f>
        <v>775.7834879449199</v>
      </c>
      <c r="AX144" s="39">
        <f ca="1">IF(AP144=0,0,PV(constantes!$B$3,AI144,-AV144)*constantes!$B$3)</f>
        <v>55.89505554214184</v>
      </c>
      <c r="AY144" s="40">
        <f>2*constantes!$B$10*F144/1000</f>
        <v>9.1999999999999993</v>
      </c>
      <c r="AZ144" s="533">
        <f>constantes!$B$12</f>
        <v>0</v>
      </c>
      <c r="BA144" s="20">
        <v>319</v>
      </c>
      <c r="BE144" s="534"/>
      <c r="BF144" s="541"/>
      <c r="BG144" s="536"/>
      <c r="BH144" s="537"/>
    </row>
    <row r="145" spans="1:60" ht="14.45" hidden="1" customHeight="1">
      <c r="A145" s="125">
        <v>1317</v>
      </c>
      <c r="B145" s="125">
        <v>1317</v>
      </c>
      <c r="C145" s="639" t="s">
        <v>2386</v>
      </c>
      <c r="D145" s="639" t="s">
        <v>2386</v>
      </c>
      <c r="E145"/>
      <c r="F145" s="42">
        <v>157.5</v>
      </c>
      <c r="K145" s="548" t="s">
        <v>157</v>
      </c>
      <c r="L145" s="548" t="s">
        <v>157</v>
      </c>
      <c r="M145" s="23">
        <v>6</v>
      </c>
      <c r="N145" s="540"/>
      <c r="O145" s="287">
        <v>1.6719999999999999E-2</v>
      </c>
      <c r="P145" s="287">
        <v>5.4030000000000002E-2</v>
      </c>
      <c r="Q145" s="288">
        <f t="shared" si="31"/>
        <v>0.48462446731016806</v>
      </c>
      <c r="R145" s="30">
        <f t="shared" si="32"/>
        <v>76.328353601351466</v>
      </c>
      <c r="S145" s="30">
        <f t="shared" si="33"/>
        <v>81.171646398648534</v>
      </c>
      <c r="T145" s="42">
        <v>90.582089641333809</v>
      </c>
      <c r="U145" s="42">
        <v>85.398142487509162</v>
      </c>
      <c r="V145" s="42">
        <v>58.650991388765846</v>
      </c>
      <c r="W145" s="42">
        <v>70.682190887797077</v>
      </c>
      <c r="X145" s="288">
        <f t="shared" si="34"/>
        <v>0.48462446731016806</v>
      </c>
      <c r="Y145" s="289">
        <f t="shared" si="35"/>
        <v>76.328353601351466</v>
      </c>
      <c r="Z145" s="289">
        <f t="shared" si="36"/>
        <v>0</v>
      </c>
      <c r="AA145" s="42">
        <v>90.582089641333809</v>
      </c>
      <c r="AB145" s="42">
        <v>85.398142487509162</v>
      </c>
      <c r="AC145" s="42">
        <v>58.650991388765846</v>
      </c>
      <c r="AD145" s="42">
        <v>70.682190887797077</v>
      </c>
      <c r="AE145" s="106">
        <v>2</v>
      </c>
      <c r="AF145" s="32" t="str">
        <f>IF(AE145=0,"",VLOOKUP(AE145,tab_tipo_expansao!$A$2:$B$4,2,0))</f>
        <v>obrigatoria</v>
      </c>
      <c r="AG145" s="125">
        <v>2020</v>
      </c>
      <c r="AH145" s="23">
        <v>2100</v>
      </c>
      <c r="AI145" s="125">
        <v>30</v>
      </c>
      <c r="AJ145" s="106">
        <f t="shared" si="30"/>
        <v>949.25249999999983</v>
      </c>
      <c r="AK145" s="24">
        <f>AL145/constantes!$B$4</f>
        <v>1545.3846153846152</v>
      </c>
      <c r="AL145">
        <v>6026.9999999999991</v>
      </c>
      <c r="AM145" s="87">
        <v>6</v>
      </c>
      <c r="AN145" s="531">
        <v>0</v>
      </c>
      <c r="AP145" s="532">
        <f t="shared" si="37"/>
        <v>949.25249999999983</v>
      </c>
      <c r="AQ145" s="34"/>
      <c r="AR145" s="35">
        <f t="shared" si="38"/>
        <v>6026.9999999999991</v>
      </c>
      <c r="AS145" s="36">
        <f ca="1">OFFSET(cod_desembolso!$A$1,AM145,23)</f>
        <v>1.07328</v>
      </c>
      <c r="AT145" s="37">
        <f ca="1">IF(AP145=0,0,AP145*(OFFSET(cod_desembolso!$A$1,AM145,23)))</f>
        <v>1018.8137231999998</v>
      </c>
      <c r="AU145" s="38">
        <f>(constantes!$B$3*(1+constantes!$B$3)^(AI145))/((1+constantes!$B$3)^(AI145)-1)</f>
        <v>8.8827433387272267E-2</v>
      </c>
      <c r="AV145" s="37">
        <f t="shared" ca="1" si="39"/>
        <v>106.24860813158683</v>
      </c>
      <c r="AW145" s="37">
        <f ca="1">IF(AP145=0,AY145/constantes!$B$3,AV145/constantes!$B$3)</f>
        <v>1328.1076016448353</v>
      </c>
      <c r="AX145" s="39">
        <f ca="1">IF(AP145=0,0,PV(constantes!$B$3,AI145,-AV145)*constantes!$B$3)</f>
        <v>95.689904868340619</v>
      </c>
      <c r="AY145" s="40">
        <f>2*constantes!$B$10*F145/1000</f>
        <v>15.75</v>
      </c>
      <c r="AZ145" s="533">
        <f>constantes!$B$12</f>
        <v>0</v>
      </c>
      <c r="BA145" s="20">
        <v>319</v>
      </c>
      <c r="BE145" s="534"/>
      <c r="BF145" s="541"/>
      <c r="BG145" s="536"/>
      <c r="BH145" s="537"/>
    </row>
    <row r="146" spans="1:60" ht="15" hidden="1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1"/>
      <c r="F146" s="42">
        <v>812</v>
      </c>
      <c r="K146" s="548" t="s">
        <v>155</v>
      </c>
      <c r="L146" s="548" t="s">
        <v>155</v>
      </c>
      <c r="M146" s="23">
        <v>4</v>
      </c>
      <c r="N146" s="540"/>
      <c r="O146" s="287">
        <v>1.6719999999999999E-2</v>
      </c>
      <c r="P146" s="287">
        <v>5.4030000000000002E-2</v>
      </c>
      <c r="Q146" s="288">
        <f t="shared" si="31"/>
        <v>0.53361857228515952</v>
      </c>
      <c r="R146" s="30">
        <f t="shared" si="32"/>
        <v>433.29828069554952</v>
      </c>
      <c r="S146" s="30">
        <f t="shared" si="33"/>
        <v>378.70171930445048</v>
      </c>
      <c r="T146" s="42">
        <v>501.29011778760963</v>
      </c>
      <c r="U146" s="42">
        <v>470.76943999079833</v>
      </c>
      <c r="V146" s="42">
        <v>353.64534351984565</v>
      </c>
      <c r="W146" s="42">
        <v>407.48822148394441</v>
      </c>
      <c r="X146" s="288">
        <f t="shared" si="34"/>
        <v>0.53361857228515952</v>
      </c>
      <c r="Y146" s="289">
        <f t="shared" si="35"/>
        <v>433.29828069554952</v>
      </c>
      <c r="Z146" s="289">
        <f t="shared" si="36"/>
        <v>0</v>
      </c>
      <c r="AA146" s="42">
        <v>501.29011778760963</v>
      </c>
      <c r="AB146" s="42">
        <v>470.76943999079833</v>
      </c>
      <c r="AC146" s="42">
        <v>353.64534351984565</v>
      </c>
      <c r="AD146" s="42">
        <v>407.48822148394441</v>
      </c>
      <c r="AE146" s="106">
        <v>1</v>
      </c>
      <c r="AF146" s="32" t="str">
        <f>IF(AE146=0,"",VLOOKUP(AE146,[4]tab_tipo_expansao!$A$2:$B$4,2,0))</f>
        <v>opcional</v>
      </c>
      <c r="AG146" s="125">
        <v>2021</v>
      </c>
      <c r="AH146" s="23">
        <v>2100</v>
      </c>
      <c r="AI146" s="125">
        <v>30</v>
      </c>
      <c r="AJ146" s="106">
        <f t="shared" si="30"/>
        <v>9744</v>
      </c>
      <c r="AK146" s="24">
        <f>AL146/[4]constantes!$B$4</f>
        <v>3076.9230769230771</v>
      </c>
      <c r="AL146">
        <v>12000</v>
      </c>
      <c r="AM146" s="87">
        <v>6</v>
      </c>
      <c r="AN146" s="531">
        <v>0</v>
      </c>
      <c r="AP146" s="532">
        <f t="shared" si="37"/>
        <v>9744</v>
      </c>
      <c r="AQ146" s="34"/>
      <c r="AR146" s="35">
        <f t="shared" si="38"/>
        <v>12000</v>
      </c>
      <c r="AS146" s="36">
        <f ca="1">OFFSET(cod_desembolso!$A$1,AM146,23)</f>
        <v>1.07328</v>
      </c>
      <c r="AT146" s="37">
        <f ca="1">IF(AP146=0,0,AP146*(OFFSET(cod_desembolso!$A$1,AM146,23)))</f>
        <v>10458.04032</v>
      </c>
      <c r="AU146" s="38">
        <f>(constantes!$B$3*(1+constantes!$B$3)^(AI146))/((1+constantes!$B$3)^(AI146)-1)</f>
        <v>8.8827433387272267E-2</v>
      </c>
      <c r="AV146" s="37">
        <f t="shared" ca="1" si="39"/>
        <v>1010.1608798862076</v>
      </c>
      <c r="AW146" s="37">
        <f ca="1">IF(AP146=0,AY146/constantes!$B$3,AV146/constantes!$B$3)</f>
        <v>12627.010998577594</v>
      </c>
      <c r="AX146" s="39">
        <f ca="1">IF(AP146=0,0,PV(constantes!$B$3,AI146,-AV146)*constantes!$B$3)</f>
        <v>909.77378619695605</v>
      </c>
      <c r="AY146" s="40">
        <f>2*[4]constantes!$B$10*F146/1000</f>
        <v>81.2</v>
      </c>
      <c r="AZ146" s="533">
        <f>[4]constantes!$B$12</f>
        <v>0</v>
      </c>
      <c r="BA146" s="20">
        <v>319</v>
      </c>
      <c r="BE146" s="534"/>
      <c r="BF146" s="541"/>
      <c r="BG146" s="536"/>
      <c r="BH146" s="537"/>
    </row>
    <row r="147" spans="1:60" ht="15" hidden="1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1"/>
      <c r="F147" s="42">
        <v>792</v>
      </c>
      <c r="K147" s="548" t="s">
        <v>154</v>
      </c>
      <c r="L147" s="548" t="s">
        <v>154</v>
      </c>
      <c r="M147" s="23">
        <v>3</v>
      </c>
      <c r="N147" s="540"/>
      <c r="O147" s="287">
        <v>1.6719999999999999E-2</v>
      </c>
      <c r="P147" s="287">
        <v>5.4030000000000002E-2</v>
      </c>
      <c r="Q147" s="288">
        <f t="shared" si="31"/>
        <v>0.32193192151971861</v>
      </c>
      <c r="R147" s="30">
        <f t="shared" si="32"/>
        <v>254.97008184361715</v>
      </c>
      <c r="S147" s="30">
        <f t="shared" si="33"/>
        <v>537.02991815638279</v>
      </c>
      <c r="T147" s="42">
        <v>229.83547164122351</v>
      </c>
      <c r="U147" s="42">
        <v>247.5578506167777</v>
      </c>
      <c r="V147" s="42">
        <v>289.72781342347088</v>
      </c>
      <c r="W147" s="42">
        <v>252.75919169299655</v>
      </c>
      <c r="X147" s="288">
        <f t="shared" si="34"/>
        <v>0.32193192151971861</v>
      </c>
      <c r="Y147" s="289">
        <f t="shared" si="35"/>
        <v>254.97008184361715</v>
      </c>
      <c r="Z147" s="289">
        <f t="shared" si="36"/>
        <v>0</v>
      </c>
      <c r="AA147" s="42">
        <v>229.83547164122351</v>
      </c>
      <c r="AB147" s="42">
        <v>247.5578506167777</v>
      </c>
      <c r="AC147" s="42">
        <v>289.72781342347088</v>
      </c>
      <c r="AD147" s="42">
        <v>252.75919169299655</v>
      </c>
      <c r="AE147" s="106">
        <v>1</v>
      </c>
      <c r="AF147" s="32" t="str">
        <f>IF(AE147=0,"",VLOOKUP(AE147,[4]tab_tipo_expansao!$A$2:$B$4,2,0))</f>
        <v>opcional</v>
      </c>
      <c r="AG147" s="125">
        <v>2021</v>
      </c>
      <c r="AH147" s="23">
        <v>2100</v>
      </c>
      <c r="AI147" s="125">
        <v>30</v>
      </c>
      <c r="AJ147" s="106">
        <f t="shared" si="30"/>
        <v>9504</v>
      </c>
      <c r="AK147" s="24">
        <f>AL147/[4]constantes!$B$4</f>
        <v>3076.9230769230771</v>
      </c>
      <c r="AL147">
        <v>12000</v>
      </c>
      <c r="AM147" s="87">
        <v>6</v>
      </c>
      <c r="AN147" s="531">
        <v>0</v>
      </c>
      <c r="AP147" s="532">
        <f t="shared" si="37"/>
        <v>9504</v>
      </c>
      <c r="AQ147" s="34"/>
      <c r="AR147" s="35">
        <f t="shared" si="38"/>
        <v>12000</v>
      </c>
      <c r="AS147" s="36">
        <f ca="1">OFFSET(cod_desembolso!$A$1,AM147,23)</f>
        <v>1.07328</v>
      </c>
      <c r="AT147" s="37">
        <f ca="1">IF(AP147=0,0,AP147*(OFFSET(cod_desembolso!$A$1,AM147,23)))</f>
        <v>10200.45312</v>
      </c>
      <c r="AU147" s="38">
        <f>(constantes!$B$3*(1+constantes!$B$3)^(AI147))/((1+constantes!$B$3)^(AI147)-1)</f>
        <v>8.8827433387272267E-2</v>
      </c>
      <c r="AV147" s="37">
        <f t="shared" ca="1" si="39"/>
        <v>985.28007003679363</v>
      </c>
      <c r="AW147" s="37">
        <f ca="1">IF(AP147=0,AY147/constantes!$B$3,AV147/constantes!$B$3)</f>
        <v>12316.00087545992</v>
      </c>
      <c r="AX147" s="39">
        <f ca="1">IF(AP147=0,0,PV(constantes!$B$3,AI147,-AV147)*constantes!$B$3)</f>
        <v>887.36556486205575</v>
      </c>
      <c r="AY147" s="40">
        <f>2*[4]constantes!$B$10*F147/1000</f>
        <v>79.2</v>
      </c>
      <c r="AZ147" s="533">
        <f>[4]constantes!$B$12</f>
        <v>0</v>
      </c>
      <c r="BA147" s="20">
        <v>319</v>
      </c>
      <c r="BE147" s="534"/>
      <c r="BF147" s="541"/>
      <c r="BG147" s="536"/>
      <c r="BH147" s="537"/>
    </row>
    <row r="148" spans="1:60" ht="15" hidden="1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1"/>
      <c r="F148" s="42">
        <v>1436</v>
      </c>
      <c r="K148" s="548" t="s">
        <v>153</v>
      </c>
      <c r="L148" s="548" t="s">
        <v>153</v>
      </c>
      <c r="M148" s="23">
        <v>2</v>
      </c>
      <c r="N148" s="540"/>
      <c r="O148" s="287">
        <v>1.6719999999999999E-2</v>
      </c>
      <c r="P148" s="287">
        <v>5.4030000000000002E-2</v>
      </c>
      <c r="Q148" s="288">
        <f t="shared" si="31"/>
        <v>0.54510398556895689</v>
      </c>
      <c r="R148" s="30">
        <f t="shared" si="32"/>
        <v>782.76932327702207</v>
      </c>
      <c r="S148" s="30">
        <f t="shared" si="33"/>
        <v>653.23067672297793</v>
      </c>
      <c r="T148" s="42">
        <v>737.04340510640452</v>
      </c>
      <c r="U148" s="42">
        <v>731.15385506582822</v>
      </c>
      <c r="V148" s="42">
        <v>852.97344049629703</v>
      </c>
      <c r="W148" s="42">
        <v>809.90659243955861</v>
      </c>
      <c r="X148" s="288">
        <f t="shared" si="34"/>
        <v>0.54510398556895689</v>
      </c>
      <c r="Y148" s="289">
        <f t="shared" si="35"/>
        <v>782.76932327702207</v>
      </c>
      <c r="Z148" s="289">
        <f t="shared" si="36"/>
        <v>0</v>
      </c>
      <c r="AA148" s="42">
        <v>737.04340510640452</v>
      </c>
      <c r="AB148" s="42">
        <v>731.15385506582822</v>
      </c>
      <c r="AC148" s="42">
        <v>852.97344049629703</v>
      </c>
      <c r="AD148" s="42">
        <v>809.90659243955861</v>
      </c>
      <c r="AE148" s="106">
        <v>1</v>
      </c>
      <c r="AF148" s="32" t="str">
        <f>IF(AE148=0,"",VLOOKUP(AE148,[4]tab_tipo_expansao!$A$2:$B$4,2,0))</f>
        <v>opcional</v>
      </c>
      <c r="AG148" s="125">
        <v>2021</v>
      </c>
      <c r="AH148" s="23">
        <v>2100</v>
      </c>
      <c r="AI148" s="125">
        <v>30</v>
      </c>
      <c r="AJ148" s="106">
        <f t="shared" si="30"/>
        <v>17232</v>
      </c>
      <c r="AK148" s="24">
        <f>AL148/[4]constantes!$B$4</f>
        <v>3076.9230769230771</v>
      </c>
      <c r="AL148">
        <v>12000</v>
      </c>
      <c r="AM148" s="87">
        <v>6</v>
      </c>
      <c r="AN148" s="531">
        <v>0</v>
      </c>
      <c r="AP148" s="532">
        <f t="shared" si="37"/>
        <v>17232</v>
      </c>
      <c r="AQ148" s="34"/>
      <c r="AR148" s="35">
        <f t="shared" si="38"/>
        <v>12000</v>
      </c>
      <c r="AS148" s="36">
        <f ca="1">OFFSET(cod_desembolso!$A$1,AM148,23)</f>
        <v>1.07328</v>
      </c>
      <c r="AT148" s="37">
        <f ca="1">IF(AP148=0,0,AP148*(OFFSET(cod_desembolso!$A$1,AM148,23)))</f>
        <v>18494.76096</v>
      </c>
      <c r="AU148" s="38">
        <f>(constantes!$B$3*(1+constantes!$B$3)^(AI148))/((1+constantes!$B$3)^(AI148)-1)</f>
        <v>8.8827433387272267E-2</v>
      </c>
      <c r="AV148" s="37">
        <f t="shared" ca="1" si="39"/>
        <v>1786.4421471879236</v>
      </c>
      <c r="AW148" s="37">
        <f ca="1">IF(AP148=0,AY148/constantes!$B$3,AV148/constantes!$B$3)</f>
        <v>22330.526839849044</v>
      </c>
      <c r="AX148" s="39">
        <f ca="1">IF(AP148=0,0,PV(constantes!$B$3,AI148,-AV148)*constantes!$B$3)</f>
        <v>1608.9102918458484</v>
      </c>
      <c r="AY148" s="40">
        <f>2*[4]constantes!$B$10*F148/1000</f>
        <v>143.6</v>
      </c>
      <c r="AZ148" s="533">
        <f>[4]constantes!$B$12</f>
        <v>0</v>
      </c>
      <c r="BA148" s="20">
        <v>319</v>
      </c>
      <c r="BE148" s="534"/>
      <c r="BF148" s="541"/>
      <c r="BG148" s="536"/>
      <c r="BH148" s="537"/>
    </row>
    <row r="149" spans="1:60" ht="15" hidden="1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1"/>
      <c r="F149" s="42">
        <v>2872</v>
      </c>
      <c r="K149" s="548" t="s">
        <v>152</v>
      </c>
      <c r="L149" s="548" t="s">
        <v>153</v>
      </c>
      <c r="M149" s="23">
        <v>2</v>
      </c>
      <c r="N149" s="540"/>
      <c r="O149" s="287">
        <v>2.5329999923706055E-2</v>
      </c>
      <c r="P149" s="287">
        <v>8.0909996032714843E-2</v>
      </c>
      <c r="Q149" s="288">
        <f>R149/$F150</f>
        <v>0.63639782380245702</v>
      </c>
      <c r="R149" s="30">
        <f t="shared" si="32"/>
        <v>1565.5386465540441</v>
      </c>
      <c r="S149" s="30">
        <f>F150-R149</f>
        <v>894.46135344595587</v>
      </c>
      <c r="T149" s="42">
        <v>1474.086810212809</v>
      </c>
      <c r="U149" s="42">
        <v>1462.3077101316564</v>
      </c>
      <c r="V149" s="42">
        <v>1705.9468809925941</v>
      </c>
      <c r="W149" s="42">
        <v>1619.8131848791172</v>
      </c>
      <c r="X149" s="288">
        <f>Y149/$F150</f>
        <v>0.63639782380245702</v>
      </c>
      <c r="Y149" s="289">
        <f t="shared" si="35"/>
        <v>1565.5386465540441</v>
      </c>
      <c r="Z149" s="289">
        <f t="shared" si="36"/>
        <v>0</v>
      </c>
      <c r="AA149" s="42">
        <v>1474.086810212809</v>
      </c>
      <c r="AB149" s="42">
        <v>1462.3077101316564</v>
      </c>
      <c r="AC149" s="42">
        <v>1705.9468809925941</v>
      </c>
      <c r="AD149" s="42">
        <v>1619.8131848791172</v>
      </c>
      <c r="AE149" s="106">
        <v>1</v>
      </c>
      <c r="AF149" s="32" t="str">
        <f>IF(AE149=0,"",VLOOKUP(AE149,[4]tab_tipo_expansao!$A$2:$B$4,2,0))</f>
        <v>opcional</v>
      </c>
      <c r="AG149" s="125">
        <v>2021</v>
      </c>
      <c r="AH149" s="23">
        <v>2100</v>
      </c>
      <c r="AI149" s="125">
        <v>30</v>
      </c>
      <c r="AJ149" s="106">
        <f t="shared" si="30"/>
        <v>21540</v>
      </c>
      <c r="AK149" s="24">
        <f>AL149/[4]constantes!$B$4</f>
        <v>1923.0769230769231</v>
      </c>
      <c r="AL149">
        <v>7500</v>
      </c>
      <c r="AM149" s="87">
        <v>6</v>
      </c>
      <c r="AN149" s="531">
        <v>0</v>
      </c>
      <c r="AP149" s="532">
        <f t="shared" si="37"/>
        <v>21540</v>
      </c>
      <c r="AQ149" s="34"/>
      <c r="AR149" s="35">
        <f t="shared" si="38"/>
        <v>7500</v>
      </c>
      <c r="AS149" s="36">
        <f ca="1">OFFSET(cod_desembolso!$A$1,AM149,23)</f>
        <v>1.07328</v>
      </c>
      <c r="AT149" s="37">
        <f ca="1">IF(AP149=0,0,AP149*(OFFSET(cod_desembolso!$A$1,AM149,23)))</f>
        <v>23118.4512</v>
      </c>
      <c r="AU149" s="38">
        <f>(constantes!$B$3*(1+constantes!$B$3)^(AI149))/((1+constantes!$B$3)^(AI149)-1)</f>
        <v>8.8827433387272267E-2</v>
      </c>
      <c r="AV149" s="37">
        <f t="shared" ca="1" si="39"/>
        <v>2299.5526839849044</v>
      </c>
      <c r="AW149" s="37">
        <f ca="1">IF(AP149=0,AY149/constantes!$B$3,AV149/constantes!$B$3)</f>
        <v>28744.408549811305</v>
      </c>
      <c r="AX149" s="39">
        <f ca="1">IF(AP149=0,0,PV(constantes!$B$3,AI149,-AV149)*constantes!$B$3)</f>
        <v>2071.029272192749</v>
      </c>
      <c r="AY149" s="40">
        <f>2*[4]constantes!$B$10*F150/1000</f>
        <v>246</v>
      </c>
      <c r="AZ149" s="533">
        <f>[4]constantes!$B$12</f>
        <v>0</v>
      </c>
      <c r="BA149" s="20">
        <v>319</v>
      </c>
      <c r="BE149" s="534"/>
      <c r="BF149" s="541"/>
      <c r="BG149" s="536"/>
      <c r="BH149" s="537"/>
    </row>
    <row r="150" spans="1:60" ht="15" hidden="1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1"/>
      <c r="F150" s="42">
        <v>2460</v>
      </c>
      <c r="K150" s="548" t="s">
        <v>153</v>
      </c>
      <c r="L150" s="548" t="s">
        <v>152</v>
      </c>
      <c r="M150" s="23">
        <v>1</v>
      </c>
      <c r="N150" s="540"/>
      <c r="O150" s="287">
        <v>1.6719999999999999E-2</v>
      </c>
      <c r="P150" s="287">
        <v>5.4030000000000002E-2</v>
      </c>
      <c r="Q150" s="288">
        <f>R150/$F150</f>
        <v>0.48449834393174773</v>
      </c>
      <c r="R150" s="30">
        <f t="shared" si="32"/>
        <v>1191.8659260720995</v>
      </c>
      <c r="S150" s="30">
        <f>F150-R150</f>
        <v>1268.1340739279005</v>
      </c>
      <c r="T150" s="42">
        <v>1414.4377686931095</v>
      </c>
      <c r="U150" s="42">
        <v>1333.4905232242556</v>
      </c>
      <c r="V150" s="42">
        <v>915.83421976732393</v>
      </c>
      <c r="W150" s="42">
        <v>1103.7011926037083</v>
      </c>
      <c r="X150" s="288">
        <f>Y150/$F150</f>
        <v>0.48449834393174773</v>
      </c>
      <c r="Y150" s="289">
        <f t="shared" si="35"/>
        <v>1191.8659260720995</v>
      </c>
      <c r="Z150" s="289">
        <f t="shared" si="36"/>
        <v>0</v>
      </c>
      <c r="AA150" s="42">
        <v>1414.4377686931095</v>
      </c>
      <c r="AB150" s="42">
        <v>1333.4905232242556</v>
      </c>
      <c r="AC150" s="42">
        <v>915.83421976732393</v>
      </c>
      <c r="AD150" s="42">
        <v>1103.7011926037083</v>
      </c>
      <c r="AE150" s="106">
        <v>1</v>
      </c>
      <c r="AF150" s="32" t="str">
        <f>IF(AE150=0,"",VLOOKUP(AE150,[4]tab_tipo_expansao!$A$2:$B$4,2,0))</f>
        <v>opcional</v>
      </c>
      <c r="AG150" s="125">
        <v>2021</v>
      </c>
      <c r="AH150" s="23">
        <v>2100</v>
      </c>
      <c r="AI150" s="125">
        <v>30</v>
      </c>
      <c r="AJ150" s="106">
        <f t="shared" si="30"/>
        <v>29520</v>
      </c>
      <c r="AK150" s="24">
        <f>AL150/[4]constantes!$B$4</f>
        <v>3076.9230769230771</v>
      </c>
      <c r="AL150">
        <v>12000</v>
      </c>
      <c r="AM150" s="87">
        <v>6</v>
      </c>
      <c r="AN150" s="531">
        <v>0</v>
      </c>
      <c r="AP150" s="532">
        <f t="shared" si="37"/>
        <v>29520</v>
      </c>
      <c r="AQ150" s="34"/>
      <c r="AR150" s="35">
        <f t="shared" si="38"/>
        <v>12000</v>
      </c>
      <c r="AS150" s="36">
        <f ca="1">OFFSET(cod_desembolso!$A$1,AM150,23)</f>
        <v>1.07328</v>
      </c>
      <c r="AT150" s="37">
        <f ca="1">IF(AP150=0,0,AP150*(OFFSET(cod_desembolso!$A$1,AM150,23)))</f>
        <v>31683.225600000002</v>
      </c>
      <c r="AU150" s="38">
        <f>(constantes!$B$3*(1+constantes!$B$3)^(AI150))/((1+constantes!$B$3)^(AI150)-1)</f>
        <v>8.8827433387272267E-2</v>
      </c>
      <c r="AV150" s="37">
        <f t="shared" ca="1" si="39"/>
        <v>3060.3396114779193</v>
      </c>
      <c r="AW150" s="37">
        <f ca="1">IF(AP150=0,AY150/constantes!$B$3,AV150/constantes!$B$3)</f>
        <v>38254.245143473992</v>
      </c>
      <c r="AX150" s="39">
        <f ca="1">IF(AP150=0,0,PV(constantes!$B$3,AI150,-AV150)*constantes!$B$3)</f>
        <v>2756.2112241927489</v>
      </c>
      <c r="AY150" s="40">
        <f>2*[4]constantes!$B$10*F150/1000</f>
        <v>246</v>
      </c>
      <c r="AZ150" s="533">
        <f>[4]constantes!$B$12</f>
        <v>0</v>
      </c>
      <c r="BA150" s="20">
        <v>319</v>
      </c>
      <c r="BE150" s="534"/>
      <c r="BF150" s="541"/>
      <c r="BG150" s="536"/>
      <c r="BH150" s="537"/>
    </row>
    <row r="151" spans="1:60" ht="15" hidden="1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1"/>
      <c r="F151" s="42">
        <v>2108.5</v>
      </c>
      <c r="K151" s="548" t="s">
        <v>152</v>
      </c>
      <c r="L151" s="548" t="s">
        <v>152</v>
      </c>
      <c r="M151" s="23">
        <v>1</v>
      </c>
      <c r="N151" s="540"/>
      <c r="O151" s="287">
        <v>2.5329999923706055E-2</v>
      </c>
      <c r="P151" s="287">
        <v>8.0909996032714843E-2</v>
      </c>
      <c r="Q151" s="288">
        <f>R151/$F150</f>
        <v>0.41527022690247561</v>
      </c>
      <c r="R151" s="30">
        <f t="shared" si="32"/>
        <v>1021.5647581800901</v>
      </c>
      <c r="S151" s="30">
        <f>F150-R151</f>
        <v>1438.4352418199101</v>
      </c>
      <c r="T151" s="42">
        <v>1212.3341606867566</v>
      </c>
      <c r="U151" s="42">
        <v>1142.9531578123344</v>
      </c>
      <c r="V151" s="42">
        <v>784.97416763390345</v>
      </c>
      <c r="W151" s="42">
        <v>945.99754658736526</v>
      </c>
      <c r="X151" s="288">
        <v>0.37130872075804133</v>
      </c>
      <c r="Y151" s="289">
        <f t="shared" si="35"/>
        <v>1021.5647581800901</v>
      </c>
      <c r="Z151" s="289">
        <f t="shared" si="36"/>
        <v>0</v>
      </c>
      <c r="AA151" s="42">
        <v>1212.3341606867566</v>
      </c>
      <c r="AB151" s="42">
        <v>1142.9531578123344</v>
      </c>
      <c r="AC151" s="42">
        <v>784.97416763390345</v>
      </c>
      <c r="AD151" s="42">
        <v>945.99754658736526</v>
      </c>
      <c r="AE151" s="106">
        <v>1</v>
      </c>
      <c r="AF151" s="32" t="str">
        <f>IF(AE151=0,"",VLOOKUP(AE151,[4]tab_tipo_expansao!$A$2:$B$4,2,0))</f>
        <v>opcional</v>
      </c>
      <c r="AG151" s="125">
        <v>2021</v>
      </c>
      <c r="AH151" s="23">
        <v>2100</v>
      </c>
      <c r="AI151" s="125">
        <v>30</v>
      </c>
      <c r="AJ151" s="106">
        <f>AL151*F150/1000</f>
        <v>18450</v>
      </c>
      <c r="AK151" s="24">
        <f>AL151/[4]constantes!$B$4</f>
        <v>1923.0769230769231</v>
      </c>
      <c r="AL151">
        <v>7500</v>
      </c>
      <c r="AM151" s="87">
        <v>6</v>
      </c>
      <c r="AN151" s="531">
        <v>0</v>
      </c>
      <c r="AP151" s="532">
        <f t="shared" si="37"/>
        <v>18450</v>
      </c>
      <c r="AQ151" s="34"/>
      <c r="AR151" s="35">
        <f>AP151*1000/F150</f>
        <v>7500</v>
      </c>
      <c r="AS151" s="36">
        <f ca="1">OFFSET(cod_desembolso!$A$1,AM151,23)</f>
        <v>1.07328</v>
      </c>
      <c r="AT151" s="37">
        <f ca="1">IF(AP151=0,0,AP151*(OFFSET(cod_desembolso!$A$1,AM151,23)))</f>
        <v>19802.016</v>
      </c>
      <c r="AU151" s="38">
        <f>(constantes!$B$3*(1+constantes!$B$3)^(AI151))/((1+constantes!$B$3)^(AI151)-1)</f>
        <v>8.8827433387272267E-2</v>
      </c>
      <c r="AV151" s="37">
        <f t="shared" ca="1" si="39"/>
        <v>2004.9622571736995</v>
      </c>
      <c r="AW151" s="37">
        <f ca="1">IF(AP151=0,AY151/constantes!$B$3,AV151/constantes!$B$3)</f>
        <v>25062.028214671245</v>
      </c>
      <c r="AX151" s="39">
        <f ca="1">IF(AP151=0,0,PV(constantes!$B$3,AI151,-AV151)*constantes!$B$3)</f>
        <v>1805.7144561927487</v>
      </c>
      <c r="AY151" s="40">
        <f>2*[4]constantes!$B$10*F150/1000</f>
        <v>246</v>
      </c>
      <c r="AZ151" s="533">
        <f>[4]constantes!$B$12</f>
        <v>0</v>
      </c>
      <c r="BA151" s="20">
        <v>319</v>
      </c>
      <c r="BE151" s="534"/>
      <c r="BF151" s="541"/>
      <c r="BG151" s="536"/>
      <c r="BH151" s="537"/>
    </row>
    <row r="152" spans="1:60" ht="15" hidden="1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1"/>
      <c r="F152" s="42">
        <v>4568.5</v>
      </c>
      <c r="K152" s="548" t="s">
        <v>152</v>
      </c>
      <c r="L152" s="548" t="s">
        <v>152</v>
      </c>
      <c r="M152" s="23">
        <v>1</v>
      </c>
      <c r="N152" s="540"/>
      <c r="O152" s="287">
        <v>2.5329999923706055E-2</v>
      </c>
      <c r="P152" s="287">
        <v>8.0909996032714843E-2</v>
      </c>
      <c r="Q152" s="288">
        <f>R152/$F151</f>
        <v>1.0497655604705665</v>
      </c>
      <c r="R152" s="30">
        <f t="shared" si="32"/>
        <v>2213.4306842521892</v>
      </c>
      <c r="S152" s="30">
        <f>F151-R152</f>
        <v>-104.93068425218917</v>
      </c>
      <c r="T152" s="42">
        <v>2626.7719293798664</v>
      </c>
      <c r="U152" s="42">
        <v>2476.4436810365901</v>
      </c>
      <c r="V152" s="42">
        <v>1700.8083874012273</v>
      </c>
      <c r="W152" s="42">
        <v>2049.6987391910734</v>
      </c>
      <c r="X152" s="288">
        <v>0.37130872075804133</v>
      </c>
      <c r="Y152" s="289">
        <f t="shared" si="35"/>
        <v>2213.4306842521892</v>
      </c>
      <c r="Z152" s="289">
        <f t="shared" si="36"/>
        <v>0</v>
      </c>
      <c r="AA152" s="42">
        <v>2626.7719293798664</v>
      </c>
      <c r="AB152" s="42">
        <v>2476.4436810365901</v>
      </c>
      <c r="AC152" s="42">
        <v>1700.8083874012273</v>
      </c>
      <c r="AD152" s="42">
        <v>2049.6987391910734</v>
      </c>
      <c r="AE152" s="106">
        <v>1</v>
      </c>
      <c r="AF152" s="32" t="str">
        <f>IF(AE152=0,"",VLOOKUP(AE152,[4]tab_tipo_expansao!$A$2:$B$4,2,0))</f>
        <v>opcional</v>
      </c>
      <c r="AG152" s="125">
        <v>2021</v>
      </c>
      <c r="AH152" s="23">
        <v>2100</v>
      </c>
      <c r="AI152" s="125">
        <v>30</v>
      </c>
      <c r="AJ152" s="106">
        <f>AL152*F151/1000</f>
        <v>15813.75</v>
      </c>
      <c r="AK152" s="24">
        <f>AL152/[4]constantes!$B$4</f>
        <v>1923.0769230769231</v>
      </c>
      <c r="AL152">
        <v>7500</v>
      </c>
      <c r="AM152" s="87">
        <v>6</v>
      </c>
      <c r="AN152" s="531">
        <v>0</v>
      </c>
      <c r="AP152" s="532">
        <f t="shared" si="37"/>
        <v>15813.75</v>
      </c>
      <c r="AQ152" s="34"/>
      <c r="AR152" s="35">
        <f>AP152*1000/F151</f>
        <v>7500</v>
      </c>
      <c r="AS152" s="36">
        <f ca="1">OFFSET(cod_desembolso!$A$1,AM152,23)</f>
        <v>1.07328</v>
      </c>
      <c r="AT152" s="37">
        <f ca="1">IF(AP152=0,0,AP152*(OFFSET(cod_desembolso!$A$1,AM152,23)))</f>
        <v>16972.581600000001</v>
      </c>
      <c r="AU152" s="38">
        <f>(constantes!$B$3*(1+constantes!$B$3)^(AI152))/((1+constantes!$B$3)^(AI152)-1)</f>
        <v>8.8827433387272267E-2</v>
      </c>
      <c r="AV152" s="37">
        <f t="shared" ca="1" si="39"/>
        <v>1718.4808614840431</v>
      </c>
      <c r="AW152" s="37">
        <f ca="1">IF(AP152=0,AY152/constantes!$B$3,AV152/constantes!$B$3)</f>
        <v>21481.010768550539</v>
      </c>
      <c r="AX152" s="39">
        <f ca="1">IF(AP152=0,0,PV(constantes!$B$3,AI152,-AV152)*constantes!$B$3)</f>
        <v>1547.7028174318746</v>
      </c>
      <c r="AY152" s="40">
        <f>2*[4]constantes!$B$10*F151/1000</f>
        <v>210.85</v>
      </c>
      <c r="AZ152" s="533">
        <f>[4]constantes!$B$12</f>
        <v>0</v>
      </c>
      <c r="BA152" s="20">
        <v>319</v>
      </c>
      <c r="BE152" s="534"/>
      <c r="BF152" s="541"/>
      <c r="BG152" s="536"/>
      <c r="BH152" s="537"/>
    </row>
    <row r="153" spans="1:60" ht="14.45">
      <c r="A153" s="125">
        <v>1128</v>
      </c>
      <c r="B153" s="125">
        <v>1128</v>
      </c>
      <c r="C153" s="538" t="s">
        <v>2395</v>
      </c>
      <c r="D153" s="538" t="s">
        <v>2395</v>
      </c>
      <c r="E153" s="546"/>
      <c r="F153" s="526">
        <v>52</v>
      </c>
      <c r="G153" s="3" t="s">
        <v>2196</v>
      </c>
      <c r="H153" s="3" t="s">
        <v>2396</v>
      </c>
      <c r="I153" s="3">
        <v>-47.221384999999998</v>
      </c>
      <c r="J153" s="3">
        <v>-23.285927999999998</v>
      </c>
      <c r="K153" s="539" t="s">
        <v>148</v>
      </c>
      <c r="L153" s="539" t="s">
        <v>148</v>
      </c>
      <c r="M153" s="554">
        <v>1</v>
      </c>
      <c r="N153" s="107"/>
      <c r="O153" s="529">
        <v>2.068E-2</v>
      </c>
      <c r="P153" s="529">
        <v>4.6600000000000003E-2</v>
      </c>
      <c r="Q153" s="288">
        <f t="shared" ref="Q153:Q184" si="40">R153/$F153</f>
        <v>0.53211930092018589</v>
      </c>
      <c r="R153" s="30">
        <f t="shared" si="32"/>
        <v>27.670203647849668</v>
      </c>
      <c r="S153" s="30">
        <f t="shared" ref="S153:S184" si="41">F153-R153</f>
        <v>24.329796352150332</v>
      </c>
      <c r="T153" s="107">
        <v>34.675439445188466</v>
      </c>
      <c r="U153" s="107">
        <v>30.439766643826804</v>
      </c>
      <c r="V153" s="107">
        <v>21.592498492920924</v>
      </c>
      <c r="W153" s="107">
        <v>23.973110009462477</v>
      </c>
      <c r="X153" s="288">
        <f t="shared" ref="X153:X184" si="42">Y153/$F153</f>
        <v>0.56765074645560576</v>
      </c>
      <c r="Y153" s="289">
        <f t="shared" si="35"/>
        <v>29.517838815691501</v>
      </c>
      <c r="Z153" s="289">
        <f t="shared" si="36"/>
        <v>1.8476351678418332</v>
      </c>
      <c r="AA153" s="107">
        <v>38.581439712947152</v>
      </c>
      <c r="AB153" s="107">
        <v>32.097108919748209</v>
      </c>
      <c r="AC153" s="107">
        <v>22.09832919871123</v>
      </c>
      <c r="AD153" s="107">
        <v>25.294477431359411</v>
      </c>
      <c r="AE153" s="106">
        <v>1</v>
      </c>
      <c r="AF153" s="32" t="str">
        <f>IF(AE153=0,"",VLOOKUP(AE153,tab_tipo_expansao!$A$2:$B$4,2,0))</f>
        <v>opcional</v>
      </c>
      <c r="AG153" s="125">
        <v>2030</v>
      </c>
      <c r="AH153" s="125">
        <v>2100</v>
      </c>
      <c r="AI153" s="125">
        <v>30</v>
      </c>
      <c r="AJ153" s="530">
        <v>520</v>
      </c>
      <c r="AK153" s="24">
        <f>AL153/constantes!$B$4</f>
        <v>2564.102564102564</v>
      </c>
      <c r="AL153" s="33">
        <f t="shared" ref="AL153:AL184" si="43">AJ153/F153*1000</f>
        <v>10000</v>
      </c>
      <c r="AM153" s="87">
        <v>2</v>
      </c>
      <c r="AN153" s="531">
        <v>0</v>
      </c>
      <c r="AO153" s="23"/>
      <c r="AP153" s="532">
        <f t="shared" si="37"/>
        <v>520</v>
      </c>
      <c r="AR153" s="35">
        <f t="shared" ref="AR153:AR184" si="44">AP153*1000/F153</f>
        <v>10000</v>
      </c>
      <c r="AS153" s="36">
        <f ca="1">OFFSET(cod_desembolso!$A$1,AM153,23)</f>
        <v>1.1245293369208682</v>
      </c>
      <c r="AT153" s="37">
        <f ca="1">IF(AP153=0,0,AP153*(OFFSET(cod_desembolso!$A$1,AM153,23)))</f>
        <v>584.7552551988515</v>
      </c>
      <c r="AU153" s="38">
        <f>(constantes!$B$3*(1+constantes!$B$3)^(AI153))/((1+constantes!$B$3)^(AI153)-1)</f>
        <v>8.8827433387272267E-2</v>
      </c>
      <c r="AV153" s="37">
        <f t="shared" ca="1" si="39"/>
        <v>54.54230847903338</v>
      </c>
      <c r="AW153" s="37">
        <f ca="1">IF(AP153=0,AY153/constantes!$B$3,AV153/constantes!$B$3)</f>
        <v>681.77885598791727</v>
      </c>
      <c r="AX153" s="39">
        <f ca="1">IF(AP153=0,0,PV(constantes!$B$3,AI153,-AV153)*constantes!$B$3)</f>
        <v>49.122039351278637</v>
      </c>
      <c r="AY153" s="40">
        <f>constantes!$B$10*F153/1000</f>
        <v>2.6</v>
      </c>
      <c r="AZ153" s="533">
        <f>constantes!$B$12</f>
        <v>0</v>
      </c>
      <c r="BA153" s="20">
        <v>318</v>
      </c>
      <c r="BB153" s="43"/>
      <c r="BC153" s="3" t="s">
        <v>2183</v>
      </c>
      <c r="BE153" s="534">
        <v>1</v>
      </c>
      <c r="BF153" s="535">
        <v>2027</v>
      </c>
      <c r="BG153" s="536">
        <v>1</v>
      </c>
      <c r="BH153" s="537">
        <v>2027</v>
      </c>
    </row>
    <row r="154" spans="1:60" ht="14.45">
      <c r="A154" s="125">
        <v>1129</v>
      </c>
      <c r="B154" s="125">
        <v>1129</v>
      </c>
      <c r="C154" s="538" t="s">
        <v>2397</v>
      </c>
      <c r="D154" s="538" t="s">
        <v>2397</v>
      </c>
      <c r="E154" s="546"/>
      <c r="F154" s="526">
        <v>320</v>
      </c>
      <c r="G154" s="3" t="s">
        <v>2211</v>
      </c>
      <c r="H154" s="3" t="s">
        <v>2211</v>
      </c>
      <c r="I154" s="3">
        <v>-39.493616000000003</v>
      </c>
      <c r="J154" s="3">
        <v>-8.5941690000000008</v>
      </c>
      <c r="K154" s="539" t="s">
        <v>154</v>
      </c>
      <c r="L154" s="539" t="s">
        <v>154</v>
      </c>
      <c r="M154" s="554">
        <v>3</v>
      </c>
      <c r="N154" s="107"/>
      <c r="O154" s="529">
        <v>1.9820000000000001E-2</v>
      </c>
      <c r="P154" s="529">
        <v>5.2919999999999995E-2</v>
      </c>
      <c r="Q154" s="288">
        <f t="shared" si="40"/>
        <v>0.46582700892857137</v>
      </c>
      <c r="R154" s="30">
        <f t="shared" si="32"/>
        <v>149.06464285714284</v>
      </c>
      <c r="S154" s="30">
        <f t="shared" si="41"/>
        <v>170.93535714285716</v>
      </c>
      <c r="T154" s="107">
        <v>144.1552380952381</v>
      </c>
      <c r="U154" s="107">
        <v>132.30232142857145</v>
      </c>
      <c r="V154" s="107">
        <v>172.64208333333332</v>
      </c>
      <c r="W154" s="107">
        <v>147.15892857142856</v>
      </c>
      <c r="X154" s="288">
        <f t="shared" si="42"/>
        <v>0.44057818627450979</v>
      </c>
      <c r="Y154" s="289">
        <f t="shared" si="35"/>
        <v>140.98501960784313</v>
      </c>
      <c r="Z154" s="289">
        <f t="shared" si="36"/>
        <v>-8.0796232492997149</v>
      </c>
      <c r="AA154" s="107">
        <v>145.22521568627451</v>
      </c>
      <c r="AB154" s="107">
        <v>130.62894117647059</v>
      </c>
      <c r="AC154" s="107">
        <v>150.17678431372548</v>
      </c>
      <c r="AD154" s="107">
        <v>137.90913725490196</v>
      </c>
      <c r="AE154" s="106">
        <v>1</v>
      </c>
      <c r="AF154" s="32" t="str">
        <f>IF(AE154=0,"",VLOOKUP(AE154,tab_tipo_expansao!$A$2:$B$4,2,0))</f>
        <v>opcional</v>
      </c>
      <c r="AG154" s="125">
        <v>2030</v>
      </c>
      <c r="AH154" s="125">
        <v>2100</v>
      </c>
      <c r="AI154" s="125">
        <v>30</v>
      </c>
      <c r="AJ154" s="530">
        <v>3335.3557577208603</v>
      </c>
      <c r="AK154" s="24">
        <f>AL154/constantes!$B$4</f>
        <v>2672.5607033019714</v>
      </c>
      <c r="AL154" s="33">
        <f t="shared" si="43"/>
        <v>10422.986742877689</v>
      </c>
      <c r="AM154" s="87">
        <v>2</v>
      </c>
      <c r="AN154" s="531">
        <v>0</v>
      </c>
      <c r="AO154" s="23"/>
      <c r="AP154" s="532">
        <f t="shared" si="37"/>
        <v>3335.3557577208603</v>
      </c>
      <c r="AR154" s="35">
        <f t="shared" si="44"/>
        <v>10422.986742877689</v>
      </c>
      <c r="AS154" s="36">
        <f ca="1">OFFSET(cod_desembolso!$A$1,AM154,23)</f>
        <v>1.1245293369208682</v>
      </c>
      <c r="AT154" s="37">
        <f ca="1">IF(AP154=0,0,AP154*(OFFSET(cod_desembolso!$A$1,AM154,23)))</f>
        <v>3750.7053986250389</v>
      </c>
      <c r="AU154" s="38">
        <f>(constantes!$B$3*(1+constantes!$B$3)^(AI154))/((1+constantes!$B$3)^(AI154)-1)</f>
        <v>8.8827433387272267E-2</v>
      </c>
      <c r="AV154" s="37">
        <f t="shared" ca="1" si="39"/>
        <v>349.16553395164811</v>
      </c>
      <c r="AW154" s="37">
        <f ca="1">IF(AP154=0,AY154/constantes!$B$3,AV154/constantes!$B$3)</f>
        <v>4364.5691743956013</v>
      </c>
      <c r="AX154" s="39">
        <f ca="1">IF(AP154=0,0,PV(constantes!$B$3,AI154,-AV154)*constantes!$B$3)</f>
        <v>314.46639456920627</v>
      </c>
      <c r="AY154" s="40">
        <f>constantes!$B$10*F154/1000</f>
        <v>16</v>
      </c>
      <c r="AZ154" s="533">
        <f>constantes!$B$12</f>
        <v>0</v>
      </c>
      <c r="BA154" s="20">
        <v>318</v>
      </c>
      <c r="BB154" s="43"/>
      <c r="BC154" s="3" t="s">
        <v>2217</v>
      </c>
      <c r="BE154" s="534">
        <v>1</v>
      </c>
      <c r="BF154" s="535">
        <v>2035</v>
      </c>
      <c r="BG154" s="536">
        <v>3</v>
      </c>
      <c r="BH154" s="537">
        <v>2050</v>
      </c>
    </row>
    <row r="155" spans="1:60" ht="14.45" hidden="1">
      <c r="A155" s="125">
        <v>1130</v>
      </c>
      <c r="B155" s="125">
        <v>1130</v>
      </c>
      <c r="C155" s="538" t="s">
        <v>2398</v>
      </c>
      <c r="D155" s="538" t="s">
        <v>2398</v>
      </c>
      <c r="E155" s="546"/>
      <c r="F155" s="526">
        <v>45.96</v>
      </c>
      <c r="G155" s="3" t="s">
        <v>2211</v>
      </c>
      <c r="H155" s="3" t="s">
        <v>2212</v>
      </c>
      <c r="I155" s="3">
        <v>-44.524222000000002</v>
      </c>
      <c r="J155" s="3">
        <v>-19.610628999999999</v>
      </c>
      <c r="K155" s="539" t="s">
        <v>152</v>
      </c>
      <c r="L155" s="539" t="s">
        <v>152</v>
      </c>
      <c r="M155" s="554">
        <v>1</v>
      </c>
      <c r="N155" s="107"/>
      <c r="O155" s="529">
        <v>2.068E-2</v>
      </c>
      <c r="P155" s="529">
        <v>4.6600000000000003E-2</v>
      </c>
      <c r="Q155" s="288">
        <f t="shared" si="40"/>
        <v>0.49621532958265985</v>
      </c>
      <c r="R155" s="30">
        <f t="shared" si="32"/>
        <v>22.806056547619047</v>
      </c>
      <c r="S155" s="30">
        <f t="shared" si="41"/>
        <v>23.153943452380954</v>
      </c>
      <c r="T155" s="107">
        <v>32.758571428571429</v>
      </c>
      <c r="U155" s="107">
        <v>21.418571428571429</v>
      </c>
      <c r="V155" s="107">
        <v>14.559583333333331</v>
      </c>
      <c r="W155" s="107">
        <v>22.487500000000001</v>
      </c>
      <c r="X155" s="288">
        <f t="shared" si="42"/>
        <v>0.54871072885202798</v>
      </c>
      <c r="Y155" s="289">
        <f t="shared" si="35"/>
        <v>25.218745098039207</v>
      </c>
      <c r="Z155" s="289">
        <f t="shared" si="36"/>
        <v>2.4126885504201603</v>
      </c>
      <c r="AA155" s="107">
        <v>38.146117647058794</v>
      </c>
      <c r="AB155" s="107">
        <v>21.867764705882347</v>
      </c>
      <c r="AC155" s="107">
        <v>15.050823529411765</v>
      </c>
      <c r="AD155" s="107">
        <v>25.810274509803918</v>
      </c>
      <c r="AE155" s="106">
        <v>1</v>
      </c>
      <c r="AF155" s="32" t="str">
        <f>IF(AE155=0,"",VLOOKUP(AE155,tab_tipo_expansao!$A$2:$B$4,2,0))</f>
        <v>opcional</v>
      </c>
      <c r="AG155" s="125">
        <v>2028</v>
      </c>
      <c r="AH155" s="125">
        <v>2100</v>
      </c>
      <c r="AI155" s="125">
        <v>30</v>
      </c>
      <c r="AJ155" s="530">
        <v>703.50988653255195</v>
      </c>
      <c r="AK155" s="24">
        <f>AL155/constantes!$B$4</f>
        <v>3924.8727239547879</v>
      </c>
      <c r="AL155" s="33">
        <f t="shared" si="43"/>
        <v>15307.003623423672</v>
      </c>
      <c r="AM155" s="87">
        <v>2</v>
      </c>
      <c r="AN155" s="531">
        <v>0</v>
      </c>
      <c r="AO155" s="23"/>
      <c r="AP155" s="532">
        <f t="shared" si="37"/>
        <v>703.50988653255195</v>
      </c>
      <c r="AR155" s="35">
        <f t="shared" si="44"/>
        <v>15307.003623423672</v>
      </c>
      <c r="AS155" s="36">
        <f ca="1">OFFSET(cod_desembolso!$A$1,AM155,23)</f>
        <v>1.1245293369208682</v>
      </c>
      <c r="AT155" s="37">
        <f ca="1">IF(AP155=0,0,AP155*(OFFSET(cod_desembolso!$A$1,AM155,23)))</f>
        <v>791.1175062197259</v>
      </c>
      <c r="AU155" s="38">
        <f>(constantes!$B$3*(1+constantes!$B$3)^(AI155))/((1+constantes!$B$3)^(AI155)-1)</f>
        <v>8.8827433387272267E-2</v>
      </c>
      <c r="AV155" s="37">
        <f t="shared" ca="1" si="39"/>
        <v>72.570937585237658</v>
      </c>
      <c r="AW155" s="37">
        <f ca="1">IF(AP155=0,AY155/constantes!$B$3,AV155/constantes!$B$3)</f>
        <v>907.13671981547066</v>
      </c>
      <c r="AX155" s="39">
        <f ca="1">IF(AP155=0,0,PV(constantes!$B$3,AI155,-AV155)*constantes!$B$3)</f>
        <v>65.359031387378622</v>
      </c>
      <c r="AY155" s="40">
        <f>constantes!$B$10*F155/1000</f>
        <v>2.298</v>
      </c>
      <c r="AZ155" s="533">
        <f>constantes!$B$12</f>
        <v>0</v>
      </c>
      <c r="BA155" s="20">
        <v>318</v>
      </c>
      <c r="BB155" s="43"/>
      <c r="BC155" s="3" t="s">
        <v>2197</v>
      </c>
      <c r="BE155" s="534">
        <v>1</v>
      </c>
      <c r="BF155" s="535">
        <v>2027</v>
      </c>
      <c r="BG155" s="536">
        <v>1</v>
      </c>
      <c r="BH155" s="537">
        <v>2027</v>
      </c>
    </row>
    <row r="156" spans="1:60" ht="14.45">
      <c r="A156" s="125">
        <v>1131</v>
      </c>
      <c r="B156" s="125">
        <v>1131</v>
      </c>
      <c r="C156" s="538" t="s">
        <v>2399</v>
      </c>
      <c r="D156" s="538" t="s">
        <v>2399</v>
      </c>
      <c r="E156" s="546"/>
      <c r="F156" s="526">
        <v>41</v>
      </c>
      <c r="G156" s="3" t="s">
        <v>2196</v>
      </c>
      <c r="H156" s="3" t="s">
        <v>2396</v>
      </c>
      <c r="I156" s="3">
        <v>-47.102479000000002</v>
      </c>
      <c r="J156" s="3">
        <v>-23.375617999999999</v>
      </c>
      <c r="K156" s="539" t="s">
        <v>148</v>
      </c>
      <c r="L156" s="539" t="s">
        <v>148</v>
      </c>
      <c r="M156" s="554">
        <v>1</v>
      </c>
      <c r="N156" s="107"/>
      <c r="O156" s="529">
        <v>2.068E-2</v>
      </c>
      <c r="P156" s="529">
        <v>4.6600000000000003E-2</v>
      </c>
      <c r="Q156" s="288">
        <f t="shared" si="40"/>
        <v>0.532119300920186</v>
      </c>
      <c r="R156" s="30">
        <f t="shared" si="32"/>
        <v>21.816891337727625</v>
      </c>
      <c r="S156" s="30">
        <f t="shared" si="41"/>
        <v>19.183108662272375</v>
      </c>
      <c r="T156" s="107">
        <v>27.340250331783221</v>
      </c>
      <c r="U156" s="107">
        <v>24.000585238401907</v>
      </c>
      <c r="V156" s="107">
        <v>17.02485458095688</v>
      </c>
      <c r="W156" s="107">
        <v>18.901875199768497</v>
      </c>
      <c r="X156" s="288">
        <f t="shared" si="42"/>
        <v>0.56765074645560576</v>
      </c>
      <c r="Y156" s="289">
        <f t="shared" si="35"/>
        <v>23.273680604679836</v>
      </c>
      <c r="Z156" s="289">
        <f t="shared" si="36"/>
        <v>1.4567892669522102</v>
      </c>
      <c r="AA156" s="107">
        <v>30.419981312131409</v>
      </c>
      <c r="AB156" s="107">
        <v>25.307335879032241</v>
      </c>
      <c r="AC156" s="107">
        <v>17.423682637445392</v>
      </c>
      <c r="AD156" s="107">
        <v>19.943722590110301</v>
      </c>
      <c r="AE156" s="106">
        <v>1</v>
      </c>
      <c r="AF156" s="32" t="str">
        <f>IF(AE156=0,"",VLOOKUP(AE156,tab_tipo_expansao!$A$2:$B$4,2,0))</f>
        <v>opcional</v>
      </c>
      <c r="AG156" s="125">
        <v>2030</v>
      </c>
      <c r="AH156" s="125">
        <v>2100</v>
      </c>
      <c r="AI156" s="125">
        <v>30</v>
      </c>
      <c r="AJ156" s="530">
        <v>410</v>
      </c>
      <c r="AK156" s="24">
        <f>AL156/constantes!$B$4</f>
        <v>2564.102564102564</v>
      </c>
      <c r="AL156" s="33">
        <f t="shared" si="43"/>
        <v>10000</v>
      </c>
      <c r="AM156" s="87">
        <v>2</v>
      </c>
      <c r="AN156" s="531">
        <v>0</v>
      </c>
      <c r="AO156" s="23"/>
      <c r="AP156" s="532">
        <f t="shared" si="37"/>
        <v>410</v>
      </c>
      <c r="AR156" s="35">
        <f t="shared" si="44"/>
        <v>10000</v>
      </c>
      <c r="AS156" s="36">
        <f ca="1">OFFSET(cod_desembolso!$A$1,AM156,23)</f>
        <v>1.1245293369208682</v>
      </c>
      <c r="AT156" s="37">
        <f ca="1">IF(AP156=0,0,AP156*(OFFSET(cod_desembolso!$A$1,AM156,23)))</f>
        <v>461.05702813755596</v>
      </c>
      <c r="AU156" s="38">
        <f>(constantes!$B$3*(1+constantes!$B$3)^(AI156))/((1+constantes!$B$3)^(AI156)-1)</f>
        <v>8.8827433387272267E-2</v>
      </c>
      <c r="AV156" s="37">
        <f t="shared" ca="1" si="39"/>
        <v>43.004512454622464</v>
      </c>
      <c r="AW156" s="37">
        <f ca="1">IF(AP156=0,AY156/constantes!$B$3,AV156/constantes!$B$3)</f>
        <v>537.55640568278079</v>
      </c>
      <c r="AX156" s="39">
        <f ca="1">IF(AP156=0,0,PV(constantes!$B$3,AI156,-AV156)*constantes!$B$3)</f>
        <v>38.730838719277379</v>
      </c>
      <c r="AY156" s="40">
        <f>constantes!$B$10*F156/1000</f>
        <v>2.0499999999999998</v>
      </c>
      <c r="AZ156" s="533">
        <f>constantes!$B$12</f>
        <v>0</v>
      </c>
      <c r="BA156" s="20">
        <v>318</v>
      </c>
      <c r="BB156" s="43"/>
      <c r="BC156" s="3" t="s">
        <v>2183</v>
      </c>
      <c r="BE156" s="534">
        <v>1</v>
      </c>
      <c r="BF156" s="535">
        <v>2027</v>
      </c>
      <c r="BG156" s="536">
        <v>1</v>
      </c>
      <c r="BH156" s="537">
        <v>2027</v>
      </c>
    </row>
    <row r="157" spans="1:60" ht="14.45">
      <c r="A157" s="125">
        <v>1132</v>
      </c>
      <c r="B157" s="125">
        <v>1132</v>
      </c>
      <c r="C157" s="538" t="s">
        <v>2400</v>
      </c>
      <c r="D157" s="538" t="s">
        <v>2400</v>
      </c>
      <c r="E157" s="546"/>
      <c r="F157" s="526">
        <v>209.1</v>
      </c>
      <c r="G157" s="3" t="s">
        <v>2211</v>
      </c>
      <c r="H157" s="3" t="s">
        <v>2211</v>
      </c>
      <c r="I157" s="3">
        <v>-45.107201000000003</v>
      </c>
      <c r="J157" s="3">
        <v>-19.163833</v>
      </c>
      <c r="K157" s="539" t="s">
        <v>152</v>
      </c>
      <c r="L157" s="539" t="s">
        <v>152</v>
      </c>
      <c r="M157" s="554">
        <v>1</v>
      </c>
      <c r="N157" s="107"/>
      <c r="O157" s="529">
        <v>1.6379999999999999E-2</v>
      </c>
      <c r="P157" s="529">
        <v>6.1409999999999999E-2</v>
      </c>
      <c r="Q157" s="288">
        <f t="shared" si="40"/>
        <v>0.47057663512559494</v>
      </c>
      <c r="R157" s="30">
        <f t="shared" si="32"/>
        <v>98.397574404761897</v>
      </c>
      <c r="S157" s="30">
        <f t="shared" si="41"/>
        <v>110.7024255952381</v>
      </c>
      <c r="T157" s="107">
        <v>140.20285714285714</v>
      </c>
      <c r="U157" s="107">
        <v>94.821845238095236</v>
      </c>
      <c r="V157" s="107">
        <v>66.552916666666661</v>
      </c>
      <c r="W157" s="107">
        <v>92.012678571428566</v>
      </c>
      <c r="X157" s="288">
        <f t="shared" si="42"/>
        <v>0.54728293995742749</v>
      </c>
      <c r="Y157" s="289">
        <f t="shared" si="35"/>
        <v>114.4368627450981</v>
      </c>
      <c r="Z157" s="289">
        <f t="shared" si="36"/>
        <v>16.039288340336199</v>
      </c>
      <c r="AA157" s="107">
        <v>174.50494117647085</v>
      </c>
      <c r="AB157" s="107">
        <v>102.72650980392159</v>
      </c>
      <c r="AC157" s="107">
        <v>68.185137254901932</v>
      </c>
      <c r="AD157" s="107">
        <v>112.33086274509803</v>
      </c>
      <c r="AE157" s="106">
        <v>1</v>
      </c>
      <c r="AF157" s="32" t="str">
        <f>IF(AE157=0,"",VLOOKUP(AE157,tab_tipo_expansao!$A$2:$B$4,2,0))</f>
        <v>opcional</v>
      </c>
      <c r="AG157" s="125">
        <v>2030</v>
      </c>
      <c r="AH157" s="125">
        <v>2100</v>
      </c>
      <c r="AI157" s="125">
        <v>30</v>
      </c>
      <c r="AJ157" s="530">
        <v>1935.8291889221532</v>
      </c>
      <c r="AK157" s="24">
        <f>AL157/constantes!$B$4</f>
        <v>2373.8233318889911</v>
      </c>
      <c r="AL157" s="33">
        <f t="shared" si="43"/>
        <v>9257.9109943670646</v>
      </c>
      <c r="AM157" s="87">
        <v>2</v>
      </c>
      <c r="AN157" s="531">
        <v>0</v>
      </c>
      <c r="AO157" s="23"/>
      <c r="AP157" s="532">
        <f t="shared" si="37"/>
        <v>1935.8291889221532</v>
      </c>
      <c r="AR157" s="35">
        <f t="shared" si="44"/>
        <v>9257.9109943670646</v>
      </c>
      <c r="AS157" s="36">
        <f ca="1">OFFSET(cod_desembolso!$A$1,AM157,23)</f>
        <v>1.1245293369208682</v>
      </c>
      <c r="AT157" s="37">
        <f ca="1">IF(AP157=0,0,AP157*(OFFSET(cod_desembolso!$A$1,AM157,23)))</f>
        <v>2176.8967142106912</v>
      </c>
      <c r="AU157" s="38">
        <f>(constantes!$B$3*(1+constantes!$B$3)^(AI157))/((1+constantes!$B$3)^(AI157)-1)</f>
        <v>8.8827433387272267E-2</v>
      </c>
      <c r="AV157" s="37">
        <f t="shared" ca="1" si="39"/>
        <v>203.82314787252207</v>
      </c>
      <c r="AW157" s="37">
        <f ca="1">IF(AP157=0,AY157/constantes!$B$3,AV157/constantes!$B$3)</f>
        <v>2547.7893484065257</v>
      </c>
      <c r="AX157" s="39">
        <f ca="1">IF(AP157=0,0,PV(constantes!$B$3,AI157,-AV157)*constantes!$B$3)</f>
        <v>183.56774712504713</v>
      </c>
      <c r="AY157" s="40">
        <f>constantes!$B$10*F157/1000</f>
        <v>10.455</v>
      </c>
      <c r="AZ157" s="533">
        <f>constantes!$B$12</f>
        <v>0</v>
      </c>
      <c r="BA157" s="20">
        <v>318</v>
      </c>
      <c r="BB157" s="43"/>
      <c r="BC157" s="3" t="s">
        <v>2217</v>
      </c>
      <c r="BE157" s="534">
        <v>1</v>
      </c>
      <c r="BF157" s="535">
        <v>2035</v>
      </c>
      <c r="BG157" s="536">
        <v>3</v>
      </c>
      <c r="BH157" s="537">
        <v>2050</v>
      </c>
    </row>
    <row r="158" spans="1:60" ht="14.45" hidden="1">
      <c r="A158" s="125">
        <v>1133</v>
      </c>
      <c r="B158" s="125">
        <v>1133</v>
      </c>
      <c r="C158" s="538" t="s">
        <v>2401</v>
      </c>
      <c r="D158" s="538" t="s">
        <v>2401</v>
      </c>
      <c r="E158" s="546"/>
      <c r="F158" s="526">
        <v>51.4</v>
      </c>
      <c r="G158" s="3" t="s">
        <v>2211</v>
      </c>
      <c r="H158" s="3" t="s">
        <v>2337</v>
      </c>
      <c r="I158" s="3">
        <v>-45.568610999999997</v>
      </c>
      <c r="J158" s="3">
        <v>-18.683889000000001</v>
      </c>
      <c r="K158" s="539" t="s">
        <v>152</v>
      </c>
      <c r="L158" s="539" t="s">
        <v>152</v>
      </c>
      <c r="M158" s="554">
        <v>1</v>
      </c>
      <c r="N158" s="107"/>
      <c r="O158" s="529">
        <v>2.068E-2</v>
      </c>
      <c r="P158" s="529">
        <v>4.6600000000000003E-2</v>
      </c>
      <c r="Q158" s="288">
        <f t="shared" si="40"/>
        <v>0.37477736473967016</v>
      </c>
      <c r="R158" s="30">
        <f t="shared" si="32"/>
        <v>19.263556547619046</v>
      </c>
      <c r="S158" s="30">
        <f t="shared" si="41"/>
        <v>32.136443452380952</v>
      </c>
      <c r="T158" s="107">
        <v>15.178571428571431</v>
      </c>
      <c r="U158" s="107">
        <v>14.779583333333333</v>
      </c>
      <c r="V158" s="107">
        <v>26.232916666666668</v>
      </c>
      <c r="W158" s="107">
        <v>20.863154761904759</v>
      </c>
      <c r="X158" s="288">
        <f t="shared" si="42"/>
        <v>0.38010872053101397</v>
      </c>
      <c r="Y158" s="289">
        <f t="shared" si="35"/>
        <v>19.537588235294116</v>
      </c>
      <c r="Z158" s="289">
        <f t="shared" si="36"/>
        <v>0.27403168767506969</v>
      </c>
      <c r="AA158" s="107">
        <v>24.76</v>
      </c>
      <c r="AB158" s="107">
        <v>11.806862745098035</v>
      </c>
      <c r="AC158" s="107">
        <v>20.072431372549023</v>
      </c>
      <c r="AD158" s="107">
        <v>21.511058823529407</v>
      </c>
      <c r="AE158" s="106">
        <v>1</v>
      </c>
      <c r="AF158" s="32" t="str">
        <f>IF(AE158=0,"",VLOOKUP(AE158,tab_tipo_expansao!$A$2:$B$4,2,0))</f>
        <v>opcional</v>
      </c>
      <c r="AG158" s="125">
        <v>2028</v>
      </c>
      <c r="AH158" s="125">
        <v>2100</v>
      </c>
      <c r="AI158" s="125">
        <v>30</v>
      </c>
      <c r="AJ158" s="530">
        <v>468.24991803033868</v>
      </c>
      <c r="AK158" s="24">
        <f>AL158/constantes!$B$4</f>
        <v>2335.8770728840605</v>
      </c>
      <c r="AL158" s="33">
        <f t="shared" si="43"/>
        <v>9109.920584247835</v>
      </c>
      <c r="AM158" s="87">
        <v>2</v>
      </c>
      <c r="AN158" s="531">
        <v>0</v>
      </c>
      <c r="AO158" s="23"/>
      <c r="AP158" s="532">
        <f t="shared" si="37"/>
        <v>468.24991803033868</v>
      </c>
      <c r="AR158" s="35">
        <f t="shared" si="44"/>
        <v>9109.9205842478332</v>
      </c>
      <c r="AS158" s="36">
        <f ca="1">OFFSET(cod_desembolso!$A$1,AM158,23)</f>
        <v>1.1245293369208682</v>
      </c>
      <c r="AT158" s="37">
        <f ca="1">IF(AP158=0,0,AP158*(OFFSET(cod_desembolso!$A$1,AM158,23)))</f>
        <v>526.56076983590765</v>
      </c>
      <c r="AU158" s="38">
        <f>(constantes!$B$3*(1+constantes!$B$3)^(AI158))/((1+constantes!$B$3)^(AI158)-1)</f>
        <v>8.8827433387272267E-2</v>
      </c>
      <c r="AV158" s="37">
        <f t="shared" ca="1" si="39"/>
        <v>49.34304170694989</v>
      </c>
      <c r="AW158" s="37">
        <f ca="1">IF(AP158=0,AY158/constantes!$B$3,AV158/constantes!$B$3)</f>
        <v>616.78802133687361</v>
      </c>
      <c r="AX158" s="39">
        <f ca="1">IF(AP158=0,0,PV(constantes!$B$3,AI158,-AV158)*constantes!$B$3)</f>
        <v>44.439461842219615</v>
      </c>
      <c r="AY158" s="40">
        <f>constantes!$B$10*F158/1000</f>
        <v>2.57</v>
      </c>
      <c r="AZ158" s="533">
        <f>constantes!$B$12</f>
        <v>0</v>
      </c>
      <c r="BA158" s="20">
        <v>318</v>
      </c>
      <c r="BB158" s="43"/>
      <c r="BC158" s="3" t="s">
        <v>2197</v>
      </c>
      <c r="BE158" s="534">
        <v>1</v>
      </c>
      <c r="BF158" s="535">
        <v>2027</v>
      </c>
      <c r="BG158" s="536">
        <v>1</v>
      </c>
      <c r="BH158" s="537">
        <v>2027</v>
      </c>
    </row>
    <row r="159" spans="1:60" ht="14.45" hidden="1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46"/>
      <c r="F159" s="526">
        <v>73</v>
      </c>
      <c r="G159" s="3" t="s">
        <v>2199</v>
      </c>
      <c r="H159" s="3" t="s">
        <v>2350</v>
      </c>
      <c r="I159" s="3">
        <v>-47.879998999999998</v>
      </c>
      <c r="J159" s="3">
        <v>-9.8308160000000004</v>
      </c>
      <c r="K159" s="539" t="s">
        <v>1983</v>
      </c>
      <c r="L159" s="539" t="s">
        <v>1983</v>
      </c>
      <c r="M159" s="554">
        <v>1</v>
      </c>
      <c r="N159" s="107"/>
      <c r="O159" s="529">
        <v>1.9820000000000001E-2</v>
      </c>
      <c r="P159" s="529">
        <v>5.2919999999999995E-2</v>
      </c>
      <c r="Q159" s="288">
        <f t="shared" si="40"/>
        <v>0.64508765492498366</v>
      </c>
      <c r="R159" s="30">
        <f t="shared" si="32"/>
        <v>47.09139880952381</v>
      </c>
      <c r="S159" s="30">
        <f t="shared" si="41"/>
        <v>25.90860119047619</v>
      </c>
      <c r="T159" s="107">
        <v>63.467142857142846</v>
      </c>
      <c r="U159" s="107">
        <v>50.906845238095237</v>
      </c>
      <c r="V159" s="107">
        <v>27.707083333333333</v>
      </c>
      <c r="W159" s="107">
        <v>46.284523809523812</v>
      </c>
      <c r="X159" s="288">
        <f t="shared" si="42"/>
        <v>0.68069339242546334</v>
      </c>
      <c r="Y159" s="289">
        <f t="shared" si="35"/>
        <v>49.690617647058822</v>
      </c>
      <c r="Z159" s="289">
        <f t="shared" si="36"/>
        <v>2.5992188375350125</v>
      </c>
      <c r="AA159" s="107">
        <v>60.986431372549028</v>
      </c>
      <c r="AB159" s="107">
        <v>53.710941176470584</v>
      </c>
      <c r="AC159" s="107">
        <v>33.266352941176471</v>
      </c>
      <c r="AD159" s="107">
        <v>50.798745098039213</v>
      </c>
      <c r="AE159" s="106">
        <v>1</v>
      </c>
      <c r="AF159" s="32" t="str">
        <f>IF(AE159=0,"",VLOOKUP(AE159,tab_tipo_expansao!$A$2:$B$4,2,0))</f>
        <v>opcional</v>
      </c>
      <c r="AG159" s="125">
        <v>2028</v>
      </c>
      <c r="AH159" s="125">
        <v>2100</v>
      </c>
      <c r="AI159" s="125">
        <v>30</v>
      </c>
      <c r="AJ159" s="530">
        <v>489.19277661235088</v>
      </c>
      <c r="AK159" s="24">
        <f>AL159/constantes!$B$4</f>
        <v>1718.2745929481941</v>
      </c>
      <c r="AL159" s="33">
        <f t="shared" si="43"/>
        <v>6701.2709124979574</v>
      </c>
      <c r="AM159" s="87">
        <v>2</v>
      </c>
      <c r="AN159" s="531">
        <v>0</v>
      </c>
      <c r="AO159" s="23"/>
      <c r="AP159" s="532">
        <f t="shared" si="37"/>
        <v>489.19277661235088</v>
      </c>
      <c r="AR159" s="35">
        <f t="shared" si="44"/>
        <v>6701.2709124979574</v>
      </c>
      <c r="AS159" s="36">
        <f ca="1">OFFSET(cod_desembolso!$A$1,AM159,23)</f>
        <v>1.1245293369208682</v>
      </c>
      <c r="AT159" s="37">
        <f ca="1">IF(AP159=0,0,AP159*(OFFSET(cod_desembolso!$A$1,AM159,23)))</f>
        <v>550.11162871036538</v>
      </c>
      <c r="AU159" s="38">
        <f>(constantes!$B$3*(1+constantes!$B$3)^(AI159))/((1+constantes!$B$3)^(AI159)-1)</f>
        <v>8.8827433387272267E-2</v>
      </c>
      <c r="AV159" s="37">
        <f t="shared" ca="1" si="39"/>
        <v>52.515004054833831</v>
      </c>
      <c r="AW159" s="37">
        <f ca="1">IF(AP159=0,AY159/constantes!$B$3,AV159/constantes!$B$3)</f>
        <v>656.43755068542282</v>
      </c>
      <c r="AX159" s="39">
        <f ca="1">IF(AP159=0,0,PV(constantes!$B$3,AI159,-AV159)*constantes!$B$3)</f>
        <v>47.296203033022451</v>
      </c>
      <c r="AY159" s="40">
        <f>constantes!$B$10*F159/1000</f>
        <v>3.65</v>
      </c>
      <c r="AZ159" s="533">
        <f>constantes!$B$12</f>
        <v>0</v>
      </c>
      <c r="BA159" s="20">
        <v>318</v>
      </c>
      <c r="BB159" s="43"/>
      <c r="BC159" s="3" t="s">
        <v>2197</v>
      </c>
      <c r="BE159" s="534">
        <v>1</v>
      </c>
      <c r="BF159" s="535">
        <v>2027</v>
      </c>
      <c r="BG159" s="536">
        <v>1</v>
      </c>
      <c r="BH159" s="537">
        <v>2027</v>
      </c>
    </row>
    <row r="160" spans="1:60" ht="14.45" hidden="1">
      <c r="A160" s="125">
        <v>1135</v>
      </c>
      <c r="B160" s="125">
        <v>1135</v>
      </c>
      <c r="C160" s="626" t="s">
        <v>2403</v>
      </c>
      <c r="D160" s="538" t="s">
        <v>2403</v>
      </c>
      <c r="E160" s="546"/>
      <c r="F160" s="526">
        <v>86</v>
      </c>
      <c r="G160" s="3" t="s">
        <v>2199</v>
      </c>
      <c r="H160" s="3" t="s">
        <v>2339</v>
      </c>
      <c r="I160" s="3">
        <v>-48.715268000000002</v>
      </c>
      <c r="J160" s="3">
        <v>-14.760691</v>
      </c>
      <c r="K160" s="539" t="s">
        <v>2005</v>
      </c>
      <c r="L160" s="539" t="s">
        <v>2005</v>
      </c>
      <c r="M160" s="554">
        <v>1</v>
      </c>
      <c r="N160" s="107"/>
      <c r="O160" s="529">
        <v>2.068E-2</v>
      </c>
      <c r="P160" s="529">
        <v>4.6600000000000003E-2</v>
      </c>
      <c r="Q160" s="288">
        <f t="shared" si="40"/>
        <v>0.46599425526024363</v>
      </c>
      <c r="R160" s="30">
        <f t="shared" si="32"/>
        <v>40.075505952380951</v>
      </c>
      <c r="S160" s="30">
        <f t="shared" si="41"/>
        <v>45.924494047619049</v>
      </c>
      <c r="T160" s="107">
        <v>49.13047619047618</v>
      </c>
      <c r="U160" s="107">
        <v>33.704702380952376</v>
      </c>
      <c r="V160" s="107">
        <v>32.401250000000005</v>
      </c>
      <c r="W160" s="107">
        <v>45.065595238095234</v>
      </c>
      <c r="X160" s="288">
        <f t="shared" si="42"/>
        <v>0.59706304149566791</v>
      </c>
      <c r="Y160" s="289">
        <f t="shared" si="35"/>
        <v>51.347421568627439</v>
      </c>
      <c r="Z160" s="289">
        <f t="shared" si="36"/>
        <v>11.271915616246488</v>
      </c>
      <c r="AA160" s="107">
        <v>67.081411764705848</v>
      </c>
      <c r="AB160" s="107">
        <v>47.931098039215669</v>
      </c>
      <c r="AC160" s="107">
        <v>40.531019607843149</v>
      </c>
      <c r="AD160" s="107">
        <v>49.84615686274509</v>
      </c>
      <c r="AE160" s="106">
        <v>1</v>
      </c>
      <c r="AF160" s="32" t="str">
        <f>IF(AE160=0,"",VLOOKUP(AE160,tab_tipo_expansao!$A$2:$B$4,2,0))</f>
        <v>opcional</v>
      </c>
      <c r="AG160" s="125">
        <v>2026</v>
      </c>
      <c r="AH160" s="125">
        <v>2100</v>
      </c>
      <c r="AI160" s="125">
        <v>30</v>
      </c>
      <c r="AJ160" s="530">
        <v>1696.8176661984116</v>
      </c>
      <c r="AK160" s="24">
        <f>AL160/constantes!$B$4</f>
        <v>5059.086661295205</v>
      </c>
      <c r="AL160" s="33">
        <f t="shared" si="43"/>
        <v>19730.437979051298</v>
      </c>
      <c r="AM160" s="87">
        <v>2</v>
      </c>
      <c r="AN160" s="531">
        <v>0</v>
      </c>
      <c r="AO160" s="23"/>
      <c r="AP160" s="532">
        <f t="shared" si="37"/>
        <v>1696.8176661984116</v>
      </c>
      <c r="AR160" s="35">
        <f t="shared" si="44"/>
        <v>19730.437979051298</v>
      </c>
      <c r="AS160" s="36">
        <f ca="1">OFFSET(cod_desembolso!$A$1,AM160,23)</f>
        <v>1.1245293369208682</v>
      </c>
      <c r="AT160" s="37">
        <f ca="1">IF(AP160=0,0,AP160*(OFFSET(cod_desembolso!$A$1,AM160,23)))</f>
        <v>1908.1212450457149</v>
      </c>
      <c r="AU160" s="38">
        <f>(constantes!$B$3*(1+constantes!$B$3)^(AI160))/((1+constantes!$B$3)^(AI160)-1)</f>
        <v>8.8827433387272267E-2</v>
      </c>
      <c r="AV160" s="37">
        <f t="shared" ca="1" si="39"/>
        <v>173.79351278913728</v>
      </c>
      <c r="AW160" s="37">
        <f ca="1">IF(AP160=0,AY160/constantes!$B$3,AV160/constantes!$B$3)</f>
        <v>2172.4189098642159</v>
      </c>
      <c r="AX160" s="39">
        <f ca="1">IF(AP160=0,0,PV(constantes!$B$3,AI160,-AV160)*constantes!$B$3)</f>
        <v>156.52237707369306</v>
      </c>
      <c r="AY160" s="40">
        <f>constantes!$B$10*F160/1000</f>
        <v>4.3</v>
      </c>
      <c r="AZ160" s="533">
        <f>constantes!$B$12</f>
        <v>0</v>
      </c>
      <c r="BA160" s="20">
        <v>318</v>
      </c>
      <c r="BB160" s="43"/>
      <c r="BC160" s="3" t="s">
        <v>2209</v>
      </c>
      <c r="BE160" s="534">
        <v>1</v>
      </c>
      <c r="BF160" s="535">
        <v>2026</v>
      </c>
      <c r="BG160" s="536">
        <v>1</v>
      </c>
      <c r="BH160" s="537">
        <v>2026</v>
      </c>
    </row>
    <row r="161" spans="1:60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46"/>
      <c r="F161" s="526">
        <v>54</v>
      </c>
      <c r="G161" s="3" t="s">
        <v>2181</v>
      </c>
      <c r="H161" s="3" t="s">
        <v>2224</v>
      </c>
      <c r="I161" s="3">
        <v>-51.938205000000004</v>
      </c>
      <c r="J161" s="3">
        <v>1.040449</v>
      </c>
      <c r="K161" s="539" t="s">
        <v>2001</v>
      </c>
      <c r="L161" s="539" t="s">
        <v>2001</v>
      </c>
      <c r="M161" s="554">
        <v>7</v>
      </c>
      <c r="N161" s="107"/>
      <c r="O161" s="529">
        <v>2.068E-2</v>
      </c>
      <c r="P161" s="529">
        <v>4.6600000000000003E-2</v>
      </c>
      <c r="Q161" s="288">
        <f t="shared" si="40"/>
        <v>0.6001179453262786</v>
      </c>
      <c r="R161" s="30">
        <f t="shared" si="32"/>
        <v>32.406369047619044</v>
      </c>
      <c r="S161" s="30">
        <f t="shared" si="41"/>
        <v>21.593630952380956</v>
      </c>
      <c r="T161" s="107">
        <v>33.820476190476199</v>
      </c>
      <c r="U161" s="107">
        <v>46.045119047619046</v>
      </c>
      <c r="V161" s="107">
        <v>38.448333333333331</v>
      </c>
      <c r="W161" s="107">
        <v>11.311547619047618</v>
      </c>
      <c r="X161" s="288">
        <f t="shared" si="42"/>
        <v>0.59135475671750182</v>
      </c>
      <c r="Y161" s="289">
        <f t="shared" si="35"/>
        <v>31.933156862745101</v>
      </c>
      <c r="Z161" s="289">
        <f t="shared" si="36"/>
        <v>-0.4732121848739439</v>
      </c>
      <c r="AA161" s="107">
        <v>37.341725490196097</v>
      </c>
      <c r="AB161" s="107">
        <v>46.369372549019609</v>
      </c>
      <c r="AC161" s="107">
        <v>35.568745098039223</v>
      </c>
      <c r="AD161" s="107">
        <v>8.452784313725493</v>
      </c>
      <c r="AE161" s="106">
        <v>1</v>
      </c>
      <c r="AF161" s="32" t="str">
        <f>IF(AE161=0,"",VLOOKUP(AE161,tab_tipo_expansao!$A$2:$B$4,2,0))</f>
        <v>opcional</v>
      </c>
      <c r="AG161" s="125">
        <v>2030</v>
      </c>
      <c r="AH161" s="125">
        <v>2100</v>
      </c>
      <c r="AI161" s="125">
        <v>30</v>
      </c>
      <c r="AJ161" s="530">
        <v>676.8548817936362</v>
      </c>
      <c r="AK161" s="24">
        <f>AL161/constantes!$B$4</f>
        <v>3213.9358109859268</v>
      </c>
      <c r="AL161" s="33">
        <f t="shared" si="43"/>
        <v>12534.349662845114</v>
      </c>
      <c r="AM161" s="87">
        <v>2</v>
      </c>
      <c r="AN161" s="531">
        <v>0</v>
      </c>
      <c r="AO161" s="23"/>
      <c r="AP161" s="532">
        <f t="shared" si="37"/>
        <v>676.8548817936362</v>
      </c>
      <c r="AR161" s="35">
        <f t="shared" si="44"/>
        <v>12534.349662845116</v>
      </c>
      <c r="AS161" s="36">
        <f ca="1">OFFSET(cod_desembolso!$A$1,AM161,23)</f>
        <v>1.1245293369208682</v>
      </c>
      <c r="AT161" s="37">
        <f ca="1">IF(AP161=0,0,AP161*(OFFSET(cod_desembolso!$A$1,AM161,23)))</f>
        <v>761.14317141505035</v>
      </c>
      <c r="AU161" s="38">
        <f>(constantes!$B$3*(1+constantes!$B$3)^(AI161))/((1+constantes!$B$3)^(AI161)-1)</f>
        <v>8.8827433387272267E-2</v>
      </c>
      <c r="AV161" s="37">
        <f t="shared" ca="1" si="39"/>
        <v>70.310394357047542</v>
      </c>
      <c r="AW161" s="37">
        <f ca="1">IF(AP161=0,AY161/constantes!$B$3,AV161/constantes!$B$3)</f>
        <v>878.8799294630943</v>
      </c>
      <c r="AX161" s="39">
        <f ca="1">IF(AP161=0,0,PV(constantes!$B$3,AI161,-AV161)*constantes!$B$3)</f>
        <v>63.323134915319564</v>
      </c>
      <c r="AY161" s="40">
        <f>constantes!$B$10*F161/1000</f>
        <v>2.7</v>
      </c>
      <c r="AZ161" s="533">
        <f>constantes!$B$12</f>
        <v>0</v>
      </c>
      <c r="BA161" s="20">
        <v>318</v>
      </c>
      <c r="BB161" s="43"/>
      <c r="BC161" s="3" t="s">
        <v>2185</v>
      </c>
      <c r="BE161" s="534">
        <v>1</v>
      </c>
      <c r="BF161" s="535">
        <v>2030</v>
      </c>
      <c r="BG161" s="536">
        <v>1</v>
      </c>
      <c r="BH161" s="537">
        <v>2030</v>
      </c>
    </row>
    <row r="162" spans="1:60" ht="14.45" hidden="1">
      <c r="A162" s="125">
        <v>1137</v>
      </c>
      <c r="B162" s="125">
        <v>1137</v>
      </c>
      <c r="C162" s="538" t="s">
        <v>2405</v>
      </c>
      <c r="D162" s="538" t="s">
        <v>2405</v>
      </c>
      <c r="E162" s="546"/>
      <c r="F162" s="526">
        <v>49.3</v>
      </c>
      <c r="G162" s="3" t="s">
        <v>2097</v>
      </c>
      <c r="H162" s="3" t="s">
        <v>2202</v>
      </c>
      <c r="I162" s="3">
        <v>-52.916153000000001</v>
      </c>
      <c r="J162" s="3">
        <v>-26.942931000000002</v>
      </c>
      <c r="K162" s="539" t="s">
        <v>1991</v>
      </c>
      <c r="L162" s="539" t="s">
        <v>1991</v>
      </c>
      <c r="M162" s="554">
        <v>2</v>
      </c>
      <c r="N162" s="107"/>
      <c r="O162" s="529">
        <v>2.068E-2</v>
      </c>
      <c r="P162" s="529">
        <v>4.6600000000000003E-2</v>
      </c>
      <c r="Q162" s="288">
        <f t="shared" si="40"/>
        <v>0.51852301265333722</v>
      </c>
      <c r="R162" s="30">
        <f t="shared" si="32"/>
        <v>25.563184523809525</v>
      </c>
      <c r="S162" s="30">
        <f t="shared" si="41"/>
        <v>23.736815476190472</v>
      </c>
      <c r="T162" s="107">
        <v>17.926190476190474</v>
      </c>
      <c r="U162" s="107">
        <v>26.555714285714284</v>
      </c>
      <c r="V162" s="107">
        <v>29.350833333333338</v>
      </c>
      <c r="W162" s="107">
        <v>28.419999999999998</v>
      </c>
      <c r="X162" s="288">
        <f t="shared" si="42"/>
        <v>0.59374438213419256</v>
      </c>
      <c r="Y162" s="289">
        <f t="shared" si="35"/>
        <v>29.271598039215689</v>
      </c>
      <c r="Z162" s="289">
        <f t="shared" si="36"/>
        <v>3.7084135154061642</v>
      </c>
      <c r="AA162" s="107">
        <v>23.012901960784308</v>
      </c>
      <c r="AB162" s="107">
        <v>28.526039215686264</v>
      </c>
      <c r="AC162" s="107">
        <v>33.955529411764722</v>
      </c>
      <c r="AD162" s="107">
        <v>31.591921568627466</v>
      </c>
      <c r="AE162" s="106">
        <v>1</v>
      </c>
      <c r="AF162" s="32" t="str">
        <f>IF(AE162=0,"",VLOOKUP(AE162,tab_tipo_expansao!$A$2:$B$4,2,0))</f>
        <v>opcional</v>
      </c>
      <c r="AG162" s="125">
        <v>2028</v>
      </c>
      <c r="AH162" s="125">
        <v>2100</v>
      </c>
      <c r="AI162" s="125">
        <v>30</v>
      </c>
      <c r="AJ162" s="530">
        <v>612.04883631501502</v>
      </c>
      <c r="AK162" s="24">
        <f>AL162/constantes!$B$4</f>
        <v>3183.2778713008529</v>
      </c>
      <c r="AL162" s="33">
        <f t="shared" si="43"/>
        <v>12414.783698073326</v>
      </c>
      <c r="AM162" s="87">
        <v>2</v>
      </c>
      <c r="AN162" s="531">
        <v>0</v>
      </c>
      <c r="AO162" s="23"/>
      <c r="AP162" s="532">
        <f t="shared" si="37"/>
        <v>612.04883631501502</v>
      </c>
      <c r="AR162" s="35">
        <f t="shared" si="44"/>
        <v>12414.783698073326</v>
      </c>
      <c r="AS162" s="36">
        <f ca="1">OFFSET(cod_desembolso!$A$1,AM162,23)</f>
        <v>1.1245293369208682</v>
      </c>
      <c r="AT162" s="37">
        <f ca="1">IF(AP162=0,0,AP162*(OFFSET(cod_desembolso!$A$1,AM162,23)))</f>
        <v>688.26687206451288</v>
      </c>
      <c r="AU162" s="38">
        <f>(constantes!$B$3*(1+constantes!$B$3)^(AI162))/((1+constantes!$B$3)^(AI162)-1)</f>
        <v>8.8827433387272267E-2</v>
      </c>
      <c r="AV162" s="37">
        <f t="shared" ca="1" si="39"/>
        <v>63.601979730976765</v>
      </c>
      <c r="AW162" s="37">
        <f ca="1">IF(AP162=0,AY162/constantes!$B$3,AV162/constantes!$B$3)</f>
        <v>795.02474663720955</v>
      </c>
      <c r="AX162" s="39">
        <f ca="1">IF(AP162=0,0,PV(constantes!$B$3,AI162,-AV162)*constantes!$B$3)</f>
        <v>57.28138464042577</v>
      </c>
      <c r="AY162" s="40">
        <f>constantes!$B$10*F162/1000</f>
        <v>2.4649999999999999</v>
      </c>
      <c r="AZ162" s="533">
        <f>constantes!$B$12</f>
        <v>0</v>
      </c>
      <c r="BA162" s="20">
        <v>318</v>
      </c>
      <c r="BB162" s="43"/>
      <c r="BC162" s="3" t="s">
        <v>2197</v>
      </c>
      <c r="BE162" s="534">
        <v>1</v>
      </c>
      <c r="BF162" s="535">
        <v>2027</v>
      </c>
      <c r="BG162" s="536">
        <v>1</v>
      </c>
      <c r="BH162" s="537">
        <v>2027</v>
      </c>
    </row>
    <row r="163" spans="1:60" ht="14.45" hidden="1">
      <c r="A163" s="125">
        <v>1138</v>
      </c>
      <c r="B163" s="125">
        <v>1138</v>
      </c>
      <c r="C163" s="626" t="s">
        <v>2406</v>
      </c>
      <c r="D163" s="538" t="s">
        <v>2406</v>
      </c>
      <c r="E163" s="546"/>
      <c r="F163" s="526">
        <v>81</v>
      </c>
      <c r="G163" s="3" t="s">
        <v>2196</v>
      </c>
      <c r="H163" s="3" t="s">
        <v>2316</v>
      </c>
      <c r="I163" s="3">
        <v>-52.102997000000002</v>
      </c>
      <c r="J163" s="3">
        <v>-20.169316999999999</v>
      </c>
      <c r="K163" s="539" t="s">
        <v>2092</v>
      </c>
      <c r="L163" s="539" t="s">
        <v>2092</v>
      </c>
      <c r="M163" s="554">
        <v>1</v>
      </c>
      <c r="N163" s="107"/>
      <c r="O163" s="529">
        <v>1.9820000000000001E-2</v>
      </c>
      <c r="P163" s="529">
        <v>5.2919999999999995E-2</v>
      </c>
      <c r="Q163" s="288">
        <f t="shared" si="40"/>
        <v>0.59667621987066433</v>
      </c>
      <c r="R163" s="30">
        <f t="shared" si="32"/>
        <v>48.330773809523812</v>
      </c>
      <c r="S163" s="30">
        <f t="shared" si="41"/>
        <v>32.669226190476188</v>
      </c>
      <c r="T163" s="107">
        <v>60.674761904761908</v>
      </c>
      <c r="U163" s="107">
        <v>48.636785714285715</v>
      </c>
      <c r="V163" s="107">
        <v>36.809166666666663</v>
      </c>
      <c r="W163" s="107">
        <v>47.202380952380956</v>
      </c>
      <c r="X163" s="288">
        <f t="shared" si="42"/>
        <v>0.68330985233599595</v>
      </c>
      <c r="Y163" s="289">
        <f t="shared" si="35"/>
        <v>55.348098039215671</v>
      </c>
      <c r="Z163" s="289">
        <f t="shared" si="36"/>
        <v>7.0173242296918588</v>
      </c>
      <c r="AA163" s="107">
        <v>68.168862745097996</v>
      </c>
      <c r="AB163" s="107">
        <v>55.666000000000004</v>
      </c>
      <c r="AC163" s="107">
        <v>43.822509803921569</v>
      </c>
      <c r="AD163" s="107">
        <v>53.735019607843107</v>
      </c>
      <c r="AE163" s="106">
        <v>1</v>
      </c>
      <c r="AF163" s="32" t="str">
        <f>IF(AE163=0,"",VLOOKUP(AE163,tab_tipo_expansao!$A$2:$B$4,2,0))</f>
        <v>opcional</v>
      </c>
      <c r="AG163" s="125">
        <v>2026</v>
      </c>
      <c r="AH163" s="125">
        <v>2100</v>
      </c>
      <c r="AI163" s="125">
        <v>30</v>
      </c>
      <c r="AJ163" s="530">
        <v>659.8264682337508</v>
      </c>
      <c r="AK163" s="24">
        <f>AL163/constantes!$B$4</f>
        <v>2088.7194309393822</v>
      </c>
      <c r="AL163" s="33">
        <f t="shared" si="43"/>
        <v>8146.0057806635896</v>
      </c>
      <c r="AM163" s="87">
        <v>2</v>
      </c>
      <c r="AN163" s="531">
        <v>0</v>
      </c>
      <c r="AO163" s="23"/>
      <c r="AP163" s="532">
        <f t="shared" si="37"/>
        <v>659.8264682337508</v>
      </c>
      <c r="AR163" s="35">
        <f t="shared" si="44"/>
        <v>8146.0057806635896</v>
      </c>
      <c r="AS163" s="36">
        <f ca="1">OFFSET(cod_desembolso!$A$1,AM163,23)</f>
        <v>1.1245293369208682</v>
      </c>
      <c r="AT163" s="37">
        <f ca="1">IF(AP163=0,0,AP163*(OFFSET(cod_desembolso!$A$1,AM163,23)))</f>
        <v>741.99422080573811</v>
      </c>
      <c r="AU163" s="38">
        <f>(constantes!$B$3*(1+constantes!$B$3)^(AI163))/((1+constantes!$B$3)^(AI163)-1)</f>
        <v>8.8827433387272267E-2</v>
      </c>
      <c r="AV163" s="37">
        <f t="shared" ca="1" si="39"/>
        <v>69.959442222362682</v>
      </c>
      <c r="AW163" s="37">
        <f ca="1">IF(AP163=0,AY163/constantes!$B$3,AV163/constantes!$B$3)</f>
        <v>874.49302777953346</v>
      </c>
      <c r="AX163" s="39">
        <f ca="1">IF(AP163=0,0,PV(constantes!$B$3,AI163,-AV163)*constantes!$B$3)</f>
        <v>63.007059467632345</v>
      </c>
      <c r="AY163" s="40">
        <f>constantes!$B$10*F163/1000</f>
        <v>4.05</v>
      </c>
      <c r="AZ163" s="533">
        <f>constantes!$B$12</f>
        <v>0</v>
      </c>
      <c r="BA163" s="20">
        <v>318</v>
      </c>
      <c r="BB163" s="43"/>
      <c r="BC163" s="3" t="s">
        <v>2209</v>
      </c>
      <c r="BE163" s="534">
        <v>1</v>
      </c>
      <c r="BF163" s="535">
        <v>2026</v>
      </c>
      <c r="BG163" s="536">
        <v>1</v>
      </c>
      <c r="BH163" s="537">
        <v>2026</v>
      </c>
    </row>
    <row r="164" spans="1:60" ht="15" hidden="1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46"/>
      <c r="F164" s="526">
        <v>47.35</v>
      </c>
      <c r="G164" s="3" t="s">
        <v>2196</v>
      </c>
      <c r="H164" s="3" t="s">
        <v>2341</v>
      </c>
      <c r="I164" s="3">
        <v>-51.643335999999998</v>
      </c>
      <c r="J164" s="3">
        <v>-23.995552</v>
      </c>
      <c r="K164" s="539" t="s">
        <v>153</v>
      </c>
      <c r="L164" s="539" t="s">
        <v>153</v>
      </c>
      <c r="M164" s="554">
        <v>2</v>
      </c>
      <c r="N164" s="107"/>
      <c r="O164" s="529">
        <v>2.068E-2</v>
      </c>
      <c r="P164" s="529">
        <v>4.6600000000000003E-2</v>
      </c>
      <c r="Q164" s="288">
        <f t="shared" si="40"/>
        <v>0.56527002564489359</v>
      </c>
      <c r="R164" s="30">
        <f t="shared" si="32"/>
        <v>26.765535714285711</v>
      </c>
      <c r="S164" s="30">
        <f t="shared" si="41"/>
        <v>20.58446428571429</v>
      </c>
      <c r="T164" s="107">
        <v>28.27333333333333</v>
      </c>
      <c r="U164" s="107">
        <v>26.978095238095236</v>
      </c>
      <c r="V164" s="107">
        <v>23.407083333333333</v>
      </c>
      <c r="W164" s="107">
        <v>28.403630952380951</v>
      </c>
      <c r="X164" s="288">
        <f t="shared" si="42"/>
        <v>0.64948154129656066</v>
      </c>
      <c r="Y164" s="289">
        <f t="shared" si="35"/>
        <v>30.75295098039215</v>
      </c>
      <c r="Z164" s="289">
        <f t="shared" si="36"/>
        <v>3.9874152661064386</v>
      </c>
      <c r="AA164" s="107">
        <v>33.300117647058805</v>
      </c>
      <c r="AB164" s="107">
        <v>27.703019607843135</v>
      </c>
      <c r="AC164" s="107">
        <v>28.998745098039212</v>
      </c>
      <c r="AD164" s="107">
        <v>33.009921568627441</v>
      </c>
      <c r="AE164" s="106">
        <v>1</v>
      </c>
      <c r="AF164" s="32" t="str">
        <f>IF(AE164=0,"",VLOOKUP(AE164,tab_tipo_expansao!$A$2:$B$4,2,0))</f>
        <v>opcional</v>
      </c>
      <c r="AG164" s="125">
        <v>2028</v>
      </c>
      <c r="AH164" s="125">
        <v>2100</v>
      </c>
      <c r="AI164" s="125">
        <v>30</v>
      </c>
      <c r="AJ164" s="530">
        <v>434.91472931684729</v>
      </c>
      <c r="AK164" s="24">
        <f>AL164/constantes!$B$4</f>
        <v>2355.1551691812056</v>
      </c>
      <c r="AL164" s="33">
        <f t="shared" si="43"/>
        <v>9185.1051598067006</v>
      </c>
      <c r="AM164" s="87">
        <v>2</v>
      </c>
      <c r="AN164" s="531">
        <v>0</v>
      </c>
      <c r="AO164" s="23"/>
      <c r="AP164" s="532">
        <f t="shared" si="37"/>
        <v>434.91472931684729</v>
      </c>
      <c r="AR164" s="35">
        <f t="shared" si="44"/>
        <v>9185.1051598067006</v>
      </c>
      <c r="AS164" s="36">
        <f ca="1">OFFSET(cod_desembolso!$A$1,AM164,23)</f>
        <v>1.1245293369208682</v>
      </c>
      <c r="AT164" s="37">
        <f ca="1">IF(AP164=0,0,AP164*(OFFSET(cod_desembolso!$A$1,AM164,23)))</f>
        <v>489.07437217579314</v>
      </c>
      <c r="AU164" s="38">
        <f>(constantes!$B$3*(1+constantes!$B$3)^(AI164))/((1+constantes!$B$3)^(AI164)-1)</f>
        <v>8.8827433387272267E-2</v>
      </c>
      <c r="AV164" s="37">
        <f t="shared" ca="1" si="39"/>
        <v>45.810721215867268</v>
      </c>
      <c r="AW164" s="37">
        <f ca="1">IF(AP164=0,AY164/constantes!$B$3,AV164/constantes!$B$3)</f>
        <v>572.63401519834088</v>
      </c>
      <c r="AX164" s="39">
        <f ca="1">IF(AP164=0,0,PV(constantes!$B$3,AI164,-AV164)*constantes!$B$3)</f>
        <v>41.25817393925179</v>
      </c>
      <c r="AY164" s="40">
        <f>constantes!$B$10*F164/1000</f>
        <v>2.3675000000000002</v>
      </c>
      <c r="AZ164" s="533">
        <f>constantes!$B$12</f>
        <v>0</v>
      </c>
      <c r="BA164" s="20">
        <v>318</v>
      </c>
      <c r="BB164" s="43"/>
      <c r="BC164" s="3" t="s">
        <v>2197</v>
      </c>
      <c r="BE164" s="534">
        <v>1</v>
      </c>
      <c r="BF164" s="535">
        <v>2027</v>
      </c>
      <c r="BG164" s="536">
        <v>1</v>
      </c>
      <c r="BH164" s="537">
        <v>2027</v>
      </c>
    </row>
    <row r="165" spans="1:60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46"/>
      <c r="F165" s="526">
        <v>796.4</v>
      </c>
      <c r="G165" s="3" t="s">
        <v>2181</v>
      </c>
      <c r="H165" s="3" t="s">
        <v>2313</v>
      </c>
      <c r="I165" s="3">
        <v>-60.652225999999999</v>
      </c>
      <c r="J165" s="3">
        <v>-7.2280569999999997</v>
      </c>
      <c r="K165" s="539" t="s">
        <v>156</v>
      </c>
      <c r="L165" s="539" t="s">
        <v>156</v>
      </c>
      <c r="M165" s="554">
        <v>7</v>
      </c>
      <c r="N165" s="107"/>
      <c r="O165" s="529">
        <v>1.6379999999999999E-2</v>
      </c>
      <c r="P165" s="529">
        <v>6.1409999999999999E-2</v>
      </c>
      <c r="Q165" s="288">
        <f t="shared" si="40"/>
        <v>0.48077739335940306</v>
      </c>
      <c r="R165" s="30">
        <f t="shared" si="32"/>
        <v>382.8911160714286</v>
      </c>
      <c r="S165" s="30">
        <f t="shared" si="41"/>
        <v>413.50888392857138</v>
      </c>
      <c r="T165" s="107">
        <v>544.07809523809522</v>
      </c>
      <c r="U165" s="107">
        <v>538.31083333333333</v>
      </c>
      <c r="V165" s="107">
        <v>179.60958333333335</v>
      </c>
      <c r="W165" s="107">
        <v>269.56595238095241</v>
      </c>
      <c r="X165" s="288">
        <f t="shared" si="42"/>
        <v>0.46974746654060917</v>
      </c>
      <c r="Y165" s="289">
        <f t="shared" si="35"/>
        <v>374.10688235294111</v>
      </c>
      <c r="Z165" s="289">
        <f t="shared" si="36"/>
        <v>-8.784233718487485</v>
      </c>
      <c r="AA165" s="107">
        <v>542.09407843137251</v>
      </c>
      <c r="AB165" s="107">
        <v>529.55772549019605</v>
      </c>
      <c r="AC165" s="107">
        <v>160.60800000000003</v>
      </c>
      <c r="AD165" s="107">
        <v>264.16772549019601</v>
      </c>
      <c r="AE165" s="106">
        <v>1</v>
      </c>
      <c r="AF165" s="32" t="str">
        <f>IF(AE165=0,"",VLOOKUP(AE165,tab_tipo_expansao!$A$2:$B$4,2,0))</f>
        <v>opcional</v>
      </c>
      <c r="AG165" s="125">
        <v>2030</v>
      </c>
      <c r="AH165" s="125">
        <v>2100</v>
      </c>
      <c r="AI165" s="125">
        <v>30</v>
      </c>
      <c r="AJ165" s="530">
        <v>6443.0038127891939</v>
      </c>
      <c r="AK165" s="24">
        <f>AL165/constantes!$B$4</f>
        <v>2074.4001251752097</v>
      </c>
      <c r="AL165" s="33">
        <f t="shared" si="43"/>
        <v>8090.1604881833173</v>
      </c>
      <c r="AM165" s="87">
        <v>3</v>
      </c>
      <c r="AN165" s="531">
        <v>0</v>
      </c>
      <c r="AO165" s="23"/>
      <c r="AP165" s="532">
        <f t="shared" si="37"/>
        <v>6443.0038127891939</v>
      </c>
      <c r="AR165" s="35">
        <f t="shared" si="44"/>
        <v>8090.1604881833182</v>
      </c>
      <c r="AS165" s="36">
        <f ca="1">OFFSET(cod_desembolso!$A$1,AM165,23)</f>
        <v>1.1255071012622904</v>
      </c>
      <c r="AT165" s="37">
        <f ca="1">IF(AP165=0,0,AP165*(OFFSET(cod_desembolso!$A$1,AM165,23)))</f>
        <v>7251.6465447542505</v>
      </c>
      <c r="AU165" s="38">
        <f>(constantes!$B$3*(1+constantes!$B$3)^(AI165))/((1+constantes!$B$3)^(AI165)-1)</f>
        <v>8.8827433387272267E-2</v>
      </c>
      <c r="AV165" s="37">
        <f t="shared" ca="1" si="39"/>
        <v>683.96515040220129</v>
      </c>
      <c r="AW165" s="37">
        <f ca="1">IF(AP165=0,AY165/constantes!$B$3,AV165/constantes!$B$3)</f>
        <v>8549.5643800275157</v>
      </c>
      <c r="AX165" s="39">
        <f ca="1">IF(AP165=0,0,PV(constantes!$B$3,AI165,-AV165)*constantes!$B$3)</f>
        <v>615.99451819820695</v>
      </c>
      <c r="AY165" s="40">
        <f>constantes!$B$10*F165/1000</f>
        <v>39.82</v>
      </c>
      <c r="AZ165" s="533">
        <f>constantes!$B$12</f>
        <v>0</v>
      </c>
      <c r="BA165" s="20">
        <v>318</v>
      </c>
      <c r="BB165" s="43"/>
      <c r="BC165" s="3" t="s">
        <v>2185</v>
      </c>
      <c r="BE165" s="534">
        <v>1</v>
      </c>
      <c r="BF165" s="535">
        <v>2030</v>
      </c>
      <c r="BG165" s="536">
        <v>1</v>
      </c>
      <c r="BH165" s="537">
        <v>2030</v>
      </c>
    </row>
    <row r="166" spans="1:60" ht="14.45">
      <c r="A166" s="125">
        <v>1141</v>
      </c>
      <c r="B166" s="125">
        <v>1141</v>
      </c>
      <c r="C166" s="538" t="s">
        <v>2409</v>
      </c>
      <c r="D166" s="538" t="s">
        <v>2409</v>
      </c>
      <c r="E166" s="546"/>
      <c r="F166" s="526">
        <v>267.8</v>
      </c>
      <c r="G166" s="3" t="s">
        <v>2181</v>
      </c>
      <c r="H166" s="3" t="s">
        <v>2313</v>
      </c>
      <c r="I166" s="3">
        <v>-59.385260000000002</v>
      </c>
      <c r="J166" s="3">
        <v>-9.1169449999999994</v>
      </c>
      <c r="K166" s="539" t="s">
        <v>160</v>
      </c>
      <c r="L166" s="539" t="s">
        <v>160</v>
      </c>
      <c r="M166" s="554">
        <v>7</v>
      </c>
      <c r="N166" s="107"/>
      <c r="O166" s="529">
        <v>1.6379999999999999E-2</v>
      </c>
      <c r="P166" s="529">
        <v>6.1409999999999999E-2</v>
      </c>
      <c r="Q166" s="288">
        <f t="shared" si="40"/>
        <v>0.4905492060528468</v>
      </c>
      <c r="R166" s="30">
        <f t="shared" si="32"/>
        <v>131.36907738095238</v>
      </c>
      <c r="S166" s="30">
        <f t="shared" si="41"/>
        <v>136.43092261904764</v>
      </c>
      <c r="T166" s="107">
        <v>212.71285714285716</v>
      </c>
      <c r="U166" s="107">
        <v>181.49303571428572</v>
      </c>
      <c r="V166" s="107">
        <v>53.44</v>
      </c>
      <c r="W166" s="107">
        <v>77.830416666666665</v>
      </c>
      <c r="X166" s="288">
        <f t="shared" si="42"/>
        <v>0.47630679904523426</v>
      </c>
      <c r="Y166" s="289">
        <f t="shared" si="35"/>
        <v>127.55496078431374</v>
      </c>
      <c r="Z166" s="289">
        <f t="shared" si="36"/>
        <v>-3.814116596638641</v>
      </c>
      <c r="AA166" s="107">
        <v>217.82509803921573</v>
      </c>
      <c r="AB166" s="107">
        <v>182.10247058823529</v>
      </c>
      <c r="AC166" s="107">
        <v>41.628901960784326</v>
      </c>
      <c r="AD166" s="107">
        <v>68.663372549019599</v>
      </c>
      <c r="AE166" s="106">
        <v>1</v>
      </c>
      <c r="AF166" s="32" t="str">
        <f>IF(AE166=0,"",VLOOKUP(AE166,tab_tipo_expansao!$A$2:$B$4,2,0))</f>
        <v>opcional</v>
      </c>
      <c r="AG166" s="125">
        <v>2030</v>
      </c>
      <c r="AH166" s="125">
        <v>2100</v>
      </c>
      <c r="AI166" s="125">
        <v>30</v>
      </c>
      <c r="AJ166" s="530">
        <v>2190.557621130175</v>
      </c>
      <c r="AK166" s="24">
        <f>AL166/constantes!$B$4</f>
        <v>2097.3914910957037</v>
      </c>
      <c r="AL166" s="33">
        <f t="shared" si="43"/>
        <v>8179.8268152732444</v>
      </c>
      <c r="AM166" s="87">
        <v>2</v>
      </c>
      <c r="AN166" s="531">
        <v>0</v>
      </c>
      <c r="AO166" s="23"/>
      <c r="AP166" s="532">
        <f t="shared" si="37"/>
        <v>2190.557621130175</v>
      </c>
      <c r="AR166" s="35">
        <f t="shared" si="44"/>
        <v>8179.8268152732444</v>
      </c>
      <c r="AS166" s="36">
        <f ca="1">OFFSET(cod_desembolso!$A$1,AM166,23)</f>
        <v>1.1245293369208682</v>
      </c>
      <c r="AT166" s="37">
        <f ca="1">IF(AP166=0,0,AP166*(OFFSET(cod_desembolso!$A$1,AM166,23)))</f>
        <v>2463.3463091764702</v>
      </c>
      <c r="AU166" s="38">
        <f>(constantes!$B$3*(1+constantes!$B$3)^(AI166))/((1+constantes!$B$3)^(AI166)-1)</f>
        <v>8.8827433387272267E-2</v>
      </c>
      <c r="AV166" s="37">
        <f t="shared" ca="1" si="39"/>
        <v>232.2027301881559</v>
      </c>
      <c r="AW166" s="37">
        <f ca="1">IF(AP166=0,AY166/constantes!$B$3,AV166/constantes!$B$3)</f>
        <v>2902.5341273519484</v>
      </c>
      <c r="AX166" s="39">
        <f ca="1">IF(AP166=0,0,PV(constantes!$B$3,AI166,-AV166)*constantes!$B$3)</f>
        <v>209.12704225127578</v>
      </c>
      <c r="AY166" s="40">
        <f>constantes!$B$10*F166/1000</f>
        <v>13.39</v>
      </c>
      <c r="AZ166" s="533">
        <f>constantes!$B$12</f>
        <v>0</v>
      </c>
      <c r="BA166" s="20">
        <v>318</v>
      </c>
      <c r="BB166" s="43"/>
      <c r="BC166" s="3" t="s">
        <v>2217</v>
      </c>
      <c r="BE166" s="534">
        <v>1</v>
      </c>
      <c r="BF166" s="535">
        <v>2035</v>
      </c>
      <c r="BG166" s="536">
        <v>3</v>
      </c>
      <c r="BH166" s="537">
        <v>2050</v>
      </c>
    </row>
    <row r="167" spans="1:60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46"/>
      <c r="F167" s="526">
        <v>144</v>
      </c>
      <c r="G167" s="3" t="s">
        <v>2231</v>
      </c>
      <c r="H167" s="3" t="s">
        <v>2234</v>
      </c>
      <c r="I167" s="3">
        <v>-41.277549</v>
      </c>
      <c r="J167" s="3">
        <v>-19.276880999999999</v>
      </c>
      <c r="K167" s="539" t="s">
        <v>152</v>
      </c>
      <c r="L167" s="539" t="s">
        <v>152</v>
      </c>
      <c r="M167" s="554">
        <v>1</v>
      </c>
      <c r="N167" s="107"/>
      <c r="O167" s="529">
        <v>1.9820000000000001E-2</v>
      </c>
      <c r="P167" s="529">
        <v>5.2919999999999995E-2</v>
      </c>
      <c r="Q167" s="288">
        <f t="shared" si="40"/>
        <v>0.47395130621693127</v>
      </c>
      <c r="R167" s="30">
        <f t="shared" si="32"/>
        <v>68.248988095238104</v>
      </c>
      <c r="S167" s="30">
        <f t="shared" si="41"/>
        <v>75.751011904761896</v>
      </c>
      <c r="T167" s="107">
        <v>96.627142857142871</v>
      </c>
      <c r="U167" s="107">
        <v>64.835059523809534</v>
      </c>
      <c r="V167" s="107">
        <v>42.294583333333335</v>
      </c>
      <c r="W167" s="107">
        <v>69.239166666666662</v>
      </c>
      <c r="X167" s="288">
        <f t="shared" si="42"/>
        <v>0.4892988834422658</v>
      </c>
      <c r="Y167" s="289">
        <f t="shared" si="35"/>
        <v>70.459039215686275</v>
      </c>
      <c r="Z167" s="289">
        <f t="shared" si="36"/>
        <v>2.2100511204481705</v>
      </c>
      <c r="AA167" s="107">
        <v>103.71580392156865</v>
      </c>
      <c r="AB167" s="107">
        <v>62.34650980392157</v>
      </c>
      <c r="AC167" s="107">
        <v>40.213607843137254</v>
      </c>
      <c r="AD167" s="107">
        <v>75.560235294117646</v>
      </c>
      <c r="AE167" s="106">
        <v>1</v>
      </c>
      <c r="AF167" s="32" t="str">
        <f>IF(AE167=0,"",VLOOKUP(AE167,tab_tipo_expansao!$A$2:$B$4,2,0))</f>
        <v>opcional</v>
      </c>
      <c r="AG167" s="125">
        <v>2030</v>
      </c>
      <c r="AH167" s="125">
        <v>2100</v>
      </c>
      <c r="AI167" s="125">
        <v>30</v>
      </c>
      <c r="AJ167" s="530">
        <v>1062.7975601808771</v>
      </c>
      <c r="AK167" s="24">
        <f>AL167/constantes!$B$4</f>
        <v>1892.4457980428722</v>
      </c>
      <c r="AL167" s="33">
        <f t="shared" si="43"/>
        <v>7380.5386123672015</v>
      </c>
      <c r="AM167" s="87">
        <v>2</v>
      </c>
      <c r="AN167" s="531">
        <v>0</v>
      </c>
      <c r="AO167" s="23"/>
      <c r="AP167" s="532">
        <f t="shared" si="37"/>
        <v>1062.7975601808771</v>
      </c>
      <c r="AR167" s="35">
        <f t="shared" si="44"/>
        <v>7380.5386123672024</v>
      </c>
      <c r="AS167" s="36">
        <f ca="1">OFFSET(cod_desembolso!$A$1,AM167,23)</f>
        <v>1.1245293369208682</v>
      </c>
      <c r="AT167" s="37">
        <f ca="1">IF(AP167=0,0,AP167*(OFFSET(cod_desembolso!$A$1,AM167,23)))</f>
        <v>1195.1470356313182</v>
      </c>
      <c r="AU167" s="38">
        <f>(constantes!$B$3*(1+constantes!$B$3)^(AI167))/((1+constantes!$B$3)^(AI167)-1)</f>
        <v>8.8827433387272267E-2</v>
      </c>
      <c r="AV167" s="37">
        <f t="shared" ca="1" si="39"/>
        <v>113.36184369553683</v>
      </c>
      <c r="AW167" s="37">
        <f ca="1">IF(AP167=0,AY167/constantes!$B$3,AV167/constantes!$B$3)</f>
        <v>1417.0230461942103</v>
      </c>
      <c r="AX167" s="39">
        <f ca="1">IF(AP167=0,0,PV(constantes!$B$3,AI167,-AV167)*constantes!$B$3)</f>
        <v>102.09624605614688</v>
      </c>
      <c r="AY167" s="40">
        <f>constantes!$B$10*F167/1000</f>
        <v>7.2</v>
      </c>
      <c r="AZ167" s="533">
        <f>constantes!$B$12</f>
        <v>0</v>
      </c>
      <c r="BA167" s="20">
        <v>318</v>
      </c>
      <c r="BB167" s="43"/>
      <c r="BC167" s="3" t="s">
        <v>2217</v>
      </c>
      <c r="BE167" s="534">
        <v>1</v>
      </c>
      <c r="BF167" s="535">
        <v>2035</v>
      </c>
      <c r="BG167" s="536">
        <v>3</v>
      </c>
      <c r="BH167" s="537">
        <v>2050</v>
      </c>
    </row>
    <row r="168" spans="1:60" ht="14.45">
      <c r="A168" s="125">
        <v>1143</v>
      </c>
      <c r="B168" s="125">
        <v>1143</v>
      </c>
      <c r="C168" s="538" t="s">
        <v>2411</v>
      </c>
      <c r="D168" s="538" t="s">
        <v>2411</v>
      </c>
      <c r="E168" s="546"/>
      <c r="F168" s="526">
        <v>276</v>
      </c>
      <c r="G168" s="3" t="s">
        <v>2211</v>
      </c>
      <c r="H168" s="3" t="s">
        <v>2211</v>
      </c>
      <c r="I168" s="3">
        <v>-39.679105</v>
      </c>
      <c r="J168" s="3">
        <v>-8.7879959999999997</v>
      </c>
      <c r="K168" s="539" t="s">
        <v>154</v>
      </c>
      <c r="L168" s="539" t="s">
        <v>154</v>
      </c>
      <c r="M168" s="554">
        <v>3</v>
      </c>
      <c r="N168" s="107"/>
      <c r="O168" s="529">
        <v>1.9820000000000001E-2</v>
      </c>
      <c r="P168" s="529">
        <v>5.2919999999999995E-2</v>
      </c>
      <c r="Q168" s="288">
        <f t="shared" si="40"/>
        <v>0.59613699102829532</v>
      </c>
      <c r="R168" s="30">
        <f t="shared" si="32"/>
        <v>164.53380952380951</v>
      </c>
      <c r="S168" s="30">
        <f t="shared" si="41"/>
        <v>111.46619047619049</v>
      </c>
      <c r="T168" s="107">
        <v>156.19714285714284</v>
      </c>
      <c r="U168" s="107">
        <v>145.5014880952381</v>
      </c>
      <c r="V168" s="107">
        <v>194.47375</v>
      </c>
      <c r="W168" s="107">
        <v>161.96285714285713</v>
      </c>
      <c r="X168" s="288">
        <f t="shared" si="42"/>
        <v>0.58565167661267392</v>
      </c>
      <c r="Y168" s="289">
        <f t="shared" si="35"/>
        <v>161.63986274509801</v>
      </c>
      <c r="Z168" s="289">
        <f t="shared" si="36"/>
        <v>-2.893946778711495</v>
      </c>
      <c r="AA168" s="107">
        <v>182.37780392156856</v>
      </c>
      <c r="AB168" s="107">
        <v>149.02117647058822</v>
      </c>
      <c r="AC168" s="107">
        <v>165.52505882352941</v>
      </c>
      <c r="AD168" s="107">
        <v>149.63541176470588</v>
      </c>
      <c r="AE168" s="106">
        <v>1</v>
      </c>
      <c r="AF168" s="32" t="str">
        <f>IF(AE168=0,"",VLOOKUP(AE168,tab_tipo_expansao!$A$2:$B$4,2,0))</f>
        <v>opcional</v>
      </c>
      <c r="AG168" s="125">
        <v>2030</v>
      </c>
      <c r="AH168" s="125">
        <v>2100</v>
      </c>
      <c r="AI168" s="125">
        <v>30</v>
      </c>
      <c r="AJ168" s="530">
        <v>3188.8395977074038</v>
      </c>
      <c r="AK168" s="24">
        <f>AL168/constantes!$B$4</f>
        <v>2962.5042713743997</v>
      </c>
      <c r="AL168" s="33">
        <f t="shared" si="43"/>
        <v>11553.766658360159</v>
      </c>
      <c r="AM168" s="87">
        <v>2</v>
      </c>
      <c r="AN168" s="531">
        <v>0</v>
      </c>
      <c r="AO168" s="23"/>
      <c r="AP168" s="532">
        <f t="shared" si="37"/>
        <v>3188.8395977074038</v>
      </c>
      <c r="AR168" s="35">
        <f t="shared" si="44"/>
        <v>11553.766658360159</v>
      </c>
      <c r="AS168" s="36">
        <f ca="1">OFFSET(cod_desembolso!$A$1,AM168,23)</f>
        <v>1.1245293369208682</v>
      </c>
      <c r="AT168" s="37">
        <f ca="1">IF(AP168=0,0,AP168*(OFFSET(cod_desembolso!$A$1,AM168,23)))</f>
        <v>3585.9436783569149</v>
      </c>
      <c r="AU168" s="38">
        <f>(constantes!$B$3*(1+constantes!$B$3)^(AI168))/((1+constantes!$B$3)^(AI168)-1)</f>
        <v>8.8827433387272267E-2</v>
      </c>
      <c r="AV168" s="37">
        <f t="shared" ca="1" si="39"/>
        <v>332.33017321975893</v>
      </c>
      <c r="AW168" s="37">
        <f ca="1">IF(AP168=0,AY168/constantes!$B$3,AV168/constantes!$B$3)</f>
        <v>4154.1271652469868</v>
      </c>
      <c r="AX168" s="39">
        <f ca="1">IF(AP168=0,0,PV(constantes!$B$3,AI168,-AV168)*constantes!$B$3)</f>
        <v>299.30408707936596</v>
      </c>
      <c r="AY168" s="40">
        <f>constantes!$B$10*F168/1000</f>
        <v>13.8</v>
      </c>
      <c r="AZ168" s="533">
        <f>constantes!$B$12</f>
        <v>0</v>
      </c>
      <c r="BA168" s="20">
        <v>318</v>
      </c>
      <c r="BB168" s="43"/>
      <c r="BC168" s="3" t="s">
        <v>2217</v>
      </c>
      <c r="BE168" s="534">
        <v>1</v>
      </c>
      <c r="BF168" s="535">
        <v>2035</v>
      </c>
      <c r="BG168" s="536">
        <v>3</v>
      </c>
      <c r="BH168" s="537">
        <v>2050</v>
      </c>
    </row>
    <row r="169" spans="1:60" ht="14.45" hidden="1">
      <c r="A169" s="125">
        <v>1144</v>
      </c>
      <c r="B169" s="125">
        <v>1144</v>
      </c>
      <c r="C169" s="538" t="s">
        <v>2412</v>
      </c>
      <c r="D169" s="538" t="s">
        <v>2412</v>
      </c>
      <c r="E169" s="546"/>
      <c r="F169" s="526">
        <v>113</v>
      </c>
      <c r="G169" s="3" t="s">
        <v>2246</v>
      </c>
      <c r="H169" s="3" t="s">
        <v>2246</v>
      </c>
      <c r="I169" s="3">
        <v>-45.320118999999998</v>
      </c>
      <c r="J169" s="3">
        <v>-7.5749339999999998</v>
      </c>
      <c r="K169" s="539" t="s">
        <v>1985</v>
      </c>
      <c r="L169" s="539" t="s">
        <v>1985</v>
      </c>
      <c r="M169" s="554">
        <v>3</v>
      </c>
      <c r="N169" s="107"/>
      <c r="O169" s="529">
        <v>1.9820000000000001E-2</v>
      </c>
      <c r="P169" s="529">
        <v>5.2919999999999995E-2</v>
      </c>
      <c r="Q169" s="288">
        <f t="shared" si="40"/>
        <v>0.70435471976401176</v>
      </c>
      <c r="R169" s="30">
        <f t="shared" si="32"/>
        <v>79.592083333333335</v>
      </c>
      <c r="S169" s="30">
        <f t="shared" si="41"/>
        <v>33.407916666666665</v>
      </c>
      <c r="T169" s="107">
        <v>97.428095238095239</v>
      </c>
      <c r="U169" s="107">
        <v>83.004107142857137</v>
      </c>
      <c r="V169" s="107">
        <v>57.84708333333333</v>
      </c>
      <c r="W169" s="107">
        <v>80.089047619047619</v>
      </c>
      <c r="X169" s="288">
        <f t="shared" si="42"/>
        <v>0.72819226097518608</v>
      </c>
      <c r="Y169" s="289">
        <f t="shared" si="35"/>
        <v>82.285725490196029</v>
      </c>
      <c r="Z169" s="289">
        <f t="shared" si="36"/>
        <v>2.693642156862694</v>
      </c>
      <c r="AA169" s="107">
        <v>102.30639215686263</v>
      </c>
      <c r="AB169" s="107">
        <v>87.638117647058777</v>
      </c>
      <c r="AC169" s="107">
        <v>56.799607843137245</v>
      </c>
      <c r="AD169" s="107">
        <v>82.398784313725457</v>
      </c>
      <c r="AE169" s="106">
        <v>1</v>
      </c>
      <c r="AF169" s="32" t="str">
        <f>IF(AE169=0,"",VLOOKUP(AE169,tab_tipo_expansao!$A$2:$B$4,2,0))</f>
        <v>opcional</v>
      </c>
      <c r="AG169" s="125">
        <v>2028</v>
      </c>
      <c r="AH169" s="125">
        <v>2100</v>
      </c>
      <c r="AI169" s="125">
        <v>30</v>
      </c>
      <c r="AJ169" s="530">
        <v>902.79813764465632</v>
      </c>
      <c r="AK169" s="24">
        <f>AL169/constantes!$B$4</f>
        <v>2048.5548846032593</v>
      </c>
      <c r="AL169" s="33">
        <f t="shared" si="43"/>
        <v>7989.364049952711</v>
      </c>
      <c r="AM169" s="87">
        <v>2</v>
      </c>
      <c r="AN169" s="531">
        <v>0</v>
      </c>
      <c r="AO169" s="23"/>
      <c r="AP169" s="532">
        <f t="shared" si="37"/>
        <v>902.79813764465632</v>
      </c>
      <c r="AR169" s="35">
        <f t="shared" si="44"/>
        <v>7989.364049952711</v>
      </c>
      <c r="AS169" s="36">
        <f ca="1">OFFSET(cod_desembolso!$A$1,AM169,23)</f>
        <v>1.1245293369208682</v>
      </c>
      <c r="AT169" s="37">
        <f ca="1">IF(AP169=0,0,AP169*(OFFSET(cod_desembolso!$A$1,AM169,23)))</f>
        <v>1015.22299109894</v>
      </c>
      <c r="AU169" s="38">
        <f>(constantes!$B$3*(1+constantes!$B$3)^(AI169))/((1+constantes!$B$3)^(AI169)-1)</f>
        <v>8.8827433387272267E-2</v>
      </c>
      <c r="AV169" s="37">
        <f t="shared" ca="1" si="39"/>
        <v>95.829652615068412</v>
      </c>
      <c r="AW169" s="37">
        <f ca="1">IF(AP169=0,AY169/constantes!$B$3,AV169/constantes!$B$3)</f>
        <v>1197.8706576883551</v>
      </c>
      <c r="AX169" s="39">
        <f ca="1">IF(AP169=0,0,PV(constantes!$B$3,AI169,-AV169)*constantes!$B$3)</f>
        <v>86.306357359008842</v>
      </c>
      <c r="AY169" s="40">
        <f>constantes!$B$10*F169/1000</f>
        <v>5.65</v>
      </c>
      <c r="AZ169" s="533">
        <f>constantes!$B$12</f>
        <v>0</v>
      </c>
      <c r="BA169" s="20">
        <v>318</v>
      </c>
      <c r="BB169" s="43"/>
      <c r="BC169" s="3" t="s">
        <v>2197</v>
      </c>
      <c r="BE169" s="534">
        <v>1</v>
      </c>
      <c r="BF169" s="535">
        <v>2027</v>
      </c>
      <c r="BG169" s="536">
        <v>1</v>
      </c>
      <c r="BH169" s="537">
        <v>2027</v>
      </c>
    </row>
    <row r="170" spans="1:60" ht="14.45">
      <c r="A170" s="125">
        <v>1145</v>
      </c>
      <c r="B170" s="125">
        <v>1145</v>
      </c>
      <c r="C170" s="538" t="s">
        <v>2413</v>
      </c>
      <c r="D170" s="538" t="s">
        <v>2413</v>
      </c>
      <c r="E170" s="546"/>
      <c r="F170" s="526">
        <v>56.7</v>
      </c>
      <c r="G170" s="3" t="s">
        <v>2199</v>
      </c>
      <c r="H170" s="3" t="s">
        <v>2248</v>
      </c>
      <c r="I170" s="3">
        <v>-47.927337999999999</v>
      </c>
      <c r="J170" s="3">
        <v>-9.5029710000000005</v>
      </c>
      <c r="K170" s="539" t="s">
        <v>1983</v>
      </c>
      <c r="L170" s="539" t="s">
        <v>1983</v>
      </c>
      <c r="M170" s="554">
        <v>1</v>
      </c>
      <c r="N170" s="107"/>
      <c r="O170" s="529">
        <v>2.068E-2</v>
      </c>
      <c r="P170" s="529">
        <v>4.6600000000000003E-2</v>
      </c>
      <c r="Q170" s="288">
        <f t="shared" si="40"/>
        <v>0.532119300920186</v>
      </c>
      <c r="R170" s="30">
        <f t="shared" si="32"/>
        <v>30.171164362174547</v>
      </c>
      <c r="S170" s="30">
        <f t="shared" si="41"/>
        <v>26.528835637825456</v>
      </c>
      <c r="T170" s="107">
        <v>37.809565702734353</v>
      </c>
      <c r="U170" s="107">
        <v>33.191053244326547</v>
      </c>
      <c r="V170" s="107">
        <v>23.544128164396469</v>
      </c>
      <c r="W170" s="107">
        <v>26.139910337240821</v>
      </c>
      <c r="X170" s="288">
        <f t="shared" si="42"/>
        <v>0.56765074645560576</v>
      </c>
      <c r="Y170" s="289">
        <f t="shared" si="35"/>
        <v>32.185797324032848</v>
      </c>
      <c r="Z170" s="289">
        <f t="shared" si="36"/>
        <v>2.0146329618583003</v>
      </c>
      <c r="AA170" s="107">
        <v>42.068608302386608</v>
      </c>
      <c r="AB170" s="107">
        <v>34.998193764417756</v>
      </c>
      <c r="AC170" s="107">
        <v>24.095678183979363</v>
      </c>
      <c r="AD170" s="107">
        <v>27.580709045347664</v>
      </c>
      <c r="AE170" s="106">
        <v>1</v>
      </c>
      <c r="AF170" s="32" t="str">
        <f>IF(AE170=0,"",VLOOKUP(AE170,tab_tipo_expansao!$A$2:$B$4,2,0))</f>
        <v>opcional</v>
      </c>
      <c r="AG170" s="125">
        <v>2030</v>
      </c>
      <c r="AH170" s="125">
        <v>2100</v>
      </c>
      <c r="AI170" s="125">
        <v>30</v>
      </c>
      <c r="AJ170" s="530">
        <v>543.7790305741438</v>
      </c>
      <c r="AK170" s="24">
        <f>AL170/constantes!$B$4</f>
        <v>2459.0920751329249</v>
      </c>
      <c r="AL170" s="33">
        <f t="shared" si="43"/>
        <v>9590.4590930184077</v>
      </c>
      <c r="AM170" s="87">
        <v>2</v>
      </c>
      <c r="AN170" s="531">
        <v>0</v>
      </c>
      <c r="AO170" s="23"/>
      <c r="AP170" s="532">
        <f t="shared" si="37"/>
        <v>543.7790305741438</v>
      </c>
      <c r="AR170" s="35">
        <f t="shared" si="44"/>
        <v>9590.4590930184077</v>
      </c>
      <c r="AS170" s="36">
        <f ca="1">OFFSET(cod_desembolso!$A$1,AM170,23)</f>
        <v>1.1245293369208682</v>
      </c>
      <c r="AT170" s="37">
        <f ca="1">IF(AP170=0,0,AP170*(OFFSET(cod_desembolso!$A$1,AM170,23)))</f>
        <v>611.49547268301444</v>
      </c>
      <c r="AU170" s="38">
        <f>(constantes!$B$3*(1+constantes!$B$3)^(AI170))/((1+constantes!$B$3)^(AI170)-1)</f>
        <v>8.8827433387272267E-2</v>
      </c>
      <c r="AV170" s="37">
        <f t="shared" ca="1" si="39"/>
        <v>57.152573366369033</v>
      </c>
      <c r="AW170" s="37">
        <f ca="1">IF(AP170=0,AY170/constantes!$B$3,AV170/constantes!$B$3)</f>
        <v>714.40716707961292</v>
      </c>
      <c r="AX170" s="39">
        <f ca="1">IF(AP170=0,0,PV(constantes!$B$3,AI170,-AV170)*constantes!$B$3)</f>
        <v>51.472903076862465</v>
      </c>
      <c r="AY170" s="40">
        <f>constantes!$B$10*F170/1000</f>
        <v>2.835</v>
      </c>
      <c r="AZ170" s="533">
        <f>constantes!$B$12</f>
        <v>0</v>
      </c>
      <c r="BA170" s="20">
        <v>318</v>
      </c>
      <c r="BB170" s="43"/>
      <c r="BC170" s="3" t="s">
        <v>2217</v>
      </c>
      <c r="BE170" s="534">
        <v>1</v>
      </c>
      <c r="BF170" s="535">
        <v>2035</v>
      </c>
      <c r="BG170" s="536">
        <v>3</v>
      </c>
      <c r="BH170" s="537">
        <v>2050</v>
      </c>
    </row>
    <row r="171" spans="1:60" ht="14.45">
      <c r="A171" s="125">
        <v>1146</v>
      </c>
      <c r="B171" s="125">
        <v>1146</v>
      </c>
      <c r="C171" s="538" t="s">
        <v>2414</v>
      </c>
      <c r="D171" s="538" t="s">
        <v>2414</v>
      </c>
      <c r="E171" s="546"/>
      <c r="F171" s="526">
        <v>134</v>
      </c>
      <c r="G171" s="3" t="s">
        <v>2181</v>
      </c>
      <c r="H171" s="3" t="s">
        <v>2335</v>
      </c>
      <c r="I171" s="3">
        <v>-57.644294000000002</v>
      </c>
      <c r="J171" s="3">
        <v>-12.266425</v>
      </c>
      <c r="K171" s="539" t="s">
        <v>160</v>
      </c>
      <c r="L171" s="539" t="s">
        <v>160</v>
      </c>
      <c r="M171" s="554">
        <v>10</v>
      </c>
      <c r="N171" s="107"/>
      <c r="O171" s="529">
        <v>1.6379999999999999E-2</v>
      </c>
      <c r="P171" s="529">
        <v>6.1409999999999999E-2</v>
      </c>
      <c r="Q171" s="288">
        <f t="shared" si="40"/>
        <v>0.36069163113006397</v>
      </c>
      <c r="R171" s="30">
        <f t="shared" si="32"/>
        <v>48.332678571428573</v>
      </c>
      <c r="S171" s="30">
        <f t="shared" si="41"/>
        <v>85.667321428571427</v>
      </c>
      <c r="T171" s="107">
        <v>60.083333333333336</v>
      </c>
      <c r="U171" s="107">
        <v>49.228392857142865</v>
      </c>
      <c r="V171" s="107">
        <v>37.947083333333332</v>
      </c>
      <c r="W171" s="107">
        <v>46.071904761904761</v>
      </c>
      <c r="X171" s="288">
        <f t="shared" si="42"/>
        <v>0.3539332748024584</v>
      </c>
      <c r="Y171" s="289">
        <f t="shared" si="35"/>
        <v>47.427058823529428</v>
      </c>
      <c r="Z171" s="289">
        <f t="shared" si="36"/>
        <v>-0.90561974789914501</v>
      </c>
      <c r="AA171" s="107">
        <v>62.363921568627482</v>
      </c>
      <c r="AB171" s="107">
        <v>48.397725490196102</v>
      </c>
      <c r="AC171" s="107">
        <v>34.571960784313731</v>
      </c>
      <c r="AD171" s="107">
        <v>44.374627450980391</v>
      </c>
      <c r="AE171" s="106">
        <v>1</v>
      </c>
      <c r="AF171" s="32" t="str">
        <f>IF(AE171=0,"",VLOOKUP(AE171,tab_tipo_expansao!$A$2:$B$4,2,0))</f>
        <v>opcional</v>
      </c>
      <c r="AG171" s="125">
        <v>2030</v>
      </c>
      <c r="AH171" s="125">
        <v>2100</v>
      </c>
      <c r="AI171" s="125">
        <v>30</v>
      </c>
      <c r="AJ171" s="530">
        <v>1858.4445228780801</v>
      </c>
      <c r="AK171" s="24">
        <f>AL171/constantes!$B$4</f>
        <v>3556.1510196672029</v>
      </c>
      <c r="AL171" s="33">
        <f t="shared" si="43"/>
        <v>13868.98897670209</v>
      </c>
      <c r="AM171" s="87">
        <v>2</v>
      </c>
      <c r="AN171" s="531">
        <v>0</v>
      </c>
      <c r="AO171" s="23"/>
      <c r="AP171" s="532">
        <f t="shared" si="37"/>
        <v>1858.4445228780801</v>
      </c>
      <c r="AR171" s="35">
        <f t="shared" si="44"/>
        <v>13868.98897670209</v>
      </c>
      <c r="AS171" s="36">
        <f ca="1">OFFSET(cod_desembolso!$A$1,AM171,23)</f>
        <v>1.1245293369208682</v>
      </c>
      <c r="AT171" s="37">
        <f ca="1">IF(AP171=0,0,AP171*(OFFSET(cod_desembolso!$A$1,AM171,23)))</f>
        <v>2089.8753870163068</v>
      </c>
      <c r="AU171" s="38">
        <f>(constantes!$B$3*(1+constantes!$B$3)^(AI171))/((1+constantes!$B$3)^(AI171)-1)</f>
        <v>8.8827433387272267E-2</v>
      </c>
      <c r="AV171" s="37">
        <f t="shared" ca="1" si="39"/>
        <v>192.33826672789084</v>
      </c>
      <c r="AW171" s="37">
        <f ca="1">IF(AP171=0,AY171/constantes!$B$3,AV171/constantes!$B$3)</f>
        <v>2404.2283340986355</v>
      </c>
      <c r="AX171" s="39">
        <f ca="1">IF(AP171=0,0,PV(constantes!$B$3,AI171,-AV171)*constantes!$B$3)</f>
        <v>173.22420283322089</v>
      </c>
      <c r="AY171" s="40">
        <f>constantes!$B$10*F171/1000</f>
        <v>6.7</v>
      </c>
      <c r="AZ171" s="533">
        <f>constantes!$B$12</f>
        <v>0</v>
      </c>
      <c r="BA171" s="20">
        <v>318</v>
      </c>
      <c r="BB171" s="43"/>
      <c r="BC171" s="3" t="s">
        <v>2217</v>
      </c>
      <c r="BE171" s="534">
        <v>1</v>
      </c>
      <c r="BF171" s="535">
        <v>2035</v>
      </c>
      <c r="BG171" s="536">
        <v>3</v>
      </c>
      <c r="BH171" s="537">
        <v>2050</v>
      </c>
    </row>
    <row r="172" spans="1:60" ht="14.45" hidden="1">
      <c r="A172" s="125">
        <v>1147</v>
      </c>
      <c r="B172" s="125">
        <v>1147</v>
      </c>
      <c r="C172" s="538" t="s">
        <v>2415</v>
      </c>
      <c r="D172" s="538" t="s">
        <v>2415</v>
      </c>
      <c r="E172" s="546"/>
      <c r="F172" s="526">
        <v>50</v>
      </c>
      <c r="G172" s="3" t="s">
        <v>2211</v>
      </c>
      <c r="H172" s="3" t="s">
        <v>2416</v>
      </c>
      <c r="I172" s="3">
        <v>-44.490765000000003</v>
      </c>
      <c r="J172" s="3">
        <v>-13.653444</v>
      </c>
      <c r="K172" s="539" t="s">
        <v>154</v>
      </c>
      <c r="L172" s="539" t="s">
        <v>154</v>
      </c>
      <c r="M172" s="554">
        <v>3</v>
      </c>
      <c r="N172" s="107"/>
      <c r="O172" s="529">
        <v>2.068E-2</v>
      </c>
      <c r="P172" s="529">
        <v>4.6600000000000003E-2</v>
      </c>
      <c r="Q172" s="288">
        <f t="shared" si="40"/>
        <v>0.82545535714285723</v>
      </c>
      <c r="R172" s="30">
        <f t="shared" si="32"/>
        <v>41.27276785714286</v>
      </c>
      <c r="S172" s="30">
        <f t="shared" si="41"/>
        <v>8.7272321428571402</v>
      </c>
      <c r="T172" s="107">
        <v>44.300476190476189</v>
      </c>
      <c r="U172" s="107">
        <v>40.772321428571423</v>
      </c>
      <c r="V172" s="107">
        <v>37.080833333333338</v>
      </c>
      <c r="W172" s="107">
        <v>42.937440476190481</v>
      </c>
      <c r="X172" s="288">
        <f t="shared" si="42"/>
        <v>0.82813549019607857</v>
      </c>
      <c r="Y172" s="289">
        <f t="shared" si="35"/>
        <v>41.406774509803931</v>
      </c>
      <c r="Z172" s="289">
        <f t="shared" si="36"/>
        <v>0.13400665266107126</v>
      </c>
      <c r="AA172" s="107">
        <v>44.933803921568632</v>
      </c>
      <c r="AB172" s="107">
        <v>41.363372549019623</v>
      </c>
      <c r="AC172" s="107">
        <v>37.023019607843132</v>
      </c>
      <c r="AD172" s="107">
        <v>42.306901960784323</v>
      </c>
      <c r="AE172" s="106">
        <v>1</v>
      </c>
      <c r="AF172" s="32" t="str">
        <f>IF(AE172=0,"",VLOOKUP(AE172,tab_tipo_expansao!$A$2:$B$4,2,0))</f>
        <v>opcional</v>
      </c>
      <c r="AG172" s="125">
        <v>2028</v>
      </c>
      <c r="AH172" s="125">
        <v>2100</v>
      </c>
      <c r="AI172" s="125">
        <v>30</v>
      </c>
      <c r="AJ172" s="530">
        <v>474.62946604084328</v>
      </c>
      <c r="AK172" s="24">
        <f>AL172/constantes!$B$4</f>
        <v>2433.9972617479143</v>
      </c>
      <c r="AL172" s="33">
        <f t="shared" si="43"/>
        <v>9492.5893208168654</v>
      </c>
      <c r="AM172" s="87">
        <v>2</v>
      </c>
      <c r="AN172" s="531">
        <v>0</v>
      </c>
      <c r="AO172" s="23"/>
      <c r="AP172" s="532">
        <f t="shared" si="37"/>
        <v>474.62946604084328</v>
      </c>
      <c r="AR172" s="35">
        <f t="shared" si="44"/>
        <v>9492.5893208168654</v>
      </c>
      <c r="AS172" s="36">
        <f ca="1">OFFSET(cod_desembolso!$A$1,AM172,23)</f>
        <v>1.1245293369208682</v>
      </c>
      <c r="AT172" s="37">
        <f ca="1">IF(AP172=0,0,AP172*(OFFSET(cod_desembolso!$A$1,AM172,23)))</f>
        <v>533.73475873001519</v>
      </c>
      <c r="AU172" s="38">
        <f>(constantes!$B$3*(1+constantes!$B$3)^(AI172))/((1+constantes!$B$3)^(AI172)-1)</f>
        <v>8.8827433387272267E-2</v>
      </c>
      <c r="AV172" s="37">
        <f t="shared" ca="1" si="39"/>
        <v>49.910288727562261</v>
      </c>
      <c r="AW172" s="37">
        <f ca="1">IF(AP172=0,AY172/constantes!$B$3,AV172/constantes!$B$3)</f>
        <v>623.8786090945282</v>
      </c>
      <c r="AX172" s="39">
        <f ca="1">IF(AP172=0,0,PV(constantes!$B$3,AI172,-AV172)*constantes!$B$3)</f>
        <v>44.950337367026712</v>
      </c>
      <c r="AY172" s="40">
        <f>constantes!$B$10*F172/1000</f>
        <v>2.5</v>
      </c>
      <c r="AZ172" s="533">
        <f>constantes!$B$12</f>
        <v>0</v>
      </c>
      <c r="BA172" s="20">
        <v>318</v>
      </c>
      <c r="BB172" s="43"/>
      <c r="BC172" s="3" t="s">
        <v>2197</v>
      </c>
      <c r="BE172" s="534">
        <v>1</v>
      </c>
      <c r="BF172" s="535">
        <v>2027</v>
      </c>
      <c r="BG172" s="536">
        <v>1</v>
      </c>
      <c r="BH172" s="537">
        <v>2027</v>
      </c>
    </row>
    <row r="173" spans="1:60" ht="14.45" hidden="1">
      <c r="A173" s="125">
        <v>1148</v>
      </c>
      <c r="B173" s="125">
        <v>1148</v>
      </c>
      <c r="C173" s="538" t="s">
        <v>2417</v>
      </c>
      <c r="D173" s="538" t="s">
        <v>2417</v>
      </c>
      <c r="E173" s="546"/>
      <c r="F173" s="526">
        <v>36.67</v>
      </c>
      <c r="G173" s="3" t="s">
        <v>2196</v>
      </c>
      <c r="H173" s="3" t="s">
        <v>2341</v>
      </c>
      <c r="I173" s="3">
        <v>-51.444417000000001</v>
      </c>
      <c r="J173" s="3">
        <v>-24.374361</v>
      </c>
      <c r="K173" s="539" t="s">
        <v>153</v>
      </c>
      <c r="L173" s="539" t="s">
        <v>153</v>
      </c>
      <c r="M173" s="554">
        <v>2</v>
      </c>
      <c r="N173" s="107"/>
      <c r="O173" s="529">
        <v>2.068E-2</v>
      </c>
      <c r="P173" s="529">
        <v>4.6600000000000003E-2</v>
      </c>
      <c r="Q173" s="288">
        <f t="shared" si="40"/>
        <v>0.59806332541197549</v>
      </c>
      <c r="R173" s="30">
        <f t="shared" si="32"/>
        <v>21.930982142857143</v>
      </c>
      <c r="S173" s="30">
        <f t="shared" si="41"/>
        <v>14.739017857142859</v>
      </c>
      <c r="T173" s="107">
        <v>22.81904761904762</v>
      </c>
      <c r="U173" s="107">
        <v>22.133452380952381</v>
      </c>
      <c r="V173" s="107">
        <v>19.377916666666668</v>
      </c>
      <c r="W173" s="107">
        <v>23.393511904761908</v>
      </c>
      <c r="X173" s="288">
        <f t="shared" si="42"/>
        <v>0.68116775480303915</v>
      </c>
      <c r="Y173" s="289">
        <f t="shared" si="35"/>
        <v>24.978421568627446</v>
      </c>
      <c r="Z173" s="289">
        <f t="shared" si="36"/>
        <v>3.0474394257703032</v>
      </c>
      <c r="AA173" s="107">
        <v>26.405176470588231</v>
      </c>
      <c r="AB173" s="107">
        <v>22.577490196078429</v>
      </c>
      <c r="AC173" s="107">
        <v>23.939294117647052</v>
      </c>
      <c r="AD173" s="107">
        <v>26.991725490196071</v>
      </c>
      <c r="AE173" s="106">
        <v>1</v>
      </c>
      <c r="AF173" s="32" t="str">
        <f>IF(AE173=0,"",VLOOKUP(AE173,tab_tipo_expansao!$A$2:$B$4,2,0))</f>
        <v>opcional</v>
      </c>
      <c r="AG173" s="125">
        <v>2028</v>
      </c>
      <c r="AH173" s="125">
        <v>2100</v>
      </c>
      <c r="AI173" s="125">
        <v>30</v>
      </c>
      <c r="AJ173" s="530">
        <v>496.87769434735964</v>
      </c>
      <c r="AK173" s="24">
        <f>AL173/constantes!$B$4</f>
        <v>3474.3533409365555</v>
      </c>
      <c r="AL173" s="33">
        <f t="shared" si="43"/>
        <v>13549.978029652566</v>
      </c>
      <c r="AM173" s="87">
        <v>2</v>
      </c>
      <c r="AN173" s="531">
        <v>0</v>
      </c>
      <c r="AO173" s="23"/>
      <c r="AP173" s="532">
        <f t="shared" si="37"/>
        <v>496.87769434735964</v>
      </c>
      <c r="AR173" s="35">
        <f t="shared" si="44"/>
        <v>13549.978029652566</v>
      </c>
      <c r="AS173" s="36">
        <f ca="1">OFFSET(cod_desembolso!$A$1,AM173,23)</f>
        <v>1.1245293369208682</v>
      </c>
      <c r="AT173" s="37">
        <f ca="1">IF(AP173=0,0,AP173*(OFFSET(cod_desembolso!$A$1,AM173,23)))</f>
        <v>558.7535441552061</v>
      </c>
      <c r="AU173" s="38">
        <f>(constantes!$B$3*(1+constantes!$B$3)^(AI173))/((1+constantes!$B$3)^(AI173)-1)</f>
        <v>8.8827433387272267E-2</v>
      </c>
      <c r="AV173" s="37">
        <f t="shared" ca="1" si="39"/>
        <v>51.466143223348865</v>
      </c>
      <c r="AW173" s="37">
        <f ca="1">IF(AP173=0,AY173/constantes!$B$3,AV173/constantes!$B$3)</f>
        <v>643.32679029186079</v>
      </c>
      <c r="AX173" s="39">
        <f ca="1">IF(AP173=0,0,PV(constantes!$B$3,AI173,-AV173)*constantes!$B$3)</f>
        <v>46.351575193186427</v>
      </c>
      <c r="AY173" s="40">
        <f>constantes!$B$10*F173/1000</f>
        <v>1.8334999999999999</v>
      </c>
      <c r="AZ173" s="533">
        <f>constantes!$B$12</f>
        <v>0</v>
      </c>
      <c r="BA173" s="20">
        <v>318</v>
      </c>
      <c r="BB173" s="43"/>
      <c r="BC173" s="3" t="s">
        <v>2197</v>
      </c>
      <c r="BE173" s="534">
        <v>1</v>
      </c>
      <c r="BF173" s="535">
        <v>2027</v>
      </c>
      <c r="BG173" s="536">
        <v>1</v>
      </c>
      <c r="BH173" s="537">
        <v>2027</v>
      </c>
    </row>
    <row r="174" spans="1:60" ht="14.45">
      <c r="A174" s="125">
        <v>1149</v>
      </c>
      <c r="B174" s="125">
        <v>1149</v>
      </c>
      <c r="C174" s="538" t="s">
        <v>2418</v>
      </c>
      <c r="D174" s="538" t="s">
        <v>2418</v>
      </c>
      <c r="E174" s="546"/>
      <c r="F174" s="526">
        <v>1461</v>
      </c>
      <c r="G174" s="3" t="s">
        <v>2181</v>
      </c>
      <c r="H174" s="3" t="s">
        <v>2255</v>
      </c>
      <c r="I174" s="3">
        <v>-58.558360999999998</v>
      </c>
      <c r="J174" s="3">
        <v>-8.8850829999999998</v>
      </c>
      <c r="K174" s="539" t="s">
        <v>160</v>
      </c>
      <c r="L174" s="539" t="s">
        <v>160</v>
      </c>
      <c r="M174" s="554">
        <v>10</v>
      </c>
      <c r="N174" s="107"/>
      <c r="O174" s="529">
        <v>1.6379999999999999E-2</v>
      </c>
      <c r="P174" s="529">
        <v>6.1409999999999999E-2</v>
      </c>
      <c r="Q174" s="288">
        <f t="shared" si="40"/>
        <v>0.51934833447410456</v>
      </c>
      <c r="R174" s="30">
        <f t="shared" si="32"/>
        <v>758.76791666666668</v>
      </c>
      <c r="S174" s="30">
        <f t="shared" si="41"/>
        <v>702.23208333333332</v>
      </c>
      <c r="T174" s="107">
        <v>1075.5152380952379</v>
      </c>
      <c r="U174" s="107">
        <v>1009.4453571428572</v>
      </c>
      <c r="V174" s="107">
        <v>445.95708333333329</v>
      </c>
      <c r="W174" s="107">
        <v>504.15398809523805</v>
      </c>
      <c r="X174" s="288">
        <f t="shared" si="42"/>
        <v>0.49891822683899023</v>
      </c>
      <c r="Y174" s="289">
        <f t="shared" si="35"/>
        <v>728.91952941176476</v>
      </c>
      <c r="Z174" s="289">
        <f t="shared" si="36"/>
        <v>-29.848387254901922</v>
      </c>
      <c r="AA174" s="107">
        <v>1075.494274509804</v>
      </c>
      <c r="AB174" s="107">
        <v>916.8664313725493</v>
      </c>
      <c r="AC174" s="107">
        <v>408.28101960784306</v>
      </c>
      <c r="AD174" s="107">
        <v>515.03639215686269</v>
      </c>
      <c r="AE174" s="106">
        <v>1</v>
      </c>
      <c r="AF174" s="32" t="str">
        <f>IF(AE174=0,"",VLOOKUP(AE174,tab_tipo_expansao!$A$2:$B$4,2,0))</f>
        <v>opcional</v>
      </c>
      <c r="AG174" s="125">
        <v>2030</v>
      </c>
      <c r="AH174" s="125">
        <v>2100</v>
      </c>
      <c r="AI174" s="125">
        <v>30</v>
      </c>
      <c r="AJ174" s="530">
        <v>13770.974615289537</v>
      </c>
      <c r="AK174" s="24">
        <f>AL174/constantes!$B$4</f>
        <v>2416.850877567093</v>
      </c>
      <c r="AL174" s="33">
        <f t="shared" si="43"/>
        <v>9425.7184225116616</v>
      </c>
      <c r="AM174" s="87">
        <v>4</v>
      </c>
      <c r="AN174" s="531">
        <v>0</v>
      </c>
      <c r="AO174" s="23"/>
      <c r="AP174" s="532">
        <f t="shared" si="37"/>
        <v>13770.974615289537</v>
      </c>
      <c r="AR174" s="35">
        <f t="shared" si="44"/>
        <v>9425.7184225116616</v>
      </c>
      <c r="AS174" s="36">
        <f ca="1">OFFSET(cod_desembolso!$A$1,AM174,23)</f>
        <v>1.103153897336226</v>
      </c>
      <c r="AT174" s="37">
        <f ca="1">IF(AP174=0,0,AP174*(OFFSET(cod_desembolso!$A$1,AM174,23)))</f>
        <v>15191.504316974888</v>
      </c>
      <c r="AU174" s="38">
        <f>(constantes!$B$3*(1+constantes!$B$3)^(AI174))/((1+constantes!$B$3)^(AI174)-1)</f>
        <v>8.8827433387272267E-2</v>
      </c>
      <c r="AV174" s="37">
        <f t="shared" ca="1" si="39"/>
        <v>1422.4723377685459</v>
      </c>
      <c r="AW174" s="37">
        <f ca="1">IF(AP174=0,AY174/constantes!$B$3,AV174/constantes!$B$3)</f>
        <v>17780.904222106823</v>
      </c>
      <c r="AX174" s="39">
        <f ca="1">IF(AP174=0,0,PV(constantes!$B$3,AI174,-AV174)*constantes!$B$3)</f>
        <v>1281.110831215228</v>
      </c>
      <c r="AY174" s="40">
        <f>constantes!$B$10*F174/1000</f>
        <v>73.05</v>
      </c>
      <c r="AZ174" s="533">
        <f>constantes!$B$12</f>
        <v>0</v>
      </c>
      <c r="BA174" s="20">
        <v>318</v>
      </c>
      <c r="BB174" s="43"/>
      <c r="BC174" s="3" t="s">
        <v>2217</v>
      </c>
      <c r="BE174" s="534">
        <v>1</v>
      </c>
      <c r="BF174" s="535">
        <v>2035</v>
      </c>
      <c r="BG174" s="536">
        <v>3</v>
      </c>
      <c r="BH174" s="537">
        <v>2050</v>
      </c>
    </row>
    <row r="175" spans="1:60" ht="14.45" hidden="1">
      <c r="A175" s="125">
        <v>1150</v>
      </c>
      <c r="B175" s="125">
        <v>1150</v>
      </c>
      <c r="C175" s="538" t="s">
        <v>2419</v>
      </c>
      <c r="D175" s="538" t="s">
        <v>2419</v>
      </c>
      <c r="E175" s="546"/>
      <c r="F175" s="526">
        <v>201.65</v>
      </c>
      <c r="G175" s="3" t="s">
        <v>2206</v>
      </c>
      <c r="H175" s="3" t="s">
        <v>2207</v>
      </c>
      <c r="I175" s="3">
        <v>-39.963774999999998</v>
      </c>
      <c r="J175" s="3">
        <v>-16.001995999999998</v>
      </c>
      <c r="K175" s="539" t="s">
        <v>152</v>
      </c>
      <c r="L175" s="539" t="s">
        <v>152</v>
      </c>
      <c r="M175" s="554">
        <v>1</v>
      </c>
      <c r="N175" s="107"/>
      <c r="O175" s="529">
        <v>1.6379999999999999E-2</v>
      </c>
      <c r="P175" s="529">
        <v>6.1409999999999999E-2</v>
      </c>
      <c r="Q175" s="288">
        <f t="shared" si="40"/>
        <v>0.50260794870886616</v>
      </c>
      <c r="R175" s="30">
        <f t="shared" si="32"/>
        <v>101.35089285714285</v>
      </c>
      <c r="S175" s="30">
        <f t="shared" si="41"/>
        <v>100.29910714285715</v>
      </c>
      <c r="T175" s="107">
        <v>73.247142857142848</v>
      </c>
      <c r="U175" s="107">
        <v>60.233630952380963</v>
      </c>
      <c r="V175" s="107">
        <v>130.33833333333334</v>
      </c>
      <c r="W175" s="107">
        <v>141.58446428571426</v>
      </c>
      <c r="X175" s="288">
        <f t="shared" si="42"/>
        <v>0.5166190205315947</v>
      </c>
      <c r="Y175" s="289">
        <f t="shared" si="35"/>
        <v>104.17622549019607</v>
      </c>
      <c r="Z175" s="289">
        <f t="shared" si="36"/>
        <v>2.8253326330532218</v>
      </c>
      <c r="AA175" s="107">
        <v>122.45149019607844</v>
      </c>
      <c r="AB175" s="107">
        <v>69.298705882352934</v>
      </c>
      <c r="AC175" s="107">
        <v>102.32196078431372</v>
      </c>
      <c r="AD175" s="107">
        <v>122.63274509803922</v>
      </c>
      <c r="AE175" s="106">
        <v>1</v>
      </c>
      <c r="AF175" s="32" t="str">
        <f>IF(AE175=0,"",VLOOKUP(AE175,tab_tipo_expansao!$A$2:$B$4,2,0))</f>
        <v>opcional</v>
      </c>
      <c r="AG175" s="125">
        <v>2028</v>
      </c>
      <c r="AH175" s="125">
        <v>2100</v>
      </c>
      <c r="AI175" s="125">
        <v>30</v>
      </c>
      <c r="AJ175" s="530">
        <v>3209.014583875422</v>
      </c>
      <c r="AK175" s="24">
        <f>AL175/constantes!$B$4</f>
        <v>4080.4574871100876</v>
      </c>
      <c r="AL175" s="33">
        <f t="shared" si="43"/>
        <v>15913.784199729342</v>
      </c>
      <c r="AM175" s="87">
        <v>2</v>
      </c>
      <c r="AN175" s="531">
        <v>0</v>
      </c>
      <c r="AO175" s="23"/>
      <c r="AP175" s="532">
        <f t="shared" si="37"/>
        <v>3209.014583875422</v>
      </c>
      <c r="AR175" s="35">
        <f t="shared" si="44"/>
        <v>15913.784199729342</v>
      </c>
      <c r="AS175" s="36">
        <f ca="1">OFFSET(cod_desembolso!$A$1,AM175,23)</f>
        <v>1.1245293369208682</v>
      </c>
      <c r="AT175" s="37">
        <f ca="1">IF(AP175=0,0,AP175*(OFFSET(cod_desembolso!$A$1,AM175,23)))</f>
        <v>3608.631042174824</v>
      </c>
      <c r="AU175" s="38">
        <f>(constantes!$B$3*(1+constantes!$B$3)^(AI175))/((1+constantes!$B$3)^(AI175)-1)</f>
        <v>8.8827433387272267E-2</v>
      </c>
      <c r="AV175" s="37">
        <f t="shared" ca="1" si="39"/>
        <v>330.62793351802708</v>
      </c>
      <c r="AW175" s="37">
        <f ca="1">IF(AP175=0,AY175/constantes!$B$3,AV175/constantes!$B$3)</f>
        <v>4132.8491689753382</v>
      </c>
      <c r="AX175" s="39">
        <f ca="1">IF(AP175=0,0,PV(constantes!$B$3,AI175,-AV175)*constantes!$B$3)</f>
        <v>297.77101141855252</v>
      </c>
      <c r="AY175" s="40">
        <f>constantes!$B$10*F175/1000</f>
        <v>10.0825</v>
      </c>
      <c r="AZ175" s="533">
        <f>constantes!$B$12</f>
        <v>0</v>
      </c>
      <c r="BA175" s="20">
        <v>318</v>
      </c>
      <c r="BB175" s="43"/>
      <c r="BC175" s="3" t="s">
        <v>2197</v>
      </c>
      <c r="BE175" s="534">
        <v>1</v>
      </c>
      <c r="BF175" s="535">
        <v>2027</v>
      </c>
      <c r="BG175" s="536">
        <v>1</v>
      </c>
      <c r="BH175" s="537">
        <v>2027</v>
      </c>
    </row>
    <row r="176" spans="1:60" ht="14.45" hidden="1">
      <c r="A176" s="125">
        <v>1151</v>
      </c>
      <c r="B176" s="125">
        <v>1151</v>
      </c>
      <c r="C176" s="538" t="s">
        <v>2420</v>
      </c>
      <c r="D176" s="538" t="s">
        <v>2420</v>
      </c>
      <c r="E176" s="546"/>
      <c r="F176" s="526">
        <v>36.1</v>
      </c>
      <c r="G176" s="3" t="s">
        <v>2196</v>
      </c>
      <c r="H176" s="3" t="s">
        <v>2281</v>
      </c>
      <c r="I176" s="3">
        <v>-51.255222000000003</v>
      </c>
      <c r="J176" s="3">
        <v>-18.348807999999998</v>
      </c>
      <c r="K176" s="539" t="s">
        <v>2005</v>
      </c>
      <c r="L176" s="539" t="s">
        <v>2005</v>
      </c>
      <c r="M176" s="554">
        <v>1</v>
      </c>
      <c r="N176" s="107"/>
      <c r="O176" s="529">
        <v>2.068E-2</v>
      </c>
      <c r="P176" s="529">
        <v>4.6600000000000003E-2</v>
      </c>
      <c r="Q176" s="288">
        <f t="shared" si="40"/>
        <v>0.61520989974937335</v>
      </c>
      <c r="R176" s="30">
        <f t="shared" si="32"/>
        <v>22.20907738095238</v>
      </c>
      <c r="S176" s="30">
        <f t="shared" si="41"/>
        <v>13.890922619047622</v>
      </c>
      <c r="T176" s="107">
        <v>31.156666666666666</v>
      </c>
      <c r="U176" s="107">
        <v>21.716547619047621</v>
      </c>
      <c r="V176" s="107">
        <v>12.855416666666665</v>
      </c>
      <c r="W176" s="107">
        <v>23.107678571428568</v>
      </c>
      <c r="X176" s="288">
        <f t="shared" si="42"/>
        <v>0.69260197707892046</v>
      </c>
      <c r="Y176" s="289">
        <f t="shared" si="35"/>
        <v>25.002931372549028</v>
      </c>
      <c r="Z176" s="289">
        <f t="shared" si="36"/>
        <v>2.7938539915966487</v>
      </c>
      <c r="AA176" s="107">
        <v>33.217803921568652</v>
      </c>
      <c r="AB176" s="107">
        <v>26.13427450980392</v>
      </c>
      <c r="AC176" s="107">
        <v>15.419490196078437</v>
      </c>
      <c r="AD176" s="107">
        <v>25.240156862745096</v>
      </c>
      <c r="AE176" s="106">
        <v>1</v>
      </c>
      <c r="AF176" s="32" t="str">
        <f>IF(AE176=0,"",VLOOKUP(AE176,tab_tipo_expansao!$A$2:$B$4,2,0))</f>
        <v>opcional</v>
      </c>
      <c r="AG176" s="125">
        <v>2028</v>
      </c>
      <c r="AH176" s="125">
        <v>2100</v>
      </c>
      <c r="AI176" s="125">
        <v>30</v>
      </c>
      <c r="AJ176" s="530">
        <v>315.1798739040384</v>
      </c>
      <c r="AK176" s="24">
        <f>AL176/constantes!$B$4</f>
        <v>2238.652417814038</v>
      </c>
      <c r="AL176" s="33">
        <f t="shared" si="43"/>
        <v>8730.7444294747474</v>
      </c>
      <c r="AM176" s="87">
        <v>2</v>
      </c>
      <c r="AN176" s="531">
        <v>0</v>
      </c>
      <c r="AO176" s="23"/>
      <c r="AP176" s="532">
        <f t="shared" si="37"/>
        <v>315.1798739040384</v>
      </c>
      <c r="AR176" s="35">
        <f t="shared" si="44"/>
        <v>8730.7444294747474</v>
      </c>
      <c r="AS176" s="36">
        <f ca="1">OFFSET(cod_desembolso!$A$1,AM176,23)</f>
        <v>1.1245293369208682</v>
      </c>
      <c r="AT176" s="37">
        <f ca="1">IF(AP176=0,0,AP176*(OFFSET(cod_desembolso!$A$1,AM176,23)))</f>
        <v>354.42901461211113</v>
      </c>
      <c r="AU176" s="38">
        <f>(constantes!$B$3*(1+constantes!$B$3)^(AI176))/((1+constantes!$B$3)^(AI176)-1)</f>
        <v>8.8827433387272267E-2</v>
      </c>
      <c r="AV176" s="37">
        <f t="shared" ca="1" si="39"/>
        <v>33.28801968597385</v>
      </c>
      <c r="AW176" s="37">
        <f ca="1">IF(AP176=0,AY176/constantes!$B$3,AV176/constantes!$B$3)</f>
        <v>416.10024607467312</v>
      </c>
      <c r="AX176" s="39">
        <f ca="1">IF(AP176=0,0,PV(constantes!$B$3,AI176,-AV176)*constantes!$B$3)</f>
        <v>29.979945083716498</v>
      </c>
      <c r="AY176" s="40">
        <f>constantes!$B$10*F176/1000</f>
        <v>1.8049999999999999</v>
      </c>
      <c r="AZ176" s="533">
        <f>constantes!$B$12</f>
        <v>0</v>
      </c>
      <c r="BA176" s="20">
        <v>318</v>
      </c>
      <c r="BB176" s="43"/>
      <c r="BC176" s="3" t="s">
        <v>2197</v>
      </c>
      <c r="BE176" s="534">
        <v>1</v>
      </c>
      <c r="BF176" s="535">
        <v>2027</v>
      </c>
      <c r="BG176" s="536">
        <v>1</v>
      </c>
      <c r="BH176" s="537">
        <v>2027</v>
      </c>
    </row>
    <row r="177" spans="1:60" ht="14.45" hidden="1">
      <c r="A177" s="125">
        <v>1152</v>
      </c>
      <c r="B177" s="125">
        <v>1152</v>
      </c>
      <c r="C177" s="538" t="s">
        <v>2421</v>
      </c>
      <c r="D177" s="538" t="s">
        <v>2421</v>
      </c>
      <c r="E177" s="546"/>
      <c r="F177" s="526">
        <v>47</v>
      </c>
      <c r="G177" s="3" t="s">
        <v>2196</v>
      </c>
      <c r="H177" s="3" t="s">
        <v>2422</v>
      </c>
      <c r="I177" s="3">
        <v>-52.739159000000001</v>
      </c>
      <c r="J177" s="3">
        <v>-25.99306</v>
      </c>
      <c r="K177" s="539" t="s">
        <v>153</v>
      </c>
      <c r="L177" s="539" t="s">
        <v>153</v>
      </c>
      <c r="M177" s="554">
        <v>2</v>
      </c>
      <c r="N177" s="107"/>
      <c r="O177" s="529">
        <v>2.068E-2</v>
      </c>
      <c r="P177" s="529">
        <v>4.6600000000000003E-2</v>
      </c>
      <c r="Q177" s="288">
        <f t="shared" si="40"/>
        <v>1.7012075734549137</v>
      </c>
      <c r="R177" s="30">
        <f t="shared" si="32"/>
        <v>79.956755952380945</v>
      </c>
      <c r="S177" s="30">
        <f t="shared" si="41"/>
        <v>-32.956755952380945</v>
      </c>
      <c r="T177" s="107">
        <v>95.765238095238089</v>
      </c>
      <c r="U177" s="107">
        <v>83.166785714285709</v>
      </c>
      <c r="V177" s="107">
        <v>63.122916666666676</v>
      </c>
      <c r="W177" s="107">
        <v>77.772083333333342</v>
      </c>
      <c r="X177" s="288">
        <f t="shared" si="42"/>
        <v>1.6434134334584889</v>
      </c>
      <c r="Y177" s="289">
        <f t="shared" si="35"/>
        <v>77.240431372548983</v>
      </c>
      <c r="Z177" s="289">
        <f t="shared" si="36"/>
        <v>-2.7163245798319622</v>
      </c>
      <c r="AA177" s="107">
        <v>94.289647058823462</v>
      </c>
      <c r="AB177" s="107">
        <v>78.379058823529405</v>
      </c>
      <c r="AC177" s="107">
        <v>53.735137254901964</v>
      </c>
      <c r="AD177" s="107">
        <v>82.557882352941135</v>
      </c>
      <c r="AE177" s="106">
        <v>1</v>
      </c>
      <c r="AF177" s="32" t="str">
        <f>IF(AE177=0,"",VLOOKUP(AE177,tab_tipo_expansao!$A$2:$B$4,2,0))</f>
        <v>opcional</v>
      </c>
      <c r="AG177" s="125">
        <v>2028</v>
      </c>
      <c r="AH177" s="125">
        <v>2100</v>
      </c>
      <c r="AI177" s="125">
        <v>30</v>
      </c>
      <c r="AJ177" s="530">
        <v>470</v>
      </c>
      <c r="AK177" s="24">
        <f>AL177/constantes!$B$4</f>
        <v>2564.102564102564</v>
      </c>
      <c r="AL177" s="33">
        <f t="shared" si="43"/>
        <v>10000</v>
      </c>
      <c r="AM177" s="87">
        <v>2</v>
      </c>
      <c r="AN177" s="531">
        <v>0</v>
      </c>
      <c r="AO177" s="23"/>
      <c r="AP177" s="532">
        <f t="shared" si="37"/>
        <v>470</v>
      </c>
      <c r="AR177" s="35">
        <f t="shared" si="44"/>
        <v>10000</v>
      </c>
      <c r="AS177" s="36">
        <f ca="1">OFFSET(cod_desembolso!$A$1,AM177,23)</f>
        <v>1.1245293369208682</v>
      </c>
      <c r="AT177" s="37">
        <f ca="1">IF(AP177=0,0,AP177*(OFFSET(cod_desembolso!$A$1,AM177,23)))</f>
        <v>528.52878835280808</v>
      </c>
      <c r="AU177" s="38">
        <f>(constantes!$B$3*(1+constantes!$B$3)^(AI177))/((1+constantes!$B$3)^(AI177)-1)</f>
        <v>8.8827433387272267E-2</v>
      </c>
      <c r="AV177" s="37">
        <f t="shared" ca="1" si="39"/>
        <v>49.297855740664787</v>
      </c>
      <c r="AW177" s="37">
        <f ca="1">IF(AP177=0,AY177/constantes!$B$3,AV177/constantes!$B$3)</f>
        <v>616.22319675830977</v>
      </c>
      <c r="AX177" s="39">
        <f ca="1">IF(AP177=0,0,PV(constantes!$B$3,AI177,-AV177)*constantes!$B$3)</f>
        <v>44.398766336732614</v>
      </c>
      <c r="AY177" s="40">
        <f>constantes!$B$10*F177/1000</f>
        <v>2.35</v>
      </c>
      <c r="AZ177" s="533">
        <f>constantes!$B$12</f>
        <v>0</v>
      </c>
      <c r="BA177" s="20">
        <v>318</v>
      </c>
      <c r="BB177" s="43"/>
      <c r="BC177" s="3" t="s">
        <v>2197</v>
      </c>
      <c r="BE177" s="534">
        <v>1</v>
      </c>
      <c r="BF177" s="535">
        <v>2027</v>
      </c>
      <c r="BG177" s="536">
        <v>1</v>
      </c>
      <c r="BH177" s="537">
        <v>2027</v>
      </c>
    </row>
    <row r="178" spans="1:60" ht="14.45">
      <c r="A178" s="125">
        <v>1153</v>
      </c>
      <c r="B178" s="125">
        <v>1153</v>
      </c>
      <c r="C178" s="538" t="s">
        <v>2423</v>
      </c>
      <c r="D178" s="538" t="s">
        <v>2423</v>
      </c>
      <c r="E178" s="546"/>
      <c r="F178" s="526">
        <v>76</v>
      </c>
      <c r="G178" s="3" t="s">
        <v>2181</v>
      </c>
      <c r="H178" s="3" t="s">
        <v>2296</v>
      </c>
      <c r="I178" s="3">
        <v>-58.281908000000001</v>
      </c>
      <c r="J178" s="3">
        <v>-13.028667</v>
      </c>
      <c r="K178" s="539" t="s">
        <v>160</v>
      </c>
      <c r="L178" s="539" t="s">
        <v>160</v>
      </c>
      <c r="M178" s="554">
        <v>10</v>
      </c>
      <c r="N178" s="107"/>
      <c r="O178" s="529">
        <v>1.9820000000000001E-2</v>
      </c>
      <c r="P178" s="529">
        <v>5.2919999999999995E-2</v>
      </c>
      <c r="Q178" s="288">
        <f t="shared" si="40"/>
        <v>0.76250802788220551</v>
      </c>
      <c r="R178" s="30">
        <f t="shared" si="32"/>
        <v>57.950610119047617</v>
      </c>
      <c r="S178" s="30">
        <f t="shared" si="41"/>
        <v>18.049389880952383</v>
      </c>
      <c r="T178" s="107">
        <v>67.869047619047635</v>
      </c>
      <c r="U178" s="107">
        <v>63.530833333333334</v>
      </c>
      <c r="V178" s="107">
        <v>47.625</v>
      </c>
      <c r="W178" s="107">
        <v>52.777559523809522</v>
      </c>
      <c r="X178" s="288">
        <f t="shared" si="42"/>
        <v>0.73734146026831826</v>
      </c>
      <c r="Y178" s="289">
        <f t="shared" si="35"/>
        <v>56.037950980392189</v>
      </c>
      <c r="Z178" s="289">
        <f t="shared" si="36"/>
        <v>-1.9126591386554281</v>
      </c>
      <c r="AA178" s="107">
        <v>66.977019607843204</v>
      </c>
      <c r="AB178" s="107">
        <v>59.527176470588266</v>
      </c>
      <c r="AC178" s="107">
        <v>45.417176470588231</v>
      </c>
      <c r="AD178" s="107">
        <v>52.230431372549042</v>
      </c>
      <c r="AE178" s="106">
        <v>1</v>
      </c>
      <c r="AF178" s="32" t="str">
        <f>IF(AE178=0,"",VLOOKUP(AE178,tab_tipo_expansao!$A$2:$B$4,2,0))</f>
        <v>opcional</v>
      </c>
      <c r="AG178" s="125">
        <v>2030</v>
      </c>
      <c r="AH178" s="125">
        <v>2100</v>
      </c>
      <c r="AI178" s="125">
        <v>30</v>
      </c>
      <c r="AJ178" s="530">
        <v>835.35992347801403</v>
      </c>
      <c r="AK178" s="24">
        <f>AL178/constantes!$B$4</f>
        <v>2818.35331807697</v>
      </c>
      <c r="AL178" s="33">
        <f t="shared" si="43"/>
        <v>10991.577940500183</v>
      </c>
      <c r="AM178" s="87">
        <v>2</v>
      </c>
      <c r="AN178" s="531">
        <v>0</v>
      </c>
      <c r="AO178" s="23"/>
      <c r="AP178" s="532">
        <f t="shared" si="37"/>
        <v>835.35992347801403</v>
      </c>
      <c r="AR178" s="35">
        <f t="shared" si="44"/>
        <v>10991.577940500185</v>
      </c>
      <c r="AS178" s="36">
        <f ca="1">OFFSET(cod_desembolso!$A$1,AM178,23)</f>
        <v>1.1245293369208682</v>
      </c>
      <c r="AT178" s="37">
        <f ca="1">IF(AP178=0,0,AP178*(OFFSET(cod_desembolso!$A$1,AM178,23)))</f>
        <v>939.38674083899832</v>
      </c>
      <c r="AU178" s="38">
        <f>(constantes!$B$3*(1+constantes!$B$3)^(AI178))/((1+constantes!$B$3)^(AI178)-1)</f>
        <v>8.8827433387272267E-2</v>
      </c>
      <c r="AV178" s="37">
        <f t="shared" ca="1" si="39"/>
        <v>87.243313146762915</v>
      </c>
      <c r="AW178" s="37">
        <f ca="1">IF(AP178=0,AY178/constantes!$B$3,AV178/constantes!$B$3)</f>
        <v>1090.5414143345365</v>
      </c>
      <c r="AX178" s="39">
        <f ca="1">IF(AP178=0,0,PV(constantes!$B$3,AI178,-AV178)*constantes!$B$3)</f>
        <v>78.573305403430609</v>
      </c>
      <c r="AY178" s="40">
        <f>constantes!$B$10*F178/1000</f>
        <v>3.8</v>
      </c>
      <c r="AZ178" s="533">
        <f>constantes!$B$12</f>
        <v>0</v>
      </c>
      <c r="BA178" s="20">
        <v>318</v>
      </c>
      <c r="BB178" s="43"/>
      <c r="BC178" s="3" t="s">
        <v>2217</v>
      </c>
      <c r="BE178" s="534">
        <v>1</v>
      </c>
      <c r="BF178" s="535">
        <v>2035</v>
      </c>
      <c r="BG178" s="536">
        <v>3</v>
      </c>
      <c r="BH178" s="537">
        <v>2050</v>
      </c>
    </row>
    <row r="179" spans="1:60" ht="14.45" hidden="1">
      <c r="A179" s="125">
        <v>1154</v>
      </c>
      <c r="B179" s="125">
        <v>1154</v>
      </c>
      <c r="C179" s="538" t="s">
        <v>2424</v>
      </c>
      <c r="D179" s="538" t="s">
        <v>2424</v>
      </c>
      <c r="E179" s="546"/>
      <c r="F179" s="526">
        <v>48.5</v>
      </c>
      <c r="G179" s="3" t="s">
        <v>2196</v>
      </c>
      <c r="H179" s="3" t="s">
        <v>2305</v>
      </c>
      <c r="I179" s="3">
        <v>-50.186543999999998</v>
      </c>
      <c r="J179" s="3">
        <v>-18.126525000000001</v>
      </c>
      <c r="K179" s="539" t="s">
        <v>2005</v>
      </c>
      <c r="L179" s="539" t="s">
        <v>2005</v>
      </c>
      <c r="M179" s="554">
        <v>1</v>
      </c>
      <c r="N179" s="107"/>
      <c r="O179" s="529">
        <v>2.068E-2</v>
      </c>
      <c r="P179" s="529">
        <v>4.6600000000000003E-2</v>
      </c>
      <c r="Q179" s="288">
        <f t="shared" si="40"/>
        <v>0.532119300920186</v>
      </c>
      <c r="R179" s="30">
        <f t="shared" si="32"/>
        <v>25.807786094629019</v>
      </c>
      <c r="S179" s="30">
        <f t="shared" si="41"/>
        <v>22.692213905370981</v>
      </c>
      <c r="T179" s="107">
        <v>32.341515636377707</v>
      </c>
      <c r="U179" s="107">
        <v>28.390936196646155</v>
      </c>
      <c r="V179" s="107">
        <v>20.139157248205091</v>
      </c>
      <c r="W179" s="107">
        <v>22.359535297287124</v>
      </c>
      <c r="X179" s="288">
        <f t="shared" si="42"/>
        <v>0.56765074645560576</v>
      </c>
      <c r="Y179" s="289">
        <f t="shared" si="35"/>
        <v>27.531061203096879</v>
      </c>
      <c r="Z179" s="289">
        <f t="shared" si="36"/>
        <v>1.7232751084678597</v>
      </c>
      <c r="AA179" s="107">
        <v>35.984612039960325</v>
      </c>
      <c r="AB179" s="107">
        <v>29.936726588611311</v>
      </c>
      <c r="AC179" s="107">
        <v>20.610941656490279</v>
      </c>
      <c r="AD179" s="107">
        <v>23.591964527325604</v>
      </c>
      <c r="AE179" s="106">
        <v>1</v>
      </c>
      <c r="AF179" s="32" t="str">
        <f>IF(AE179=0,"",VLOOKUP(AE179,tab_tipo_expansao!$A$2:$B$4,2,0))</f>
        <v>opcional</v>
      </c>
      <c r="AG179" s="125">
        <v>2028</v>
      </c>
      <c r="AH179" s="125">
        <v>2100</v>
      </c>
      <c r="AI179" s="125">
        <v>30</v>
      </c>
      <c r="AJ179" s="530">
        <v>477.61009648318816</v>
      </c>
      <c r="AK179" s="24">
        <f>AL179/constantes!$B$4</f>
        <v>2525.0335526470431</v>
      </c>
      <c r="AL179" s="33">
        <f t="shared" si="43"/>
        <v>9847.6308553234685</v>
      </c>
      <c r="AM179" s="87">
        <v>2</v>
      </c>
      <c r="AN179" s="531">
        <v>0</v>
      </c>
      <c r="AO179" s="23"/>
      <c r="AP179" s="532">
        <f t="shared" si="37"/>
        <v>477.61009648318816</v>
      </c>
      <c r="AR179" s="35">
        <f t="shared" si="44"/>
        <v>9847.6308553234667</v>
      </c>
      <c r="AS179" s="36">
        <f ca="1">OFFSET(cod_desembolso!$A$1,AM179,23)</f>
        <v>1.1245293369208682</v>
      </c>
      <c r="AT179" s="37">
        <f ca="1">IF(AP179=0,0,AP179*(OFFSET(cod_desembolso!$A$1,AM179,23)))</f>
        <v>537.08656510495143</v>
      </c>
      <c r="AU179" s="38">
        <f>(constantes!$B$3*(1+constantes!$B$3)^(AI179))/((1+constantes!$B$3)^(AI179)-1)</f>
        <v>8.8827433387272267E-2</v>
      </c>
      <c r="AV179" s="37">
        <f t="shared" ca="1" si="39"/>
        <v>50.133021085058942</v>
      </c>
      <c r="AW179" s="37">
        <f ca="1">IF(AP179=0,AY179/constantes!$B$3,AV179/constantes!$B$3)</f>
        <v>626.66276356323681</v>
      </c>
      <c r="AX179" s="39">
        <f ca="1">IF(AP179=0,0,PV(constantes!$B$3,AI179,-AV179)*constantes!$B$3)</f>
        <v>45.15093517696284</v>
      </c>
      <c r="AY179" s="40">
        <f>constantes!$B$10*F179/1000</f>
        <v>2.4249999999999998</v>
      </c>
      <c r="AZ179" s="533">
        <f>constantes!$B$12</f>
        <v>0</v>
      </c>
      <c r="BA179" s="20">
        <v>318</v>
      </c>
      <c r="BB179" s="43"/>
      <c r="BC179" s="3" t="s">
        <v>2197</v>
      </c>
      <c r="BE179" s="534">
        <v>1</v>
      </c>
      <c r="BF179" s="535">
        <v>2027</v>
      </c>
      <c r="BG179" s="536">
        <v>1</v>
      </c>
      <c r="BH179" s="537">
        <v>2027</v>
      </c>
    </row>
    <row r="180" spans="1:60" ht="14.45">
      <c r="A180" s="125">
        <v>1155</v>
      </c>
      <c r="B180" s="125">
        <v>1155</v>
      </c>
      <c r="C180" s="538" t="s">
        <v>2425</v>
      </c>
      <c r="D180" s="538" t="s">
        <v>2425</v>
      </c>
      <c r="E180" s="546"/>
      <c r="F180" s="526">
        <v>1087</v>
      </c>
      <c r="G180" s="3" t="s">
        <v>2199</v>
      </c>
      <c r="H180" s="3" t="s">
        <v>2268</v>
      </c>
      <c r="I180" s="3">
        <v>-48.336517000000001</v>
      </c>
      <c r="J180" s="3">
        <v>-6.1365280000000002</v>
      </c>
      <c r="K180" s="539" t="s">
        <v>1983</v>
      </c>
      <c r="L180" s="539" t="s">
        <v>1983</v>
      </c>
      <c r="M180" s="554">
        <v>4</v>
      </c>
      <c r="N180" s="107"/>
      <c r="O180" s="529">
        <v>1.6379999999999999E-2</v>
      </c>
      <c r="P180" s="529">
        <v>6.1409999999999999E-2</v>
      </c>
      <c r="Q180" s="288">
        <f t="shared" si="40"/>
        <v>0.53569966487054799</v>
      </c>
      <c r="R180" s="30">
        <f t="shared" si="32"/>
        <v>582.30553571428561</v>
      </c>
      <c r="S180" s="30">
        <f t="shared" si="41"/>
        <v>504.69446428571439</v>
      </c>
      <c r="T180" s="107">
        <v>930.27809523809503</v>
      </c>
      <c r="U180" s="107">
        <v>888.20249999999999</v>
      </c>
      <c r="V180" s="107">
        <v>237.15499999999997</v>
      </c>
      <c r="W180" s="107">
        <v>273.58654761904762</v>
      </c>
      <c r="X180" s="288">
        <f t="shared" si="42"/>
        <v>0.6135091004202966</v>
      </c>
      <c r="Y180" s="289">
        <f t="shared" si="35"/>
        <v>666.88439215686242</v>
      </c>
      <c r="Z180" s="289">
        <f t="shared" si="36"/>
        <v>84.578856442576807</v>
      </c>
      <c r="AA180" s="107">
        <v>978.35694117647006</v>
      </c>
      <c r="AB180" s="107">
        <v>926.24054901960733</v>
      </c>
      <c r="AC180" s="107">
        <v>311.98192156862746</v>
      </c>
      <c r="AD180" s="107">
        <v>450.95815686274517</v>
      </c>
      <c r="AE180" s="106">
        <v>1</v>
      </c>
      <c r="AF180" s="32" t="str">
        <f>IF(AE180=0,"",VLOOKUP(AE180,tab_tipo_expansao!$A$2:$B$4,2,0))</f>
        <v>opcional</v>
      </c>
      <c r="AG180" s="125">
        <v>2030</v>
      </c>
      <c r="AH180" s="125">
        <v>2100</v>
      </c>
      <c r="AI180" s="125">
        <v>30</v>
      </c>
      <c r="AJ180" s="530">
        <v>4962.0843378228656</v>
      </c>
      <c r="AK180" s="24">
        <f>AL180/constantes!$B$4</f>
        <v>1170.4961521531541</v>
      </c>
      <c r="AL180" s="33">
        <f t="shared" si="43"/>
        <v>4564.9349933973008</v>
      </c>
      <c r="AM180" s="87">
        <v>4</v>
      </c>
      <c r="AN180" s="531">
        <v>0</v>
      </c>
      <c r="AO180" s="23"/>
      <c r="AP180" s="532">
        <f t="shared" si="37"/>
        <v>4962.0843378228656</v>
      </c>
      <c r="AR180" s="35">
        <f t="shared" si="44"/>
        <v>4564.9349933973008</v>
      </c>
      <c r="AS180" s="36">
        <f ca="1">OFFSET(cod_desembolso!$A$1,AM180,23)</f>
        <v>1.103153897336226</v>
      </c>
      <c r="AT180" s="37">
        <f ca="1">IF(AP180=0,0,AP180*(OFFSET(cod_desembolso!$A$1,AM180,23)))</f>
        <v>5473.9426761803406</v>
      </c>
      <c r="AU180" s="38">
        <f>(constantes!$B$3*(1+constantes!$B$3)^(AI180))/((1+constantes!$B$3)^(AI180)-1)</f>
        <v>8.8827433387272267E-2</v>
      </c>
      <c r="AV180" s="37">
        <f t="shared" ca="1" si="39"/>
        <v>540.58627843415604</v>
      </c>
      <c r="AW180" s="37">
        <f ca="1">IF(AP180=0,AY180/constantes!$B$3,AV180/constantes!$B$3)</f>
        <v>6757.3284804269506</v>
      </c>
      <c r="AX180" s="39">
        <f ca="1">IF(AP180=0,0,PV(constantes!$B$3,AI180,-AV180)*constantes!$B$3)</f>
        <v>486.8642560703455</v>
      </c>
      <c r="AY180" s="40">
        <f>constantes!$B$10*F180/1000</f>
        <v>54.35</v>
      </c>
      <c r="AZ180" s="533">
        <f>constantes!$B$12</f>
        <v>0</v>
      </c>
      <c r="BA180" s="20">
        <v>318</v>
      </c>
      <c r="BB180" s="43"/>
      <c r="BC180" s="3" t="s">
        <v>2217</v>
      </c>
      <c r="BE180" s="534">
        <v>1</v>
      </c>
      <c r="BF180" s="535">
        <v>2035</v>
      </c>
      <c r="BG180" s="536">
        <v>3</v>
      </c>
      <c r="BH180" s="537">
        <v>2050</v>
      </c>
    </row>
    <row r="181" spans="1:60" ht="14.45" hidden="1">
      <c r="A181" s="125">
        <v>1156</v>
      </c>
      <c r="B181" s="125">
        <v>1156</v>
      </c>
      <c r="C181" s="538" t="s">
        <v>2426</v>
      </c>
      <c r="D181" s="538" t="s">
        <v>2426</v>
      </c>
      <c r="E181" s="546"/>
      <c r="F181" s="526">
        <v>48</v>
      </c>
      <c r="G181" s="3" t="s">
        <v>2196</v>
      </c>
      <c r="H181" s="3" t="s">
        <v>2316</v>
      </c>
      <c r="I181" s="3">
        <v>-52.150545000000001</v>
      </c>
      <c r="J181" s="3">
        <v>-20.093761000000001</v>
      </c>
      <c r="K181" s="539" t="s">
        <v>2092</v>
      </c>
      <c r="L181" s="539" t="s">
        <v>2092</v>
      </c>
      <c r="M181" s="554">
        <v>1</v>
      </c>
      <c r="N181" s="107"/>
      <c r="O181" s="529">
        <v>2.068E-2</v>
      </c>
      <c r="P181" s="529">
        <v>4.6600000000000003E-2</v>
      </c>
      <c r="Q181" s="288">
        <f t="shared" si="40"/>
        <v>0.532119300920186</v>
      </c>
      <c r="R181" s="30">
        <f t="shared" si="32"/>
        <v>25.541726444168926</v>
      </c>
      <c r="S181" s="30">
        <f t="shared" si="41"/>
        <v>22.458273555831074</v>
      </c>
      <c r="T181" s="107">
        <v>32.008097949404743</v>
      </c>
      <c r="U181" s="107">
        <v>28.098246132763212</v>
      </c>
      <c r="V181" s="107">
        <v>19.931537070388543</v>
      </c>
      <c r="W181" s="107">
        <v>22.129024624119211</v>
      </c>
      <c r="X181" s="288">
        <f t="shared" si="42"/>
        <v>0.56765074645560565</v>
      </c>
      <c r="Y181" s="289">
        <f t="shared" si="35"/>
        <v>27.247235829869073</v>
      </c>
      <c r="Z181" s="289">
        <f t="shared" si="36"/>
        <v>1.7055093857001467</v>
      </c>
      <c r="AA181" s="107">
        <v>35.613636658105058</v>
      </c>
      <c r="AB181" s="107">
        <v>29.62810054130604</v>
      </c>
      <c r="AC181" s="107">
        <v>20.398457721887286</v>
      </c>
      <c r="AD181" s="107">
        <v>23.348748398177918</v>
      </c>
      <c r="AE181" s="106">
        <v>1</v>
      </c>
      <c r="AF181" s="32" t="str">
        <f>IF(AE181=0,"",VLOOKUP(AE181,tab_tipo_expansao!$A$2:$B$4,2,0))</f>
        <v>opcional</v>
      </c>
      <c r="AG181" s="125">
        <v>2028</v>
      </c>
      <c r="AH181" s="125">
        <v>2100</v>
      </c>
      <c r="AI181" s="125">
        <v>30</v>
      </c>
      <c r="AJ181" s="530">
        <v>480</v>
      </c>
      <c r="AK181" s="24">
        <f>AL181/constantes!$B$4</f>
        <v>2564.102564102564</v>
      </c>
      <c r="AL181" s="33">
        <f t="shared" si="43"/>
        <v>10000</v>
      </c>
      <c r="AM181" s="87">
        <v>2</v>
      </c>
      <c r="AN181" s="531">
        <v>0</v>
      </c>
      <c r="AO181" s="23"/>
      <c r="AP181" s="532">
        <f t="shared" si="37"/>
        <v>480</v>
      </c>
      <c r="AR181" s="35">
        <f t="shared" si="44"/>
        <v>10000</v>
      </c>
      <c r="AS181" s="36">
        <f ca="1">OFFSET(cod_desembolso!$A$1,AM181,23)</f>
        <v>1.1245293369208682</v>
      </c>
      <c r="AT181" s="37">
        <f ca="1">IF(AP181=0,0,AP181*(OFFSET(cod_desembolso!$A$1,AM181,23)))</f>
        <v>539.77408172201672</v>
      </c>
      <c r="AU181" s="38">
        <f>(constantes!$B$3*(1+constantes!$B$3)^(AI181))/((1+constantes!$B$3)^(AI181)-1)</f>
        <v>8.8827433387272267E-2</v>
      </c>
      <c r="AV181" s="37">
        <f t="shared" ca="1" si="39"/>
        <v>50.346746288338494</v>
      </c>
      <c r="AW181" s="37">
        <f ca="1">IF(AP181=0,AY181/constantes!$B$3,AV181/constantes!$B$3)</f>
        <v>629.33432860423113</v>
      </c>
      <c r="AX181" s="39">
        <f ca="1">IF(AP181=0,0,PV(constantes!$B$3,AI181,-AV181)*constantes!$B$3)</f>
        <v>45.34342093964181</v>
      </c>
      <c r="AY181" s="40">
        <f>constantes!$B$10*F181/1000</f>
        <v>2.4</v>
      </c>
      <c r="AZ181" s="533">
        <f>constantes!$B$12</f>
        <v>0</v>
      </c>
      <c r="BA181" s="20">
        <v>318</v>
      </c>
      <c r="BB181" s="43"/>
      <c r="BC181" s="3" t="s">
        <v>2197</v>
      </c>
      <c r="BE181" s="534">
        <v>1</v>
      </c>
      <c r="BF181" s="535">
        <v>2027</v>
      </c>
      <c r="BG181" s="536">
        <v>1</v>
      </c>
      <c r="BH181" s="537">
        <v>2027</v>
      </c>
    </row>
    <row r="182" spans="1:60" ht="14.45" hidden="1">
      <c r="A182" s="125">
        <v>1157</v>
      </c>
      <c r="B182" s="125">
        <v>1157</v>
      </c>
      <c r="C182" s="538" t="s">
        <v>2427</v>
      </c>
      <c r="D182" s="538" t="s">
        <v>2427</v>
      </c>
      <c r="E182" s="546"/>
      <c r="F182" s="526">
        <v>84.3</v>
      </c>
      <c r="G182" s="3" t="s">
        <v>2097</v>
      </c>
      <c r="H182" s="3" t="s">
        <v>2202</v>
      </c>
      <c r="I182" s="3">
        <v>-52.810988000000002</v>
      </c>
      <c r="J182" s="3">
        <v>-26.876702999999999</v>
      </c>
      <c r="K182" s="539" t="s">
        <v>1991</v>
      </c>
      <c r="L182" s="539" t="s">
        <v>1991</v>
      </c>
      <c r="M182" s="554">
        <v>2</v>
      </c>
      <c r="N182" s="107"/>
      <c r="O182" s="529">
        <v>1.9820000000000001E-2</v>
      </c>
      <c r="P182" s="529">
        <v>5.2919999999999995E-2</v>
      </c>
      <c r="Q182" s="288">
        <f t="shared" si="40"/>
        <v>0.48581790515731804</v>
      </c>
      <c r="R182" s="30">
        <f t="shared" si="32"/>
        <v>40.95444940476191</v>
      </c>
      <c r="S182" s="30">
        <f t="shared" si="41"/>
        <v>43.345550595238088</v>
      </c>
      <c r="T182" s="107">
        <v>27.774761904761903</v>
      </c>
      <c r="U182" s="107">
        <v>42.96595238095238</v>
      </c>
      <c r="V182" s="107">
        <v>47.243749999999999</v>
      </c>
      <c r="W182" s="107">
        <v>45.833333333333336</v>
      </c>
      <c r="X182" s="288">
        <f t="shared" si="42"/>
        <v>0.55823855046170312</v>
      </c>
      <c r="Y182" s="289">
        <f t="shared" si="35"/>
        <v>47.059509803921571</v>
      </c>
      <c r="Z182" s="289">
        <f t="shared" si="36"/>
        <v>6.1050603991596617</v>
      </c>
      <c r="AA182" s="107">
        <v>36.420588235294119</v>
      </c>
      <c r="AB182" s="107">
        <v>45.816039215686281</v>
      </c>
      <c r="AC182" s="107">
        <v>54.859176470588245</v>
      </c>
      <c r="AD182" s="107">
        <v>51.142235294117654</v>
      </c>
      <c r="AE182" s="106">
        <v>1</v>
      </c>
      <c r="AF182" s="32" t="str">
        <f>IF(AE182=0,"",VLOOKUP(AE182,tab_tipo_expansao!$A$2:$B$4,2,0))</f>
        <v>opcional</v>
      </c>
      <c r="AG182" s="125">
        <v>2028</v>
      </c>
      <c r="AH182" s="125">
        <v>2100</v>
      </c>
      <c r="AI182" s="125">
        <v>30</v>
      </c>
      <c r="AJ182" s="530">
        <v>505.77370515722032</v>
      </c>
      <c r="AK182" s="24">
        <f>AL182/constantes!$B$4</f>
        <v>1538.3815590145705</v>
      </c>
      <c r="AL182" s="33">
        <f t="shared" si="43"/>
        <v>5999.688080156825</v>
      </c>
      <c r="AM182" s="87">
        <v>2</v>
      </c>
      <c r="AN182" s="531">
        <v>0</v>
      </c>
      <c r="AO182" s="23"/>
      <c r="AP182" s="532">
        <f t="shared" si="37"/>
        <v>505.77370515722032</v>
      </c>
      <c r="AR182" s="35">
        <f t="shared" si="44"/>
        <v>5999.688080156825</v>
      </c>
      <c r="AS182" s="36">
        <f ca="1">OFFSET(cod_desembolso!$A$1,AM182,23)</f>
        <v>1.1245293369208682</v>
      </c>
      <c r="AT182" s="37">
        <f ca="1">IF(AP182=0,0,AP182*(OFFSET(cod_desembolso!$A$1,AM182,23)))</f>
        <v>568.75736929245966</v>
      </c>
      <c r="AU182" s="38">
        <f>(constantes!$B$3*(1+constantes!$B$3)^(AI182))/((1+constantes!$B$3)^(AI182)-1)</f>
        <v>8.8827433387272267E-2</v>
      </c>
      <c r="AV182" s="37">
        <f t="shared" ca="1" si="39"/>
        <v>54.736257334346178</v>
      </c>
      <c r="AW182" s="37">
        <f ca="1">IF(AP182=0,AY182/constantes!$B$3,AV182/constantes!$B$3)</f>
        <v>684.20321667932717</v>
      </c>
      <c r="AX182" s="39">
        <f ca="1">IF(AP182=0,0,PV(constantes!$B$3,AI182,-AV182)*constantes!$B$3)</f>
        <v>49.29671408669936</v>
      </c>
      <c r="AY182" s="40">
        <f>constantes!$B$10*F182/1000</f>
        <v>4.2149999999999999</v>
      </c>
      <c r="AZ182" s="533">
        <f>constantes!$B$12</f>
        <v>0</v>
      </c>
      <c r="BA182" s="20">
        <v>318</v>
      </c>
      <c r="BB182" s="43"/>
      <c r="BC182" s="3" t="s">
        <v>2209</v>
      </c>
      <c r="BE182" s="534">
        <v>1</v>
      </c>
      <c r="BF182" s="535">
        <v>2026</v>
      </c>
      <c r="BG182" s="536">
        <v>1</v>
      </c>
      <c r="BH182" s="537">
        <v>2026</v>
      </c>
    </row>
    <row r="183" spans="1:60" ht="14.45" hidden="1">
      <c r="A183" s="125">
        <v>1158</v>
      </c>
      <c r="B183" s="125">
        <v>1158</v>
      </c>
      <c r="C183" s="538" t="s">
        <v>2428</v>
      </c>
      <c r="D183" s="538" t="s">
        <v>2428</v>
      </c>
      <c r="E183" s="546"/>
      <c r="F183" s="526">
        <v>47.82</v>
      </c>
      <c r="G183" s="3" t="s">
        <v>2196</v>
      </c>
      <c r="H183" s="3" t="s">
        <v>2341</v>
      </c>
      <c r="I183" s="3">
        <v>-51.766666999999998</v>
      </c>
      <c r="J183" s="3">
        <v>-23.937781000000001</v>
      </c>
      <c r="K183" s="539" t="s">
        <v>153</v>
      </c>
      <c r="L183" s="539" t="s">
        <v>153</v>
      </c>
      <c r="M183" s="554">
        <v>2</v>
      </c>
      <c r="N183" s="107"/>
      <c r="O183" s="529">
        <v>2.068E-2</v>
      </c>
      <c r="P183" s="529">
        <v>4.6600000000000003E-2</v>
      </c>
      <c r="Q183" s="288">
        <f t="shared" si="40"/>
        <v>0.56511925922606598</v>
      </c>
      <c r="R183" s="30">
        <f t="shared" si="32"/>
        <v>27.024002976190477</v>
      </c>
      <c r="S183" s="30">
        <f t="shared" si="41"/>
        <v>20.795997023809523</v>
      </c>
      <c r="T183" s="107">
        <v>28.258095238095237</v>
      </c>
      <c r="U183" s="107">
        <v>27.348988095238095</v>
      </c>
      <c r="V183" s="107">
        <v>23.662499999999998</v>
      </c>
      <c r="W183" s="107">
        <v>28.826428571428576</v>
      </c>
      <c r="X183" s="288">
        <f t="shared" si="42"/>
        <v>0.65602073953797335</v>
      </c>
      <c r="Y183" s="289">
        <f t="shared" si="35"/>
        <v>31.370911764705887</v>
      </c>
      <c r="Z183" s="289">
        <f t="shared" si="36"/>
        <v>4.3469087885154103</v>
      </c>
      <c r="AA183" s="107">
        <v>34.061686274509825</v>
      </c>
      <c r="AB183" s="107">
        <v>28.29545098039215</v>
      </c>
      <c r="AC183" s="107">
        <v>29.320274509803923</v>
      </c>
      <c r="AD183" s="107">
        <v>33.806235294117663</v>
      </c>
      <c r="AE183" s="106">
        <v>1</v>
      </c>
      <c r="AF183" s="32" t="str">
        <f>IF(AE183=0,"",VLOOKUP(AE183,tab_tipo_expansao!$A$2:$B$4,2,0))</f>
        <v>opcional</v>
      </c>
      <c r="AG183" s="125">
        <v>2028</v>
      </c>
      <c r="AH183" s="125">
        <v>2100</v>
      </c>
      <c r="AI183" s="125">
        <v>30</v>
      </c>
      <c r="AJ183" s="530">
        <v>515.55455071968947</v>
      </c>
      <c r="AK183" s="24">
        <f>AL183/constantes!$B$4</f>
        <v>2764.3972091909272</v>
      </c>
      <c r="AL183" s="33">
        <f t="shared" si="43"/>
        <v>10781.149115844615</v>
      </c>
      <c r="AM183" s="87">
        <v>2</v>
      </c>
      <c r="AN183" s="531">
        <v>0</v>
      </c>
      <c r="AO183" s="23"/>
      <c r="AP183" s="532">
        <f t="shared" si="37"/>
        <v>515.55455071968947</v>
      </c>
      <c r="AR183" s="35">
        <f t="shared" si="44"/>
        <v>10781.149115844615</v>
      </c>
      <c r="AS183" s="36">
        <f ca="1">OFFSET(cod_desembolso!$A$1,AM183,23)</f>
        <v>1.1245293369208682</v>
      </c>
      <c r="AT183" s="37">
        <f ca="1">IF(AP183=0,0,AP183*(OFFSET(cod_desembolso!$A$1,AM183,23)))</f>
        <v>579.75621706734853</v>
      </c>
      <c r="AU183" s="38">
        <f>(constantes!$B$3*(1+constantes!$B$3)^(AI183))/((1+constantes!$B$3)^(AI183)-1)</f>
        <v>8.8827433387272267E-2</v>
      </c>
      <c r="AV183" s="37">
        <f t="shared" ca="1" si="39"/>
        <v>53.889256752406858</v>
      </c>
      <c r="AW183" s="37">
        <f ca="1">IF(AP183=0,AY183/constantes!$B$3,AV183/constantes!$B$3)</f>
        <v>673.61570940508568</v>
      </c>
      <c r="AX183" s="39">
        <f ca="1">IF(AP183=0,0,PV(constantes!$B$3,AI183,-AV183)*constantes!$B$3)</f>
        <v>48.533886163261307</v>
      </c>
      <c r="AY183" s="40">
        <f>constantes!$B$10*F183/1000</f>
        <v>2.391</v>
      </c>
      <c r="AZ183" s="533">
        <f>constantes!$B$12</f>
        <v>0</v>
      </c>
      <c r="BA183" s="20">
        <v>318</v>
      </c>
      <c r="BB183" s="43"/>
      <c r="BC183" s="3" t="s">
        <v>2197</v>
      </c>
      <c r="BE183" s="534">
        <v>1</v>
      </c>
      <c r="BF183" s="535">
        <v>2027</v>
      </c>
      <c r="BG183" s="536">
        <v>1</v>
      </c>
      <c r="BH183" s="537">
        <v>2027</v>
      </c>
    </row>
    <row r="184" spans="1:60" ht="14.45">
      <c r="A184" s="125">
        <v>1159</v>
      </c>
      <c r="B184" s="125">
        <v>1159</v>
      </c>
      <c r="C184" s="538" t="s">
        <v>2429</v>
      </c>
      <c r="D184" s="538" t="s">
        <v>2429</v>
      </c>
      <c r="E184" s="546"/>
      <c r="F184" s="526">
        <v>50</v>
      </c>
      <c r="G184" s="3" t="s">
        <v>2196</v>
      </c>
      <c r="H184" s="3" t="s">
        <v>2355</v>
      </c>
      <c r="I184" s="3">
        <v>-47.747132000000001</v>
      </c>
      <c r="J184" s="3">
        <v>-12.991012</v>
      </c>
      <c r="K184" s="539" t="s">
        <v>1983</v>
      </c>
      <c r="L184" s="539" t="s">
        <v>1983</v>
      </c>
      <c r="M184" s="554">
        <v>1</v>
      </c>
      <c r="N184" s="107"/>
      <c r="O184" s="529">
        <v>2.068E-2</v>
      </c>
      <c r="P184" s="529">
        <v>4.6600000000000003E-2</v>
      </c>
      <c r="Q184" s="288">
        <f t="shared" si="40"/>
        <v>0.532119300920186</v>
      </c>
      <c r="R184" s="30">
        <f t="shared" si="32"/>
        <v>26.605965046009299</v>
      </c>
      <c r="S184" s="30">
        <f t="shared" si="41"/>
        <v>23.394034953990701</v>
      </c>
      <c r="T184" s="107">
        <v>33.341768697296608</v>
      </c>
      <c r="U184" s="107">
        <v>29.269006388295008</v>
      </c>
      <c r="V184" s="107">
        <v>20.762017781654734</v>
      </c>
      <c r="W184" s="107">
        <v>23.051067316790849</v>
      </c>
      <c r="X184" s="288">
        <f t="shared" si="42"/>
        <v>0.56765074645560576</v>
      </c>
      <c r="Y184" s="289">
        <f t="shared" si="35"/>
        <v>28.382537322780287</v>
      </c>
      <c r="Z184" s="289">
        <f t="shared" si="36"/>
        <v>1.7765722767709882</v>
      </c>
      <c r="AA184" s="107">
        <v>37.097538185526105</v>
      </c>
      <c r="AB184" s="107">
        <v>30.862604730527124</v>
      </c>
      <c r="AC184" s="107">
        <v>21.248393460299258</v>
      </c>
      <c r="AD184" s="107">
        <v>24.321612914768664</v>
      </c>
      <c r="AE184" s="106">
        <v>1</v>
      </c>
      <c r="AF184" s="32" t="str">
        <f>IF(AE184=0,"",VLOOKUP(AE184,tab_tipo_expansao!$A$2:$B$4,2,0))</f>
        <v>opcional</v>
      </c>
      <c r="AG184" s="125">
        <v>2030</v>
      </c>
      <c r="AH184" s="125">
        <v>2100</v>
      </c>
      <c r="AI184" s="125">
        <v>30</v>
      </c>
      <c r="AJ184" s="530">
        <v>500</v>
      </c>
      <c r="AK184" s="24">
        <f>AL184/constantes!$B$4</f>
        <v>2564.102564102564</v>
      </c>
      <c r="AL184" s="33">
        <f t="shared" si="43"/>
        <v>10000</v>
      </c>
      <c r="AM184" s="87">
        <v>2</v>
      </c>
      <c r="AN184" s="531">
        <v>0</v>
      </c>
      <c r="AO184" s="23"/>
      <c r="AP184" s="532">
        <f t="shared" si="37"/>
        <v>500</v>
      </c>
      <c r="AR184" s="35">
        <f t="shared" si="44"/>
        <v>10000</v>
      </c>
      <c r="AS184" s="36">
        <f ca="1">OFFSET(cod_desembolso!$A$1,AM184,23)</f>
        <v>1.1245293369208682</v>
      </c>
      <c r="AT184" s="37">
        <f ca="1">IF(AP184=0,0,AP184*(OFFSET(cod_desembolso!$A$1,AM184,23)))</f>
        <v>562.26466846043411</v>
      </c>
      <c r="AU184" s="38">
        <f>(constantes!$B$3*(1+constantes!$B$3)^(AI184))/((1+constantes!$B$3)^(AI184)-1)</f>
        <v>8.8827433387272267E-2</v>
      </c>
      <c r="AV184" s="37">
        <f t="shared" ca="1" si="39"/>
        <v>52.444527383685937</v>
      </c>
      <c r="AW184" s="37">
        <f ca="1">IF(AP184=0,AY184/constantes!$B$3,AV184/constantes!$B$3)</f>
        <v>655.5565922960742</v>
      </c>
      <c r="AX184" s="39">
        <f ca="1">IF(AP184=0,0,PV(constantes!$B$3,AI184,-AV184)*constantes!$B$3)</f>
        <v>47.232730145460231</v>
      </c>
      <c r="AY184" s="40">
        <f>constantes!$B$10*F184/1000</f>
        <v>2.5</v>
      </c>
      <c r="AZ184" s="533">
        <f>constantes!$B$12</f>
        <v>0</v>
      </c>
      <c r="BA184" s="20">
        <v>318</v>
      </c>
      <c r="BB184" s="43"/>
      <c r="BC184" s="3" t="s">
        <v>2217</v>
      </c>
      <c r="BE184" s="534">
        <v>1</v>
      </c>
      <c r="BF184" s="535">
        <v>2035</v>
      </c>
      <c r="BG184" s="536">
        <v>3</v>
      </c>
      <c r="BH184" s="537">
        <v>2050</v>
      </c>
    </row>
    <row r="185" spans="1:60" ht="14.45">
      <c r="A185" s="125">
        <v>1160</v>
      </c>
      <c r="B185" s="125">
        <v>1160</v>
      </c>
      <c r="C185" s="538" t="s">
        <v>2430</v>
      </c>
      <c r="D185" s="538" t="s">
        <v>2430</v>
      </c>
      <c r="E185" s="546"/>
      <c r="F185" s="526">
        <v>331</v>
      </c>
      <c r="G185" s="3" t="s">
        <v>2196</v>
      </c>
      <c r="H185" s="3" t="s">
        <v>2078</v>
      </c>
      <c r="I185" s="3">
        <v>-50.913578999999999</v>
      </c>
      <c r="J185" s="3">
        <v>-23.725216</v>
      </c>
      <c r="K185" s="539" t="s">
        <v>153</v>
      </c>
      <c r="L185" s="539" t="s">
        <v>153</v>
      </c>
      <c r="M185" s="554">
        <v>2</v>
      </c>
      <c r="N185" s="107"/>
      <c r="O185" s="529">
        <v>1.6379999999999999E-2</v>
      </c>
      <c r="P185" s="529">
        <v>6.1409999999999999E-2</v>
      </c>
      <c r="Q185" s="288">
        <f t="shared" ref="Q185:Q216" si="45">R185/$F185</f>
        <v>0.48115527442094669</v>
      </c>
      <c r="R185" s="30">
        <f t="shared" si="32"/>
        <v>159.26239583333336</v>
      </c>
      <c r="S185" s="30">
        <f t="shared" ref="S185:S216" si="46">F185-R185</f>
        <v>171.73760416666664</v>
      </c>
      <c r="T185" s="107">
        <v>144.56190476190477</v>
      </c>
      <c r="U185" s="107">
        <v>141.47898809523812</v>
      </c>
      <c r="V185" s="107">
        <v>166.96916666666667</v>
      </c>
      <c r="W185" s="107">
        <v>184.03952380952384</v>
      </c>
      <c r="X185" s="288">
        <f t="shared" ref="X185:X216" si="47">Y185/$F185</f>
        <v>0.5994141046146555</v>
      </c>
      <c r="Y185" s="289">
        <f t="shared" si="35"/>
        <v>198.40606862745096</v>
      </c>
      <c r="Z185" s="289">
        <f t="shared" si="36"/>
        <v>39.143672794117606</v>
      </c>
      <c r="AA185" s="107">
        <v>213.00003921568626</v>
      </c>
      <c r="AB185" s="107">
        <v>171.61490196078429</v>
      </c>
      <c r="AC185" s="107">
        <v>198.0320392156863</v>
      </c>
      <c r="AD185" s="107">
        <v>210.97729411764703</v>
      </c>
      <c r="AE185" s="106">
        <v>1</v>
      </c>
      <c r="AF185" s="32" t="str">
        <f>IF(AE185=0,"",VLOOKUP(AE185,tab_tipo_expansao!$A$2:$B$4,2,0))</f>
        <v>opcional</v>
      </c>
      <c r="AG185" s="125">
        <v>2030</v>
      </c>
      <c r="AH185" s="125">
        <v>2100</v>
      </c>
      <c r="AI185" s="125">
        <v>30</v>
      </c>
      <c r="AJ185" s="530">
        <v>1558.9687832303612</v>
      </c>
      <c r="AK185" s="24">
        <f>AL185/constantes!$B$4</f>
        <v>1207.6603789839346</v>
      </c>
      <c r="AL185" s="33">
        <f t="shared" ref="AL185:AL216" si="48">AJ185/F185*1000</f>
        <v>4709.8754780373447</v>
      </c>
      <c r="AM185" s="87">
        <v>2</v>
      </c>
      <c r="AN185" s="531">
        <v>0</v>
      </c>
      <c r="AO185" s="23"/>
      <c r="AP185" s="532">
        <f t="shared" si="37"/>
        <v>1558.9687832303612</v>
      </c>
      <c r="AR185" s="35">
        <f t="shared" ref="AR185:AR216" si="49">AP185*1000/F185</f>
        <v>4709.8754780373447</v>
      </c>
      <c r="AS185" s="36">
        <f ca="1">OFFSET(cod_desembolso!$A$1,AM185,23)</f>
        <v>1.1245293369208682</v>
      </c>
      <c r="AT185" s="37">
        <f ca="1">IF(AP185=0,0,AP185*(OFFSET(cod_desembolso!$A$1,AM185,23)))</f>
        <v>1753.1061320863707</v>
      </c>
      <c r="AU185" s="38">
        <f>(constantes!$B$3*(1+constantes!$B$3)^(AI185))/((1+constantes!$B$3)^(AI185)-1)</f>
        <v>8.8827433387272267E-2</v>
      </c>
      <c r="AV185" s="37">
        <f t="shared" ca="1" si="39"/>
        <v>172.27391816872066</v>
      </c>
      <c r="AW185" s="37">
        <f ca="1">IF(AP185=0,AY185/constantes!$B$3,AV185/constantes!$B$3)</f>
        <v>2153.4239771090083</v>
      </c>
      <c r="AX185" s="39">
        <f ca="1">IF(AP185=0,0,PV(constantes!$B$3,AI185,-AV185)*constantes!$B$3)</f>
        <v>155.15379571321049</v>
      </c>
      <c r="AY185" s="40">
        <f>constantes!$B$10*F185/1000</f>
        <v>16.55</v>
      </c>
      <c r="AZ185" s="533">
        <f>constantes!$B$12</f>
        <v>0</v>
      </c>
      <c r="BA185" s="20">
        <v>318</v>
      </c>
      <c r="BB185" s="43"/>
      <c r="BC185" s="3" t="s">
        <v>2217</v>
      </c>
      <c r="BE185" s="534">
        <v>1</v>
      </c>
      <c r="BF185" s="535">
        <v>2035</v>
      </c>
      <c r="BG185" s="536">
        <v>3</v>
      </c>
      <c r="BH185" s="537">
        <v>2050</v>
      </c>
    </row>
    <row r="186" spans="1:60" ht="14.45" hidden="1">
      <c r="A186" s="125">
        <v>1161</v>
      </c>
      <c r="B186" s="125">
        <v>1161</v>
      </c>
      <c r="C186" s="538" t="s">
        <v>2431</v>
      </c>
      <c r="D186" s="538" t="s">
        <v>2431</v>
      </c>
      <c r="E186" s="546"/>
      <c r="F186" s="526">
        <v>46.55</v>
      </c>
      <c r="G186" s="3" t="s">
        <v>2196</v>
      </c>
      <c r="H186" s="3" t="s">
        <v>2341</v>
      </c>
      <c r="I186" s="3">
        <v>-51.859470999999999</v>
      </c>
      <c r="J186" s="3">
        <v>-23.927645999999999</v>
      </c>
      <c r="K186" s="539" t="s">
        <v>153</v>
      </c>
      <c r="L186" s="539" t="s">
        <v>153</v>
      </c>
      <c r="M186" s="554">
        <v>2</v>
      </c>
      <c r="N186" s="107"/>
      <c r="O186" s="529">
        <v>2.068E-2</v>
      </c>
      <c r="P186" s="529">
        <v>4.6600000000000003E-2</v>
      </c>
      <c r="Q186" s="288">
        <f t="shared" si="45"/>
        <v>0.56379628919236879</v>
      </c>
      <c r="R186" s="30">
        <f t="shared" si="32"/>
        <v>26.244717261904764</v>
      </c>
      <c r="S186" s="30">
        <f t="shared" si="46"/>
        <v>20.305282738095233</v>
      </c>
      <c r="T186" s="107">
        <v>27.576190476190476</v>
      </c>
      <c r="U186" s="107">
        <v>26.279226190476191</v>
      </c>
      <c r="V186" s="107">
        <v>22.977083333333336</v>
      </c>
      <c r="W186" s="107">
        <v>28.146369047619046</v>
      </c>
      <c r="X186" s="288">
        <f t="shared" si="47"/>
        <v>0.65059644910595815</v>
      </c>
      <c r="Y186" s="289">
        <f t="shared" si="35"/>
        <v>30.285264705882348</v>
      </c>
      <c r="Z186" s="289">
        <f t="shared" si="36"/>
        <v>4.0405474439775837</v>
      </c>
      <c r="AA186" s="107">
        <v>32.97023529411765</v>
      </c>
      <c r="AB186" s="107">
        <v>27.343019607843136</v>
      </c>
      <c r="AC186" s="107">
        <v>28.255333333333329</v>
      </c>
      <c r="AD186" s="107">
        <v>32.572470588235284</v>
      </c>
      <c r="AE186" s="106">
        <v>1</v>
      </c>
      <c r="AF186" s="32" t="str">
        <f>IF(AE186=0,"",VLOOKUP(AE186,tab_tipo_expansao!$A$2:$B$4,2,0))</f>
        <v>opcional</v>
      </c>
      <c r="AG186" s="125">
        <v>2028</v>
      </c>
      <c r="AH186" s="125">
        <v>2100</v>
      </c>
      <c r="AI186" s="125">
        <v>30</v>
      </c>
      <c r="AJ186" s="530">
        <v>456.56259471868611</v>
      </c>
      <c r="AK186" s="24">
        <f>AL186/constantes!$B$4</f>
        <v>2514.8728674360964</v>
      </c>
      <c r="AL186" s="33">
        <f t="shared" si="48"/>
        <v>9808.0041830007758</v>
      </c>
      <c r="AM186" s="87">
        <v>2</v>
      </c>
      <c r="AN186" s="531">
        <v>0</v>
      </c>
      <c r="AO186" s="23"/>
      <c r="AP186" s="532">
        <f t="shared" si="37"/>
        <v>456.56259471868611</v>
      </c>
      <c r="AR186" s="35">
        <f t="shared" si="49"/>
        <v>9808.0041830007776</v>
      </c>
      <c r="AS186" s="36">
        <f ca="1">OFFSET(cod_desembolso!$A$1,AM186,23)</f>
        <v>1.1245293369208682</v>
      </c>
      <c r="AT186" s="37">
        <f ca="1">IF(AP186=0,0,AP186*(OFFSET(cod_desembolso!$A$1,AM186,23)))</f>
        <v>513.41803190187522</v>
      </c>
      <c r="AU186" s="38">
        <f>(constantes!$B$3*(1+constantes!$B$3)^(AI186))/((1+constantes!$B$3)^(AI186)-1)</f>
        <v>8.8827433387272267E-2</v>
      </c>
      <c r="AV186" s="37">
        <f t="shared" ca="1" si="39"/>
        <v>47.933106028588249</v>
      </c>
      <c r="AW186" s="37">
        <f ca="1">IF(AP186=0,AY186/constantes!$B$3,AV186/constantes!$B$3)</f>
        <v>599.16382535735306</v>
      </c>
      <c r="AX186" s="39">
        <f ca="1">IF(AP186=0,0,PV(constantes!$B$3,AI186,-AV186)*constantes!$B$3)</f>
        <v>43.16964181064035</v>
      </c>
      <c r="AY186" s="40">
        <f>constantes!$B$10*F186/1000</f>
        <v>2.3275000000000001</v>
      </c>
      <c r="AZ186" s="533">
        <f>constantes!$B$12</f>
        <v>0</v>
      </c>
      <c r="BA186" s="20">
        <v>318</v>
      </c>
      <c r="BB186" s="43"/>
      <c r="BC186" s="3" t="s">
        <v>2197</v>
      </c>
      <c r="BE186" s="534">
        <v>1</v>
      </c>
      <c r="BF186" s="535">
        <v>2027</v>
      </c>
      <c r="BG186" s="536">
        <v>1</v>
      </c>
      <c r="BH186" s="537">
        <v>2027</v>
      </c>
    </row>
    <row r="187" spans="1:60" ht="14.45">
      <c r="A187" s="125">
        <v>1162</v>
      </c>
      <c r="B187" s="125">
        <v>1162</v>
      </c>
      <c r="C187" s="538" t="s">
        <v>2432</v>
      </c>
      <c r="D187" s="538" t="s">
        <v>2432</v>
      </c>
      <c r="E187" s="546"/>
      <c r="F187" s="526">
        <v>8040</v>
      </c>
      <c r="G187" s="3" t="s">
        <v>2181</v>
      </c>
      <c r="H187" s="3" t="s">
        <v>2264</v>
      </c>
      <c r="I187" s="3">
        <v>-56.284027000000002</v>
      </c>
      <c r="J187" s="3">
        <v>-4.5756649999999999</v>
      </c>
      <c r="K187" s="539" t="s">
        <v>155</v>
      </c>
      <c r="L187" s="539" t="s">
        <v>155</v>
      </c>
      <c r="M187" s="554">
        <v>9</v>
      </c>
      <c r="N187" s="107"/>
      <c r="O187" s="529">
        <v>2.1330000000000002E-2</v>
      </c>
      <c r="P187" s="529">
        <v>3.6880000000000003E-2</v>
      </c>
      <c r="Q187" s="288">
        <f t="shared" si="45"/>
        <v>0.46917872134861405</v>
      </c>
      <c r="R187" s="30">
        <f t="shared" si="32"/>
        <v>3772.1969196428568</v>
      </c>
      <c r="S187" s="30">
        <f t="shared" si="46"/>
        <v>4267.8030803571437</v>
      </c>
      <c r="T187" s="107">
        <v>5904.6166666666659</v>
      </c>
      <c r="U187" s="107">
        <v>5664.5035119047616</v>
      </c>
      <c r="V187" s="107">
        <v>1382.50125</v>
      </c>
      <c r="W187" s="107">
        <v>2137.1662500000002</v>
      </c>
      <c r="X187" s="288">
        <f t="shared" si="47"/>
        <v>0.4372632438298702</v>
      </c>
      <c r="Y187" s="289">
        <f t="shared" si="35"/>
        <v>3515.5964803921565</v>
      </c>
      <c r="Z187" s="289">
        <f t="shared" si="36"/>
        <v>-256.60043925070022</v>
      </c>
      <c r="AA187" s="107">
        <v>5584.3556470588219</v>
      </c>
      <c r="AB187" s="107">
        <v>5098.2280000000001</v>
      </c>
      <c r="AC187" s="107">
        <v>1340.2716078431374</v>
      </c>
      <c r="AD187" s="107">
        <v>2039.5306666666668</v>
      </c>
      <c r="AE187" s="106">
        <v>1</v>
      </c>
      <c r="AF187" s="32" t="str">
        <f>IF(AE187=0,"",VLOOKUP(AE187,tab_tipo_expansao!$A$2:$B$4,2,0))</f>
        <v>opcional</v>
      </c>
      <c r="AG187" s="125">
        <v>2030</v>
      </c>
      <c r="AH187" s="125">
        <v>2100</v>
      </c>
      <c r="AI187" s="125">
        <v>30</v>
      </c>
      <c r="AJ187" s="530">
        <v>31645.542746479408</v>
      </c>
      <c r="AK187" s="24">
        <f>AL187/constantes!$B$4</f>
        <v>1009.2340460032979</v>
      </c>
      <c r="AL187" s="33">
        <f t="shared" si="48"/>
        <v>3936.0127794128616</v>
      </c>
      <c r="AM187" s="87">
        <v>4</v>
      </c>
      <c r="AN187" s="531">
        <v>0</v>
      </c>
      <c r="AO187" s="23"/>
      <c r="AP187" s="532">
        <f t="shared" si="37"/>
        <v>31645.542746479408</v>
      </c>
      <c r="AR187" s="35">
        <f t="shared" si="49"/>
        <v>3936.0127794128616</v>
      </c>
      <c r="AS187" s="36">
        <f ca="1">OFFSET(cod_desembolso!$A$1,AM187,23)</f>
        <v>1.103153897336226</v>
      </c>
      <c r="AT187" s="37">
        <f ca="1">IF(AP187=0,0,AP187*(OFFSET(cod_desembolso!$A$1,AM187,23)))</f>
        <v>34909.9038140989</v>
      </c>
      <c r="AU187" s="38">
        <f>(constantes!$B$3*(1+constantes!$B$3)^(AI187))/((1+constantes!$B$3)^(AI187)-1)</f>
        <v>8.8827433387272267E-2</v>
      </c>
      <c r="AV187" s="37">
        <f t="shared" ca="1" si="39"/>
        <v>3502.9571556029518</v>
      </c>
      <c r="AW187" s="37">
        <f ca="1">IF(AP187=0,AY187/constantes!$B$3,AV187/constantes!$B$3)</f>
        <v>43786.964445036894</v>
      </c>
      <c r="AX187" s="39">
        <f ca="1">IF(AP187=0,0,PV(constantes!$B$3,AI187,-AV187)*constantes!$B$3)</f>
        <v>3154.8426174428919</v>
      </c>
      <c r="AY187" s="40">
        <f>constantes!$B$10*F187/1000</f>
        <v>402</v>
      </c>
      <c r="AZ187" s="533">
        <f>constantes!$B$12</f>
        <v>0</v>
      </c>
      <c r="BA187" s="20">
        <v>318</v>
      </c>
      <c r="BB187" s="43"/>
      <c r="BC187" s="3" t="s">
        <v>2217</v>
      </c>
      <c r="BE187" s="534">
        <v>1</v>
      </c>
      <c r="BF187" s="535">
        <v>2035</v>
      </c>
      <c r="BG187" s="536">
        <v>3</v>
      </c>
      <c r="BH187" s="537">
        <v>2050</v>
      </c>
    </row>
    <row r="188" spans="1:60" ht="14.45" hidden="1">
      <c r="A188" s="125">
        <v>1163</v>
      </c>
      <c r="B188" s="125">
        <v>1163</v>
      </c>
      <c r="C188" s="627" t="s">
        <v>2433</v>
      </c>
      <c r="D188" s="538" t="s">
        <v>2433</v>
      </c>
      <c r="E188" s="546"/>
      <c r="F188" s="526">
        <v>64.5</v>
      </c>
      <c r="G188" s="3" t="s">
        <v>2196</v>
      </c>
      <c r="H188" s="3" t="s">
        <v>2434</v>
      </c>
      <c r="I188" s="3">
        <v>-44.765278000000002</v>
      </c>
      <c r="J188" s="3">
        <v>-21.220977999999999</v>
      </c>
      <c r="K188" s="539" t="s">
        <v>152</v>
      </c>
      <c r="L188" s="539" t="s">
        <v>152</v>
      </c>
      <c r="M188" s="554">
        <v>1</v>
      </c>
      <c r="N188" s="107"/>
      <c r="O188" s="529">
        <v>2.068E-2</v>
      </c>
      <c r="P188" s="529">
        <v>4.6600000000000003E-2</v>
      </c>
      <c r="Q188" s="288">
        <f t="shared" si="45"/>
        <v>0.50864202657807311</v>
      </c>
      <c r="R188" s="30">
        <f t="shared" si="32"/>
        <v>32.807410714285716</v>
      </c>
      <c r="S188" s="30">
        <f t="shared" si="46"/>
        <v>31.692589285714284</v>
      </c>
      <c r="T188" s="107">
        <v>46.591428571428573</v>
      </c>
      <c r="U188" s="107">
        <v>29.337440476190476</v>
      </c>
      <c r="V188" s="107">
        <v>20.935416666666665</v>
      </c>
      <c r="W188" s="107">
        <v>34.365357142857142</v>
      </c>
      <c r="X188" s="288">
        <f t="shared" si="47"/>
        <v>0.53649278005775936</v>
      </c>
      <c r="Y188" s="289">
        <f t="shared" si="35"/>
        <v>34.603784313725477</v>
      </c>
      <c r="Z188" s="289">
        <f t="shared" si="36"/>
        <v>1.7963735994397609</v>
      </c>
      <c r="AA188" s="107">
        <v>49.594705882352891</v>
      </c>
      <c r="AB188" s="107">
        <v>30.600156862745099</v>
      </c>
      <c r="AC188" s="107">
        <v>23.475372549019607</v>
      </c>
      <c r="AD188" s="107">
        <v>34.744901960784311</v>
      </c>
      <c r="AE188" s="106">
        <v>1</v>
      </c>
      <c r="AF188" s="32" t="str">
        <f>IF(AE188=0,"",VLOOKUP(AE188,tab_tipo_expansao!$A$2:$B$4,2,0))</f>
        <v>opcional</v>
      </c>
      <c r="AG188" s="125">
        <v>2025</v>
      </c>
      <c r="AH188" s="125">
        <v>2100</v>
      </c>
      <c r="AI188" s="125">
        <v>30</v>
      </c>
      <c r="AJ188" s="530">
        <v>586.6467489525777</v>
      </c>
      <c r="AK188" s="24">
        <f>AL188/constantes!$B$4</f>
        <v>2332.1278034290508</v>
      </c>
      <c r="AL188" s="33">
        <f t="shared" si="48"/>
        <v>9095.2984333732984</v>
      </c>
      <c r="AM188" s="87">
        <v>2</v>
      </c>
      <c r="AN188" s="531">
        <v>0</v>
      </c>
      <c r="AO188" s="23"/>
      <c r="AP188" s="532">
        <f t="shared" si="37"/>
        <v>586.6467489525777</v>
      </c>
      <c r="AR188" s="35">
        <f t="shared" si="49"/>
        <v>9095.2984333732984</v>
      </c>
      <c r="AS188" s="36">
        <f ca="1">OFFSET(cod_desembolso!$A$1,AM188,23)</f>
        <v>1.1245293369208682</v>
      </c>
      <c r="AT188" s="37">
        <f ca="1">IF(AP188=0,0,AP188*(OFFSET(cod_desembolso!$A$1,AM188,23)))</f>
        <v>659.70147960642521</v>
      </c>
      <c r="AU188" s="38">
        <f>(constantes!$B$3*(1+constantes!$B$3)^(AI188))/((1+constantes!$B$3)^(AI188)-1)</f>
        <v>8.8827433387272267E-2</v>
      </c>
      <c r="AV188" s="37">
        <f t="shared" ca="1" si="39"/>
        <v>61.824589235224693</v>
      </c>
      <c r="AW188" s="37">
        <f ca="1">IF(AP188=0,AY188/constantes!$B$3,AV188/constantes!$B$3)</f>
        <v>772.80736544030867</v>
      </c>
      <c r="AX188" s="39">
        <f ca="1">IF(AP188=0,0,PV(constantes!$B$3,AI188,-AV188)*constantes!$B$3)</f>
        <v>55.680626471040917</v>
      </c>
      <c r="AY188" s="40">
        <f>constantes!$B$10*F188/1000</f>
        <v>3.2250000000000001</v>
      </c>
      <c r="AZ188" s="533">
        <f>constantes!$B$12</f>
        <v>0</v>
      </c>
      <c r="BA188" s="20">
        <v>318</v>
      </c>
      <c r="BB188" s="43"/>
      <c r="BC188" s="3" t="s">
        <v>2209</v>
      </c>
      <c r="BE188" s="534">
        <v>1</v>
      </c>
      <c r="BF188" s="535">
        <v>2025</v>
      </c>
      <c r="BG188" s="536">
        <v>1</v>
      </c>
      <c r="BH188" s="537">
        <v>2025</v>
      </c>
    </row>
    <row r="189" spans="1:60" ht="14.45">
      <c r="A189" s="125">
        <v>1164</v>
      </c>
      <c r="B189" s="125">
        <v>1164</v>
      </c>
      <c r="C189" s="538" t="s">
        <v>2435</v>
      </c>
      <c r="D189" s="538" t="s">
        <v>2435</v>
      </c>
      <c r="E189" s="546"/>
      <c r="F189" s="526">
        <v>3509</v>
      </c>
      <c r="G189" s="3" t="s">
        <v>2181</v>
      </c>
      <c r="H189" s="3" t="s">
        <v>2255</v>
      </c>
      <c r="I189" s="3">
        <v>-58.323306000000002</v>
      </c>
      <c r="J189" s="3">
        <v>-8.2259720000000005</v>
      </c>
      <c r="K189" s="539" t="s">
        <v>156</v>
      </c>
      <c r="L189" s="539" t="s">
        <v>156</v>
      </c>
      <c r="M189" s="554">
        <v>10</v>
      </c>
      <c r="N189" s="540"/>
      <c r="O189" s="529">
        <v>2.1330000000000002E-2</v>
      </c>
      <c r="P189" s="529">
        <v>3.6880000000000003E-2</v>
      </c>
      <c r="Q189" s="288">
        <f t="shared" si="45"/>
        <v>0.53518398268398271</v>
      </c>
      <c r="R189" s="30">
        <f t="shared" si="32"/>
        <v>1877.9605952380953</v>
      </c>
      <c r="S189" s="30">
        <f t="shared" si="46"/>
        <v>1631.0394047619047</v>
      </c>
      <c r="T189" s="107">
        <v>2617.0190476190473</v>
      </c>
      <c r="U189" s="107">
        <v>2463.0903571428571</v>
      </c>
      <c r="V189" s="107">
        <v>1153.2470833333334</v>
      </c>
      <c r="W189" s="107">
        <v>1278.485892857143</v>
      </c>
      <c r="X189" s="288">
        <f t="shared" si="47"/>
        <v>0.5114985052442178</v>
      </c>
      <c r="Y189" s="289">
        <f t="shared" si="35"/>
        <v>1794.8482549019604</v>
      </c>
      <c r="Z189" s="289">
        <f t="shared" si="36"/>
        <v>-83.112340336134821</v>
      </c>
      <c r="AA189" s="107">
        <v>2593.9278823529407</v>
      </c>
      <c r="AB189" s="107">
        <v>2217.2824313725487</v>
      </c>
      <c r="AC189" s="107">
        <v>1067.2225882352943</v>
      </c>
      <c r="AD189" s="107">
        <v>1300.9601176470587</v>
      </c>
      <c r="AE189" s="106">
        <v>1</v>
      </c>
      <c r="AF189" s="32" t="str">
        <f>IF(AE189=0,"",VLOOKUP(AE189,tab_tipo_expansao!$A$2:$B$4,2,0))</f>
        <v>opcional</v>
      </c>
      <c r="AG189" s="125">
        <v>2030</v>
      </c>
      <c r="AH189" s="125">
        <v>2100</v>
      </c>
      <c r="AI189" s="125">
        <v>30</v>
      </c>
      <c r="AJ189" s="530">
        <v>18433.397137572651</v>
      </c>
      <c r="AK189" s="24">
        <f>AL189/constantes!$B$4</f>
        <v>1346.9683917233087</v>
      </c>
      <c r="AL189" s="33">
        <f t="shared" si="48"/>
        <v>5253.1767277209037</v>
      </c>
      <c r="AM189" s="87">
        <v>4</v>
      </c>
      <c r="AN189" s="531">
        <v>0</v>
      </c>
      <c r="AO189" s="23"/>
      <c r="AP189" s="532">
        <f t="shared" si="37"/>
        <v>18433.397137572651</v>
      </c>
      <c r="AR189" s="35">
        <f t="shared" si="49"/>
        <v>5253.1767277209037</v>
      </c>
      <c r="AS189" s="36">
        <f ca="1">OFFSET(cod_desembolso!$A$1,AM189,23)</f>
        <v>1.103153897336226</v>
      </c>
      <c r="AT189" s="37">
        <f ca="1">IF(AP189=0,0,AP189*(OFFSET(cod_desembolso!$A$1,AM189,23)))</f>
        <v>20334.873893459702</v>
      </c>
      <c r="AU189" s="38">
        <f>(constantes!$B$3*(1+constantes!$B$3)^(AI189))/((1+constantes!$B$3)^(AI189)-1)</f>
        <v>8.8827433387272267E-2</v>
      </c>
      <c r="AV189" s="37">
        <f t="shared" ca="1" si="39"/>
        <v>1981.7446562098737</v>
      </c>
      <c r="AW189" s="37">
        <f ca="1">IF(AP189=0,AY189/constantes!$B$3,AV189/constantes!$B$3)</f>
        <v>24771.808202623422</v>
      </c>
      <c r="AX189" s="39">
        <f ca="1">IF(AP189=0,0,PV(constantes!$B$3,AI189,-AV189)*constantes!$B$3)</f>
        <v>1784.8041584809137</v>
      </c>
      <c r="AY189" s="40">
        <f>constantes!$B$10*F189/1000</f>
        <v>175.45</v>
      </c>
      <c r="AZ189" s="533">
        <f>constantes!$B$12</f>
        <v>0</v>
      </c>
      <c r="BA189" s="20">
        <v>318</v>
      </c>
      <c r="BB189" s="43"/>
      <c r="BC189" s="3" t="s">
        <v>2217</v>
      </c>
      <c r="BE189" s="534">
        <v>1</v>
      </c>
      <c r="BF189" s="535">
        <v>2035</v>
      </c>
      <c r="BG189" s="536">
        <v>3</v>
      </c>
      <c r="BH189" s="537">
        <v>2050</v>
      </c>
    </row>
    <row r="190" spans="1:60" ht="14.45" hidden="1">
      <c r="A190" s="125">
        <v>1165</v>
      </c>
      <c r="B190" s="125">
        <v>1165</v>
      </c>
      <c r="C190" s="538" t="s">
        <v>2436</v>
      </c>
      <c r="D190" s="538" t="s">
        <v>2436</v>
      </c>
      <c r="E190" s="546"/>
      <c r="F190" s="526">
        <v>61.4</v>
      </c>
      <c r="G190" s="3" t="s">
        <v>2097</v>
      </c>
      <c r="H190" s="3" t="s">
        <v>2202</v>
      </c>
      <c r="I190" s="3">
        <v>-52.606102</v>
      </c>
      <c r="J190" s="3">
        <v>-26.675001000000002</v>
      </c>
      <c r="K190" s="539" t="s">
        <v>1991</v>
      </c>
      <c r="L190" s="539" t="s">
        <v>1991</v>
      </c>
      <c r="M190" s="554">
        <v>2</v>
      </c>
      <c r="N190" s="540"/>
      <c r="O190" s="529">
        <v>1.9820000000000001E-2</v>
      </c>
      <c r="P190" s="529">
        <v>5.2919999999999995E-2</v>
      </c>
      <c r="Q190" s="288">
        <f t="shared" si="45"/>
        <v>0.51761962928493876</v>
      </c>
      <c r="R190" s="30">
        <f t="shared" si="32"/>
        <v>31.78184523809524</v>
      </c>
      <c r="S190" s="30">
        <f t="shared" si="46"/>
        <v>29.618154761904758</v>
      </c>
      <c r="T190" s="107">
        <v>22.373809523809523</v>
      </c>
      <c r="U190" s="107">
        <v>33.022261904761905</v>
      </c>
      <c r="V190" s="107">
        <v>36.51</v>
      </c>
      <c r="W190" s="107">
        <v>35.221309523809524</v>
      </c>
      <c r="X190" s="288">
        <f t="shared" si="47"/>
        <v>0.6113572204125951</v>
      </c>
      <c r="Y190" s="289">
        <f t="shared" si="35"/>
        <v>37.537333333333336</v>
      </c>
      <c r="Z190" s="289">
        <f t="shared" si="36"/>
        <v>5.7554880952380962</v>
      </c>
      <c r="AA190" s="107">
        <v>30.087019607843157</v>
      </c>
      <c r="AB190" s="107">
        <v>36.450941176470579</v>
      </c>
      <c r="AC190" s="107">
        <v>43.299019607843128</v>
      </c>
      <c r="AD190" s="107">
        <v>40.312352941176471</v>
      </c>
      <c r="AE190" s="106">
        <v>1</v>
      </c>
      <c r="AF190" s="32" t="str">
        <f>IF(AE190=0,"",VLOOKUP(AE190,tab_tipo_expansao!$A$2:$B$4,2,0))</f>
        <v>opcional</v>
      </c>
      <c r="AG190" s="125">
        <v>2028</v>
      </c>
      <c r="AH190" s="125">
        <v>2100</v>
      </c>
      <c r="AI190" s="125">
        <v>30</v>
      </c>
      <c r="AJ190" s="530">
        <v>548.55725259341693</v>
      </c>
      <c r="AK190" s="24">
        <f>AL190/constantes!$B$4</f>
        <v>2290.8095406056</v>
      </c>
      <c r="AL190" s="33">
        <f t="shared" si="48"/>
        <v>8934.1572083618394</v>
      </c>
      <c r="AM190" s="87">
        <v>2</v>
      </c>
      <c r="AN190" s="531">
        <v>0</v>
      </c>
      <c r="AO190" s="23"/>
      <c r="AP190" s="532">
        <f t="shared" si="37"/>
        <v>548.55725259341693</v>
      </c>
      <c r="AR190" s="35">
        <f t="shared" si="49"/>
        <v>8934.1572083618394</v>
      </c>
      <c r="AS190" s="36">
        <f ca="1">OFFSET(cod_desembolso!$A$1,AM190,23)</f>
        <v>1.1245293369208682</v>
      </c>
      <c r="AT190" s="37">
        <f ca="1">IF(AP190=0,0,AP190*(OFFSET(cod_desembolso!$A$1,AM190,23)))</f>
        <v>616.86872352200839</v>
      </c>
      <c r="AU190" s="38">
        <f>(constantes!$B$3*(1+constantes!$B$3)^(AI190))/((1+constantes!$B$3)^(AI190)-1)</f>
        <v>8.8827433387272267E-2</v>
      </c>
      <c r="AV190" s="37">
        <f t="shared" ca="1" si="39"/>
        <v>57.864865447342872</v>
      </c>
      <c r="AW190" s="37">
        <f ca="1">IF(AP190=0,AY190/constantes!$B$3,AV190/constantes!$B$3)</f>
        <v>723.3108180917859</v>
      </c>
      <c r="AX190" s="39">
        <f ca="1">IF(AP190=0,0,PV(constantes!$B$3,AI190,-AV190)*constantes!$B$3)</f>
        <v>52.114409470832783</v>
      </c>
      <c r="AY190" s="40">
        <f>constantes!$B$10*F190/1000</f>
        <v>3.07</v>
      </c>
      <c r="AZ190" s="533">
        <f>constantes!$B$12</f>
        <v>0</v>
      </c>
      <c r="BA190" s="20">
        <v>318</v>
      </c>
      <c r="BB190" s="43"/>
      <c r="BC190" s="3" t="s">
        <v>2209</v>
      </c>
      <c r="BE190" s="534">
        <v>1</v>
      </c>
      <c r="BF190" s="535">
        <v>2026</v>
      </c>
      <c r="BG190" s="536">
        <v>1</v>
      </c>
      <c r="BH190" s="537">
        <v>2026</v>
      </c>
    </row>
    <row r="191" spans="1:60" ht="14.45" hidden="1">
      <c r="A191" s="125">
        <v>1166</v>
      </c>
      <c r="B191" s="125">
        <v>1166</v>
      </c>
      <c r="C191" s="538" t="s">
        <v>2437</v>
      </c>
      <c r="D191" s="538" t="s">
        <v>2437</v>
      </c>
      <c r="E191" s="546"/>
      <c r="F191" s="526">
        <v>37.909999999999997</v>
      </c>
      <c r="G191" s="3" t="s">
        <v>2196</v>
      </c>
      <c r="H191" s="3" t="s">
        <v>2127</v>
      </c>
      <c r="I191" s="3">
        <v>-52.325333000000001</v>
      </c>
      <c r="J191" s="3">
        <v>-17.862704000000001</v>
      </c>
      <c r="K191" s="539" t="s">
        <v>2005</v>
      </c>
      <c r="L191" s="539" t="s">
        <v>2005</v>
      </c>
      <c r="M191" s="554">
        <v>1</v>
      </c>
      <c r="N191" s="540"/>
      <c r="O191" s="529">
        <v>2.068E-2</v>
      </c>
      <c r="P191" s="529">
        <v>4.6600000000000003E-2</v>
      </c>
      <c r="Q191" s="288">
        <f t="shared" si="45"/>
        <v>0.55288135433545615</v>
      </c>
      <c r="R191" s="30">
        <f t="shared" si="32"/>
        <v>20.959732142857142</v>
      </c>
      <c r="S191" s="30">
        <f t="shared" si="46"/>
        <v>16.950267857142855</v>
      </c>
      <c r="T191" s="107">
        <v>21.484761904761907</v>
      </c>
      <c r="U191" s="107">
        <v>18.734107142857141</v>
      </c>
      <c r="V191" s="107">
        <v>22.547499999999999</v>
      </c>
      <c r="W191" s="107">
        <v>21.07255952380952</v>
      </c>
      <c r="X191" s="288">
        <f t="shared" si="47"/>
        <v>0.65668973471741665</v>
      </c>
      <c r="Y191" s="289">
        <f t="shared" si="35"/>
        <v>24.895107843137264</v>
      </c>
      <c r="Z191" s="289">
        <f t="shared" si="36"/>
        <v>3.9353757002801224</v>
      </c>
      <c r="AA191" s="107">
        <v>28.252509803921594</v>
      </c>
      <c r="AB191" s="107">
        <v>24.287529411764719</v>
      </c>
      <c r="AC191" s="107">
        <v>22.893960784313723</v>
      </c>
      <c r="AD191" s="107">
        <v>24.146431372549017</v>
      </c>
      <c r="AE191" s="106">
        <v>1</v>
      </c>
      <c r="AF191" s="32" t="str">
        <f>IF(AE191=0,"",VLOOKUP(AE191,tab_tipo_expansao!$A$2:$B$4,2,0))</f>
        <v>opcional</v>
      </c>
      <c r="AG191" s="125">
        <v>2028</v>
      </c>
      <c r="AH191" s="125">
        <v>2100</v>
      </c>
      <c r="AI191" s="125">
        <v>30</v>
      </c>
      <c r="AJ191" s="530">
        <v>772.91053013951569</v>
      </c>
      <c r="AK191" s="24">
        <f>AL191/constantes!$B$4</f>
        <v>5227.7021159393425</v>
      </c>
      <c r="AL191" s="33">
        <f t="shared" si="48"/>
        <v>20388.038252163435</v>
      </c>
      <c r="AM191" s="87">
        <v>2</v>
      </c>
      <c r="AN191" s="531">
        <v>0</v>
      </c>
      <c r="AO191" s="23"/>
      <c r="AP191" s="532">
        <f t="shared" si="37"/>
        <v>772.91053013951569</v>
      </c>
      <c r="AR191" s="35">
        <f t="shared" si="49"/>
        <v>20388.038252163431</v>
      </c>
      <c r="AS191" s="36">
        <f ca="1">OFFSET(cod_desembolso!$A$1,AM191,23)</f>
        <v>1.1245293369208682</v>
      </c>
      <c r="AT191" s="37">
        <f ca="1">IF(AP191=0,0,AP191*(OFFSET(cod_desembolso!$A$1,AM191,23)))</f>
        <v>869.16056595694624</v>
      </c>
      <c r="AU191" s="38">
        <f>(constantes!$B$3*(1+constantes!$B$3)^(AI191))/((1+constantes!$B$3)^(AI191)-1)</f>
        <v>8.8827433387272267E-2</v>
      </c>
      <c r="AV191" s="37">
        <f t="shared" ca="1" si="39"/>
        <v>79.10080227538451</v>
      </c>
      <c r="AW191" s="37">
        <f ca="1">IF(AP191=0,AY191/constantes!$B$3,AV191/constantes!$B$3)</f>
        <v>988.76002844230641</v>
      </c>
      <c r="AX191" s="39">
        <f ca="1">IF(AP191=0,0,PV(constantes!$B$3,AI191,-AV191)*constantes!$B$3)</f>
        <v>71.239975542707541</v>
      </c>
      <c r="AY191" s="40">
        <f>constantes!$B$10*F191/1000</f>
        <v>1.8954999999999997</v>
      </c>
      <c r="AZ191" s="533">
        <f>constantes!$B$12</f>
        <v>0</v>
      </c>
      <c r="BA191" s="20">
        <v>318</v>
      </c>
      <c r="BB191" s="43"/>
      <c r="BC191" s="3" t="s">
        <v>2197</v>
      </c>
      <c r="BE191" s="534">
        <v>1</v>
      </c>
      <c r="BF191" s="535">
        <v>2027</v>
      </c>
      <c r="BG191" s="536">
        <v>1</v>
      </c>
      <c r="BH191" s="537">
        <v>2027</v>
      </c>
    </row>
    <row r="192" spans="1:60" ht="14.45">
      <c r="A192" s="125">
        <v>1167</v>
      </c>
      <c r="B192" s="125">
        <v>1167</v>
      </c>
      <c r="C192" s="538" t="s">
        <v>2438</v>
      </c>
      <c r="D192" s="538" t="s">
        <v>2438</v>
      </c>
      <c r="E192" s="546"/>
      <c r="F192" s="526">
        <v>1328</v>
      </c>
      <c r="G192" s="3" t="s">
        <v>2199</v>
      </c>
      <c r="H192" s="3" t="s">
        <v>2318</v>
      </c>
      <c r="I192" s="3">
        <v>-47.489593999999997</v>
      </c>
      <c r="J192" s="3">
        <v>-5.6981789999999997</v>
      </c>
      <c r="K192" s="539" t="s">
        <v>1983</v>
      </c>
      <c r="L192" s="539" t="s">
        <v>1983</v>
      </c>
      <c r="M192" s="554">
        <v>4</v>
      </c>
      <c r="N192" s="540"/>
      <c r="O192" s="529">
        <v>1.6379999999999999E-2</v>
      </c>
      <c r="P192" s="529">
        <v>6.1409999999999999E-2</v>
      </c>
      <c r="Q192" s="288">
        <f t="shared" si="45"/>
        <v>0.58071010604919682</v>
      </c>
      <c r="R192" s="30">
        <f t="shared" si="32"/>
        <v>771.18302083333333</v>
      </c>
      <c r="S192" s="30">
        <f t="shared" si="46"/>
        <v>556.81697916666667</v>
      </c>
      <c r="T192" s="107">
        <v>994.13714285714286</v>
      </c>
      <c r="U192" s="107">
        <v>853.49404761904771</v>
      </c>
      <c r="V192" s="107">
        <v>540.68166666666662</v>
      </c>
      <c r="W192" s="107">
        <v>696.41922619047625</v>
      </c>
      <c r="X192" s="288">
        <f t="shared" si="47"/>
        <v>0.58737039333805818</v>
      </c>
      <c r="Y192" s="289">
        <f t="shared" si="35"/>
        <v>780.02788235294133</v>
      </c>
      <c r="Z192" s="289">
        <f t="shared" si="36"/>
        <v>8.8448615196080027</v>
      </c>
      <c r="AA192" s="107">
        <v>1056.7873725490197</v>
      </c>
      <c r="AB192" s="107">
        <v>886.88298039215681</v>
      </c>
      <c r="AC192" s="107">
        <v>498.09776470588241</v>
      </c>
      <c r="AD192" s="107">
        <v>678.34341176470605</v>
      </c>
      <c r="AE192" s="106">
        <v>1</v>
      </c>
      <c r="AF192" s="32" t="str">
        <f>IF(AE192=0,"",VLOOKUP(AE192,tab_tipo_expansao!$A$2:$B$4,2,0))</f>
        <v>opcional</v>
      </c>
      <c r="AG192" s="125">
        <v>2030</v>
      </c>
      <c r="AH192" s="125">
        <v>2100</v>
      </c>
      <c r="AI192" s="125">
        <v>30</v>
      </c>
      <c r="AJ192" s="530">
        <v>7447.1149581533255</v>
      </c>
      <c r="AK192" s="24">
        <f>AL192/constantes!$B$4</f>
        <v>1437.8890481451431</v>
      </c>
      <c r="AL192" s="33">
        <f t="shared" si="48"/>
        <v>5607.767287766058</v>
      </c>
      <c r="AM192" s="87">
        <v>4</v>
      </c>
      <c r="AN192" s="531">
        <v>0</v>
      </c>
      <c r="AO192" s="23"/>
      <c r="AP192" s="532">
        <f t="shared" si="37"/>
        <v>7447.1149581533255</v>
      </c>
      <c r="AR192" s="35">
        <f t="shared" si="49"/>
        <v>5607.767287766058</v>
      </c>
      <c r="AS192" s="36">
        <f ca="1">OFFSET(cod_desembolso!$A$1,AM192,23)</f>
        <v>1.103153897336226</v>
      </c>
      <c r="AT192" s="37">
        <f ca="1">IF(AP192=0,0,AP192*(OFFSET(cod_desembolso!$A$1,AM192,23)))</f>
        <v>8215.3138899977475</v>
      </c>
      <c r="AU192" s="38">
        <f>(constantes!$B$3*(1+constantes!$B$3)^(AI192))/((1+constantes!$B$3)^(AI192)-1)</f>
        <v>8.8827433387272267E-2</v>
      </c>
      <c r="AV192" s="37">
        <f t="shared" ca="1" si="39"/>
        <v>796.14524731930749</v>
      </c>
      <c r="AW192" s="37">
        <f ca="1">IF(AP192=0,AY192/constantes!$B$3,AV192/constantes!$B$3)</f>
        <v>9951.8155914913441</v>
      </c>
      <c r="AX192" s="39">
        <f ca="1">IF(AP192=0,0,PV(constantes!$B$3,AI192,-AV192)*constantes!$B$3)</f>
        <v>717.02645631851294</v>
      </c>
      <c r="AY192" s="40">
        <f>constantes!$B$10*F192/1000</f>
        <v>66.400000000000006</v>
      </c>
      <c r="AZ192" s="533">
        <f>constantes!$B$12</f>
        <v>0</v>
      </c>
      <c r="BA192" s="20">
        <v>318</v>
      </c>
      <c r="BB192" s="43"/>
      <c r="BC192" s="3" t="s">
        <v>2217</v>
      </c>
      <c r="BE192" s="534">
        <v>1</v>
      </c>
      <c r="BF192" s="535">
        <v>2035</v>
      </c>
      <c r="BG192" s="536">
        <v>3</v>
      </c>
      <c r="BH192" s="537">
        <v>2050</v>
      </c>
    </row>
    <row r="193" spans="1:60" ht="14.45">
      <c r="A193" s="125">
        <v>1168</v>
      </c>
      <c r="B193" s="125">
        <v>1168</v>
      </c>
      <c r="C193" s="538" t="s">
        <v>2439</v>
      </c>
      <c r="D193" s="538" t="s">
        <v>2439</v>
      </c>
      <c r="E193" s="546"/>
      <c r="F193" s="526">
        <v>38</v>
      </c>
      <c r="G193" s="3" t="s">
        <v>2440</v>
      </c>
      <c r="H193" s="3" t="s">
        <v>2441</v>
      </c>
      <c r="I193" s="3">
        <v>-54.614687000000004</v>
      </c>
      <c r="J193" s="3">
        <v>-18.663208999999998</v>
      </c>
      <c r="K193" s="539" t="s">
        <v>2092</v>
      </c>
      <c r="L193" s="539" t="s">
        <v>2092</v>
      </c>
      <c r="M193" s="554">
        <v>2</v>
      </c>
      <c r="N193" s="540"/>
      <c r="O193" s="529">
        <v>2.068E-2</v>
      </c>
      <c r="P193" s="529">
        <v>4.6600000000000003E-2</v>
      </c>
      <c r="Q193" s="288">
        <f t="shared" si="45"/>
        <v>0.54119008458646611</v>
      </c>
      <c r="R193" s="30">
        <f t="shared" si="32"/>
        <v>20.565223214285712</v>
      </c>
      <c r="S193" s="30">
        <f t="shared" si="46"/>
        <v>17.434776785714288</v>
      </c>
      <c r="T193" s="107">
        <v>25.837142857142855</v>
      </c>
      <c r="U193" s="107">
        <v>21.84136904761905</v>
      </c>
      <c r="V193" s="107">
        <v>15.860833333333332</v>
      </c>
      <c r="W193" s="107">
        <v>18.721547619047616</v>
      </c>
      <c r="X193" s="288">
        <f t="shared" si="47"/>
        <v>0.65361068111455123</v>
      </c>
      <c r="Y193" s="289">
        <f t="shared" si="35"/>
        <v>24.837205882352947</v>
      </c>
      <c r="Z193" s="289">
        <f t="shared" si="36"/>
        <v>4.2719826680672348</v>
      </c>
      <c r="AA193" s="107">
        <v>31.481058823529413</v>
      </c>
      <c r="AB193" s="107">
        <v>24.872980392156865</v>
      </c>
      <c r="AC193" s="107">
        <v>18.699764705882355</v>
      </c>
      <c r="AD193" s="107">
        <v>24.295019607843155</v>
      </c>
      <c r="AE193" s="106">
        <v>1</v>
      </c>
      <c r="AF193" s="32" t="str">
        <f>IF(AE193=0,"",VLOOKUP(AE193,tab_tipo_expansao!$A$2:$B$4,2,0))</f>
        <v>opcional</v>
      </c>
      <c r="AG193" s="125">
        <v>2030</v>
      </c>
      <c r="AH193" s="125">
        <v>2100</v>
      </c>
      <c r="AI193" s="125">
        <v>30</v>
      </c>
      <c r="AJ193" s="530">
        <v>380</v>
      </c>
      <c r="AK193" s="24">
        <f>AL193/constantes!$B$4</f>
        <v>2564.102564102564</v>
      </c>
      <c r="AL193" s="33">
        <f t="shared" si="48"/>
        <v>10000</v>
      </c>
      <c r="AM193" s="87">
        <v>2</v>
      </c>
      <c r="AN193" s="531">
        <v>0</v>
      </c>
      <c r="AO193" s="23"/>
      <c r="AP193" s="532">
        <f t="shared" si="37"/>
        <v>380</v>
      </c>
      <c r="AR193" s="35">
        <f t="shared" si="49"/>
        <v>10000</v>
      </c>
      <c r="AS193" s="36">
        <f ca="1">OFFSET(cod_desembolso!$A$1,AM193,23)</f>
        <v>1.1245293369208682</v>
      </c>
      <c r="AT193" s="37">
        <f ca="1">IF(AP193=0,0,AP193*(OFFSET(cod_desembolso!$A$1,AM193,23)))</f>
        <v>427.32114802992993</v>
      </c>
      <c r="AU193" s="38">
        <f>(constantes!$B$3*(1+constantes!$B$3)^(AI193))/((1+constantes!$B$3)^(AI193)-1)</f>
        <v>8.8827433387272267E-2</v>
      </c>
      <c r="AV193" s="37">
        <f t="shared" ca="1" si="39"/>
        <v>39.857840811601314</v>
      </c>
      <c r="AW193" s="37">
        <f ca="1">IF(AP193=0,AY193/constantes!$B$3,AV193/constantes!$B$3)</f>
        <v>498.22301014501642</v>
      </c>
      <c r="AX193" s="39">
        <f ca="1">IF(AP193=0,0,PV(constantes!$B$3,AI193,-AV193)*constantes!$B$3)</f>
        <v>35.896874910549776</v>
      </c>
      <c r="AY193" s="40">
        <f>constantes!$B$10*F193/1000</f>
        <v>1.9</v>
      </c>
      <c r="AZ193" s="533">
        <f>constantes!$B$12</f>
        <v>0</v>
      </c>
      <c r="BA193" s="20">
        <v>318</v>
      </c>
      <c r="BB193" s="43"/>
      <c r="BC193" s="3" t="s">
        <v>2183</v>
      </c>
      <c r="BE193" s="534">
        <v>1</v>
      </c>
      <c r="BF193" s="535">
        <v>2027</v>
      </c>
      <c r="BG193" s="536">
        <v>1</v>
      </c>
      <c r="BH193" s="537">
        <v>2027</v>
      </c>
    </row>
    <row r="194" spans="1:60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46"/>
      <c r="F194" s="526">
        <v>458.2</v>
      </c>
      <c r="G194" s="3" t="s">
        <v>2181</v>
      </c>
      <c r="H194" s="3" t="s">
        <v>2313</v>
      </c>
      <c r="I194" s="3">
        <v>-60.196668000000003</v>
      </c>
      <c r="J194" s="3">
        <v>-7.912223</v>
      </c>
      <c r="K194" s="549" t="s">
        <v>156</v>
      </c>
      <c r="L194" s="549" t="s">
        <v>156</v>
      </c>
      <c r="M194" s="554">
        <v>7</v>
      </c>
      <c r="N194" s="540"/>
      <c r="O194" s="529">
        <v>1.6379999999999999E-2</v>
      </c>
      <c r="P194" s="529">
        <v>6.1409999999999999E-2</v>
      </c>
      <c r="Q194" s="288">
        <f t="shared" si="45"/>
        <v>0.51757965953731999</v>
      </c>
      <c r="R194" s="30">
        <f t="shared" ref="R194:R216" si="50">AVERAGE(T194:W194)</f>
        <v>237.15500000000003</v>
      </c>
      <c r="S194" s="30">
        <f t="shared" si="46"/>
        <v>221.04499999999996</v>
      </c>
      <c r="T194" s="107">
        <v>396.5109523809524</v>
      </c>
      <c r="U194" s="107">
        <v>332.01154761904758</v>
      </c>
      <c r="V194" s="107">
        <v>83.305416666666673</v>
      </c>
      <c r="W194" s="107">
        <v>136.79208333333335</v>
      </c>
      <c r="X194" s="288">
        <f t="shared" si="47"/>
        <v>0.50526638765501841</v>
      </c>
      <c r="Y194" s="289">
        <f t="shared" ref="Y194:Y216" si="51">AVERAGE(AA194:AD194)</f>
        <v>231.51305882352943</v>
      </c>
      <c r="Z194" s="289">
        <f t="shared" ref="Z194:Z216" si="52">Y194-R194</f>
        <v>-5.6419411764705956</v>
      </c>
      <c r="AA194" s="107">
        <v>397.93678431372547</v>
      </c>
      <c r="AB194" s="107">
        <v>329.6449411764707</v>
      </c>
      <c r="AC194" s="107">
        <v>71.439411764705866</v>
      </c>
      <c r="AD194" s="107">
        <v>127.03109803921569</v>
      </c>
      <c r="AE194" s="106">
        <v>1</v>
      </c>
      <c r="AF194" s="32" t="str">
        <f>IF(AE194=0,"",VLOOKUP(AE194,tab_tipo_expansao!$A$2:$B$4,2,0))</f>
        <v>opcional</v>
      </c>
      <c r="AG194" s="125">
        <v>2030</v>
      </c>
      <c r="AH194" s="125">
        <v>2100</v>
      </c>
      <c r="AI194" s="125">
        <v>30</v>
      </c>
      <c r="AJ194" s="530">
        <v>3383.8399115177463</v>
      </c>
      <c r="AK194" s="24">
        <f>AL194/constantes!$B$4</f>
        <v>1893.6081609854314</v>
      </c>
      <c r="AL194" s="33">
        <f t="shared" si="48"/>
        <v>7385.0718278431823</v>
      </c>
      <c r="AM194" s="87">
        <v>3</v>
      </c>
      <c r="AN194" s="531">
        <v>0</v>
      </c>
      <c r="AO194" s="23"/>
      <c r="AP194" s="532">
        <f t="shared" ref="AP194:AP216" si="53">AJ194+AN194+AO194</f>
        <v>3383.8399115177463</v>
      </c>
      <c r="AR194" s="35">
        <f t="shared" si="49"/>
        <v>7385.0718278431832</v>
      </c>
      <c r="AS194" s="36">
        <f ca="1">OFFSET(cod_desembolso!$A$1,AM194,23)</f>
        <v>1.1255071012622904</v>
      </c>
      <c r="AT194" s="37">
        <f ca="1">IF(AP194=0,0,AP194*(OFFSET(cod_desembolso!$A$1,AM194,23)))</f>
        <v>3808.5358499479839</v>
      </c>
      <c r="AU194" s="38">
        <f>(constantes!$B$3*(1+constantes!$B$3)^(AI194))/((1+constantes!$B$3)^(AI194)-1)</f>
        <v>8.8827433387272267E-2</v>
      </c>
      <c r="AV194" s="37">
        <f t="shared" ref="AV194:AV216" ca="1" si="54">IF(AND(AP194=0,AY194=0),0,AT194*AU194+AY194)</f>
        <v>361.21246451429295</v>
      </c>
      <c r="AW194" s="37">
        <f ca="1">IF(AP194=0,AY194/constantes!$B$3,AV194/constantes!$B$3)</f>
        <v>4515.1558064286619</v>
      </c>
      <c r="AX194" s="39">
        <f ca="1">IF(AP194=0,0,PV(constantes!$B$3,AI194,-AV194)*constantes!$B$3)</f>
        <v>325.31613330712281</v>
      </c>
      <c r="AY194" s="40">
        <f>constantes!$B$10*F194/1000</f>
        <v>22.91</v>
      </c>
      <c r="AZ194" s="533">
        <f>constantes!$B$12</f>
        <v>0</v>
      </c>
      <c r="BA194" s="20">
        <v>318</v>
      </c>
      <c r="BB194" s="43"/>
      <c r="BC194" s="3" t="s">
        <v>2185</v>
      </c>
      <c r="BE194" s="534">
        <v>1</v>
      </c>
      <c r="BF194" s="535">
        <v>2030</v>
      </c>
      <c r="BG194" s="536">
        <v>1</v>
      </c>
      <c r="BH194" s="537">
        <v>2030</v>
      </c>
    </row>
    <row r="195" spans="1:60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46"/>
      <c r="F195" s="526">
        <v>34</v>
      </c>
      <c r="G195" s="3" t="s">
        <v>2181</v>
      </c>
      <c r="H195" s="3" t="s">
        <v>2204</v>
      </c>
      <c r="I195" s="3">
        <v>-55.235255000000002</v>
      </c>
      <c r="J195" s="3">
        <v>-4.0977379999999997</v>
      </c>
      <c r="K195" s="549" t="s">
        <v>155</v>
      </c>
      <c r="L195" s="549" t="s">
        <v>155</v>
      </c>
      <c r="M195" s="554">
        <v>9</v>
      </c>
      <c r="N195" s="540"/>
      <c r="O195" s="529">
        <v>2.068E-2</v>
      </c>
      <c r="P195" s="529">
        <v>4.6600000000000003E-2</v>
      </c>
      <c r="Q195" s="288">
        <f t="shared" si="45"/>
        <v>0.47693555361105217</v>
      </c>
      <c r="R195" s="30">
        <f t="shared" si="50"/>
        <v>16.215808822775774</v>
      </c>
      <c r="S195" s="30">
        <f t="shared" si="46"/>
        <v>17.784191177224226</v>
      </c>
      <c r="T195" s="107">
        <v>22.092234436917181</v>
      </c>
      <c r="U195" s="107">
        <v>25.088147928215587</v>
      </c>
      <c r="V195" s="107">
        <v>9.5937046285558498</v>
      </c>
      <c r="W195" s="107">
        <v>8.0891482974144804</v>
      </c>
      <c r="X195" s="288">
        <f t="shared" si="47"/>
        <v>0.49042921298242015</v>
      </c>
      <c r="Y195" s="289">
        <f t="shared" si="51"/>
        <v>16.674593241402285</v>
      </c>
      <c r="Z195" s="289">
        <f t="shared" si="52"/>
        <v>0.45878441862651087</v>
      </c>
      <c r="AA195" s="107">
        <v>24.528533499263194</v>
      </c>
      <c r="AB195" s="107">
        <v>24.653261178197624</v>
      </c>
      <c r="AC195" s="107">
        <v>9.0530573749427656</v>
      </c>
      <c r="AD195" s="107">
        <v>8.4635209132055547</v>
      </c>
      <c r="AE195" s="106">
        <v>1</v>
      </c>
      <c r="AF195" s="32" t="str">
        <f>IF(AE195=0,"",VLOOKUP(AE195,tab_tipo_expansao!$A$2:$B$4,2,0))</f>
        <v>opcional</v>
      </c>
      <c r="AG195" s="125">
        <v>2030</v>
      </c>
      <c r="AH195" s="125">
        <v>2100</v>
      </c>
      <c r="AI195" s="125">
        <v>30</v>
      </c>
      <c r="AJ195" s="530">
        <v>293.47367837390738</v>
      </c>
      <c r="AK195" s="24">
        <f>AL195/constantes!$B$4</f>
        <v>2213.2253271033737</v>
      </c>
      <c r="AL195" s="33">
        <f t="shared" si="48"/>
        <v>8631.5787757031576</v>
      </c>
      <c r="AM195" s="87">
        <v>2</v>
      </c>
      <c r="AN195" s="531">
        <v>0</v>
      </c>
      <c r="AO195" s="23"/>
      <c r="AP195" s="532">
        <f t="shared" si="53"/>
        <v>293.47367837390738</v>
      </c>
      <c r="AR195" s="35">
        <f t="shared" si="49"/>
        <v>8631.5787757031594</v>
      </c>
      <c r="AS195" s="36">
        <f ca="1">OFFSET(cod_desembolso!$A$1,AM195,23)</f>
        <v>1.1245293369208682</v>
      </c>
      <c r="AT195" s="37">
        <f ca="1">IF(AP195=0,0,AP195*(OFFSET(cod_desembolso!$A$1,AM195,23)))</f>
        <v>330.01976094553822</v>
      </c>
      <c r="AU195" s="38">
        <f>(constantes!$B$3*(1+constantes!$B$3)^(AI195))/((1+constantes!$B$3)^(AI195)-1)</f>
        <v>8.8827433387272267E-2</v>
      </c>
      <c r="AV195" s="37">
        <f t="shared" ca="1" si="54"/>
        <v>31.014808331873315</v>
      </c>
      <c r="AW195" s="37">
        <f ca="1">IF(AP195=0,AY195/constantes!$B$3,AV195/constantes!$B$3)</f>
        <v>387.68510414841643</v>
      </c>
      <c r="AX195" s="39">
        <f ca="1">IF(AP195=0,0,PV(constantes!$B$3,AI195,-AV195)*constantes!$B$3)</f>
        <v>27.932639410308397</v>
      </c>
      <c r="AY195" s="40">
        <f>constantes!$B$10*F195/1000</f>
        <v>1.7</v>
      </c>
      <c r="AZ195" s="533">
        <f>constantes!$B$12</f>
        <v>0</v>
      </c>
      <c r="BA195" s="20">
        <v>318</v>
      </c>
      <c r="BB195" s="43"/>
      <c r="BC195" s="3" t="s">
        <v>2183</v>
      </c>
      <c r="BE195" s="534">
        <v>1</v>
      </c>
      <c r="BF195" s="535">
        <v>2027</v>
      </c>
      <c r="BG195" s="536">
        <v>1</v>
      </c>
      <c r="BH195" s="537">
        <v>2027</v>
      </c>
    </row>
    <row r="196" spans="1:60" ht="13.15" hidden="1" customHeight="1">
      <c r="A196" s="125">
        <v>1171</v>
      </c>
      <c r="B196" s="125">
        <v>1171</v>
      </c>
      <c r="C196" s="641" t="s">
        <v>2444</v>
      </c>
      <c r="D196" s="642" t="s">
        <v>2444</v>
      </c>
      <c r="E196" s="642"/>
      <c r="F196" s="526">
        <v>400</v>
      </c>
      <c r="G196" s="3" t="s">
        <v>2181</v>
      </c>
      <c r="H196" s="3" t="s">
        <v>2445</v>
      </c>
      <c r="I196" s="3">
        <v>-62.174236999999998</v>
      </c>
      <c r="J196" s="3">
        <v>-8.9072820000000004</v>
      </c>
      <c r="K196" s="643" t="s">
        <v>2068</v>
      </c>
      <c r="L196" s="643" t="s">
        <v>2068</v>
      </c>
      <c r="M196" s="554">
        <v>7</v>
      </c>
      <c r="N196" s="540"/>
      <c r="O196" s="529">
        <v>1.6379999999999999E-2</v>
      </c>
      <c r="P196" s="529">
        <v>6.1409999999999999E-2</v>
      </c>
      <c r="Q196" s="288">
        <f t="shared" si="45"/>
        <v>0.532119300920186</v>
      </c>
      <c r="R196" s="30">
        <f t="shared" si="50"/>
        <v>212.84772036807439</v>
      </c>
      <c r="S196" s="30">
        <f t="shared" si="46"/>
        <v>187.15227963192561</v>
      </c>
      <c r="T196" s="107">
        <v>266.73414957837286</v>
      </c>
      <c r="U196" s="107">
        <v>234.15205110636006</v>
      </c>
      <c r="V196" s="107">
        <v>166.09614225323787</v>
      </c>
      <c r="W196" s="107">
        <v>184.40853853432679</v>
      </c>
      <c r="X196" s="288">
        <f t="shared" si="47"/>
        <v>0.56765074645560576</v>
      </c>
      <c r="Y196" s="289">
        <f t="shared" si="51"/>
        <v>227.0602985822423</v>
      </c>
      <c r="Z196" s="289">
        <f t="shared" si="52"/>
        <v>14.212578214167905</v>
      </c>
      <c r="AA196" s="107">
        <v>296.78030548420884</v>
      </c>
      <c r="AB196" s="107">
        <v>246.90083784421699</v>
      </c>
      <c r="AC196" s="107">
        <v>169.98714768239407</v>
      </c>
      <c r="AD196" s="107">
        <v>194.57290331814932</v>
      </c>
      <c r="AE196" s="106">
        <v>1</v>
      </c>
      <c r="AF196" s="32" t="str">
        <f>IF(AE196=0,"",VLOOKUP(AE196,tab_tipo_expansao!$A$2:$B$4,2,0))</f>
        <v>opcional</v>
      </c>
      <c r="AG196" s="125">
        <v>2023</v>
      </c>
      <c r="AH196" s="125">
        <v>2100</v>
      </c>
      <c r="AI196" s="125">
        <v>30</v>
      </c>
      <c r="AJ196" s="530">
        <v>3464.2760867266525</v>
      </c>
      <c r="AK196" s="24">
        <f>AL196/constantes!$B$4</f>
        <v>2220.6897991837513</v>
      </c>
      <c r="AL196" s="33">
        <f t="shared" si="48"/>
        <v>8660.6902168166307</v>
      </c>
      <c r="AM196" s="87">
        <v>2</v>
      </c>
      <c r="AN196" s="531">
        <v>0</v>
      </c>
      <c r="AO196" s="23"/>
      <c r="AP196" s="532">
        <f t="shared" si="53"/>
        <v>3464.2760867266525</v>
      </c>
      <c r="AR196" s="35">
        <f t="shared" si="49"/>
        <v>8660.6902168166307</v>
      </c>
      <c r="AS196" s="36">
        <f ca="1">OFFSET(cod_desembolso!$A$1,AM196,23)</f>
        <v>1.1245293369208682</v>
      </c>
      <c r="AT196" s="37">
        <f ca="1">IF(AP196=0,0,AP196*(OFFSET(cod_desembolso!$A$1,AM196,23)))</f>
        <v>3895.6800907175425</v>
      </c>
      <c r="AU196" s="38">
        <f>(constantes!$B$3*(1+constantes!$B$3)^(AI196))/((1+constantes!$B$3)^(AI196)-1)</f>
        <v>8.8827433387272267E-2</v>
      </c>
      <c r="AV196" s="37">
        <f t="shared" ca="1" si="54"/>
        <v>366.04326375633531</v>
      </c>
      <c r="AW196" s="37">
        <f ca="1">IF(AP196=0,AY196/constantes!$B$3,AV196/constantes!$B$3)</f>
        <v>4575.5407969541911</v>
      </c>
      <c r="AX196" s="39">
        <f ca="1">IF(AP196=0,0,PV(constantes!$B$3,AI196,-AV196)*constantes!$B$3)</f>
        <v>329.66686060640734</v>
      </c>
      <c r="AY196" s="40">
        <f>constantes!$B$10*F196/1000</f>
        <v>20</v>
      </c>
      <c r="AZ196" s="533">
        <f>constantes!$B$12</f>
        <v>0</v>
      </c>
      <c r="BA196" s="20">
        <v>318</v>
      </c>
      <c r="BB196" s="43"/>
      <c r="BC196" s="3" t="s">
        <v>2209</v>
      </c>
      <c r="BE196" s="534">
        <v>1</v>
      </c>
      <c r="BF196" s="535">
        <v>2022</v>
      </c>
      <c r="BG196" s="536">
        <v>1</v>
      </c>
      <c r="BH196" s="537">
        <v>2022</v>
      </c>
    </row>
    <row r="197" spans="1:60" ht="13.15" hidden="1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46"/>
      <c r="F197" s="526">
        <v>98</v>
      </c>
      <c r="G197" s="3" t="s">
        <v>2246</v>
      </c>
      <c r="H197" s="3" t="s">
        <v>2447</v>
      </c>
      <c r="I197" s="3">
        <v>-45.464986000000003</v>
      </c>
      <c r="J197" s="3">
        <v>-7.2074670000000003</v>
      </c>
      <c r="K197" s="549" t="s">
        <v>149</v>
      </c>
      <c r="L197" s="549" t="s">
        <v>149</v>
      </c>
      <c r="M197" s="554">
        <v>3</v>
      </c>
      <c r="N197" s="540"/>
      <c r="O197" s="529">
        <v>1.9820000000000001E-2</v>
      </c>
      <c r="P197" s="529">
        <v>5.2919999999999995E-2</v>
      </c>
      <c r="Q197" s="288">
        <f t="shared" si="45"/>
        <v>0.45565445821185618</v>
      </c>
      <c r="R197" s="30">
        <f t="shared" si="50"/>
        <v>44.654136904761906</v>
      </c>
      <c r="S197" s="30">
        <f t="shared" si="46"/>
        <v>53.345863095238094</v>
      </c>
      <c r="T197" s="107">
        <v>43.769047619047626</v>
      </c>
      <c r="U197" s="107">
        <v>50.49</v>
      </c>
      <c r="V197" s="107">
        <v>41.576666666666661</v>
      </c>
      <c r="W197" s="107">
        <v>42.780833333333334</v>
      </c>
      <c r="X197" s="288">
        <f t="shared" si="47"/>
        <v>0.49733853541416556</v>
      </c>
      <c r="Y197" s="289">
        <f t="shared" si="51"/>
        <v>48.739176470588227</v>
      </c>
      <c r="Z197" s="289">
        <f t="shared" si="52"/>
        <v>4.085039565826321</v>
      </c>
      <c r="AA197" s="107">
        <v>65.419764705882343</v>
      </c>
      <c r="AB197" s="107">
        <v>54.044666666666693</v>
      </c>
      <c r="AC197" s="107">
        <v>34.134352941176452</v>
      </c>
      <c r="AD197" s="107">
        <v>41.35792156862744</v>
      </c>
      <c r="AE197" s="106">
        <v>1</v>
      </c>
      <c r="AF197" s="32" t="str">
        <f>IF(AE197=0,"",VLOOKUP(AE197,tab_tipo_expansao!$A$2:$B$4,2,0))</f>
        <v>opcional</v>
      </c>
      <c r="AG197" s="125">
        <v>2028</v>
      </c>
      <c r="AH197" s="125">
        <v>2100</v>
      </c>
      <c r="AI197" s="125">
        <v>30</v>
      </c>
      <c r="AJ197" s="530">
        <v>2762.7557303410445</v>
      </c>
      <c r="AK197" s="24">
        <f>AL197/constantes!$B$4</f>
        <v>7228.5602573025762</v>
      </c>
      <c r="AL197" s="33">
        <f t="shared" si="48"/>
        <v>28191.385003480045</v>
      </c>
      <c r="AM197" s="87">
        <v>2</v>
      </c>
      <c r="AN197" s="531">
        <v>0</v>
      </c>
      <c r="AO197" s="23"/>
      <c r="AP197" s="532">
        <f t="shared" si="53"/>
        <v>2762.7557303410445</v>
      </c>
      <c r="AR197" s="35">
        <f t="shared" si="49"/>
        <v>28191.385003480042</v>
      </c>
      <c r="AS197" s="36">
        <f ca="1">OFFSET(cod_desembolso!$A$1,AM197,23)</f>
        <v>1.1245293369208682</v>
      </c>
      <c r="AT197" s="37">
        <f ca="1">IF(AP197=0,0,AP197*(OFFSET(cod_desembolso!$A$1,AM197,23)))</f>
        <v>3106.7998695147435</v>
      </c>
      <c r="AU197" s="38">
        <f>(constantes!$B$3*(1+constantes!$B$3)^(AI197))/((1+constantes!$B$3)^(AI197)-1)</f>
        <v>8.8827433387272267E-2</v>
      </c>
      <c r="AV197" s="37">
        <f t="shared" ca="1" si="54"/>
        <v>280.869058456907</v>
      </c>
      <c r="AW197" s="37">
        <f ca="1">IF(AP197=0,AY197/constantes!$B$3,AV197/constantes!$B$3)</f>
        <v>3510.8632307113376</v>
      </c>
      <c r="AX197" s="39">
        <f ca="1">IF(AP197=0,0,PV(constantes!$B$3,AI197,-AV197)*constantes!$B$3)</f>
        <v>252.95704063168543</v>
      </c>
      <c r="AY197" s="40">
        <f>constantes!$B$10*F197/1000</f>
        <v>4.9000000000000004</v>
      </c>
      <c r="AZ197" s="533">
        <f>constantes!$B$12</f>
        <v>0</v>
      </c>
      <c r="BA197" s="20">
        <v>318</v>
      </c>
      <c r="BB197" s="43"/>
      <c r="BC197" s="3" t="s">
        <v>2197</v>
      </c>
      <c r="BE197" s="534">
        <v>1</v>
      </c>
      <c r="BF197" s="535">
        <v>2027</v>
      </c>
      <c r="BG197" s="536">
        <v>1</v>
      </c>
      <c r="BH197" s="537">
        <v>2027</v>
      </c>
    </row>
    <row r="198" spans="1:60" ht="13.15" hidden="1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46"/>
      <c r="F198" s="526">
        <v>35.799999999999997</v>
      </c>
      <c r="G198" s="3" t="s">
        <v>2211</v>
      </c>
      <c r="H198" s="3" t="s">
        <v>2337</v>
      </c>
      <c r="I198" s="3">
        <v>-45.805171999999999</v>
      </c>
      <c r="J198" s="3">
        <v>-19.185206000000001</v>
      </c>
      <c r="K198" s="549" t="s">
        <v>152</v>
      </c>
      <c r="L198" s="549" t="s">
        <v>152</v>
      </c>
      <c r="M198" s="554">
        <v>1</v>
      </c>
      <c r="N198" s="540"/>
      <c r="O198" s="529">
        <v>2.068E-2</v>
      </c>
      <c r="P198" s="529">
        <v>4.6600000000000003E-2</v>
      </c>
      <c r="Q198" s="288">
        <f t="shared" si="45"/>
        <v>0.41792323423782923</v>
      </c>
      <c r="R198" s="30">
        <f t="shared" si="50"/>
        <v>14.961651785714286</v>
      </c>
      <c r="S198" s="30">
        <f t="shared" si="46"/>
        <v>20.838348214285709</v>
      </c>
      <c r="T198" s="107">
        <v>15.39142857142857</v>
      </c>
      <c r="U198" s="107">
        <v>12.043452380952381</v>
      </c>
      <c r="V198" s="107">
        <v>16.451249999999998</v>
      </c>
      <c r="W198" s="107">
        <v>15.960476190476191</v>
      </c>
      <c r="X198" s="288">
        <f t="shared" si="47"/>
        <v>0.42786614086975583</v>
      </c>
      <c r="Y198" s="289">
        <f t="shared" si="51"/>
        <v>15.317607843137257</v>
      </c>
      <c r="Z198" s="289">
        <f t="shared" si="52"/>
        <v>0.35595605742297032</v>
      </c>
      <c r="AA198" s="107">
        <v>22.173254901960785</v>
      </c>
      <c r="AB198" s="107">
        <v>9.8749803921568624</v>
      </c>
      <c r="AC198" s="107">
        <v>12.907372549019611</v>
      </c>
      <c r="AD198" s="107">
        <v>16.314823529411765</v>
      </c>
      <c r="AE198" s="106">
        <v>1</v>
      </c>
      <c r="AF198" s="32" t="str">
        <f>IF(AE198=0,"",VLOOKUP(AE198,tab_tipo_expansao!$A$2:$B$4,2,0))</f>
        <v>opcional</v>
      </c>
      <c r="AG198" s="125">
        <v>2028</v>
      </c>
      <c r="AH198" s="125">
        <v>2100</v>
      </c>
      <c r="AI198" s="125">
        <v>30</v>
      </c>
      <c r="AJ198" s="530">
        <v>772.24471472303173</v>
      </c>
      <c r="AK198" s="24">
        <f>AL198/constantes!$B$4</f>
        <v>5531.0465171396063</v>
      </c>
      <c r="AL198" s="33">
        <f t="shared" si="48"/>
        <v>21571.081416844463</v>
      </c>
      <c r="AM198" s="87">
        <v>2</v>
      </c>
      <c r="AN198" s="531">
        <v>0</v>
      </c>
      <c r="AO198" s="23"/>
      <c r="AP198" s="532">
        <f t="shared" si="53"/>
        <v>772.24471472303173</v>
      </c>
      <c r="AR198" s="35">
        <f t="shared" si="49"/>
        <v>21571.081416844463</v>
      </c>
      <c r="AS198" s="36">
        <f ca="1">OFFSET(cod_desembolso!$A$1,AM198,23)</f>
        <v>1.1245293369208682</v>
      </c>
      <c r="AT198" s="37">
        <f ca="1">IF(AP198=0,0,AP198*(OFFSET(cod_desembolso!$A$1,AM198,23)))</f>
        <v>868.41183698813586</v>
      </c>
      <c r="AU198" s="38">
        <f>(constantes!$B$3*(1+constantes!$B$3)^(AI198))/((1+constantes!$B$3)^(AI198)-1)</f>
        <v>8.8827433387272267E-2</v>
      </c>
      <c r="AV198" s="37">
        <f t="shared" ca="1" si="54"/>
        <v>78.928794602782389</v>
      </c>
      <c r="AW198" s="37">
        <f ca="1">IF(AP198=0,AY198/constantes!$B$3,AV198/constantes!$B$3)</f>
        <v>986.60993253477989</v>
      </c>
      <c r="AX198" s="39">
        <f ca="1">IF(AP198=0,0,PV(constantes!$B$3,AI198,-AV198)*constantes!$B$3)</f>
        <v>71.085061533786728</v>
      </c>
      <c r="AY198" s="40">
        <f>constantes!$B$10*F198/1000</f>
        <v>1.7899999999999998</v>
      </c>
      <c r="AZ198" s="533">
        <f>constantes!$B$12</f>
        <v>0</v>
      </c>
      <c r="BA198" s="20">
        <v>318</v>
      </c>
      <c r="BB198" s="43"/>
      <c r="BC198" s="3" t="s">
        <v>2197</v>
      </c>
      <c r="BE198" s="534">
        <v>1</v>
      </c>
      <c r="BF198" s="535">
        <v>2027</v>
      </c>
      <c r="BG198" s="536">
        <v>1</v>
      </c>
      <c r="BH198" s="537">
        <v>2027</v>
      </c>
    </row>
    <row r="199" spans="1:60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46"/>
      <c r="F199" s="526">
        <v>75</v>
      </c>
      <c r="G199" s="3" t="s">
        <v>2181</v>
      </c>
      <c r="H199" s="3" t="s">
        <v>2335</v>
      </c>
      <c r="I199" s="3">
        <v>-58.253450000000001</v>
      </c>
      <c r="J199" s="3">
        <v>-11.06396</v>
      </c>
      <c r="K199" s="549" t="s">
        <v>160</v>
      </c>
      <c r="L199" s="549" t="s">
        <v>160</v>
      </c>
      <c r="M199" s="554">
        <v>10</v>
      </c>
      <c r="N199" s="540"/>
      <c r="O199" s="529">
        <v>1.9820000000000001E-2</v>
      </c>
      <c r="P199" s="529">
        <v>5.2919999999999995E-2</v>
      </c>
      <c r="Q199" s="288">
        <f t="shared" si="45"/>
        <v>0.54125853174603167</v>
      </c>
      <c r="R199" s="30">
        <f t="shared" si="50"/>
        <v>40.594389880952377</v>
      </c>
      <c r="S199" s="30">
        <f t="shared" si="46"/>
        <v>34.405610119047623</v>
      </c>
      <c r="T199" s="107">
        <v>52.583809523809521</v>
      </c>
      <c r="U199" s="107">
        <v>47.991190476190468</v>
      </c>
      <c r="V199" s="107">
        <v>27.986666666666668</v>
      </c>
      <c r="W199" s="107">
        <v>33.815892857142856</v>
      </c>
      <c r="X199" s="288">
        <f t="shared" si="47"/>
        <v>0.51652614379084971</v>
      </c>
      <c r="Y199" s="289">
        <f t="shared" si="51"/>
        <v>38.739460784313728</v>
      </c>
      <c r="Z199" s="289">
        <f t="shared" si="52"/>
        <v>-1.8549290966386494</v>
      </c>
      <c r="AA199" s="107">
        <v>52.185176470588239</v>
      </c>
      <c r="AB199" s="107">
        <v>43.34858823529413</v>
      </c>
      <c r="AC199" s="107">
        <v>26.66952941176471</v>
      </c>
      <c r="AD199" s="107">
        <v>32.754549019607843</v>
      </c>
      <c r="AE199" s="106">
        <v>1</v>
      </c>
      <c r="AF199" s="32" t="str">
        <f>IF(AE199=0,"",VLOOKUP(AE199,tab_tipo_expansao!$A$2:$B$4,2,0))</f>
        <v>opcional</v>
      </c>
      <c r="AG199" s="125">
        <v>2030</v>
      </c>
      <c r="AH199" s="125">
        <v>2100</v>
      </c>
      <c r="AI199" s="125">
        <v>30</v>
      </c>
      <c r="AJ199" s="530">
        <v>2628.1098454648245</v>
      </c>
      <c r="AK199" s="24">
        <f>AL199/constantes!$B$4</f>
        <v>8984.9909246660663</v>
      </c>
      <c r="AL199" s="33">
        <f t="shared" si="48"/>
        <v>35041.46460619766</v>
      </c>
      <c r="AM199" s="87">
        <v>2</v>
      </c>
      <c r="AN199" s="531">
        <v>0</v>
      </c>
      <c r="AO199" s="23"/>
      <c r="AP199" s="532">
        <f t="shared" si="53"/>
        <v>2628.1098454648245</v>
      </c>
      <c r="AR199" s="35">
        <f t="shared" si="49"/>
        <v>35041.46460619766</v>
      </c>
      <c r="AS199" s="36">
        <f ca="1">OFFSET(cod_desembolso!$A$1,AM199,23)</f>
        <v>1.1245293369208682</v>
      </c>
      <c r="AT199" s="37">
        <f ca="1">IF(AP199=0,0,AP199*(OFFSET(cod_desembolso!$A$1,AM199,23)))</f>
        <v>2955.3866218757644</v>
      </c>
      <c r="AU199" s="38">
        <f>(constantes!$B$3*(1+constantes!$B$3)^(AI199))/((1+constantes!$B$3)^(AI199)-1)</f>
        <v>8.8827433387272267E-2</v>
      </c>
      <c r="AV199" s="37">
        <f t="shared" ca="1" si="54"/>
        <v>266.26940828830504</v>
      </c>
      <c r="AW199" s="37">
        <f ca="1">IF(AP199=0,AY199/constantes!$B$3,AV199/constantes!$B$3)</f>
        <v>3328.3676036038128</v>
      </c>
      <c r="AX199" s="39">
        <f ca="1">IF(AP199=0,0,PV(constantes!$B$3,AI199,-AV199)*constantes!$B$3)</f>
        <v>239.80826475299935</v>
      </c>
      <c r="AY199" s="40">
        <f>constantes!$B$10*F199/1000</f>
        <v>3.75</v>
      </c>
      <c r="AZ199" s="533">
        <f>constantes!$B$12</f>
        <v>0</v>
      </c>
      <c r="BA199" s="20">
        <v>318</v>
      </c>
      <c r="BB199" s="43"/>
      <c r="BC199" s="3" t="s">
        <v>2217</v>
      </c>
      <c r="BE199" s="534">
        <v>1</v>
      </c>
      <c r="BF199" s="535">
        <v>2035</v>
      </c>
      <c r="BG199" s="536">
        <v>3</v>
      </c>
      <c r="BH199" s="537">
        <v>2050</v>
      </c>
    </row>
    <row r="200" spans="1:60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46"/>
      <c r="F200" s="526">
        <v>43</v>
      </c>
      <c r="G200" s="3" t="s">
        <v>2246</v>
      </c>
      <c r="H200" s="3" t="s">
        <v>2246</v>
      </c>
      <c r="I200" s="3">
        <v>-45.915190000000003</v>
      </c>
      <c r="J200" s="3">
        <v>-9.1628500000000006</v>
      </c>
      <c r="K200" s="549" t="s">
        <v>1985</v>
      </c>
      <c r="L200" s="549" t="s">
        <v>1985</v>
      </c>
      <c r="M200" s="554">
        <v>3</v>
      </c>
      <c r="N200" s="540"/>
      <c r="O200" s="529">
        <v>2.068E-2</v>
      </c>
      <c r="P200" s="529">
        <v>4.6600000000000003E-2</v>
      </c>
      <c r="Q200" s="288">
        <f t="shared" si="45"/>
        <v>0.54343369324473978</v>
      </c>
      <c r="R200" s="30">
        <f t="shared" si="50"/>
        <v>23.367648809523811</v>
      </c>
      <c r="S200" s="30">
        <f t="shared" si="46"/>
        <v>19.632351190476189</v>
      </c>
      <c r="T200" s="107">
        <v>30.301904761904762</v>
      </c>
      <c r="U200" s="107">
        <v>24.629761904761907</v>
      </c>
      <c r="V200" s="107">
        <v>15.379166666666668</v>
      </c>
      <c r="W200" s="107">
        <v>23.159761904761904</v>
      </c>
      <c r="X200" s="288">
        <f t="shared" si="47"/>
        <v>0.5770225718194254</v>
      </c>
      <c r="Y200" s="289">
        <f t="shared" si="51"/>
        <v>24.811970588235294</v>
      </c>
      <c r="Z200" s="289">
        <f t="shared" si="52"/>
        <v>1.4443217787114833</v>
      </c>
      <c r="AA200" s="107">
        <v>33.302313725490194</v>
      </c>
      <c r="AB200" s="107">
        <v>25.08819607843137</v>
      </c>
      <c r="AC200" s="107">
        <v>16.487529411764708</v>
      </c>
      <c r="AD200" s="107">
        <v>24.369843137254907</v>
      </c>
      <c r="AE200" s="106">
        <v>1</v>
      </c>
      <c r="AF200" s="32" t="str">
        <f>IF(AE200=0,"",VLOOKUP(AE200,tab_tipo_expansao!$A$2:$B$4,2,0))</f>
        <v>opcional</v>
      </c>
      <c r="AG200" s="125">
        <v>2030</v>
      </c>
      <c r="AH200" s="125">
        <v>2100</v>
      </c>
      <c r="AI200" s="125">
        <v>30</v>
      </c>
      <c r="AJ200" s="530">
        <v>1255.2356954004429</v>
      </c>
      <c r="AK200" s="24">
        <f>AL200/constantes!$B$4</f>
        <v>7485.0071282077688</v>
      </c>
      <c r="AL200" s="33">
        <f t="shared" si="48"/>
        <v>29191.527800010299</v>
      </c>
      <c r="AM200" s="87">
        <v>2</v>
      </c>
      <c r="AN200" s="531">
        <v>0</v>
      </c>
      <c r="AO200" s="23"/>
      <c r="AP200" s="532">
        <f t="shared" si="53"/>
        <v>1255.2356954004429</v>
      </c>
      <c r="AR200" s="35">
        <f t="shared" si="49"/>
        <v>29191.527800010299</v>
      </c>
      <c r="AS200" s="36">
        <f ca="1">OFFSET(cod_desembolso!$A$1,AM200,23)</f>
        <v>1.1245293369208682</v>
      </c>
      <c r="AT200" s="37">
        <f ca="1">IF(AP200=0,0,AP200*(OFFSET(cod_desembolso!$A$1,AM200,23)))</f>
        <v>1411.5493642280649</v>
      </c>
      <c r="AU200" s="38">
        <f>(constantes!$B$3*(1+constantes!$B$3)^(AI200))/((1+constantes!$B$3)^(AI200)-1)</f>
        <v>8.8827433387272267E-2</v>
      </c>
      <c r="AV200" s="37">
        <f t="shared" ca="1" si="54"/>
        <v>127.53430712381495</v>
      </c>
      <c r="AW200" s="37">
        <f ca="1">IF(AP200=0,AY200/constantes!$B$3,AV200/constantes!$B$3)</f>
        <v>1594.178839047687</v>
      </c>
      <c r="AX200" s="39">
        <f ca="1">IF(AP200=0,0,PV(constantes!$B$3,AI200,-AV200)*constantes!$B$3)</f>
        <v>114.86028787326312</v>
      </c>
      <c r="AY200" s="40">
        <f>constantes!$B$10*F200/1000</f>
        <v>2.15</v>
      </c>
      <c r="AZ200" s="533">
        <f>constantes!$B$12</f>
        <v>0</v>
      </c>
      <c r="BA200" s="20">
        <v>318</v>
      </c>
      <c r="BB200" s="43"/>
      <c r="BC200" s="3" t="s">
        <v>2185</v>
      </c>
      <c r="BE200" s="534">
        <v>1</v>
      </c>
      <c r="BF200" s="535">
        <v>2030</v>
      </c>
      <c r="BG200" s="536">
        <v>1</v>
      </c>
      <c r="BH200" s="537">
        <v>2030</v>
      </c>
    </row>
    <row r="201" spans="1:60" ht="13.15" hidden="1" customHeight="1">
      <c r="A201" s="125">
        <v>1176</v>
      </c>
      <c r="B201" s="125">
        <v>1176</v>
      </c>
      <c r="C201" s="640" t="s">
        <v>2451</v>
      </c>
      <c r="D201" s="546" t="s">
        <v>2451</v>
      </c>
      <c r="E201" s="546"/>
      <c r="F201" s="526">
        <v>118</v>
      </c>
      <c r="G201" s="3" t="s">
        <v>2196</v>
      </c>
      <c r="H201" s="3" t="s">
        <v>2078</v>
      </c>
      <c r="I201" s="3">
        <v>-50.591594000000001</v>
      </c>
      <c r="J201" s="3">
        <v>-24.350384999999999</v>
      </c>
      <c r="K201" s="549" t="s">
        <v>153</v>
      </c>
      <c r="L201" s="549" t="s">
        <v>153</v>
      </c>
      <c r="M201" s="554">
        <v>2</v>
      </c>
      <c r="N201" s="540"/>
      <c r="O201" s="529">
        <v>1.9820000000000001E-2</v>
      </c>
      <c r="P201" s="529">
        <v>5.2919999999999995E-2</v>
      </c>
      <c r="Q201" s="288">
        <f t="shared" si="45"/>
        <v>0.54326082021791766</v>
      </c>
      <c r="R201" s="30">
        <f t="shared" si="50"/>
        <v>64.104776785714279</v>
      </c>
      <c r="S201" s="30">
        <f t="shared" si="46"/>
        <v>53.895223214285721</v>
      </c>
      <c r="T201" s="107">
        <v>69.42190476190477</v>
      </c>
      <c r="U201" s="107">
        <v>60.537738095238097</v>
      </c>
      <c r="V201" s="107">
        <v>56.529583333333335</v>
      </c>
      <c r="W201" s="107">
        <v>69.929880952380941</v>
      </c>
      <c r="X201" s="288">
        <f t="shared" si="47"/>
        <v>0.64808765370554999</v>
      </c>
      <c r="Y201" s="289">
        <f t="shared" si="51"/>
        <v>76.474343137254905</v>
      </c>
      <c r="Z201" s="289">
        <f t="shared" si="52"/>
        <v>12.369566351540627</v>
      </c>
      <c r="AA201" s="107">
        <v>84.313450980392147</v>
      </c>
      <c r="AB201" s="107">
        <v>67.832901960784312</v>
      </c>
      <c r="AC201" s="107">
        <v>72.327333333333328</v>
      </c>
      <c r="AD201" s="107">
        <v>81.423686274509805</v>
      </c>
      <c r="AE201" s="106">
        <v>1</v>
      </c>
      <c r="AF201" s="32" t="str">
        <f>IF(AE201=0,"",VLOOKUP(AE201,tab_tipo_expansao!$A$2:$B$4,2,0))</f>
        <v>opcional</v>
      </c>
      <c r="AG201" s="125">
        <v>2023</v>
      </c>
      <c r="AH201" s="125">
        <v>2100</v>
      </c>
      <c r="AI201" s="125">
        <v>30</v>
      </c>
      <c r="AJ201" s="530">
        <v>772.80326367333271</v>
      </c>
      <c r="AK201" s="24">
        <f>AL201/constantes!$B$4</f>
        <v>1679.2769745183239</v>
      </c>
      <c r="AL201" s="33">
        <f t="shared" si="48"/>
        <v>6549.180200621463</v>
      </c>
      <c r="AM201" s="87">
        <v>2</v>
      </c>
      <c r="AN201" s="531">
        <v>0</v>
      </c>
      <c r="AO201" s="23"/>
      <c r="AP201" s="532">
        <f t="shared" si="53"/>
        <v>772.80326367333271</v>
      </c>
      <c r="AR201" s="35">
        <f t="shared" si="49"/>
        <v>6549.1802006214639</v>
      </c>
      <c r="AS201" s="36">
        <f ca="1">OFFSET(cod_desembolso!$A$1,AM201,23)</f>
        <v>1.1245293369208682</v>
      </c>
      <c r="AT201" s="37">
        <f ca="1">IF(AP201=0,0,AP201*(OFFSET(cod_desembolso!$A$1,AM201,23)))</f>
        <v>869.0399416688557</v>
      </c>
      <c r="AU201" s="38">
        <f>(constantes!$B$3*(1+constantes!$B$3)^(AI201))/((1+constantes!$B$3)^(AI201)-1)</f>
        <v>8.8827433387272267E-2</v>
      </c>
      <c r="AV201" s="37">
        <f t="shared" ca="1" si="54"/>
        <v>83.094587529469266</v>
      </c>
      <c r="AW201" s="37">
        <f ca="1">IF(AP201=0,AY201/constantes!$B$3,AV201/constantes!$B$3)</f>
        <v>1038.6823441183658</v>
      </c>
      <c r="AX201" s="39">
        <f ca="1">IF(AP201=0,0,PV(constantes!$B$3,AI201,-AV201)*constantes!$B$3)</f>
        <v>74.836869071464633</v>
      </c>
      <c r="AY201" s="40">
        <f>constantes!$B$10*F201/1000</f>
        <v>5.9</v>
      </c>
      <c r="AZ201" s="533">
        <f>constantes!$B$12</f>
        <v>0</v>
      </c>
      <c r="BA201" s="20">
        <v>318</v>
      </c>
      <c r="BB201" s="43"/>
      <c r="BC201" s="3" t="s">
        <v>2209</v>
      </c>
      <c r="BE201" s="534">
        <v>1</v>
      </c>
      <c r="BF201" s="535">
        <v>2022</v>
      </c>
      <c r="BG201" s="536">
        <v>1</v>
      </c>
      <c r="BH201" s="537">
        <v>2022</v>
      </c>
    </row>
    <row r="202" spans="1:60" ht="13.15" hidden="1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46"/>
      <c r="F202" s="526">
        <v>142.49</v>
      </c>
      <c r="G202" s="3" t="s">
        <v>2206</v>
      </c>
      <c r="H202" s="3" t="s">
        <v>2207</v>
      </c>
      <c r="I202" s="3">
        <v>-43.039397000000001</v>
      </c>
      <c r="J202" s="3">
        <v>-17.197610999999998</v>
      </c>
      <c r="K202" s="549" t="s">
        <v>152</v>
      </c>
      <c r="L202" s="549" t="s">
        <v>152</v>
      </c>
      <c r="M202" s="554">
        <v>1</v>
      </c>
      <c r="N202" s="540"/>
      <c r="O202" s="529">
        <v>1.6379999999999999E-2</v>
      </c>
      <c r="P202" s="529">
        <v>6.1409999999999999E-2</v>
      </c>
      <c r="Q202" s="288">
        <f t="shared" si="45"/>
        <v>0.53169259580455108</v>
      </c>
      <c r="R202" s="30">
        <f t="shared" si="50"/>
        <v>75.760877976190486</v>
      </c>
      <c r="S202" s="30">
        <f t="shared" si="46"/>
        <v>66.729122023809524</v>
      </c>
      <c r="T202" s="107">
        <v>69.092857142857156</v>
      </c>
      <c r="U202" s="107">
        <v>43.130357142857143</v>
      </c>
      <c r="V202" s="107">
        <v>100.30874999999999</v>
      </c>
      <c r="W202" s="107">
        <v>90.511547619047619</v>
      </c>
      <c r="X202" s="288">
        <f t="shared" si="47"/>
        <v>0.53069916155106867</v>
      </c>
      <c r="Y202" s="289">
        <f t="shared" si="51"/>
        <v>75.619323529411773</v>
      </c>
      <c r="Z202" s="289">
        <f t="shared" si="52"/>
        <v>-0.14155444677871287</v>
      </c>
      <c r="AA202" s="107">
        <v>90.952823529411774</v>
      </c>
      <c r="AB202" s="107">
        <v>47.123058823529419</v>
      </c>
      <c r="AC202" s="107">
        <v>79.781764705882338</v>
      </c>
      <c r="AD202" s="107">
        <v>84.619647058823531</v>
      </c>
      <c r="AE202" s="106">
        <v>1</v>
      </c>
      <c r="AF202" s="32" t="str">
        <f>IF(AE202=0,"",VLOOKUP(AE202,tab_tipo_expansao!$A$2:$B$4,2,0))</f>
        <v>opcional</v>
      </c>
      <c r="AG202" s="125">
        <v>2028</v>
      </c>
      <c r="AH202" s="125">
        <v>2100</v>
      </c>
      <c r="AI202" s="125">
        <v>30</v>
      </c>
      <c r="AJ202" s="530">
        <v>2558.4353758476263</v>
      </c>
      <c r="AK202" s="24">
        <f>AL202/constantes!$B$4</f>
        <v>4603.8955065629907</v>
      </c>
      <c r="AL202" s="33">
        <f t="shared" si="48"/>
        <v>17955.192475595664</v>
      </c>
      <c r="AM202" s="87">
        <v>2</v>
      </c>
      <c r="AN202" s="531">
        <v>0</v>
      </c>
      <c r="AO202" s="23"/>
      <c r="AP202" s="532">
        <f t="shared" si="53"/>
        <v>2558.4353758476263</v>
      </c>
      <c r="AR202" s="35">
        <f t="shared" si="49"/>
        <v>17955.192475595664</v>
      </c>
      <c r="AS202" s="36">
        <f ca="1">OFFSET(cod_desembolso!$A$1,AM202,23)</f>
        <v>1.1245293369208682</v>
      </c>
      <c r="AT202" s="37">
        <f ca="1">IF(AP202=0,0,AP202*(OFFSET(cod_desembolso!$A$1,AM202,23)))</f>
        <v>2877.0356367568234</v>
      </c>
      <c r="AU202" s="38">
        <f>(constantes!$B$3*(1+constantes!$B$3)^(AI202))/((1+constantes!$B$3)^(AI202)-1)</f>
        <v>8.8827433387272267E-2</v>
      </c>
      <c r="AV202" s="37">
        <f t="shared" ca="1" si="54"/>
        <v>262.6841913768252</v>
      </c>
      <c r="AW202" s="37">
        <f ca="1">IF(AP202=0,AY202/constantes!$B$3,AV202/constantes!$B$3)</f>
        <v>3283.5523922103148</v>
      </c>
      <c r="AX202" s="39">
        <f ca="1">IF(AP202=0,0,PV(constantes!$B$3,AI202,-AV202)*constantes!$B$3)</f>
        <v>236.5793371347948</v>
      </c>
      <c r="AY202" s="40">
        <f>constantes!$B$10*F202/1000</f>
        <v>7.1245000000000003</v>
      </c>
      <c r="AZ202" s="533">
        <f>constantes!$B$12</f>
        <v>0</v>
      </c>
      <c r="BA202" s="20">
        <v>318</v>
      </c>
      <c r="BB202" s="43"/>
      <c r="BC202" s="3" t="s">
        <v>2197</v>
      </c>
      <c r="BE202" s="534">
        <v>1</v>
      </c>
      <c r="BF202" s="535">
        <v>2027</v>
      </c>
      <c r="BG202" s="536">
        <v>1</v>
      </c>
      <c r="BH202" s="537">
        <v>2027</v>
      </c>
    </row>
    <row r="203" spans="1:60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46"/>
      <c r="F203" s="526">
        <v>128.69999999999999</v>
      </c>
      <c r="G203" s="3" t="s">
        <v>2231</v>
      </c>
      <c r="H203" s="3" t="s">
        <v>2454</v>
      </c>
      <c r="I203" s="3">
        <v>-49.034534999999998</v>
      </c>
      <c r="J203" s="3">
        <v>-24.650016999999998</v>
      </c>
      <c r="K203" s="549" t="s">
        <v>148</v>
      </c>
      <c r="L203" s="549" t="s">
        <v>148</v>
      </c>
      <c r="M203" s="554">
        <v>2</v>
      </c>
      <c r="N203" s="540"/>
      <c r="O203" s="529">
        <v>1.6379999999999999E-2</v>
      </c>
      <c r="P203" s="529">
        <v>6.1409999999999999E-2</v>
      </c>
      <c r="Q203" s="288">
        <f t="shared" si="45"/>
        <v>0.57349005161505173</v>
      </c>
      <c r="R203" s="30">
        <f t="shared" si="50"/>
        <v>73.808169642857152</v>
      </c>
      <c r="S203" s="30">
        <f t="shared" si="46"/>
        <v>54.891830357142837</v>
      </c>
      <c r="T203" s="107">
        <v>80.357142857142847</v>
      </c>
      <c r="U203" s="107">
        <v>74.109523809523822</v>
      </c>
      <c r="V203" s="107">
        <v>72.894166666666663</v>
      </c>
      <c r="W203" s="107">
        <v>67.871845238095247</v>
      </c>
      <c r="X203" s="288">
        <f t="shared" si="47"/>
        <v>0.71659490835961437</v>
      </c>
      <c r="Y203" s="289">
        <f t="shared" si="51"/>
        <v>92.225764705882355</v>
      </c>
      <c r="Z203" s="289">
        <f t="shared" si="52"/>
        <v>18.417595063025203</v>
      </c>
      <c r="AA203" s="107">
        <v>99.996627450980398</v>
      </c>
      <c r="AB203" s="107">
        <v>88.021411764705874</v>
      </c>
      <c r="AC203" s="107">
        <v>89.513568627450979</v>
      </c>
      <c r="AD203" s="107">
        <v>91.371450980392169</v>
      </c>
      <c r="AE203" s="106">
        <v>1</v>
      </c>
      <c r="AF203" s="32" t="str">
        <f>IF(AE203=0,"",VLOOKUP(AE203,tab_tipo_expansao!$A$2:$B$4,2,0))</f>
        <v>opcional</v>
      </c>
      <c r="AG203" s="125">
        <v>2030</v>
      </c>
      <c r="AH203" s="125">
        <v>2100</v>
      </c>
      <c r="AI203" s="125">
        <v>30</v>
      </c>
      <c r="AJ203" s="530">
        <v>855.95826724299332</v>
      </c>
      <c r="AK203" s="24">
        <f>AL203/constantes!$B$4</f>
        <v>1705.3339454565244</v>
      </c>
      <c r="AL203" s="33">
        <f t="shared" si="48"/>
        <v>6650.8023872804451</v>
      </c>
      <c r="AM203" s="87">
        <v>2</v>
      </c>
      <c r="AN203" s="531">
        <v>0</v>
      </c>
      <c r="AO203" s="23"/>
      <c r="AP203" s="532">
        <f t="shared" si="53"/>
        <v>855.95826724299332</v>
      </c>
      <c r="AR203" s="35">
        <f t="shared" si="49"/>
        <v>6650.8023872804461</v>
      </c>
      <c r="AS203" s="36">
        <f ca="1">OFFSET(cod_desembolso!$A$1,AM203,23)</f>
        <v>1.1245293369208682</v>
      </c>
      <c r="AT203" s="37">
        <f ca="1">IF(AP203=0,0,AP203*(OFFSET(cod_desembolso!$A$1,AM203,23)))</f>
        <v>962.55018269469861</v>
      </c>
      <c r="AU203" s="38">
        <f>(constantes!$B$3*(1+constantes!$B$3)^(AI203))/((1+constantes!$B$3)^(AI203)-1)</f>
        <v>8.8827433387272267E-2</v>
      </c>
      <c r="AV203" s="37">
        <f t="shared" ca="1" si="54"/>
        <v>91.9358622352201</v>
      </c>
      <c r="AW203" s="37">
        <f ca="1">IF(AP203=0,AY203/constantes!$B$3,AV203/constantes!$B$3)</f>
        <v>1149.1982779402513</v>
      </c>
      <c r="AX203" s="39">
        <f ca="1">IF(AP203=0,0,PV(constantes!$B$3,AI203,-AV203)*constantes!$B$3)</f>
        <v>82.799521480617912</v>
      </c>
      <c r="AY203" s="40">
        <f>constantes!$B$10*F203/1000</f>
        <v>6.4349999999999987</v>
      </c>
      <c r="AZ203" s="533">
        <f>constantes!$B$12</f>
        <v>0</v>
      </c>
      <c r="BA203" s="20">
        <v>318</v>
      </c>
      <c r="BB203" s="43"/>
      <c r="BC203" s="3" t="s">
        <v>2217</v>
      </c>
      <c r="BE203" s="534">
        <v>1</v>
      </c>
      <c r="BF203" s="535">
        <v>2035</v>
      </c>
      <c r="BG203" s="536">
        <v>3</v>
      </c>
      <c r="BH203" s="537">
        <v>2050</v>
      </c>
    </row>
    <row r="204" spans="1:60" ht="13.15" hidden="1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46"/>
      <c r="F204" s="526">
        <v>76</v>
      </c>
      <c r="G204" s="3" t="s">
        <v>2199</v>
      </c>
      <c r="H204" s="3" t="s">
        <v>2200</v>
      </c>
      <c r="I204" s="3">
        <v>-53.081797000000002</v>
      </c>
      <c r="J204" s="3">
        <v>-15.250735000000001</v>
      </c>
      <c r="K204" s="549" t="s">
        <v>160</v>
      </c>
      <c r="L204" s="549" t="s">
        <v>160</v>
      </c>
      <c r="M204" s="554">
        <v>1</v>
      </c>
      <c r="N204" s="540"/>
      <c r="O204" s="529">
        <v>1.9820000000000001E-2</v>
      </c>
      <c r="P204" s="529">
        <v>5.2919999999999995E-2</v>
      </c>
      <c r="Q204" s="288">
        <f t="shared" si="45"/>
        <v>0.63927788220551374</v>
      </c>
      <c r="R204" s="30">
        <f t="shared" si="50"/>
        <v>48.585119047619045</v>
      </c>
      <c r="S204" s="30">
        <f t="shared" si="46"/>
        <v>27.414880952380955</v>
      </c>
      <c r="T204" s="107">
        <v>66.933333333333337</v>
      </c>
      <c r="U204" s="107">
        <v>51.30797619047619</v>
      </c>
      <c r="V204" s="107">
        <v>35.06</v>
      </c>
      <c r="W204" s="107">
        <v>41.039166666666667</v>
      </c>
      <c r="X204" s="288">
        <f t="shared" si="47"/>
        <v>0.69997613519091895</v>
      </c>
      <c r="Y204" s="289">
        <f t="shared" si="51"/>
        <v>53.198186274509837</v>
      </c>
      <c r="Z204" s="289">
        <f t="shared" si="52"/>
        <v>4.6130672268907915</v>
      </c>
      <c r="AA204" s="107">
        <v>68.90584313725499</v>
      </c>
      <c r="AB204" s="107">
        <v>55.644235294117664</v>
      </c>
      <c r="AC204" s="107">
        <v>38.169960784313744</v>
      </c>
      <c r="AD204" s="107">
        <v>50.072705882352942</v>
      </c>
      <c r="AE204" s="106">
        <v>1</v>
      </c>
      <c r="AF204" s="32" t="str">
        <f>IF(AE204=0,"",VLOOKUP(AE204,tab_tipo_expansao!$A$2:$B$4,2,0))</f>
        <v>opcional</v>
      </c>
      <c r="AG204" s="125">
        <v>2028</v>
      </c>
      <c r="AH204" s="125">
        <v>2100</v>
      </c>
      <c r="AI204" s="125">
        <v>30</v>
      </c>
      <c r="AJ204" s="530">
        <v>542.60614507525361</v>
      </c>
      <c r="AK204" s="24">
        <f>AL204/constantes!$B$4</f>
        <v>1830.6550103753495</v>
      </c>
      <c r="AL204" s="33">
        <f t="shared" si="48"/>
        <v>7139.5545404638633</v>
      </c>
      <c r="AM204" s="87">
        <v>2</v>
      </c>
      <c r="AN204" s="531">
        <v>0</v>
      </c>
      <c r="AO204" s="23"/>
      <c r="AP204" s="532">
        <f t="shared" si="53"/>
        <v>542.60614507525361</v>
      </c>
      <c r="AR204" s="35">
        <f t="shared" si="49"/>
        <v>7139.5545404638624</v>
      </c>
      <c r="AS204" s="36">
        <f ca="1">OFFSET(cod_desembolso!$A$1,AM204,23)</f>
        <v>1.1245293369208682</v>
      </c>
      <c r="AT204" s="37">
        <f ca="1">IF(AP204=0,0,AP204*(OFFSET(cod_desembolso!$A$1,AM204,23)))</f>
        <v>610.1765285306634</v>
      </c>
      <c r="AU204" s="38">
        <f>(constantes!$B$3*(1+constantes!$B$3)^(AI204))/((1+constantes!$B$3)^(AI204)-1)</f>
        <v>8.8827433387272267E-2</v>
      </c>
      <c r="AV204" s="37">
        <f t="shared" ca="1" si="54"/>
        <v>58.000414942534533</v>
      </c>
      <c r="AW204" s="37">
        <f ca="1">IF(AP204=0,AY204/constantes!$B$3,AV204/constantes!$B$3)</f>
        <v>725.00518678168169</v>
      </c>
      <c r="AX204" s="39">
        <f ca="1">IF(AP204=0,0,PV(constantes!$B$3,AI204,-AV204)*constantes!$B$3)</f>
        <v>52.23648841876382</v>
      </c>
      <c r="AY204" s="40">
        <f>constantes!$B$10*F204/1000</f>
        <v>3.8</v>
      </c>
      <c r="AZ204" s="533">
        <f>constantes!$B$12</f>
        <v>0</v>
      </c>
      <c r="BA204" s="20">
        <v>318</v>
      </c>
      <c r="BB204" s="43"/>
      <c r="BC204" s="3" t="s">
        <v>2197</v>
      </c>
      <c r="BE204" s="534">
        <v>1</v>
      </c>
      <c r="BF204" s="535">
        <v>2027</v>
      </c>
      <c r="BG204" s="536">
        <v>1</v>
      </c>
      <c r="BH204" s="537">
        <v>2027</v>
      </c>
    </row>
    <row r="205" spans="1:60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46"/>
      <c r="F205" s="526">
        <v>408</v>
      </c>
      <c r="G205" s="3" t="s">
        <v>2199</v>
      </c>
      <c r="H205" s="3" t="s">
        <v>2268</v>
      </c>
      <c r="I205" s="3">
        <v>-52.622920000000001</v>
      </c>
      <c r="J205" s="3">
        <v>-16.285907999999999</v>
      </c>
      <c r="K205" s="549" t="s">
        <v>2005</v>
      </c>
      <c r="L205" s="549" t="s">
        <v>2005</v>
      </c>
      <c r="M205" s="554">
        <v>1</v>
      </c>
      <c r="N205" s="540"/>
      <c r="O205" s="529">
        <v>1.6379999999999999E-2</v>
      </c>
      <c r="P205" s="529">
        <v>6.1409999999999999E-2</v>
      </c>
      <c r="Q205" s="288">
        <f t="shared" si="45"/>
        <v>0.46363470909197013</v>
      </c>
      <c r="R205" s="30">
        <f t="shared" si="50"/>
        <v>189.16296130952381</v>
      </c>
      <c r="S205" s="30">
        <f t="shared" si="46"/>
        <v>218.83703869047619</v>
      </c>
      <c r="T205" s="107">
        <v>195.61666666666665</v>
      </c>
      <c r="U205" s="107">
        <v>192.3609523809524</v>
      </c>
      <c r="V205" s="107">
        <v>164.33041666666665</v>
      </c>
      <c r="W205" s="107">
        <v>204.34380952380954</v>
      </c>
      <c r="X205" s="288">
        <f t="shared" si="47"/>
        <v>0.54359205594002313</v>
      </c>
      <c r="Y205" s="289">
        <f t="shared" si="51"/>
        <v>221.78555882352944</v>
      </c>
      <c r="Z205" s="289">
        <f t="shared" si="52"/>
        <v>32.622597514005633</v>
      </c>
      <c r="AA205" s="107">
        <v>240.94294117647061</v>
      </c>
      <c r="AB205" s="107">
        <v>197.58227450980394</v>
      </c>
      <c r="AC205" s="107">
        <v>206.083568627451</v>
      </c>
      <c r="AD205" s="107">
        <v>242.53345098039219</v>
      </c>
      <c r="AE205" s="106">
        <v>1</v>
      </c>
      <c r="AF205" s="32" t="str">
        <f>IF(AE205=0,"",VLOOKUP(AE205,tab_tipo_expansao!$A$2:$B$4,2,0))</f>
        <v>opcional</v>
      </c>
      <c r="AG205" s="125">
        <v>2030</v>
      </c>
      <c r="AH205" s="125">
        <v>2100</v>
      </c>
      <c r="AI205" s="125">
        <v>30</v>
      </c>
      <c r="AJ205" s="530">
        <v>2490.798592417671</v>
      </c>
      <c r="AK205" s="24">
        <f>AL205/constantes!$B$4</f>
        <v>1565.3585925199038</v>
      </c>
      <c r="AL205" s="33">
        <f t="shared" si="48"/>
        <v>6104.8985108276247</v>
      </c>
      <c r="AM205" s="87">
        <v>3</v>
      </c>
      <c r="AN205" s="531">
        <v>0</v>
      </c>
      <c r="AO205" s="23"/>
      <c r="AP205" s="532">
        <f t="shared" si="53"/>
        <v>2490.798592417671</v>
      </c>
      <c r="AR205" s="35">
        <f t="shared" si="49"/>
        <v>6104.8985108276247</v>
      </c>
      <c r="AS205" s="36">
        <f ca="1">OFFSET(cod_desembolso!$A$1,AM205,23)</f>
        <v>1.1255071012622904</v>
      </c>
      <c r="AT205" s="37">
        <f ca="1">IF(AP205=0,0,AP205*(OFFSET(cod_desembolso!$A$1,AM205,23)))</f>
        <v>2803.411503580206</v>
      </c>
      <c r="AU205" s="38">
        <f>(constantes!$B$3*(1+constantes!$B$3)^(AI205))/((1+constantes!$B$3)^(AI205)-1)</f>
        <v>8.8827433387272267E-2</v>
      </c>
      <c r="AV205" s="37">
        <f t="shared" ca="1" si="54"/>
        <v>269.41984859138353</v>
      </c>
      <c r="AW205" s="37">
        <f ca="1">IF(AP205=0,AY205/constantes!$B$3,AV205/constantes!$B$3)</f>
        <v>3367.7481073922941</v>
      </c>
      <c r="AX205" s="39">
        <f ca="1">IF(AP205=0,0,PV(constantes!$B$3,AI205,-AV205)*constantes!$B$3)</f>
        <v>242.64562270240052</v>
      </c>
      <c r="AY205" s="40">
        <f>constantes!$B$10*F205/1000</f>
        <v>20.399999999999999</v>
      </c>
      <c r="AZ205" s="533">
        <f>constantes!$B$12</f>
        <v>0</v>
      </c>
      <c r="BA205" s="20">
        <v>318</v>
      </c>
      <c r="BB205" s="43"/>
      <c r="BC205" s="3" t="s">
        <v>2183</v>
      </c>
      <c r="BE205" s="534">
        <v>1</v>
      </c>
      <c r="BF205" s="535">
        <v>2027</v>
      </c>
      <c r="BG205" s="536">
        <v>1</v>
      </c>
      <c r="BH205" s="537">
        <v>2027</v>
      </c>
    </row>
    <row r="206" spans="1:60" ht="13.15" hidden="1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46"/>
      <c r="F206" s="526">
        <v>38</v>
      </c>
      <c r="G206" s="3" t="s">
        <v>2231</v>
      </c>
      <c r="H206" s="3" t="s">
        <v>2458</v>
      </c>
      <c r="I206" s="3">
        <v>-41.147545999999998</v>
      </c>
      <c r="J206" s="3">
        <v>-19.492186</v>
      </c>
      <c r="K206" s="549" t="s">
        <v>152</v>
      </c>
      <c r="L206" s="549" t="s">
        <v>152</v>
      </c>
      <c r="M206" s="554">
        <v>1</v>
      </c>
      <c r="N206" s="540"/>
      <c r="O206" s="529">
        <v>2.068E-2</v>
      </c>
      <c r="P206" s="529">
        <v>4.6600000000000003E-2</v>
      </c>
      <c r="Q206" s="288">
        <f t="shared" si="45"/>
        <v>0.60530740914786962</v>
      </c>
      <c r="R206" s="30">
        <f t="shared" si="50"/>
        <v>23.001681547619047</v>
      </c>
      <c r="S206" s="30">
        <f t="shared" si="46"/>
        <v>14.998318452380953</v>
      </c>
      <c r="T206" s="107">
        <v>32.133333333333333</v>
      </c>
      <c r="U206" s="107">
        <v>22.627321428571431</v>
      </c>
      <c r="V206" s="107">
        <v>13.5</v>
      </c>
      <c r="W206" s="107">
        <v>23.74607142857143</v>
      </c>
      <c r="X206" s="288">
        <f t="shared" si="47"/>
        <v>0.60993317853457185</v>
      </c>
      <c r="Y206" s="289">
        <f t="shared" si="51"/>
        <v>23.17746078431373</v>
      </c>
      <c r="Z206" s="289">
        <f t="shared" si="52"/>
        <v>0.17577923669468376</v>
      </c>
      <c r="AA206" s="107">
        <v>32.104196078431386</v>
      </c>
      <c r="AB206" s="107">
        <v>22.139215686274511</v>
      </c>
      <c r="AC206" s="107">
        <v>13.287058823529415</v>
      </c>
      <c r="AD206" s="107">
        <v>25.179372549019604</v>
      </c>
      <c r="AE206" s="106">
        <v>1</v>
      </c>
      <c r="AF206" s="32" t="str">
        <f>IF(AE206=0,"",VLOOKUP(AE206,tab_tipo_expansao!$A$2:$B$4,2,0))</f>
        <v>opcional</v>
      </c>
      <c r="AG206" s="125">
        <v>2028</v>
      </c>
      <c r="AH206" s="125">
        <v>2100</v>
      </c>
      <c r="AI206" s="125">
        <v>30</v>
      </c>
      <c r="AJ206" s="530">
        <v>380</v>
      </c>
      <c r="AK206" s="24">
        <f>AL206/constantes!$B$4</f>
        <v>2564.102564102564</v>
      </c>
      <c r="AL206" s="33">
        <f t="shared" si="48"/>
        <v>10000</v>
      </c>
      <c r="AM206" s="87">
        <v>2</v>
      </c>
      <c r="AN206" s="531">
        <v>0</v>
      </c>
      <c r="AO206" s="23"/>
      <c r="AP206" s="532">
        <f t="shared" si="53"/>
        <v>380</v>
      </c>
      <c r="AR206" s="35">
        <f t="shared" si="49"/>
        <v>10000</v>
      </c>
      <c r="AS206" s="36">
        <f ca="1">OFFSET(cod_desembolso!$A$1,AM206,23)</f>
        <v>1.1245293369208682</v>
      </c>
      <c r="AT206" s="37">
        <f ca="1">IF(AP206=0,0,AP206*(OFFSET(cod_desembolso!$A$1,AM206,23)))</f>
        <v>427.32114802992993</v>
      </c>
      <c r="AU206" s="38">
        <f>(constantes!$B$3*(1+constantes!$B$3)^(AI206))/((1+constantes!$B$3)^(AI206)-1)</f>
        <v>8.8827433387272267E-2</v>
      </c>
      <c r="AV206" s="37">
        <f t="shared" ca="1" si="54"/>
        <v>39.857840811601314</v>
      </c>
      <c r="AW206" s="37">
        <f ca="1">IF(AP206=0,AY206/constantes!$B$3,AV206/constantes!$B$3)</f>
        <v>498.22301014501642</v>
      </c>
      <c r="AX206" s="39">
        <f ca="1">IF(AP206=0,0,PV(constantes!$B$3,AI206,-AV206)*constantes!$B$3)</f>
        <v>35.896874910549776</v>
      </c>
      <c r="AY206" s="40">
        <f>constantes!$B$10*F206/1000</f>
        <v>1.9</v>
      </c>
      <c r="AZ206" s="533">
        <f>constantes!$B$12</f>
        <v>0</v>
      </c>
      <c r="BA206" s="20">
        <v>318</v>
      </c>
      <c r="BB206" s="43"/>
      <c r="BC206" s="3" t="s">
        <v>2197</v>
      </c>
      <c r="BE206" s="534">
        <v>1</v>
      </c>
      <c r="BF206" s="535">
        <v>2027</v>
      </c>
      <c r="BG206" s="536">
        <v>1</v>
      </c>
      <c r="BH206" s="537">
        <v>2027</v>
      </c>
    </row>
    <row r="207" spans="1:60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46"/>
      <c r="F207" s="526">
        <v>252</v>
      </c>
      <c r="G207" s="3" t="s">
        <v>2181</v>
      </c>
      <c r="H207" s="3" t="s">
        <v>2228</v>
      </c>
      <c r="I207" s="3">
        <v>-58.178508999999998</v>
      </c>
      <c r="J207" s="3">
        <v>-10.557206000000001</v>
      </c>
      <c r="K207" s="549" t="s">
        <v>160</v>
      </c>
      <c r="L207" s="549" t="s">
        <v>160</v>
      </c>
      <c r="M207" s="554">
        <v>1</v>
      </c>
      <c r="N207" s="540"/>
      <c r="O207" s="529">
        <v>1.6379999999999999E-2</v>
      </c>
      <c r="P207" s="529">
        <v>6.1409999999999999E-2</v>
      </c>
      <c r="Q207" s="288">
        <f t="shared" si="45"/>
        <v>0.55078951719576719</v>
      </c>
      <c r="R207" s="30">
        <f t="shared" si="50"/>
        <v>138.79895833333333</v>
      </c>
      <c r="S207" s="30">
        <f t="shared" si="46"/>
        <v>113.20104166666667</v>
      </c>
      <c r="T207" s="107">
        <v>202.78</v>
      </c>
      <c r="U207" s="107">
        <v>180.1679761904762</v>
      </c>
      <c r="V207" s="107">
        <v>72.969583333333333</v>
      </c>
      <c r="W207" s="107">
        <v>99.27827380952381</v>
      </c>
      <c r="X207" s="288">
        <f t="shared" si="47"/>
        <v>0.54165522875816985</v>
      </c>
      <c r="Y207" s="289">
        <f t="shared" si="51"/>
        <v>136.49711764705881</v>
      </c>
      <c r="Z207" s="289">
        <f t="shared" si="52"/>
        <v>-2.3018406862745167</v>
      </c>
      <c r="AA207" s="107">
        <v>206.36741176470591</v>
      </c>
      <c r="AB207" s="107">
        <v>165.77745098039216</v>
      </c>
      <c r="AC207" s="107">
        <v>70.776352941176484</v>
      </c>
      <c r="AD207" s="107">
        <v>103.06725490196078</v>
      </c>
      <c r="AE207" s="106">
        <v>1</v>
      </c>
      <c r="AF207" s="32" t="str">
        <f>IF(AE207=0,"",VLOOKUP(AE207,tab_tipo_expansao!$A$2:$B$4,2,0))</f>
        <v>opcional</v>
      </c>
      <c r="AG207" s="125">
        <v>2030</v>
      </c>
      <c r="AH207" s="125">
        <v>2100</v>
      </c>
      <c r="AI207" s="125">
        <v>30</v>
      </c>
      <c r="AJ207" s="530">
        <v>4088.5869013441875</v>
      </c>
      <c r="AK207" s="24">
        <f>AL207/constantes!$B$4</f>
        <v>4160.1413322590433</v>
      </c>
      <c r="AL207" s="33">
        <f t="shared" si="48"/>
        <v>16224.551195810267</v>
      </c>
      <c r="AM207" s="87">
        <v>2</v>
      </c>
      <c r="AN207" s="531">
        <v>0</v>
      </c>
      <c r="AO207" s="23"/>
      <c r="AP207" s="532">
        <f t="shared" si="53"/>
        <v>4088.5869013441875</v>
      </c>
      <c r="AR207" s="35">
        <f t="shared" si="49"/>
        <v>16224.551195810269</v>
      </c>
      <c r="AS207" s="36">
        <f ca="1">OFFSET(cod_desembolso!$A$1,AM207,23)</f>
        <v>1.1245293369208682</v>
      </c>
      <c r="AT207" s="37">
        <f ca="1">IF(AP207=0,0,AP207*(OFFSET(cod_desembolso!$A$1,AM207,23)))</f>
        <v>4597.735917111926</v>
      </c>
      <c r="AU207" s="38">
        <f>(constantes!$B$3*(1+constantes!$B$3)^(AI207))/((1+constantes!$B$3)^(AI207)-1)</f>
        <v>8.8827433387272267E-2</v>
      </c>
      <c r="AV207" s="37">
        <f t="shared" ca="1" si="54"/>
        <v>421.00508090952877</v>
      </c>
      <c r="AW207" s="37">
        <f ca="1">IF(AP207=0,AY207/constantes!$B$3,AV207/constantes!$B$3)</f>
        <v>5262.5635113691096</v>
      </c>
      <c r="AX207" s="39">
        <f ca="1">IF(AP207=0,0,PV(constantes!$B$3,AI207,-AV207)*constantes!$B$3)</f>
        <v>379.16671897882662</v>
      </c>
      <c r="AY207" s="40">
        <f>constantes!$B$10*F207/1000</f>
        <v>12.6</v>
      </c>
      <c r="AZ207" s="533">
        <f>constantes!$B$12</f>
        <v>0</v>
      </c>
      <c r="BA207" s="20">
        <v>318</v>
      </c>
      <c r="BB207" s="43"/>
      <c r="BC207" s="3" t="s">
        <v>2217</v>
      </c>
      <c r="BE207" s="534">
        <v>1</v>
      </c>
      <c r="BF207" s="535">
        <v>2035</v>
      </c>
      <c r="BG207" s="536">
        <v>3</v>
      </c>
      <c r="BH207" s="537">
        <v>2050</v>
      </c>
    </row>
    <row r="208" spans="1:60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46"/>
      <c r="F208" s="526">
        <v>510</v>
      </c>
      <c r="G208" s="3" t="s">
        <v>2181</v>
      </c>
      <c r="H208" s="3" t="s">
        <v>2255</v>
      </c>
      <c r="I208" s="3">
        <v>-58.394278</v>
      </c>
      <c r="J208" s="3">
        <v>-10.524333</v>
      </c>
      <c r="K208" s="549" t="s">
        <v>160</v>
      </c>
      <c r="L208" s="549" t="s">
        <v>160</v>
      </c>
      <c r="M208" s="554">
        <v>10</v>
      </c>
      <c r="N208" s="540"/>
      <c r="O208" s="529">
        <v>1.9820000000000001E-2</v>
      </c>
      <c r="P208" s="529">
        <v>5.2919999999999995E-2</v>
      </c>
      <c r="Q208" s="288">
        <f t="shared" si="45"/>
        <v>0.59207764355742298</v>
      </c>
      <c r="R208" s="30">
        <f t="shared" si="50"/>
        <v>301.95959821428573</v>
      </c>
      <c r="S208" s="30">
        <f t="shared" si="46"/>
        <v>208.04040178571427</v>
      </c>
      <c r="T208" s="107">
        <v>404.78952380952381</v>
      </c>
      <c r="U208" s="107">
        <v>386.57327380952376</v>
      </c>
      <c r="V208" s="107">
        <v>199.66041666666669</v>
      </c>
      <c r="W208" s="107">
        <v>216.81517857142856</v>
      </c>
      <c r="X208" s="288">
        <f t="shared" si="47"/>
        <v>0.5692422914263745</v>
      </c>
      <c r="Y208" s="289">
        <f t="shared" si="51"/>
        <v>290.31356862745099</v>
      </c>
      <c r="Z208" s="289">
        <f t="shared" si="52"/>
        <v>-11.646029586834743</v>
      </c>
      <c r="AA208" s="107">
        <v>405.77941176470586</v>
      </c>
      <c r="AB208" s="107">
        <v>355.60203921568626</v>
      </c>
      <c r="AC208" s="107">
        <v>181.89188235294117</v>
      </c>
      <c r="AD208" s="107">
        <v>217.98094117647057</v>
      </c>
      <c r="AE208" s="106">
        <v>1</v>
      </c>
      <c r="AF208" s="32" t="str">
        <f>IF(AE208=0,"",VLOOKUP(AE208,tab_tipo_expansao!$A$2:$B$4,2,0))</f>
        <v>opcional</v>
      </c>
      <c r="AG208" s="125">
        <v>2030</v>
      </c>
      <c r="AH208" s="125">
        <v>2100</v>
      </c>
      <c r="AI208" s="125">
        <v>30</v>
      </c>
      <c r="AJ208" s="530">
        <v>6045.6071863785164</v>
      </c>
      <c r="AK208" s="24">
        <f>AL208/constantes!$B$4</f>
        <v>3039.5209584607928</v>
      </c>
      <c r="AL208" s="33">
        <f t="shared" si="48"/>
        <v>11854.131737997091</v>
      </c>
      <c r="AM208" s="87">
        <v>3</v>
      </c>
      <c r="AN208" s="531">
        <v>0</v>
      </c>
      <c r="AO208" s="23"/>
      <c r="AP208" s="532">
        <f t="shared" si="53"/>
        <v>6045.6071863785164</v>
      </c>
      <c r="AR208" s="35">
        <f t="shared" si="49"/>
        <v>11854.131737997091</v>
      </c>
      <c r="AS208" s="36">
        <f ca="1">OFFSET(cod_desembolso!$A$1,AM208,23)</f>
        <v>1.1255071012622904</v>
      </c>
      <c r="AT208" s="37">
        <f ca="1">IF(AP208=0,0,AP208*(OFFSET(cod_desembolso!$A$1,AM208,23)))</f>
        <v>6804.3738197113553</v>
      </c>
      <c r="AU208" s="38">
        <f>(constantes!$B$3*(1+constantes!$B$3)^(AI208))/((1+constantes!$B$3)^(AI208)-1)</f>
        <v>8.8827433387272267E-2</v>
      </c>
      <c r="AV208" s="37">
        <f t="shared" ca="1" si="54"/>
        <v>629.91506221250972</v>
      </c>
      <c r="AW208" s="37">
        <f ca="1">IF(AP208=0,AY208/constantes!$B$3,AV208/constantes!$B$3)</f>
        <v>7873.9382776563716</v>
      </c>
      <c r="AX208" s="39">
        <f ca="1">IF(AP208=0,0,PV(constantes!$B$3,AI208,-AV208)*constantes!$B$3)</f>
        <v>567.31578359688854</v>
      </c>
      <c r="AY208" s="40">
        <f>constantes!$B$10*F208/1000</f>
        <v>25.5</v>
      </c>
      <c r="AZ208" s="533">
        <f>constantes!$B$12</f>
        <v>0</v>
      </c>
      <c r="BA208" s="20">
        <v>318</v>
      </c>
      <c r="BB208" s="43"/>
      <c r="BC208" s="3" t="s">
        <v>2217</v>
      </c>
      <c r="BE208" s="534">
        <v>1</v>
      </c>
      <c r="BF208" s="535">
        <v>2035</v>
      </c>
      <c r="BG208" s="536">
        <v>3</v>
      </c>
      <c r="BH208" s="537">
        <v>2050</v>
      </c>
    </row>
    <row r="209" spans="1:60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46"/>
      <c r="F209" s="526">
        <v>620</v>
      </c>
      <c r="G209" s="3" t="s">
        <v>2199</v>
      </c>
      <c r="H209" s="3" t="s">
        <v>2318</v>
      </c>
      <c r="I209" s="3">
        <v>-48.013154999999998</v>
      </c>
      <c r="J209" s="3">
        <v>-8.0801049999999996</v>
      </c>
      <c r="K209" s="549" t="s">
        <v>1983</v>
      </c>
      <c r="L209" s="549" t="s">
        <v>1983</v>
      </c>
      <c r="M209" s="554">
        <v>1</v>
      </c>
      <c r="N209" s="540"/>
      <c r="O209" s="529">
        <v>1.6379999999999999E-2</v>
      </c>
      <c r="P209" s="529">
        <v>6.1409999999999999E-2</v>
      </c>
      <c r="Q209" s="288">
        <f t="shared" si="45"/>
        <v>0.6829794546850998</v>
      </c>
      <c r="R209" s="30">
        <f t="shared" si="50"/>
        <v>423.44726190476189</v>
      </c>
      <c r="S209" s="30">
        <f t="shared" si="46"/>
        <v>196.55273809523811</v>
      </c>
      <c r="T209" s="107">
        <v>518.28190476190468</v>
      </c>
      <c r="U209" s="107">
        <v>410.4997619047619</v>
      </c>
      <c r="V209" s="107">
        <v>341.38291666666669</v>
      </c>
      <c r="W209" s="107">
        <v>423.62446428571428</v>
      </c>
      <c r="X209" s="288">
        <f t="shared" si="47"/>
        <v>0.70783659076533811</v>
      </c>
      <c r="Y209" s="289">
        <f t="shared" si="51"/>
        <v>438.85868627450964</v>
      </c>
      <c r="Z209" s="289">
        <f t="shared" si="52"/>
        <v>15.411424369747749</v>
      </c>
      <c r="AA209" s="107">
        <v>560.44980392156833</v>
      </c>
      <c r="AB209" s="107">
        <v>458.50109803921549</v>
      </c>
      <c r="AC209" s="107">
        <v>317.03486274509805</v>
      </c>
      <c r="AD209" s="107">
        <v>419.44898039215678</v>
      </c>
      <c r="AE209" s="106">
        <v>1</v>
      </c>
      <c r="AF209" s="32" t="str">
        <f>IF(AE209=0,"",VLOOKUP(AE209,tab_tipo_expansao!$A$2:$B$4,2,0))</f>
        <v>opcional</v>
      </c>
      <c r="AG209" s="125">
        <v>2030</v>
      </c>
      <c r="AH209" s="125">
        <v>2100</v>
      </c>
      <c r="AI209" s="125">
        <v>30</v>
      </c>
      <c r="AJ209" s="530">
        <v>4787.1118085904909</v>
      </c>
      <c r="AK209" s="24">
        <f>AL209/constantes!$B$4</f>
        <v>1979.7815585568612</v>
      </c>
      <c r="AL209" s="33">
        <f t="shared" si="48"/>
        <v>7721.1480783717589</v>
      </c>
      <c r="AM209" s="87">
        <v>3</v>
      </c>
      <c r="AN209" s="531">
        <v>0</v>
      </c>
      <c r="AO209" s="23"/>
      <c r="AP209" s="532">
        <f t="shared" si="53"/>
        <v>4787.1118085904909</v>
      </c>
      <c r="AR209" s="35">
        <f t="shared" si="49"/>
        <v>7721.1480783717598</v>
      </c>
      <c r="AS209" s="36">
        <f ca="1">OFFSET(cod_desembolso!$A$1,AM209,23)</f>
        <v>1.1255071012622904</v>
      </c>
      <c r="AT209" s="37">
        <f ca="1">IF(AP209=0,0,AP209*(OFFSET(cod_desembolso!$A$1,AM209,23)))</f>
        <v>5387.9283351051636</v>
      </c>
      <c r="AU209" s="38">
        <f>(constantes!$B$3*(1+constantes!$B$3)^(AI209))/((1+constantes!$B$3)^(AI209)-1)</f>
        <v>8.8827433387272267E-2</v>
      </c>
      <c r="AV209" s="37">
        <f t="shared" ca="1" si="54"/>
        <v>509.59584528195069</v>
      </c>
      <c r="AW209" s="37">
        <f ca="1">IF(AP209=0,AY209/constantes!$B$3,AV209/constantes!$B$3)</f>
        <v>6369.9480660243835</v>
      </c>
      <c r="AX209" s="39">
        <f ca="1">IF(AP209=0,0,PV(constantes!$B$3,AI209,-AV209)*constantes!$B$3)</f>
        <v>458.95356949936928</v>
      </c>
      <c r="AY209" s="40">
        <f>constantes!$B$10*F209/1000</f>
        <v>31</v>
      </c>
      <c r="AZ209" s="533">
        <f>constantes!$B$12</f>
        <v>0</v>
      </c>
      <c r="BA209" s="20">
        <v>318</v>
      </c>
      <c r="BB209" s="43"/>
      <c r="BC209" s="3" t="s">
        <v>2217</v>
      </c>
      <c r="BE209" s="534">
        <v>1</v>
      </c>
      <c r="BF209" s="535">
        <v>2035</v>
      </c>
      <c r="BG209" s="536">
        <v>3</v>
      </c>
      <c r="BH209" s="537">
        <v>2050</v>
      </c>
    </row>
    <row r="210" spans="1:60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46"/>
      <c r="F210" s="526">
        <v>67.8</v>
      </c>
      <c r="G210" s="3" t="s">
        <v>2196</v>
      </c>
      <c r="H210" s="3" t="s">
        <v>2341</v>
      </c>
      <c r="I210" s="3">
        <v>-52.105145</v>
      </c>
      <c r="J210" s="3">
        <v>-23.705766000000001</v>
      </c>
      <c r="K210" s="539" t="s">
        <v>153</v>
      </c>
      <c r="L210" s="539" t="s">
        <v>153</v>
      </c>
      <c r="M210" s="554">
        <v>2</v>
      </c>
      <c r="N210" s="540"/>
      <c r="O210" s="529">
        <v>1.9820000000000001E-2</v>
      </c>
      <c r="P210" s="529">
        <v>5.2919999999999995E-2</v>
      </c>
      <c r="Q210" s="288">
        <f t="shared" si="45"/>
        <v>0.53782746874561038</v>
      </c>
      <c r="R210" s="30">
        <f t="shared" si="50"/>
        <v>36.464702380952382</v>
      </c>
      <c r="S210" s="30">
        <f t="shared" si="46"/>
        <v>31.335297619047616</v>
      </c>
      <c r="T210" s="107">
        <v>37.99</v>
      </c>
      <c r="U210" s="107">
        <v>36.78339285714285</v>
      </c>
      <c r="V210" s="107">
        <v>32.016250000000007</v>
      </c>
      <c r="W210" s="107">
        <v>39.069166666666668</v>
      </c>
      <c r="X210" s="288">
        <f t="shared" si="47"/>
        <v>0.62590433223436903</v>
      </c>
      <c r="Y210" s="289">
        <f t="shared" si="51"/>
        <v>42.436313725490216</v>
      </c>
      <c r="Z210" s="289">
        <f t="shared" si="52"/>
        <v>5.971611344537834</v>
      </c>
      <c r="AA210" s="107">
        <v>46.595411764705908</v>
      </c>
      <c r="AB210" s="107">
        <v>38.63219607843137</v>
      </c>
      <c r="AC210" s="107">
        <v>38.917294117647081</v>
      </c>
      <c r="AD210" s="107">
        <v>45.600352941176503</v>
      </c>
      <c r="AE210" s="106">
        <v>1</v>
      </c>
      <c r="AF210" s="32" t="str">
        <f>IF(AE210=0,"",VLOOKUP(AE210,tab_tipo_expansao!$A$2:$B$4,2,0))</f>
        <v>opcional</v>
      </c>
      <c r="AG210" s="125">
        <v>2030</v>
      </c>
      <c r="AH210" s="125">
        <v>2100</v>
      </c>
      <c r="AI210" s="125">
        <v>30</v>
      </c>
      <c r="AJ210" s="530">
        <v>748.31871284519434</v>
      </c>
      <c r="AK210" s="24">
        <f>AL210/constantes!$B$4</f>
        <v>2830.0382453868629</v>
      </c>
      <c r="AL210" s="33">
        <f t="shared" si="48"/>
        <v>11037.149157008766</v>
      </c>
      <c r="AM210" s="87">
        <v>2</v>
      </c>
      <c r="AN210" s="531">
        <v>0</v>
      </c>
      <c r="AO210" s="23"/>
      <c r="AP210" s="532">
        <f t="shared" si="53"/>
        <v>748.31871284519434</v>
      </c>
      <c r="AR210" s="35">
        <f t="shared" si="49"/>
        <v>11037.149157008767</v>
      </c>
      <c r="AS210" s="36">
        <f ca="1">OFFSET(cod_desembolso!$A$1,AM210,23)</f>
        <v>1.1245293369208682</v>
      </c>
      <c r="AT210" s="37">
        <f ca="1">IF(AP210=0,0,AP210*(OFFSET(cod_desembolso!$A$1,AM210,23)))</f>
        <v>841.50634596128396</v>
      </c>
      <c r="AU210" s="38">
        <f>(constantes!$B$3*(1+constantes!$B$3)^(AI210))/((1+constantes!$B$3)^(AI210)-1)</f>
        <v>8.8827433387272267E-2</v>
      </c>
      <c r="AV210" s="37">
        <f t="shared" ca="1" si="54"/>
        <v>78.138848890842837</v>
      </c>
      <c r="AW210" s="37">
        <f ca="1">IF(AP210=0,AY210/constantes!$B$3,AV210/constantes!$B$3)</f>
        <v>976.73561113553546</v>
      </c>
      <c r="AX210" s="39">
        <f ca="1">IF(AP210=0,0,PV(constantes!$B$3,AI210,-AV210)*constantes!$B$3)</f>
        <v>70.373618519558875</v>
      </c>
      <c r="AY210" s="40">
        <f>constantes!$B$10*F210/1000</f>
        <v>3.39</v>
      </c>
      <c r="AZ210" s="533">
        <f>constantes!$B$12</f>
        <v>0</v>
      </c>
      <c r="BA210" s="20">
        <v>318</v>
      </c>
      <c r="BB210" s="43"/>
      <c r="BC210" s="3" t="s">
        <v>2185</v>
      </c>
      <c r="BE210" s="534">
        <v>1</v>
      </c>
      <c r="BF210" s="535">
        <v>2030</v>
      </c>
      <c r="BG210" s="536">
        <v>1</v>
      </c>
      <c r="BH210" s="537">
        <v>2030</v>
      </c>
    </row>
    <row r="211" spans="1:60" ht="14.45" hidden="1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46"/>
      <c r="F211" s="526">
        <v>134</v>
      </c>
      <c r="G211" s="3" t="s">
        <v>2246</v>
      </c>
      <c r="H211" s="3" t="s">
        <v>2246</v>
      </c>
      <c r="I211" s="3">
        <v>-44.568579999999997</v>
      </c>
      <c r="J211" s="3">
        <v>-7.2323339999999998</v>
      </c>
      <c r="K211" s="539" t="s">
        <v>1985</v>
      </c>
      <c r="L211" s="539" t="s">
        <v>1985</v>
      </c>
      <c r="M211" s="554">
        <v>3</v>
      </c>
      <c r="N211" s="540"/>
      <c r="O211" s="529">
        <v>1.6379999999999999E-2</v>
      </c>
      <c r="P211" s="529">
        <v>6.1409999999999999E-2</v>
      </c>
      <c r="Q211" s="288">
        <f t="shared" si="45"/>
        <v>0.62194607320540152</v>
      </c>
      <c r="R211" s="30">
        <f t="shared" si="50"/>
        <v>83.34077380952381</v>
      </c>
      <c r="S211" s="30">
        <f t="shared" si="46"/>
        <v>50.65922619047619</v>
      </c>
      <c r="T211" s="107">
        <v>105.01714285714286</v>
      </c>
      <c r="U211" s="107">
        <v>83.256785714285712</v>
      </c>
      <c r="V211" s="107">
        <v>56.24</v>
      </c>
      <c r="W211" s="107">
        <v>88.849166666666676</v>
      </c>
      <c r="X211" s="288">
        <f t="shared" si="47"/>
        <v>0.6462346356453027</v>
      </c>
      <c r="Y211" s="289">
        <f t="shared" si="51"/>
        <v>86.595441176470558</v>
      </c>
      <c r="Z211" s="289">
        <f t="shared" si="52"/>
        <v>3.2546673669467481</v>
      </c>
      <c r="AA211" s="107">
        <v>117.82541176470581</v>
      </c>
      <c r="AB211" s="107">
        <v>92.403450980392108</v>
      </c>
      <c r="AC211" s="107">
        <v>49.57050980392156</v>
      </c>
      <c r="AD211" s="107">
        <v>86.582392156862781</v>
      </c>
      <c r="AE211" s="106">
        <v>1</v>
      </c>
      <c r="AF211" s="32" t="str">
        <f>IF(AE211=0,"",VLOOKUP(AE211,tab_tipo_expansao!$A$2:$B$4,2,0))</f>
        <v>opcional</v>
      </c>
      <c r="AG211" s="125">
        <v>2028</v>
      </c>
      <c r="AH211" s="125">
        <v>2100</v>
      </c>
      <c r="AI211" s="125">
        <v>30</v>
      </c>
      <c r="AJ211" s="530">
        <v>1306.8586318038888</v>
      </c>
      <c r="AK211" s="24">
        <f>AL211/constantes!$B$4</f>
        <v>2500.6862453193435</v>
      </c>
      <c r="AL211" s="33">
        <f t="shared" si="48"/>
        <v>9752.67635674544</v>
      </c>
      <c r="AM211" s="87">
        <v>2</v>
      </c>
      <c r="AN211" s="531">
        <v>0</v>
      </c>
      <c r="AO211" s="23"/>
      <c r="AP211" s="532">
        <f t="shared" si="53"/>
        <v>1306.8586318038888</v>
      </c>
      <c r="AR211" s="35">
        <f t="shared" si="49"/>
        <v>9752.6763567454382</v>
      </c>
      <c r="AS211" s="36">
        <f ca="1">OFFSET(cod_desembolso!$A$1,AM211,23)</f>
        <v>1.1245293369208682</v>
      </c>
      <c r="AT211" s="37">
        <f ca="1">IF(AP211=0,0,AP211*(OFFSET(cod_desembolso!$A$1,AM211,23)))</f>
        <v>1469.60087067174</v>
      </c>
      <c r="AU211" s="38">
        <f>(constantes!$B$3*(1+constantes!$B$3)^(AI211))/((1+constantes!$B$3)^(AI211)-1)</f>
        <v>8.8827433387272267E-2</v>
      </c>
      <c r="AV211" s="37">
        <f t="shared" ca="1" si="54"/>
        <v>137.24087344547129</v>
      </c>
      <c r="AW211" s="37">
        <f ca="1">IF(AP211=0,AY211/constantes!$B$3,AV211/constantes!$B$3)</f>
        <v>1715.5109180683912</v>
      </c>
      <c r="AX211" s="39">
        <f ca="1">IF(AP211=0,0,PV(constantes!$B$3,AI211,-AV211)*constantes!$B$3)</f>
        <v>123.60224152565551</v>
      </c>
      <c r="AY211" s="40">
        <f>constantes!$B$10*F211/1000</f>
        <v>6.7</v>
      </c>
      <c r="AZ211" s="533">
        <f>constantes!$B$12</f>
        <v>0</v>
      </c>
      <c r="BA211" s="20">
        <v>318</v>
      </c>
      <c r="BB211" s="43"/>
      <c r="BC211" s="3" t="s">
        <v>2197</v>
      </c>
      <c r="BE211" s="534">
        <v>1</v>
      </c>
      <c r="BF211" s="535">
        <v>2027</v>
      </c>
      <c r="BG211" s="536">
        <v>1</v>
      </c>
      <c r="BH211" s="537">
        <v>2027</v>
      </c>
    </row>
    <row r="212" spans="1:60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46"/>
      <c r="F212" s="526">
        <v>291.5</v>
      </c>
      <c r="G212" s="3" t="s">
        <v>2181</v>
      </c>
      <c r="H212" s="3" t="s">
        <v>2192</v>
      </c>
      <c r="I212" s="3">
        <v>-53.158130999999997</v>
      </c>
      <c r="J212" s="3">
        <v>0.52365600000000001</v>
      </c>
      <c r="K212" s="539" t="s">
        <v>2001</v>
      </c>
      <c r="L212" s="539" t="s">
        <v>2001</v>
      </c>
      <c r="M212" s="554">
        <v>4</v>
      </c>
      <c r="N212" s="540"/>
      <c r="O212" s="529">
        <v>1.6379999999999999E-2</v>
      </c>
      <c r="P212" s="529">
        <v>6.1409999999999999E-2</v>
      </c>
      <c r="Q212" s="288">
        <f t="shared" si="45"/>
        <v>0.52926233357837127</v>
      </c>
      <c r="R212" s="30">
        <f t="shared" si="50"/>
        <v>154.27997023809522</v>
      </c>
      <c r="S212" s="30">
        <f t="shared" si="46"/>
        <v>137.22002976190478</v>
      </c>
      <c r="T212" s="107">
        <v>175.87761904761908</v>
      </c>
      <c r="U212" s="107">
        <v>253.20083333333332</v>
      </c>
      <c r="V212" s="107">
        <v>141.18208333333331</v>
      </c>
      <c r="W212" s="107">
        <v>46.859345238095244</v>
      </c>
      <c r="X212" s="288">
        <f t="shared" si="47"/>
        <v>0.4818203343086806</v>
      </c>
      <c r="Y212" s="289">
        <f t="shared" si="51"/>
        <v>140.45062745098039</v>
      </c>
      <c r="Z212" s="289">
        <f t="shared" si="52"/>
        <v>-13.829342787114825</v>
      </c>
      <c r="AA212" s="107">
        <v>142.94003921568631</v>
      </c>
      <c r="AB212" s="107">
        <v>244.68368627450982</v>
      </c>
      <c r="AC212" s="107">
        <v>132.33317647058817</v>
      </c>
      <c r="AD212" s="107">
        <v>41.845607843137252</v>
      </c>
      <c r="AE212" s="106">
        <v>1</v>
      </c>
      <c r="AF212" s="32" t="str">
        <f>IF(AE212=0,"",VLOOKUP(AE212,tab_tipo_expansao!$A$2:$B$4,2,0))</f>
        <v>opcional</v>
      </c>
      <c r="AG212" s="125">
        <v>2030</v>
      </c>
      <c r="AH212" s="125">
        <v>2100</v>
      </c>
      <c r="AI212" s="125">
        <v>30</v>
      </c>
      <c r="AJ212" s="530">
        <v>2956.3251841469773</v>
      </c>
      <c r="AK212" s="24">
        <f>AL212/constantes!$B$4</f>
        <v>2600.453168093396</v>
      </c>
      <c r="AL212" s="33">
        <f t="shared" si="48"/>
        <v>10141.767355564245</v>
      </c>
      <c r="AM212" s="87">
        <v>2</v>
      </c>
      <c r="AN212" s="531">
        <v>0</v>
      </c>
      <c r="AO212" s="23"/>
      <c r="AP212" s="532">
        <f t="shared" si="53"/>
        <v>2956.3251841469773</v>
      </c>
      <c r="AR212" s="35">
        <f t="shared" si="49"/>
        <v>10141.767355564245</v>
      </c>
      <c r="AS212" s="36">
        <f ca="1">OFFSET(cod_desembolso!$A$1,AM212,23)</f>
        <v>1.1245293369208682</v>
      </c>
      <c r="AT212" s="37">
        <f ca="1">IF(AP212=0,0,AP212*(OFFSET(cod_desembolso!$A$1,AM212,23)))</f>
        <v>3324.4743990512638</v>
      </c>
      <c r="AU212" s="38">
        <f>(constantes!$B$3*(1+constantes!$B$3)^(AI212))/((1+constantes!$B$3)^(AI212)-1)</f>
        <v>8.8827433387272267E-2</v>
      </c>
      <c r="AV212" s="37">
        <f t="shared" ca="1" si="54"/>
        <v>309.87952822941816</v>
      </c>
      <c r="AW212" s="37">
        <f ca="1">IF(AP212=0,AY212/constantes!$B$3,AV212/constantes!$B$3)</f>
        <v>3873.4941028677267</v>
      </c>
      <c r="AX212" s="39">
        <f ca="1">IF(AP212=0,0,PV(constantes!$B$3,AI212,-AV212)*constantes!$B$3)</f>
        <v>279.08452730218772</v>
      </c>
      <c r="AY212" s="40">
        <f>constantes!$B$10*F212/1000</f>
        <v>14.574999999999999</v>
      </c>
      <c r="AZ212" s="533">
        <f>constantes!$B$12</f>
        <v>0</v>
      </c>
      <c r="BA212" s="20">
        <v>318</v>
      </c>
      <c r="BB212" s="43"/>
      <c r="BC212" s="3" t="s">
        <v>2183</v>
      </c>
      <c r="BE212" s="534">
        <v>1</v>
      </c>
      <c r="BF212" s="535">
        <v>2027</v>
      </c>
      <c r="BG212" s="536">
        <v>1</v>
      </c>
      <c r="BH212" s="537">
        <v>2027</v>
      </c>
    </row>
    <row r="213" spans="1:60" ht="14.45" hidden="1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46"/>
      <c r="F213" s="526">
        <v>48.3</v>
      </c>
      <c r="G213" s="3" t="s">
        <v>2196</v>
      </c>
      <c r="H213" s="3" t="s">
        <v>2127</v>
      </c>
      <c r="I213" s="3">
        <v>-50.423791000000001</v>
      </c>
      <c r="J213" s="3">
        <v>-17.878122000000001</v>
      </c>
      <c r="K213" s="539" t="s">
        <v>2005</v>
      </c>
      <c r="L213" s="539" t="s">
        <v>2005</v>
      </c>
      <c r="M213" s="554">
        <v>1</v>
      </c>
      <c r="N213" s="540"/>
      <c r="O213" s="529">
        <v>2.068E-2</v>
      </c>
      <c r="P213" s="529">
        <v>4.6600000000000003E-2</v>
      </c>
      <c r="Q213" s="288">
        <f t="shared" si="45"/>
        <v>0.72261504239376917</v>
      </c>
      <c r="R213" s="30">
        <f t="shared" si="50"/>
        <v>34.902306547619048</v>
      </c>
      <c r="S213" s="30">
        <f t="shared" si="46"/>
        <v>13.397693452380949</v>
      </c>
      <c r="T213" s="107">
        <v>43.077619047619045</v>
      </c>
      <c r="U213" s="107">
        <v>35.296369047619052</v>
      </c>
      <c r="V213" s="107">
        <v>25.99625</v>
      </c>
      <c r="W213" s="107">
        <v>35.238988095238099</v>
      </c>
      <c r="X213" s="288">
        <f t="shared" si="47"/>
        <v>0.7583361750497295</v>
      </c>
      <c r="Y213" s="289">
        <f t="shared" si="51"/>
        <v>36.627637254901934</v>
      </c>
      <c r="Z213" s="289">
        <f t="shared" si="52"/>
        <v>1.7253307072828861</v>
      </c>
      <c r="AA213" s="107">
        <v>44.272274509803879</v>
      </c>
      <c r="AB213" s="107">
        <v>38.246117647058803</v>
      </c>
      <c r="AC213" s="107">
        <v>27.292039215686259</v>
      </c>
      <c r="AD213" s="107">
        <v>36.700117647058796</v>
      </c>
      <c r="AE213" s="106">
        <v>1</v>
      </c>
      <c r="AF213" s="32" t="str">
        <f>IF(AE213=0,"",VLOOKUP(AE213,tab_tipo_expansao!$A$2:$B$4,2,0))</f>
        <v>opcional</v>
      </c>
      <c r="AG213" s="125">
        <v>2028</v>
      </c>
      <c r="AH213" s="125">
        <v>2100</v>
      </c>
      <c r="AI213" s="125">
        <v>30</v>
      </c>
      <c r="AJ213" s="530">
        <v>541.34337180672844</v>
      </c>
      <c r="AK213" s="24">
        <f>AL213/constantes!$B$4</f>
        <v>2873.8300780736236</v>
      </c>
      <c r="AL213" s="33">
        <f t="shared" si="48"/>
        <v>11207.937304487132</v>
      </c>
      <c r="AM213" s="87">
        <v>2</v>
      </c>
      <c r="AN213" s="531">
        <v>0</v>
      </c>
      <c r="AO213" s="23"/>
      <c r="AP213" s="532">
        <f t="shared" si="53"/>
        <v>541.34337180672844</v>
      </c>
      <c r="AR213" s="35">
        <f t="shared" si="49"/>
        <v>11207.937304487132</v>
      </c>
      <c r="AS213" s="36">
        <f ca="1">OFFSET(cod_desembolso!$A$1,AM213,23)</f>
        <v>1.1245293369208682</v>
      </c>
      <c r="AT213" s="37">
        <f ca="1">IF(AP213=0,0,AP213*(OFFSET(cod_desembolso!$A$1,AM213,23)))</f>
        <v>608.75650294432739</v>
      </c>
      <c r="AU213" s="38">
        <f>(constantes!$B$3*(1+constantes!$B$3)^(AI213))/((1+constantes!$B$3)^(AI213)-1)</f>
        <v>8.8827433387272267E-2</v>
      </c>
      <c r="AV213" s="37">
        <f t="shared" ca="1" si="54"/>
        <v>56.489277714356056</v>
      </c>
      <c r="AW213" s="37">
        <f ca="1">IF(AP213=0,AY213/constantes!$B$3,AV213/constantes!$B$3)</f>
        <v>706.11597142945072</v>
      </c>
      <c r="AX213" s="39">
        <f ca="1">IF(AP213=0,0,PV(constantes!$B$3,AI213,-AV213)*constantes!$B$3)</f>
        <v>50.875523977438426</v>
      </c>
      <c r="AY213" s="40">
        <f>constantes!$B$10*F213/1000</f>
        <v>2.415</v>
      </c>
      <c r="AZ213" s="533">
        <f>constantes!$B$12</f>
        <v>0</v>
      </c>
      <c r="BA213" s="20">
        <v>318</v>
      </c>
      <c r="BB213" s="43"/>
      <c r="BC213" s="3" t="s">
        <v>2197</v>
      </c>
      <c r="BE213" s="534">
        <v>1</v>
      </c>
      <c r="BF213" s="535">
        <v>2027</v>
      </c>
      <c r="BG213" s="536">
        <v>1</v>
      </c>
      <c r="BH213" s="537">
        <v>2027</v>
      </c>
    </row>
    <row r="214" spans="1:60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46"/>
      <c r="F214" s="526">
        <v>58.9</v>
      </c>
      <c r="G214" s="3" t="s">
        <v>2199</v>
      </c>
      <c r="H214" s="3" t="s">
        <v>2350</v>
      </c>
      <c r="I214" s="3">
        <v>-47.387498999999998</v>
      </c>
      <c r="J214" s="3">
        <v>-10.044995</v>
      </c>
      <c r="K214" s="539" t="s">
        <v>1983</v>
      </c>
      <c r="L214" s="539" t="s">
        <v>1983</v>
      </c>
      <c r="M214" s="554">
        <v>1</v>
      </c>
      <c r="N214" s="540"/>
      <c r="O214" s="529">
        <v>1.9820000000000001E-2</v>
      </c>
      <c r="P214" s="529">
        <v>5.2919999999999995E-2</v>
      </c>
      <c r="Q214" s="288">
        <f t="shared" si="45"/>
        <v>0.61346966205837172</v>
      </c>
      <c r="R214" s="30">
        <f t="shared" si="50"/>
        <v>36.133363095238096</v>
      </c>
      <c r="S214" s="30">
        <f t="shared" si="46"/>
        <v>22.766636904761903</v>
      </c>
      <c r="T214" s="107">
        <v>47.618095238095236</v>
      </c>
      <c r="U214" s="107">
        <v>38.589702380952382</v>
      </c>
      <c r="V214" s="107">
        <v>22.743333333333329</v>
      </c>
      <c r="W214" s="107">
        <v>35.582321428571426</v>
      </c>
      <c r="X214" s="288">
        <f t="shared" si="47"/>
        <v>0.6597498252272046</v>
      </c>
      <c r="Y214" s="289">
        <f t="shared" si="51"/>
        <v>38.859264705882353</v>
      </c>
      <c r="Z214" s="289">
        <f t="shared" si="52"/>
        <v>2.7259016106442573</v>
      </c>
      <c r="AA214" s="107">
        <v>49.217999999999996</v>
      </c>
      <c r="AB214" s="107">
        <v>40.725921568627449</v>
      </c>
      <c r="AC214" s="107">
        <v>26.280901960784316</v>
      </c>
      <c r="AD214" s="107">
        <v>39.212235294117647</v>
      </c>
      <c r="AE214" s="106">
        <v>1</v>
      </c>
      <c r="AF214" s="32" t="str">
        <f>IF(AE214=0,"",VLOOKUP(AE214,tab_tipo_expansao!$A$2:$B$4,2,0))</f>
        <v>opcional</v>
      </c>
      <c r="AG214" s="125">
        <v>2030</v>
      </c>
      <c r="AH214" s="125">
        <v>2100</v>
      </c>
      <c r="AI214" s="125">
        <v>30</v>
      </c>
      <c r="AJ214" s="530">
        <v>646.05142336367828</v>
      </c>
      <c r="AK214" s="24">
        <f>AL214/constantes!$B$4</f>
        <v>2812.4653840219335</v>
      </c>
      <c r="AL214" s="33">
        <f t="shared" si="48"/>
        <v>10968.614997685539</v>
      </c>
      <c r="AM214" s="87">
        <v>2</v>
      </c>
      <c r="AN214" s="531">
        <v>0</v>
      </c>
      <c r="AO214" s="23"/>
      <c r="AP214" s="532">
        <f t="shared" si="53"/>
        <v>646.05142336367828</v>
      </c>
      <c r="AR214" s="35">
        <f t="shared" si="49"/>
        <v>10968.614997685539</v>
      </c>
      <c r="AS214" s="36">
        <f ca="1">OFFSET(cod_desembolso!$A$1,AM214,23)</f>
        <v>1.1245293369208682</v>
      </c>
      <c r="AT214" s="37">
        <f ca="1">IF(AP214=0,0,AP214*(OFFSET(cod_desembolso!$A$1,AM214,23)))</f>
        <v>726.5037787319402</v>
      </c>
      <c r="AU214" s="38">
        <f>(constantes!$B$3*(1+constantes!$B$3)^(AI214))/((1+constantes!$B$3)^(AI214)-1)</f>
        <v>8.8827433387272267E-2</v>
      </c>
      <c r="AV214" s="37">
        <f t="shared" ca="1" si="54"/>
        <v>67.478466010912996</v>
      </c>
      <c r="AW214" s="37">
        <f ca="1">IF(AP214=0,AY214/constantes!$B$3,AV214/constantes!$B$3)</f>
        <v>843.48082513641248</v>
      </c>
      <c r="AX214" s="39">
        <f ca="1">IF(AP214=0,0,PV(constantes!$B$3,AI214,-AV214)*constantes!$B$3)</f>
        <v>60.772636054196035</v>
      </c>
      <c r="AY214" s="40">
        <f>constantes!$B$10*F214/1000</f>
        <v>2.9449999999999998</v>
      </c>
      <c r="AZ214" s="533">
        <f>constantes!$B$12</f>
        <v>0</v>
      </c>
      <c r="BA214" s="20">
        <v>318</v>
      </c>
      <c r="BB214" s="43"/>
      <c r="BC214" s="3" t="s">
        <v>2183</v>
      </c>
      <c r="BE214" s="534">
        <v>1</v>
      </c>
      <c r="BF214" s="535">
        <v>2027</v>
      </c>
      <c r="BG214" s="536">
        <v>1</v>
      </c>
      <c r="BH214" s="537">
        <v>2027</v>
      </c>
    </row>
    <row r="215" spans="1:60" ht="14.45" hidden="1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46"/>
      <c r="F215" s="526">
        <v>39.1</v>
      </c>
      <c r="G215" s="3" t="s">
        <v>2196</v>
      </c>
      <c r="H215" s="3" t="s">
        <v>2341</v>
      </c>
      <c r="I215" s="3">
        <v>-51.931888000000001</v>
      </c>
      <c r="J215" s="3">
        <v>-23.91966</v>
      </c>
      <c r="K215" s="539" t="s">
        <v>153</v>
      </c>
      <c r="L215" s="539" t="s">
        <v>153</v>
      </c>
      <c r="M215" s="554">
        <v>2</v>
      </c>
      <c r="N215" s="540"/>
      <c r="O215" s="529">
        <v>2.068E-2</v>
      </c>
      <c r="P215" s="529">
        <v>4.6600000000000003E-2</v>
      </c>
      <c r="Q215" s="288">
        <f t="shared" si="45"/>
        <v>0.57485842162952128</v>
      </c>
      <c r="R215" s="30">
        <f t="shared" si="50"/>
        <v>22.476964285714285</v>
      </c>
      <c r="S215" s="30">
        <f t="shared" si="46"/>
        <v>16.623035714285717</v>
      </c>
      <c r="T215" s="107">
        <v>23.674761904761905</v>
      </c>
      <c r="U215" s="107">
        <v>22.375952380952381</v>
      </c>
      <c r="V215" s="107">
        <v>19.672916666666666</v>
      </c>
      <c r="W215" s="107">
        <v>24.184226190476192</v>
      </c>
      <c r="X215" s="288">
        <f t="shared" si="47"/>
        <v>0.65642445213379463</v>
      </c>
      <c r="Y215" s="289">
        <f t="shared" si="51"/>
        <v>25.666196078431373</v>
      </c>
      <c r="Z215" s="289">
        <f t="shared" si="52"/>
        <v>3.1892317927170879</v>
      </c>
      <c r="AA215" s="107">
        <v>28.006588235294107</v>
      </c>
      <c r="AB215" s="107">
        <v>23.318274509803928</v>
      </c>
      <c r="AC215" s="107">
        <v>23.874941176470585</v>
      </c>
      <c r="AD215" s="107">
        <v>27.464980392156871</v>
      </c>
      <c r="AE215" s="106">
        <v>1</v>
      </c>
      <c r="AF215" s="32" t="str">
        <f>IF(AE215=0,"",VLOOKUP(AE215,tab_tipo_expansao!$A$2:$B$4,2,0))</f>
        <v>opcional</v>
      </c>
      <c r="AG215" s="125">
        <v>2028</v>
      </c>
      <c r="AH215" s="125">
        <v>2100</v>
      </c>
      <c r="AI215" s="125">
        <v>30</v>
      </c>
      <c r="AJ215" s="530">
        <v>556.40596070375307</v>
      </c>
      <c r="AK215" s="24">
        <f>AL215/constantes!$B$4</f>
        <v>3648.8029425126438</v>
      </c>
      <c r="AL215" s="33">
        <f t="shared" si="48"/>
        <v>14230.33147579931</v>
      </c>
      <c r="AM215" s="87">
        <v>2</v>
      </c>
      <c r="AN215" s="531">
        <v>0</v>
      </c>
      <c r="AO215" s="23"/>
      <c r="AP215" s="532">
        <f t="shared" si="53"/>
        <v>556.40596070375307</v>
      </c>
      <c r="AR215" s="35">
        <f t="shared" si="49"/>
        <v>14230.33147579931</v>
      </c>
      <c r="AS215" s="36">
        <f ca="1">OFFSET(cod_desembolso!$A$1,AM215,23)</f>
        <v>1.1245293369208682</v>
      </c>
      <c r="AT215" s="37">
        <f ca="1">IF(AP215=0,0,AP215*(OFFSET(cod_desembolso!$A$1,AM215,23)))</f>
        <v>625.69482604901009</v>
      </c>
      <c r="AU215" s="38">
        <f>(constantes!$B$3*(1+constantes!$B$3)^(AI215))/((1+constantes!$B$3)^(AI215)-1)</f>
        <v>8.8827433387272267E-2</v>
      </c>
      <c r="AV215" s="37">
        <f t="shared" ca="1" si="54"/>
        <v>57.533865481629348</v>
      </c>
      <c r="AW215" s="37">
        <f ca="1">IF(AP215=0,AY215/constantes!$B$3,AV215/constantes!$B$3)</f>
        <v>719.17331852036682</v>
      </c>
      <c r="AX215" s="39">
        <f ca="1">IF(AP215=0,0,PV(constantes!$B$3,AI215,-AV215)*constantes!$B$3)</f>
        <v>51.816303398785941</v>
      </c>
      <c r="AY215" s="40">
        <f>constantes!$B$10*F215/1000</f>
        <v>1.9550000000000001</v>
      </c>
      <c r="AZ215" s="533">
        <f>constantes!$B$12</f>
        <v>0</v>
      </c>
      <c r="BA215" s="20">
        <v>318</v>
      </c>
      <c r="BB215" s="43"/>
      <c r="BC215" s="3" t="s">
        <v>2197</v>
      </c>
      <c r="BE215" s="534">
        <v>1</v>
      </c>
      <c r="BF215" s="535">
        <v>2027</v>
      </c>
      <c r="BG215" s="536">
        <v>1</v>
      </c>
      <c r="BH215" s="537">
        <v>2027</v>
      </c>
    </row>
    <row r="216" spans="1:60" ht="14.45" hidden="1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46"/>
      <c r="F216" s="526">
        <v>63</v>
      </c>
      <c r="G216" s="3" t="s">
        <v>2196</v>
      </c>
      <c r="H216" s="3" t="s">
        <v>2226</v>
      </c>
      <c r="I216" s="3">
        <v>-48.246110999999999</v>
      </c>
      <c r="J216" s="3">
        <v>-20.767778</v>
      </c>
      <c r="K216" s="539" t="s">
        <v>148</v>
      </c>
      <c r="L216" s="539" t="s">
        <v>148</v>
      </c>
      <c r="M216" s="554">
        <v>1</v>
      </c>
      <c r="N216" s="540"/>
      <c r="O216" s="529">
        <v>1.9820000000000001E-2</v>
      </c>
      <c r="P216" s="529">
        <v>5.2919999999999995E-2</v>
      </c>
      <c r="Q216" s="288">
        <f t="shared" si="45"/>
        <v>0.52047241118669685</v>
      </c>
      <c r="R216" s="30">
        <f t="shared" si="50"/>
        <v>32.789761904761903</v>
      </c>
      <c r="S216" s="30">
        <f t="shared" si="46"/>
        <v>30.210238095238097</v>
      </c>
      <c r="T216" s="107">
        <v>43.269047619047626</v>
      </c>
      <c r="U216" s="107">
        <v>35.929642857142859</v>
      </c>
      <c r="V216" s="107">
        <v>23.40291666666667</v>
      </c>
      <c r="W216" s="107">
        <v>28.557440476190475</v>
      </c>
      <c r="X216" s="288">
        <f t="shared" si="47"/>
        <v>0.64174089635854337</v>
      </c>
      <c r="Y216" s="289">
        <f t="shared" si="51"/>
        <v>40.429676470588234</v>
      </c>
      <c r="Z216" s="289">
        <f t="shared" si="52"/>
        <v>7.6399145658263308</v>
      </c>
      <c r="AA216" s="107">
        <v>50.264745098039221</v>
      </c>
      <c r="AB216" s="107">
        <v>42.877686274509813</v>
      </c>
      <c r="AC216" s="107">
        <v>30.598156862745089</v>
      </c>
      <c r="AD216" s="107">
        <v>37.978117647058831</v>
      </c>
      <c r="AE216" s="106">
        <v>1</v>
      </c>
      <c r="AF216" s="32" t="str">
        <f>IF(AE216=0,"",VLOOKUP(AE216,tab_tipo_expansao!$A$2:$B$4,2,0))</f>
        <v>opcional</v>
      </c>
      <c r="AG216" s="125">
        <v>2028</v>
      </c>
      <c r="AH216" s="125">
        <v>2100</v>
      </c>
      <c r="AI216" s="125">
        <v>30</v>
      </c>
      <c r="AJ216" s="530">
        <v>740.06252959159667</v>
      </c>
      <c r="AK216" s="24">
        <f>AL216/constantes!$B$4</f>
        <v>3012.0575074953058</v>
      </c>
      <c r="AL216" s="33">
        <f t="shared" si="48"/>
        <v>11747.024279231693</v>
      </c>
      <c r="AM216" s="87">
        <v>2</v>
      </c>
      <c r="AN216" s="531">
        <v>0</v>
      </c>
      <c r="AO216" s="23"/>
      <c r="AP216" s="532">
        <f t="shared" si="53"/>
        <v>740.06252959159667</v>
      </c>
      <c r="AR216" s="35">
        <f t="shared" si="49"/>
        <v>11747.024279231693</v>
      </c>
      <c r="AS216" s="36">
        <f ca="1">OFFSET(cod_desembolso!$A$1,AM216,23)</f>
        <v>1.1245293369208682</v>
      </c>
      <c r="AT216" s="37">
        <f ca="1">IF(AP216=0,0,AP216*(OFFSET(cod_desembolso!$A$1,AM216,23)))</f>
        <v>832.22202568161856</v>
      </c>
      <c r="AU216" s="38">
        <f>(constantes!$B$3*(1+constantes!$B$3)^(AI216))/((1+constantes!$B$3)^(AI216)-1)</f>
        <v>8.8827433387272267E-2</v>
      </c>
      <c r="AV216" s="37">
        <f t="shared" ca="1" si="54"/>
        <v>77.07414654965477</v>
      </c>
      <c r="AW216" s="37">
        <f ca="1">IF(AP216=0,AY216/constantes!$B$3,AV216/constantes!$B$3)</f>
        <v>963.42683187068462</v>
      </c>
      <c r="AX216" s="39">
        <f ca="1">IF(AP216=0,0,PV(constantes!$B$3,AI216,-AV216)*constantes!$B$3)</f>
        <v>69.414723456997606</v>
      </c>
      <c r="AY216" s="40">
        <f>constantes!$B$10*F216/1000</f>
        <v>3.15</v>
      </c>
      <c r="AZ216" s="533">
        <f>constantes!$B$12</f>
        <v>0</v>
      </c>
      <c r="BA216" s="20">
        <v>318</v>
      </c>
      <c r="BB216" s="43"/>
      <c r="BC216" s="3" t="s">
        <v>2197</v>
      </c>
      <c r="BE216" s="534">
        <v>1</v>
      </c>
      <c r="BF216" s="535">
        <v>2027</v>
      </c>
      <c r="BG216" s="536">
        <v>1</v>
      </c>
      <c r="BH216" s="537">
        <v>2027</v>
      </c>
    </row>
    <row r="217" spans="1:60">
      <c r="A217" s="3"/>
      <c r="B217" s="3"/>
      <c r="F217" s="3"/>
      <c r="K217" s="3"/>
      <c r="L217" s="3"/>
      <c r="M217" s="3"/>
      <c r="AG217" s="3"/>
      <c r="AH217" s="3"/>
      <c r="AI217" s="3"/>
      <c r="AM217" s="3"/>
      <c r="AQ217" s="3"/>
    </row>
    <row r="218" spans="1:60">
      <c r="A218" s="3"/>
      <c r="B218" s="3"/>
      <c r="F218" s="3"/>
      <c r="K218" s="3"/>
      <c r="L218" s="3"/>
      <c r="M218" s="3"/>
      <c r="AG218" s="3"/>
      <c r="AH218" s="3"/>
      <c r="AI218" s="3"/>
      <c r="AM218" s="3"/>
      <c r="AQ218" s="3"/>
    </row>
    <row r="219" spans="1:60">
      <c r="A219" s="3"/>
      <c r="B219" s="3"/>
      <c r="F219" s="3"/>
      <c r="K219" s="3"/>
      <c r="L219" s="3"/>
      <c r="M219" s="3"/>
      <c r="AG219" s="3"/>
      <c r="AH219" s="3"/>
      <c r="AI219" s="3"/>
      <c r="AM219" s="3"/>
      <c r="AQ219" s="3"/>
    </row>
    <row r="220" spans="1:60">
      <c r="A220" s="3"/>
      <c r="B220" s="3"/>
      <c r="F220" s="3"/>
      <c r="K220" s="3"/>
      <c r="L220" s="3"/>
      <c r="M220" s="3"/>
      <c r="AG220" s="3"/>
      <c r="AH220" s="3"/>
      <c r="AI220" s="3"/>
      <c r="AM220" s="3"/>
      <c r="AQ220" s="3"/>
    </row>
    <row r="221" spans="1:60">
      <c r="A221" s="3"/>
      <c r="B221" s="3"/>
      <c r="F221" s="3"/>
      <c r="K221" s="3"/>
      <c r="L221" s="3"/>
      <c r="M221" s="3"/>
      <c r="AG221" s="3"/>
      <c r="AH221" s="3"/>
      <c r="AI221" s="3"/>
      <c r="AM221" s="3"/>
      <c r="AQ221" s="3"/>
    </row>
    <row r="222" spans="1:60">
      <c r="A222" s="3"/>
      <c r="B222" s="3"/>
      <c r="F222" s="3"/>
      <c r="K222" s="3"/>
      <c r="L222" s="3"/>
      <c r="M222" s="3"/>
      <c r="AG222" s="3"/>
      <c r="AH222" s="3"/>
      <c r="AI222" s="3"/>
      <c r="AM222" s="3"/>
      <c r="AQ222" s="3"/>
    </row>
    <row r="223" spans="1:60">
      <c r="A223" s="3"/>
      <c r="B223" s="3"/>
      <c r="F223" s="3"/>
      <c r="K223" s="3"/>
      <c r="L223" s="3"/>
      <c r="M223" s="3"/>
      <c r="AG223" s="3"/>
      <c r="AH223" s="3"/>
      <c r="AI223" s="3"/>
      <c r="AM223" s="3"/>
      <c r="AQ223" s="3"/>
    </row>
    <row r="224" spans="1:60">
      <c r="A224" s="3"/>
      <c r="B224" s="3"/>
      <c r="F224" s="3"/>
      <c r="K224" s="3"/>
      <c r="L224" s="3"/>
      <c r="M224" s="3"/>
      <c r="AG224" s="3"/>
      <c r="AH224" s="3"/>
      <c r="AI224" s="3"/>
      <c r="AM224" s="3"/>
      <c r="AQ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H216" xr:uid="{00000000-0009-0000-0000-000009000000}">
    <filterColumn colId="54">
      <filters>
        <filter val="Interfere em TI ou TQ"/>
        <filter val="Interfere em UC de PI"/>
        <filter val="Interfere em UC de US"/>
      </filters>
    </filterColumn>
  </autoFilter>
  <sortState xmlns:xlrd2="http://schemas.microsoft.com/office/spreadsheetml/2017/richdata2" ref="A2:BI216">
    <sortCondition ref="BC1"/>
  </sortState>
  <conditionalFormatting sqref="AP194:AQ209 AP3:AP193 AR146:AR209">
    <cfRule type="cellIs" dxfId="37" priority="62" stopIfTrue="1" operator="equal">
      <formula>0</formula>
    </cfRule>
  </conditionalFormatting>
  <conditionalFormatting sqref="AP2:AS2 AR3:AR145 AS3:AS216">
    <cfRule type="cellIs" dxfId="36" priority="60" stopIfTrue="1" operator="equal">
      <formula>0</formula>
    </cfRule>
  </conditionalFormatting>
  <conditionalFormatting sqref="AF2:AF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Q2:Q128 X2:X128">
    <cfRule type="containsErrors" dxfId="33" priority="56" stopIfTrue="1">
      <formula>ISERROR(Q2)</formula>
    </cfRule>
  </conditionalFormatting>
  <conditionalFormatting sqref="Z2:Z128">
    <cfRule type="cellIs" dxfId="32" priority="55" operator="lessThan">
      <formula>0</formula>
    </cfRule>
  </conditionalFormatting>
  <conditionalFormatting sqref="Q129:Q145 X129:X145">
    <cfRule type="containsErrors" dxfId="31" priority="54" stopIfTrue="1">
      <formula>ISERROR(Q129)</formula>
    </cfRule>
  </conditionalFormatting>
  <conditionalFormatting sqref="Z129:Z145">
    <cfRule type="cellIs" dxfId="30" priority="53" operator="lessThan">
      <formula>0</formula>
    </cfRule>
  </conditionalFormatting>
  <conditionalFormatting sqref="Q146:Q209 X146:X209">
    <cfRule type="containsErrors" dxfId="29" priority="52" stopIfTrue="1">
      <formula>ISERROR(Q146)</formula>
    </cfRule>
  </conditionalFormatting>
  <conditionalFormatting sqref="Z146:Z209">
    <cfRule type="cellIs" dxfId="28" priority="51" operator="lessThan">
      <formula>0</formula>
    </cfRule>
  </conditionalFormatting>
  <conditionalFormatting sqref="AP210:AP211 AR210:AR213">
    <cfRule type="cellIs" dxfId="27" priority="25" stopIfTrue="1" operator="equal">
      <formula>0</formula>
    </cfRule>
  </conditionalFormatting>
  <conditionalFormatting sqref="AF210:AF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Q210:Q211 X210:X211">
    <cfRule type="containsErrors" dxfId="24" priority="22" stopIfTrue="1">
      <formula>ISERROR(Q210)</formula>
    </cfRule>
  </conditionalFormatting>
  <conditionalFormatting sqref="Z210:Z211">
    <cfRule type="cellIs" dxfId="23" priority="21" operator="lessThan">
      <formula>0</formula>
    </cfRule>
  </conditionalFormatting>
  <conditionalFormatting sqref="AP212">
    <cfRule type="cellIs" dxfId="22" priority="20" stopIfTrue="1" operator="equal">
      <formula>0</formula>
    </cfRule>
  </conditionalFormatting>
  <conditionalFormatting sqref="AF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Q212 X212">
    <cfRule type="containsErrors" dxfId="19" priority="17" stopIfTrue="1">
      <formula>ISERROR(Q212)</formula>
    </cfRule>
  </conditionalFormatting>
  <conditionalFormatting sqref="Z212">
    <cfRule type="cellIs" dxfId="18" priority="16" operator="lessThan">
      <formula>0</formula>
    </cfRule>
  </conditionalFormatting>
  <conditionalFormatting sqref="AP213">
    <cfRule type="cellIs" dxfId="17" priority="15" stopIfTrue="1" operator="equal">
      <formula>0</formula>
    </cfRule>
  </conditionalFormatting>
  <conditionalFormatting sqref="AF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Q213 X213">
    <cfRule type="containsErrors" dxfId="14" priority="12" stopIfTrue="1">
      <formula>ISERROR(Q213)</formula>
    </cfRule>
  </conditionalFormatting>
  <conditionalFormatting sqref="Z213">
    <cfRule type="cellIs" dxfId="13" priority="11" operator="lessThan">
      <formula>0</formula>
    </cfRule>
  </conditionalFormatting>
  <conditionalFormatting sqref="AP214 AR214">
    <cfRule type="cellIs" dxfId="12" priority="10" stopIfTrue="1" operator="equal">
      <formula>0</formula>
    </cfRule>
  </conditionalFormatting>
  <conditionalFormatting sqref="AF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Q214 X214">
    <cfRule type="containsErrors" dxfId="9" priority="7" stopIfTrue="1">
      <formula>ISERROR(Q214)</formula>
    </cfRule>
  </conditionalFormatting>
  <conditionalFormatting sqref="Z214">
    <cfRule type="cellIs" dxfId="8" priority="6" operator="lessThan">
      <formula>0</formula>
    </cfRule>
  </conditionalFormatting>
  <conditionalFormatting sqref="AP215:AP216 AR215:AR216">
    <cfRule type="cellIs" dxfId="7" priority="5" stopIfTrue="1" operator="equal">
      <formula>0</formula>
    </cfRule>
  </conditionalFormatting>
  <conditionalFormatting sqref="AF215:AF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Q215:Q216 X215:X216">
    <cfRule type="containsErrors" dxfId="4" priority="2" stopIfTrue="1">
      <formula>ISERROR(Q215)</formula>
    </cfRule>
  </conditionalFormatting>
  <conditionalFormatting sqref="Z215:Z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3.1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2469</v>
      </c>
      <c r="B3" t="s">
        <v>2470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2471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3.1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2472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2473</v>
      </c>
      <c r="M1" s="99" t="s">
        <v>2474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2475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2476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2477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2478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2479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2480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2481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2482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2483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2484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3.15"/>
  <cols>
    <col min="2" max="2" width="18.28515625" bestFit="1" customWidth="1"/>
    <col min="7" max="7" width="17.7109375" customWidth="1"/>
  </cols>
  <sheetData>
    <row r="1" spans="1:22" ht="13.9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9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3.15"/>
  <cols>
    <col min="1" max="1" width="14" bestFit="1" customWidth="1"/>
    <col min="2" max="2" width="15.85546875" bestFit="1" customWidth="1"/>
  </cols>
  <sheetData>
    <row r="1" spans="1:2" ht="13.9" thickBot="1">
      <c r="A1" s="15" t="s">
        <v>180</v>
      </c>
      <c r="B1" s="2" t="s">
        <v>2509</v>
      </c>
    </row>
    <row r="2" spans="1:2" ht="13.9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3.1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9" thickBot="1">
      <c r="A1" s="108" t="s">
        <v>182</v>
      </c>
      <c r="B1" s="109" t="s">
        <v>2512</v>
      </c>
      <c r="C1" s="109" t="s">
        <v>2513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9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2514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2514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2515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2514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2516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2514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2514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2514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2514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2514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2514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2514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2514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2515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2515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2514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2514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2514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2514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2514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2515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2514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2514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2515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2515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2515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2515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2515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2514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2514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2514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2514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2514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2514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2514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2514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2514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2517</v>
      </c>
      <c r="C109" s="156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6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2520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2521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2522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2518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2523</v>
      </c>
      <c r="C125" s="279" t="s">
        <v>2518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2524</v>
      </c>
      <c r="C126" s="279" t="s">
        <v>2518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2518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2525</v>
      </c>
      <c r="C128" s="279" t="s">
        <v>2526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2527</v>
      </c>
      <c r="C129" s="279" t="s">
        <v>2528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2526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2518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2529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2530</v>
      </c>
      <c r="C133" s="279" t="s">
        <v>2531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254</v>
      </c>
      <c r="C134" s="279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2532</v>
      </c>
      <c r="C135" s="279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2533</v>
      </c>
      <c r="C136" s="279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3.15"/>
  <cols>
    <col min="2" max="2" width="16.28515625" bestFit="1" customWidth="1"/>
    <col min="3" max="3" width="17.85546875" bestFit="1" customWidth="1"/>
  </cols>
  <sheetData>
    <row r="1" spans="1:3" ht="13.9" thickBot="1">
      <c r="A1" s="61" t="s">
        <v>2534</v>
      </c>
      <c r="B1" s="61" t="s">
        <v>182</v>
      </c>
      <c r="C1" s="61" t="s">
        <v>2535</v>
      </c>
    </row>
    <row r="2" spans="1:3" ht="13.9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3.1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2522</v>
      </c>
      <c r="B3" t="s">
        <v>2536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2526</v>
      </c>
      <c r="B4" t="s">
        <v>2537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2528</v>
      </c>
      <c r="B5" t="s">
        <v>2537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2538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2531</v>
      </c>
      <c r="B7" t="s">
        <v>2538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2539</v>
      </c>
      <c r="B8" t="s">
        <v>2538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2518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2526</v>
      </c>
      <c r="B15" t="s">
        <v>2540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2528</v>
      </c>
      <c r="B16" t="s">
        <v>2540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2541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2531</v>
      </c>
      <c r="B18" t="s">
        <v>2541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2539</v>
      </c>
      <c r="B19" t="s">
        <v>2541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3.1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9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9" thickTop="1">
      <c r="A2" s="17">
        <v>1</v>
      </c>
      <c r="B2" s="645">
        <v>36632.607682862734</v>
      </c>
      <c r="C2" s="645">
        <v>37285.875877570135</v>
      </c>
      <c r="D2" s="646">
        <v>36217.813905744384</v>
      </c>
      <c r="E2" s="646">
        <v>37570.329722758615</v>
      </c>
      <c r="F2" s="646">
        <v>37257.89272578065</v>
      </c>
      <c r="G2" s="646">
        <v>37693.741716178396</v>
      </c>
      <c r="H2" s="646">
        <v>38368.085867323694</v>
      </c>
      <c r="I2" s="645">
        <v>41505.238760912776</v>
      </c>
      <c r="J2" s="24">
        <v>43491.022178047802</v>
      </c>
      <c r="K2" s="24">
        <v>45414.357045603974</v>
      </c>
      <c r="L2" s="24">
        <v>47223.242404641249</v>
      </c>
      <c r="M2" s="24">
        <v>49198.795180520014</v>
      </c>
      <c r="N2" s="24">
        <v>51136.530335030642</v>
      </c>
      <c r="O2" s="24">
        <v>53181.444195292373</v>
      </c>
      <c r="P2" s="24">
        <v>54820.009763885493</v>
      </c>
      <c r="Q2" s="24">
        <v>56506.148247180761</v>
      </c>
      <c r="R2" s="24">
        <v>58196.527079791442</v>
      </c>
      <c r="S2" s="24">
        <v>59936.293883143502</v>
      </c>
      <c r="T2" s="24">
        <v>61758.26651402736</v>
      </c>
      <c r="U2" s="24">
        <v>63702.589885373833</v>
      </c>
      <c r="V2" s="24">
        <v>65604.808656298497</v>
      </c>
      <c r="W2" s="24">
        <v>67441.235586179158</v>
      </c>
      <c r="X2" s="24">
        <v>69341.440837321948</v>
      </c>
      <c r="Y2" s="24">
        <v>71349.387358385953</v>
      </c>
      <c r="Z2" s="24">
        <v>73388.900367434893</v>
      </c>
      <c r="AA2" s="24">
        <v>75448.03360076352</v>
      </c>
      <c r="AB2" s="24">
        <v>77725.900300875437</v>
      </c>
      <c r="AC2" s="24">
        <v>79927.074241578477</v>
      </c>
      <c r="AD2" s="24">
        <v>82078.708841922373</v>
      </c>
      <c r="AE2" s="24">
        <v>83941.980687250136</v>
      </c>
      <c r="AF2" s="24">
        <v>85808.279096704806</v>
      </c>
      <c r="AG2" s="24">
        <v>87687.56123382457</v>
      </c>
      <c r="AH2" s="24">
        <v>89648.096584988074</v>
      </c>
      <c r="AI2" s="24">
        <v>91633.158385165545</v>
      </c>
      <c r="AJ2" s="24">
        <v>93629.861691804108</v>
      </c>
      <c r="AK2" s="24">
        <v>95629.981954285802</v>
      </c>
      <c r="AL2" s="24">
        <v>97856.458006043089</v>
      </c>
      <c r="AM2" s="24">
        <v>100041.29466092351</v>
      </c>
      <c r="AN2" s="24">
        <v>102168.62909803692</v>
      </c>
      <c r="AO2" s="335">
        <v>0.5471918381554427</v>
      </c>
    </row>
    <row r="3" spans="1:41">
      <c r="A3" s="17">
        <v>2</v>
      </c>
      <c r="B3" s="645">
        <v>10256.068306010928</v>
      </c>
      <c r="C3" s="645">
        <v>10719.242790329081</v>
      </c>
      <c r="D3" s="646">
        <v>10601.72726</v>
      </c>
      <c r="E3" s="646">
        <v>10937.29674</v>
      </c>
      <c r="F3" s="646">
        <v>10980.90603</v>
      </c>
      <c r="G3" s="646">
        <v>11281.72912</v>
      </c>
      <c r="H3" s="646">
        <v>11485.670169999999</v>
      </c>
      <c r="I3" s="645">
        <v>12096.368654684919</v>
      </c>
      <c r="J3" s="24">
        <v>12626.317359427154</v>
      </c>
      <c r="K3" s="24">
        <v>13192.039395337921</v>
      </c>
      <c r="L3" s="24">
        <v>13797.865811148409</v>
      </c>
      <c r="M3" s="24">
        <v>14416.273482162562</v>
      </c>
      <c r="N3" s="24">
        <v>15069.915879977259</v>
      </c>
      <c r="O3" s="24">
        <v>15748.6690236797</v>
      </c>
      <c r="P3" s="24">
        <v>16297.836632358432</v>
      </c>
      <c r="Q3" s="24">
        <v>16860.161400565823</v>
      </c>
      <c r="R3" s="24">
        <v>17489.391426263905</v>
      </c>
      <c r="S3" s="24">
        <v>18121.745771083723</v>
      </c>
      <c r="T3" s="24">
        <v>18718.889079853063</v>
      </c>
      <c r="U3" s="24">
        <v>19354.693093210321</v>
      </c>
      <c r="V3" s="24">
        <v>20010.716410390938</v>
      </c>
      <c r="W3" s="24">
        <v>20669.196666587686</v>
      </c>
      <c r="X3" s="24">
        <v>21425.223088526967</v>
      </c>
      <c r="Y3" s="24">
        <v>22128.538065666089</v>
      </c>
      <c r="Z3" s="24">
        <v>22890.62118350216</v>
      </c>
      <c r="AA3" s="24">
        <v>23666.943875667766</v>
      </c>
      <c r="AB3" s="24">
        <v>24449.940902077557</v>
      </c>
      <c r="AC3" s="24">
        <v>25214.347948564591</v>
      </c>
      <c r="AD3" s="24">
        <v>25978.044064409289</v>
      </c>
      <c r="AE3" s="24">
        <v>26695.131895319115</v>
      </c>
      <c r="AF3" s="24">
        <v>27428.38748112426</v>
      </c>
      <c r="AG3" s="24">
        <v>28173.39093147454</v>
      </c>
      <c r="AH3" s="24">
        <v>28929.112316731436</v>
      </c>
      <c r="AI3" s="24">
        <v>29705.65695938349</v>
      </c>
      <c r="AJ3" s="24">
        <v>30492.117362116616</v>
      </c>
      <c r="AK3" s="24">
        <v>31293.455243722874</v>
      </c>
      <c r="AL3" s="24">
        <v>32246.459845272253</v>
      </c>
      <c r="AM3" s="24">
        <v>33132.349539314986</v>
      </c>
      <c r="AN3" s="24">
        <v>34008.124717700433</v>
      </c>
      <c r="AO3" s="335">
        <v>0.16484353077059868</v>
      </c>
    </row>
    <row r="4" spans="1:41">
      <c r="A4" s="17">
        <v>3</v>
      </c>
      <c r="B4" s="645">
        <v>9067.636612021859</v>
      </c>
      <c r="C4" s="645">
        <v>9676.7722901656653</v>
      </c>
      <c r="D4" s="646">
        <v>9583.0543539999999</v>
      </c>
      <c r="E4" s="646">
        <v>10261.03637</v>
      </c>
      <c r="F4" s="646">
        <v>10420.44838</v>
      </c>
      <c r="G4" s="646">
        <v>10602.301160000001</v>
      </c>
      <c r="H4" s="646">
        <v>10803.4548</v>
      </c>
      <c r="I4" s="645">
        <v>11470.204606008609</v>
      </c>
      <c r="J4" s="24">
        <v>12054.133279161812</v>
      </c>
      <c r="K4" s="24">
        <v>12607.534799314715</v>
      </c>
      <c r="L4" s="24">
        <v>13195.353226360772</v>
      </c>
      <c r="M4" s="24">
        <v>13813.342926862912</v>
      </c>
      <c r="N4" s="24">
        <v>14454.516807188518</v>
      </c>
      <c r="O4" s="24">
        <v>15155.509906758005</v>
      </c>
      <c r="P4" s="24">
        <v>15868.562496292911</v>
      </c>
      <c r="Q4" s="24">
        <v>16420.351031338694</v>
      </c>
      <c r="R4" s="24">
        <v>16989.893615740111</v>
      </c>
      <c r="S4" s="24">
        <v>17550.46609733683</v>
      </c>
      <c r="T4" s="24">
        <v>18106.504694346579</v>
      </c>
      <c r="U4" s="24">
        <v>18715.900086075322</v>
      </c>
      <c r="V4" s="24">
        <v>19334.076389837504</v>
      </c>
      <c r="W4" s="24">
        <v>19956.090882794175</v>
      </c>
      <c r="X4" s="24">
        <v>20568.547366299932</v>
      </c>
      <c r="Y4" s="24">
        <v>21210.635236064227</v>
      </c>
      <c r="Z4" s="24">
        <v>21870.929598046299</v>
      </c>
      <c r="AA4" s="24">
        <v>22585.705649336338</v>
      </c>
      <c r="AB4" s="24">
        <v>23333.374890746931</v>
      </c>
      <c r="AC4" s="24">
        <v>24069.005314966002</v>
      </c>
      <c r="AD4" s="24">
        <v>24804.101839266008</v>
      </c>
      <c r="AE4" s="24">
        <v>25470.867137493406</v>
      </c>
      <c r="AF4" s="24">
        <v>26151.519470108087</v>
      </c>
      <c r="AG4" s="24">
        <v>26840.737157970929</v>
      </c>
      <c r="AH4" s="24">
        <v>27552.969854740371</v>
      </c>
      <c r="AI4" s="24">
        <v>28300.105766795368</v>
      </c>
      <c r="AJ4" s="24">
        <v>29076.597735254491</v>
      </c>
      <c r="AK4" s="24">
        <v>29837.820487232166</v>
      </c>
      <c r="AL4" s="24">
        <v>30627.850412087326</v>
      </c>
      <c r="AM4" s="24">
        <v>31422.378262736376</v>
      </c>
      <c r="AN4" s="24">
        <v>32235.252968644054</v>
      </c>
      <c r="AO4" s="335">
        <v>0.15872793711361019</v>
      </c>
    </row>
    <row r="5" spans="1:41">
      <c r="A5" s="17">
        <v>4</v>
      </c>
      <c r="B5" s="645">
        <v>4117.7322404371598</v>
      </c>
      <c r="C5" s="645">
        <v>4654.0969167976</v>
      </c>
      <c r="D5" s="646">
        <v>4091.2993824882797</v>
      </c>
      <c r="E5" s="646">
        <v>4385.8445955693096</v>
      </c>
      <c r="F5" s="646">
        <v>4348.4903569271855</v>
      </c>
      <c r="G5" s="646">
        <v>4366.7751684251243</v>
      </c>
      <c r="H5" s="646">
        <v>4150.9205023716113</v>
      </c>
      <c r="I5" s="645">
        <v>4715.1338327100848</v>
      </c>
      <c r="J5" s="24">
        <v>5356.860896961789</v>
      </c>
      <c r="K5" s="24">
        <v>6043.535248254494</v>
      </c>
      <c r="L5" s="24">
        <v>6237.5229814176591</v>
      </c>
      <c r="M5" s="24">
        <v>6413.4863421437203</v>
      </c>
      <c r="N5" s="24">
        <v>6674.347218177887</v>
      </c>
      <c r="O5" s="24">
        <v>6894.9565830470001</v>
      </c>
      <c r="P5" s="24">
        <v>7155.2613027652733</v>
      </c>
      <c r="Q5" s="24">
        <v>7335.189806953983</v>
      </c>
      <c r="R5" s="24">
        <v>7539.2646270793757</v>
      </c>
      <c r="S5" s="24">
        <v>7785.3401923268884</v>
      </c>
      <c r="T5" s="24">
        <v>8096.2191359312365</v>
      </c>
      <c r="U5" s="24">
        <v>8298.0187562730353</v>
      </c>
      <c r="V5" s="24">
        <v>8517.4743637269003</v>
      </c>
      <c r="W5" s="24">
        <v>8777.7444181226256</v>
      </c>
      <c r="X5" s="24">
        <v>8972.1032822316811</v>
      </c>
      <c r="Y5" s="24">
        <v>9194.1833242970824</v>
      </c>
      <c r="Z5" s="24">
        <v>9541.1592129932233</v>
      </c>
      <c r="AA5" s="24">
        <v>9792.9796128575144</v>
      </c>
      <c r="AB5" s="24">
        <v>10070.166674511345</v>
      </c>
      <c r="AC5" s="24">
        <v>10332.784905932011</v>
      </c>
      <c r="AD5" s="24">
        <v>10641.732190033263</v>
      </c>
      <c r="AE5" s="24">
        <v>10911.037010225466</v>
      </c>
      <c r="AF5" s="24">
        <v>11152.567567163725</v>
      </c>
      <c r="AG5" s="24">
        <v>11419.549460895325</v>
      </c>
      <c r="AH5" s="24">
        <v>11667.690365678938</v>
      </c>
      <c r="AI5" s="24">
        <v>11917.321900141191</v>
      </c>
      <c r="AJ5" s="24">
        <v>12165.822518042238</v>
      </c>
      <c r="AK5" s="24">
        <v>12426.991000332891</v>
      </c>
      <c r="AL5" s="24">
        <v>12675.550617625408</v>
      </c>
      <c r="AM5" s="24">
        <v>12928.556385569793</v>
      </c>
      <c r="AN5" s="24">
        <v>13210.140661921552</v>
      </c>
      <c r="AO5" s="335">
        <v>8.2560361357235074E-2</v>
      </c>
    </row>
    <row r="6" spans="1:41">
      <c r="A6" s="113">
        <v>5</v>
      </c>
      <c r="B6" s="646">
        <v>996</v>
      </c>
      <c r="C6" s="646">
        <v>1074</v>
      </c>
      <c r="D6" s="646">
        <v>1215</v>
      </c>
      <c r="E6" s="646">
        <v>1214</v>
      </c>
      <c r="F6" s="646">
        <v>1278</v>
      </c>
      <c r="G6" s="646">
        <v>1536</v>
      </c>
      <c r="H6" s="646">
        <v>1717</v>
      </c>
      <c r="I6" s="646">
        <v>1743</v>
      </c>
      <c r="J6" s="24">
        <v>1784</v>
      </c>
      <c r="K6" s="24">
        <v>1890</v>
      </c>
      <c r="L6" s="24">
        <v>2003</v>
      </c>
      <c r="M6" s="24">
        <v>2125</v>
      </c>
      <c r="N6" s="24">
        <v>2254</v>
      </c>
      <c r="O6" s="24">
        <v>2391</v>
      </c>
      <c r="P6" s="24">
        <v>2537</v>
      </c>
      <c r="Q6" s="24">
        <v>2693</v>
      </c>
      <c r="R6" s="24">
        <v>2859</v>
      </c>
      <c r="S6" s="24">
        <v>3035</v>
      </c>
      <c r="T6" s="24">
        <v>3223</v>
      </c>
      <c r="U6" s="24">
        <v>3423</v>
      </c>
      <c r="V6" s="24">
        <v>3635</v>
      </c>
      <c r="W6" s="24">
        <v>3862</v>
      </c>
      <c r="X6" s="24">
        <v>4104</v>
      </c>
      <c r="Y6" s="24">
        <v>4361</v>
      </c>
      <c r="Z6" s="24">
        <v>4635</v>
      </c>
      <c r="AA6" s="24">
        <v>4871</v>
      </c>
      <c r="AB6" s="24">
        <v>4871</v>
      </c>
      <c r="AC6" s="24">
        <v>4871</v>
      </c>
      <c r="AD6" s="24">
        <v>4871</v>
      </c>
      <c r="AE6" s="24">
        <v>4871</v>
      </c>
      <c r="AF6" s="24">
        <v>4871</v>
      </c>
      <c r="AG6" s="24">
        <v>4871</v>
      </c>
      <c r="AH6" s="24">
        <v>4871</v>
      </c>
      <c r="AI6" s="24">
        <v>4871</v>
      </c>
      <c r="AJ6" s="24">
        <v>4871</v>
      </c>
      <c r="AK6" s="24">
        <v>4871</v>
      </c>
      <c r="AL6" s="24">
        <v>4871</v>
      </c>
      <c r="AM6" s="24">
        <v>4871</v>
      </c>
      <c r="AN6" s="24">
        <v>4871</v>
      </c>
      <c r="AO6" s="335">
        <v>2.0547672752850091E-2</v>
      </c>
    </row>
    <row r="7" spans="1:41">
      <c r="A7" s="17">
        <v>6</v>
      </c>
      <c r="B7" s="645">
        <v>475.1502732240437</v>
      </c>
      <c r="C7" s="645">
        <v>508.74794520547943</v>
      </c>
      <c r="D7" s="645">
        <v>536.07262425561873</v>
      </c>
      <c r="E7" s="645">
        <v>493.55031724138286</v>
      </c>
      <c r="F7" s="645">
        <v>492.91981421934872</v>
      </c>
      <c r="G7" s="645">
        <v>505.68509382159959</v>
      </c>
      <c r="H7" s="645">
        <v>524.86979267630602</v>
      </c>
      <c r="I7" s="645">
        <v>546.46208549314554</v>
      </c>
      <c r="J7" s="24">
        <v>568.07391194113768</v>
      </c>
      <c r="K7" s="24">
        <v>591.20665084889049</v>
      </c>
      <c r="L7" s="24">
        <v>614.80294499081947</v>
      </c>
      <c r="M7" s="24">
        <v>638.41745669282273</v>
      </c>
      <c r="N7" s="24">
        <v>662.4856407299394</v>
      </c>
      <c r="O7" s="24">
        <v>686.88791785438343</v>
      </c>
      <c r="P7" s="24">
        <v>711.36211117429355</v>
      </c>
      <c r="Q7" s="24">
        <v>736.08516248314049</v>
      </c>
      <c r="R7" s="24">
        <v>760.94856293621933</v>
      </c>
      <c r="S7" s="24">
        <v>785.73462021588557</v>
      </c>
      <c r="T7" s="24">
        <v>810.63523453358221</v>
      </c>
      <c r="U7" s="24">
        <v>835.75247727882413</v>
      </c>
      <c r="V7" s="24">
        <v>860.87689319531444</v>
      </c>
      <c r="W7" s="24">
        <v>886.15926967083544</v>
      </c>
      <c r="X7" s="24">
        <v>911.656674564333</v>
      </c>
      <c r="Y7" s="24">
        <v>937.3483234327523</v>
      </c>
      <c r="Z7" s="24">
        <v>962.98664572381892</v>
      </c>
      <c r="AA7" s="24">
        <v>988.52694945299288</v>
      </c>
      <c r="AB7" s="24">
        <v>1013.9235689671686</v>
      </c>
      <c r="AC7" s="24">
        <v>1039.1299981650327</v>
      </c>
      <c r="AD7" s="24">
        <v>1064.0990308512958</v>
      </c>
      <c r="AE7" s="24">
        <v>1088.7829076368707</v>
      </c>
      <c r="AF7" s="24">
        <v>1113.133468741489</v>
      </c>
      <c r="AG7" s="24">
        <v>1137.102312003324</v>
      </c>
      <c r="AH7" s="24">
        <v>1160.6409553524923</v>
      </c>
      <c r="AI7" s="24">
        <v>1183.7010029622677</v>
      </c>
      <c r="AJ7" s="24">
        <v>1206.2343142539685</v>
      </c>
      <c r="AK7" s="24">
        <v>1228.1931748991281</v>
      </c>
      <c r="AL7" s="24">
        <v>1249.530468936133</v>
      </c>
      <c r="AM7" s="24">
        <v>1270.1998510982733</v>
      </c>
      <c r="AN7" s="24">
        <v>1290.1559184363809</v>
      </c>
      <c r="AO7" s="335">
        <v>7.3403028995851841E-3</v>
      </c>
    </row>
    <row r="8" spans="1:41">
      <c r="A8" s="113">
        <v>7</v>
      </c>
      <c r="B8" s="645">
        <v>0</v>
      </c>
      <c r="C8" s="645">
        <v>259.1192517053222</v>
      </c>
      <c r="D8" s="645">
        <v>1045.8892105117202</v>
      </c>
      <c r="E8" s="645">
        <v>977.10792243069079</v>
      </c>
      <c r="F8" s="645">
        <v>1112.006096072814</v>
      </c>
      <c r="G8" s="645">
        <v>1134.9225025748756</v>
      </c>
      <c r="H8" s="645">
        <v>1225.993663628388</v>
      </c>
      <c r="I8" s="645">
        <v>1327.5348207313752</v>
      </c>
      <c r="J8" s="24">
        <v>1375.1157880561218</v>
      </c>
      <c r="K8" s="24">
        <v>1426.8763792966981</v>
      </c>
      <c r="L8" s="24">
        <v>1480.2156203166567</v>
      </c>
      <c r="M8" s="24">
        <v>1535.0262131403188</v>
      </c>
      <c r="N8" s="24">
        <v>1591.7318891835114</v>
      </c>
      <c r="O8" s="24">
        <v>1650.1437807800139</v>
      </c>
      <c r="P8" s="24">
        <v>1710.8561486601725</v>
      </c>
      <c r="Q8" s="24">
        <v>1773.3485471506165</v>
      </c>
      <c r="R8" s="24">
        <v>1837.6477786231956</v>
      </c>
      <c r="S8" s="24">
        <v>1904.3899682025933</v>
      </c>
      <c r="T8" s="24">
        <v>1973.6691583736085</v>
      </c>
      <c r="U8" s="24">
        <v>2049.0362806437097</v>
      </c>
      <c r="V8" s="24">
        <v>2127.2833206782493</v>
      </c>
      <c r="W8" s="24">
        <v>2208.5294364177857</v>
      </c>
      <c r="X8" s="24">
        <v>2292.5350202695108</v>
      </c>
      <c r="Y8" s="24">
        <v>2379.3896489460044</v>
      </c>
      <c r="Z8" s="24">
        <v>2467.2076573479062</v>
      </c>
      <c r="AA8" s="24">
        <v>2555.812204245161</v>
      </c>
      <c r="AB8" s="24">
        <v>2645.0161690746286</v>
      </c>
      <c r="AC8" s="24">
        <v>2734.6228687791158</v>
      </c>
      <c r="AD8" s="24">
        <v>2824.4268938944338</v>
      </c>
      <c r="AE8" s="24">
        <v>2914.2150619414583</v>
      </c>
      <c r="AF8" s="24">
        <v>3003.767484650617</v>
      </c>
      <c r="AG8" s="24">
        <v>3092.8587439853709</v>
      </c>
      <c r="AH8" s="24">
        <v>3181.2591703635376</v>
      </c>
      <c r="AI8" s="24">
        <v>3268.7362149270011</v>
      </c>
      <c r="AJ8" s="24">
        <v>3355.0559062085135</v>
      </c>
      <c r="AK8" s="24">
        <v>3439.9843801166812</v>
      </c>
      <c r="AL8" s="24">
        <v>3523.2894708344334</v>
      </c>
      <c r="AM8" s="24">
        <v>3604.7423490292731</v>
      </c>
      <c r="AN8" s="24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6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2545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2546</v>
      </c>
      <c r="B19" s="112">
        <v>9272.0776078431372</v>
      </c>
      <c r="C19" t="s">
        <v>2547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2548</v>
      </c>
      <c r="B20" s="112">
        <f>B19/2</f>
        <v>4636.0388039215686</v>
      </c>
      <c r="C20" t="s">
        <v>2547</v>
      </c>
    </row>
    <row r="22" spans="1:41" ht="14.45">
      <c r="A22" t="s">
        <v>2547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4.45">
      <c r="A23" t="s">
        <v>2549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2550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3.1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9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9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6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2551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2552</v>
      </c>
      <c r="B17" s="251">
        <f t="shared" ref="B17:AM17" si="15">SUM(B2:B8)</f>
        <v>81753.124040698865</v>
      </c>
      <c r="C17" s="251">
        <f t="shared" si="15"/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 t="shared" si="15"/>
        <v>87708.019331565039</v>
      </c>
      <c r="G17" s="251">
        <f t="shared" si="15"/>
        <v>91655.06858251238</v>
      </c>
      <c r="H17" s="251">
        <f t="shared" si="15"/>
        <v>93806.584927816511</v>
      </c>
      <c r="I17" s="251">
        <f t="shared" si="15"/>
        <v>98888.884342730817</v>
      </c>
      <c r="J17" s="251">
        <f t="shared" si="15"/>
        <v>104028.16329047698</v>
      </c>
      <c r="K17" s="251">
        <f t="shared" si="15"/>
        <v>109129.03452535803</v>
      </c>
      <c r="L17" s="251">
        <f t="shared" si="15"/>
        <v>113654.42897299037</v>
      </c>
      <c r="M17" s="251">
        <f t="shared" si="15"/>
        <v>118440.54528984507</v>
      </c>
      <c r="N17" s="251">
        <f t="shared" si="15"/>
        <v>123360.20732583603</v>
      </c>
      <c r="O17" s="251">
        <f t="shared" si="15"/>
        <v>128479.32531507075</v>
      </c>
      <c r="P17" s="251">
        <f t="shared" si="15"/>
        <v>132921.89537650044</v>
      </c>
      <c r="Q17" s="251">
        <f t="shared" si="15"/>
        <v>137154.69908884112</v>
      </c>
      <c r="R17" s="251">
        <f t="shared" si="15"/>
        <v>141554.57138547223</v>
      </c>
      <c r="S17" s="251">
        <f t="shared" si="15"/>
        <v>146053.63914338531</v>
      </c>
      <c r="T17" s="251">
        <f t="shared" si="15"/>
        <v>150690.24236342666</v>
      </c>
      <c r="U17" s="251">
        <f t="shared" si="15"/>
        <v>155520.47990229615</v>
      </c>
      <c r="V17" s="251">
        <f t="shared" si="15"/>
        <v>160390.66531046832</v>
      </c>
      <c r="W17" s="251">
        <f t="shared" si="15"/>
        <v>165231.37577663554</v>
      </c>
      <c r="X17" s="251">
        <f t="shared" si="15"/>
        <v>170250.06420864502</v>
      </c>
      <c r="Y17" s="251">
        <f t="shared" si="15"/>
        <v>175422.35125701697</v>
      </c>
      <c r="Z17" s="251">
        <f t="shared" si="15"/>
        <v>180920.09695458575</v>
      </c>
      <c r="AA17" s="251">
        <f t="shared" si="15"/>
        <v>186371.33153044508</v>
      </c>
      <c r="AB17" s="251">
        <f t="shared" si="15"/>
        <v>191972.87169056264</v>
      </c>
      <c r="AC17" s="251">
        <f t="shared" si="15"/>
        <v>197406.88924366538</v>
      </c>
      <c r="AD17" s="251">
        <f t="shared" si="15"/>
        <v>202828.65650753331</v>
      </c>
      <c r="AE17" s="251">
        <f t="shared" si="15"/>
        <v>207634.85015974459</v>
      </c>
      <c r="AF17" s="251">
        <f t="shared" si="15"/>
        <v>212464.3498576851</v>
      </c>
      <c r="AG17" s="251">
        <f t="shared" si="15"/>
        <v>217346.90760264851</v>
      </c>
      <c r="AH17" s="251">
        <f t="shared" si="15"/>
        <v>222360.61386555096</v>
      </c>
      <c r="AI17" s="251">
        <f t="shared" si="15"/>
        <v>227461.44079593374</v>
      </c>
      <c r="AJ17" s="251">
        <f t="shared" si="15"/>
        <v>232632.65182280447</v>
      </c>
      <c r="AK17" s="251">
        <f t="shared" si="15"/>
        <v>237797.36562206654</v>
      </c>
      <c r="AL17" s="251">
        <f t="shared" si="15"/>
        <v>243485.84139562552</v>
      </c>
      <c r="AM17" s="251">
        <f t="shared" si="15"/>
        <v>248977.53484592019</v>
      </c>
      <c r="AN17" s="251">
        <f>SUM(AN2:AN8)</f>
        <v>253782.75464391004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2553</v>
      </c>
    </row>
    <row r="20" spans="1:42" ht="13.9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9" thickTop="1">
      <c r="A21" s="17">
        <v>1</v>
      </c>
      <c r="B21" s="646">
        <v>48238.909479892376</v>
      </c>
      <c r="C21" s="646">
        <v>48558.122887775178</v>
      </c>
      <c r="D21" s="646">
        <v>51086.193587443093</v>
      </c>
      <c r="E21" s="646">
        <v>51367.947051404903</v>
      </c>
      <c r="F21" s="646">
        <v>49973.836065573771</v>
      </c>
      <c r="G21" s="646">
        <v>52224.749467458852</v>
      </c>
      <c r="H21" s="646">
        <v>53762.580066356393</v>
      </c>
      <c r="I21" s="646">
        <v>55963.857894872541</v>
      </c>
      <c r="J21" s="646">
        <v>58632.780462764036</v>
      </c>
      <c r="K21" s="646">
        <v>61218.459615741987</v>
      </c>
      <c r="L21" s="646">
        <v>63656.806960000962</v>
      </c>
      <c r="M21" s="646">
        <v>66321.001400546724</v>
      </c>
      <c r="N21" s="646">
        <v>68933.699033018042</v>
      </c>
      <c r="O21" s="646">
        <v>71691.455232017572</v>
      </c>
      <c r="P21" s="646">
        <v>73898.514627993427</v>
      </c>
      <c r="Q21" s="646">
        <v>76169.905351289621</v>
      </c>
      <c r="R21" s="646">
        <v>78446.965365607466</v>
      </c>
      <c r="S21" s="646">
        <v>80790.995228883854</v>
      </c>
      <c r="T21" s="646">
        <v>83246.362385061177</v>
      </c>
      <c r="U21" s="646">
        <v>85867.412696505708</v>
      </c>
      <c r="V21" s="646">
        <v>88431.401597213262</v>
      </c>
      <c r="W21" s="646">
        <v>90906.14696023651</v>
      </c>
      <c r="X21" s="646">
        <v>93467.202737663101</v>
      </c>
      <c r="Y21" s="646">
        <v>96174.156119369873</v>
      </c>
      <c r="Z21" s="646">
        <v>98923.915640212974</v>
      </c>
      <c r="AA21" s="646">
        <v>101700.31699015504</v>
      </c>
      <c r="AB21" s="646">
        <v>104773.21081588123</v>
      </c>
      <c r="AC21" s="646">
        <v>107742.27978175314</v>
      </c>
      <c r="AD21" s="646">
        <v>110644.34636036203</v>
      </c>
      <c r="AE21" s="646">
        <v>113155.79843447248</v>
      </c>
      <c r="AF21" s="646">
        <v>115671.53469021052</v>
      </c>
      <c r="AG21" s="646">
        <v>118205.0749839154</v>
      </c>
      <c r="AH21" s="646">
        <v>120848.96036792771</v>
      </c>
      <c r="AI21" s="646">
        <v>123526.34487514764</v>
      </c>
      <c r="AJ21" s="646">
        <v>126219.79404869249</v>
      </c>
      <c r="AK21" s="646">
        <v>128918.18866476817</v>
      </c>
      <c r="AL21" s="646">
        <v>131923.66709124032</v>
      </c>
      <c r="AM21" s="646">
        <v>134873.08470556332</v>
      </c>
      <c r="AN21" s="646">
        <v>137744.97011829232</v>
      </c>
    </row>
    <row r="22" spans="1:42">
      <c r="A22" s="17">
        <v>2</v>
      </c>
      <c r="B22" s="646">
        <v>15486.640441939053</v>
      </c>
      <c r="C22" s="646">
        <v>15879.632519420109</v>
      </c>
      <c r="D22" s="646">
        <v>17971.47</v>
      </c>
      <c r="E22" s="646">
        <v>17020.835999999999</v>
      </c>
      <c r="F22" s="646">
        <v>16424.877</v>
      </c>
      <c r="G22" s="646">
        <v>17623.094000000001</v>
      </c>
      <c r="H22" s="646">
        <v>17346.021000000001</v>
      </c>
      <c r="I22" s="646">
        <v>18327.831294977143</v>
      </c>
      <c r="J22" s="646">
        <v>19130.783877919926</v>
      </c>
      <c r="K22" s="646">
        <v>19987.938477784723</v>
      </c>
      <c r="L22" s="646">
        <v>20905.857289618798</v>
      </c>
      <c r="M22" s="646">
        <v>21842.83860933721</v>
      </c>
      <c r="N22" s="646">
        <v>22833.205878753419</v>
      </c>
      <c r="O22" s="646">
        <v>23861.619732848027</v>
      </c>
      <c r="P22" s="646">
        <v>24693.691867209742</v>
      </c>
      <c r="Q22" s="646">
        <v>25545.699091766393</v>
      </c>
      <c r="R22" s="646">
        <v>26499.077918581668</v>
      </c>
      <c r="S22" s="646">
        <v>27457.190562248059</v>
      </c>
      <c r="T22" s="646">
        <v>28361.953151292513</v>
      </c>
      <c r="U22" s="646">
        <v>29325.292565470176</v>
      </c>
      <c r="V22" s="646">
        <v>30319.26728847111</v>
      </c>
      <c r="W22" s="646">
        <v>31316.964646344972</v>
      </c>
      <c r="X22" s="646">
        <v>32462.459225040853</v>
      </c>
      <c r="Y22" s="646">
        <v>33528.087978281947</v>
      </c>
      <c r="Z22" s="646">
        <v>34682.759368942658</v>
      </c>
      <c r="AA22" s="646">
        <v>35859.005872223883</v>
      </c>
      <c r="AB22" s="646">
        <v>37045.365003147803</v>
      </c>
      <c r="AC22" s="646">
        <v>38203.557497825132</v>
      </c>
      <c r="AD22" s="646">
        <v>39360.672824862551</v>
      </c>
      <c r="AE22" s="646">
        <v>40447.169538362286</v>
      </c>
      <c r="AF22" s="646">
        <v>41558.162850188266</v>
      </c>
      <c r="AG22" s="646">
        <v>42686.955956779595</v>
      </c>
      <c r="AH22" s="646">
        <v>43831.988358683986</v>
      </c>
      <c r="AI22" s="646">
        <v>45008.57115058104</v>
      </c>
      <c r="AJ22" s="646">
        <v>46200.177821388803</v>
      </c>
      <c r="AK22" s="646">
        <v>47414.326126852829</v>
      </c>
      <c r="AL22" s="646">
        <v>48858.272492836739</v>
      </c>
      <c r="AM22" s="646">
        <v>50200.529605022697</v>
      </c>
      <c r="AN22" s="646">
        <v>51527.461693485493</v>
      </c>
    </row>
    <row r="23" spans="1:42">
      <c r="A23" s="17">
        <v>3</v>
      </c>
      <c r="B23" s="646">
        <v>11583.07</v>
      </c>
      <c r="C23" s="646">
        <v>11941.392097126802</v>
      </c>
      <c r="D23" s="646">
        <v>11837.717000000001</v>
      </c>
      <c r="E23" s="646">
        <v>12473.308000000001</v>
      </c>
      <c r="F23" s="646">
        <v>12503.808999999999</v>
      </c>
      <c r="G23" s="646">
        <v>12904.838</v>
      </c>
      <c r="H23" s="646">
        <v>12941.254000000001</v>
      </c>
      <c r="I23" s="646">
        <v>14519.24633671976</v>
      </c>
      <c r="J23" s="646">
        <v>15258.396555901021</v>
      </c>
      <c r="K23" s="646">
        <v>15958.904809259144</v>
      </c>
      <c r="L23" s="646">
        <v>16702.978767545294</v>
      </c>
      <c r="M23" s="646">
        <v>17485.244211218887</v>
      </c>
      <c r="N23" s="646">
        <v>18296.856717960163</v>
      </c>
      <c r="O23" s="646">
        <v>19184.189755389893</v>
      </c>
      <c r="P23" s="646">
        <v>20086.787969991041</v>
      </c>
      <c r="Q23" s="646">
        <v>20785.254470048993</v>
      </c>
      <c r="R23" s="646">
        <v>21506.194450303952</v>
      </c>
      <c r="S23" s="646">
        <v>22215.779870046634</v>
      </c>
      <c r="T23" s="646">
        <v>22919.626195375429</v>
      </c>
      <c r="U23" s="646">
        <v>23691.012767183969</v>
      </c>
      <c r="V23" s="646">
        <v>24473.514417515846</v>
      </c>
      <c r="W23" s="646">
        <v>25260.874535182516</v>
      </c>
      <c r="X23" s="646">
        <v>26036.135906708791</v>
      </c>
      <c r="Y23" s="646">
        <v>26848.905362106634</v>
      </c>
      <c r="Z23" s="646">
        <v>27684.721010185207</v>
      </c>
      <c r="AA23" s="646">
        <v>28589.500821944752</v>
      </c>
      <c r="AB23" s="646">
        <v>29535.917583223982</v>
      </c>
      <c r="AC23" s="646">
        <v>30467.095335400023</v>
      </c>
      <c r="AD23" s="646">
        <v>31397.597264893702</v>
      </c>
      <c r="AE23" s="646">
        <v>32241.60397151066</v>
      </c>
      <c r="AF23" s="646">
        <v>33103.189202668487</v>
      </c>
      <c r="AG23" s="646">
        <v>33975.616655659425</v>
      </c>
      <c r="AH23" s="646">
        <v>34877.177031316947</v>
      </c>
      <c r="AI23" s="646">
        <v>35822.918692146057</v>
      </c>
      <c r="AJ23" s="646">
        <v>36805.819918043686</v>
      </c>
      <c r="AK23" s="646">
        <v>37769.393021812895</v>
      </c>
      <c r="AL23" s="646">
        <v>38769.430901376385</v>
      </c>
      <c r="AM23" s="646">
        <v>39775.162357894173</v>
      </c>
      <c r="AN23" s="646">
        <v>40804.117681827942</v>
      </c>
    </row>
    <row r="24" spans="1:42">
      <c r="A24" s="17">
        <v>4</v>
      </c>
      <c r="B24" s="646">
        <v>4708.8805344847715</v>
      </c>
      <c r="C24" s="646">
        <v>4839.7</v>
      </c>
      <c r="D24" s="646">
        <v>4922.1350694333478</v>
      </c>
      <c r="E24" s="646">
        <v>4623.0210333312516</v>
      </c>
      <c r="F24" s="646">
        <v>5024.333333333333</v>
      </c>
      <c r="G24" s="646">
        <v>4836.6003013476793</v>
      </c>
      <c r="H24" s="646">
        <v>4989.3741497728297</v>
      </c>
      <c r="I24" s="646">
        <v>5114.2601233893874</v>
      </c>
      <c r="J24" s="646">
        <v>5850.1922131970432</v>
      </c>
      <c r="K24" s="646">
        <v>6601.4932065584571</v>
      </c>
      <c r="L24" s="646">
        <v>6811.9035137363771</v>
      </c>
      <c r="M24" s="646">
        <v>7001.4820360037893</v>
      </c>
      <c r="N24" s="646">
        <v>7287.4798523492655</v>
      </c>
      <c r="O24" s="646">
        <v>7527.257599603764</v>
      </c>
      <c r="P24" s="646">
        <v>7811.8464938626439</v>
      </c>
      <c r="Q24" s="646">
        <v>8004.4588496724409</v>
      </c>
      <c r="R24" s="646">
        <v>8224.2512550884785</v>
      </c>
      <c r="S24" s="646">
        <v>8491.4702556315096</v>
      </c>
      <c r="T24" s="646">
        <v>8832.0962272009583</v>
      </c>
      <c r="U24" s="646">
        <v>9047.1005946750465</v>
      </c>
      <c r="V24" s="646">
        <v>9281.6804493703294</v>
      </c>
      <c r="W24" s="646">
        <v>9562.215634219021</v>
      </c>
      <c r="X24" s="646">
        <v>9767.072858105701</v>
      </c>
      <c r="Y24" s="646">
        <v>10002.980684202032</v>
      </c>
      <c r="Z24" s="646">
        <v>10381.079156150783</v>
      </c>
      <c r="AA24" s="646">
        <v>10650.532055061372</v>
      </c>
      <c r="AB24" s="646">
        <v>10948.775856384696</v>
      </c>
      <c r="AC24" s="646">
        <v>11230.319206182307</v>
      </c>
      <c r="AD24" s="646">
        <v>11564.627528541272</v>
      </c>
      <c r="AE24" s="646">
        <v>11853.729379155524</v>
      </c>
      <c r="AF24" s="646">
        <v>12111.196818845239</v>
      </c>
      <c r="AG24" s="646">
        <v>12397.752554892511</v>
      </c>
      <c r="AH24" s="646">
        <v>12662.944938002729</v>
      </c>
      <c r="AI24" s="646">
        <v>12929.997512162046</v>
      </c>
      <c r="AJ24" s="646">
        <v>13195.966494746783</v>
      </c>
      <c r="AK24" s="646">
        <v>13476.628240447344</v>
      </c>
      <c r="AL24" s="646">
        <v>13743.21094004413</v>
      </c>
      <c r="AM24" s="646">
        <v>14015.202642784367</v>
      </c>
      <c r="AN24" s="646">
        <v>14320.159180133749</v>
      </c>
    </row>
    <row r="25" spans="1:42">
      <c r="A25" s="113">
        <v>5</v>
      </c>
      <c r="B25" s="646">
        <v>996</v>
      </c>
      <c r="C25" s="646">
        <v>1074</v>
      </c>
      <c r="D25" s="646">
        <v>1215</v>
      </c>
      <c r="E25" s="646">
        <v>1214</v>
      </c>
      <c r="F25" s="646">
        <v>1278</v>
      </c>
      <c r="G25" s="646">
        <v>1536</v>
      </c>
      <c r="H25" s="646">
        <v>1717</v>
      </c>
      <c r="I25" s="646">
        <v>1743</v>
      </c>
      <c r="J25" s="646">
        <v>1784</v>
      </c>
      <c r="K25" s="646">
        <v>1890</v>
      </c>
      <c r="L25" s="646">
        <v>2003</v>
      </c>
      <c r="M25" s="646">
        <v>2125</v>
      </c>
      <c r="N25" s="646">
        <v>2254</v>
      </c>
      <c r="O25" s="646">
        <v>2391</v>
      </c>
      <c r="P25" s="646">
        <v>2537</v>
      </c>
      <c r="Q25" s="646">
        <v>2693</v>
      </c>
      <c r="R25" s="646">
        <v>2859</v>
      </c>
      <c r="S25" s="646">
        <v>3035</v>
      </c>
      <c r="T25" s="646">
        <v>3223</v>
      </c>
      <c r="U25" s="646">
        <v>3423</v>
      </c>
      <c r="V25" s="646">
        <v>3635</v>
      </c>
      <c r="W25" s="646">
        <v>3862</v>
      </c>
      <c r="X25" s="646">
        <v>4104</v>
      </c>
      <c r="Y25" s="646">
        <v>4361</v>
      </c>
      <c r="Z25" s="646">
        <v>4635</v>
      </c>
      <c r="AA25" s="646">
        <v>4871</v>
      </c>
      <c r="AB25" s="646">
        <v>4871</v>
      </c>
      <c r="AC25" s="646">
        <v>4871</v>
      </c>
      <c r="AD25" s="646">
        <v>4871</v>
      </c>
      <c r="AE25" s="646">
        <v>4871</v>
      </c>
      <c r="AF25" s="646">
        <v>4871</v>
      </c>
      <c r="AG25" s="646">
        <v>4871</v>
      </c>
      <c r="AH25" s="646">
        <v>4871</v>
      </c>
      <c r="AI25" s="646">
        <v>4871</v>
      </c>
      <c r="AJ25" s="646">
        <v>4871</v>
      </c>
      <c r="AK25" s="646">
        <v>4871</v>
      </c>
      <c r="AL25" s="646">
        <v>4871</v>
      </c>
      <c r="AM25" s="646">
        <v>4871</v>
      </c>
      <c r="AN25" s="646">
        <v>4871</v>
      </c>
      <c r="AO25" s="24"/>
    </row>
    <row r="26" spans="1:42">
      <c r="A26" s="17">
        <v>6</v>
      </c>
      <c r="B26" s="646">
        <v>688.62358438267211</v>
      </c>
      <c r="C26" s="646">
        <v>715.18527929416064</v>
      </c>
      <c r="D26" s="646">
        <v>718.77254252373928</v>
      </c>
      <c r="E26" s="646">
        <v>807.39917937395808</v>
      </c>
      <c r="F26" s="646">
        <v>798</v>
      </c>
      <c r="G26" s="646">
        <v>861.87909852043731</v>
      </c>
      <c r="H26" s="646">
        <v>969.22078604005287</v>
      </c>
      <c r="I26" s="646">
        <v>1016.1702431277995</v>
      </c>
      <c r="J26" s="646">
        <v>1067.0194914386193</v>
      </c>
      <c r="K26" s="646">
        <v>1119.0088230114286</v>
      </c>
      <c r="L26" s="646">
        <v>1163.6708059192297</v>
      </c>
      <c r="M26" s="646">
        <v>1208.367270188882</v>
      </c>
      <c r="N26" s="646">
        <v>1254.8267037880471</v>
      </c>
      <c r="O26" s="646">
        <v>1300.1099351560974</v>
      </c>
      <c r="P26" s="646">
        <v>1346.4335653482528</v>
      </c>
      <c r="Q26" s="646">
        <v>1393.2282225237775</v>
      </c>
      <c r="R26" s="646">
        <v>1441.3272051141</v>
      </c>
      <c r="S26" s="646">
        <v>1487.2024381062661</v>
      </c>
      <c r="T26" s="646">
        <v>1534.3331783980041</v>
      </c>
      <c r="U26" s="646">
        <v>1581.8739430380645</v>
      </c>
      <c r="V26" s="646">
        <v>1630.6033638183146</v>
      </c>
      <c r="W26" s="646">
        <v>1677.2816069156195</v>
      </c>
      <c r="X26" s="646">
        <v>1725.5419250273162</v>
      </c>
      <c r="Y26" s="646">
        <v>1774.1698992224524</v>
      </c>
      <c r="Z26" s="646">
        <v>1824.0113961022751</v>
      </c>
      <c r="AA26" s="646">
        <v>1871.0384543782864</v>
      </c>
      <c r="AB26" s="646">
        <v>1919.1080105482333</v>
      </c>
      <c r="AC26" s="646">
        <v>1966.8175832137686</v>
      </c>
      <c r="AD26" s="646">
        <v>2015.5302957449337</v>
      </c>
      <c r="AE26" s="646">
        <v>2060.7983320896396</v>
      </c>
      <c r="AF26" s="646">
        <v>2106.8879568971784</v>
      </c>
      <c r="AG26" s="646">
        <v>2152.2550836858563</v>
      </c>
      <c r="AH26" s="646">
        <v>2198.3921986319351</v>
      </c>
      <c r="AI26" s="646">
        <v>2240.4549478940298</v>
      </c>
      <c r="AJ26" s="646">
        <v>2283.1049656346472</v>
      </c>
      <c r="AK26" s="646">
        <v>2324.6676895484088</v>
      </c>
      <c r="AL26" s="646">
        <v>2366.7595238596709</v>
      </c>
      <c r="AM26" s="646">
        <v>2404.1759989098373</v>
      </c>
      <c r="AN26" s="646">
        <v>2441.9479275440776</v>
      </c>
    </row>
    <row r="27" spans="1:42">
      <c r="A27" s="113">
        <v>7</v>
      </c>
      <c r="B27" s="646">
        <v>0</v>
      </c>
      <c r="C27" s="646">
        <v>1356</v>
      </c>
      <c r="D27" s="646">
        <v>1572.0887103567179</v>
      </c>
      <c r="E27" s="646">
        <v>1587.2587592727532</v>
      </c>
      <c r="F27" s="646">
        <v>1938.0977901271897</v>
      </c>
      <c r="G27" s="646">
        <v>2169</v>
      </c>
      <c r="H27" s="646">
        <v>2246</v>
      </c>
      <c r="I27" s="646">
        <v>2336</v>
      </c>
      <c r="J27" s="646">
        <v>2424.8902575915795</v>
      </c>
      <c r="K27" s="646">
        <v>2514.7726465140222</v>
      </c>
      <c r="L27" s="646">
        <v>2608.5622117421053</v>
      </c>
      <c r="M27" s="646">
        <v>2705.048277699093</v>
      </c>
      <c r="N27" s="646">
        <v>2810.1025308347216</v>
      </c>
      <c r="O27" s="646">
        <v>2907.4623419426762</v>
      </c>
      <c r="P27" s="646">
        <v>3014.1669236496764</v>
      </c>
      <c r="Q27" s="646">
        <v>3124.0394786546767</v>
      </c>
      <c r="R27" s="646">
        <v>3243.1693984775443</v>
      </c>
      <c r="S27" s="646">
        <v>3354.1372927911652</v>
      </c>
      <c r="T27" s="646">
        <v>3476.8535358654644</v>
      </c>
      <c r="U27" s="646">
        <v>3609.3977477783474</v>
      </c>
      <c r="V27" s="646">
        <v>3754.0514496055966</v>
      </c>
      <c r="W27" s="646">
        <v>3889.5689504621369</v>
      </c>
      <c r="X27" s="646">
        <v>4037.1391293989454</v>
      </c>
      <c r="Y27" s="646">
        <v>4189.5661025914487</v>
      </c>
      <c r="Z27" s="646">
        <v>4351.8884550575285</v>
      </c>
      <c r="AA27" s="646">
        <v>4498.8877597399451</v>
      </c>
      <c r="AB27" s="646">
        <v>4655.3139520005125</v>
      </c>
      <c r="AC27" s="646">
        <v>4812.5316716410098</v>
      </c>
      <c r="AD27" s="646">
        <v>4979.5056567056199</v>
      </c>
      <c r="AE27" s="646">
        <v>5127.3236094638887</v>
      </c>
      <c r="AF27" s="646">
        <v>5284.3312657028982</v>
      </c>
      <c r="AG27" s="646">
        <v>5440.6331120809755</v>
      </c>
      <c r="AH27" s="646">
        <v>5606.3342731642479</v>
      </c>
      <c r="AI27" s="646">
        <v>5748.8702216638767</v>
      </c>
      <c r="AJ27" s="646">
        <v>5900.2031895568134</v>
      </c>
      <c r="AK27" s="646">
        <v>6049.2164507697807</v>
      </c>
      <c r="AL27" s="646">
        <v>6207.139076901125</v>
      </c>
      <c r="AM27" s="646">
        <v>6337.9573083786654</v>
      </c>
      <c r="AN27" s="646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6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2551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2552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4.45">
      <c r="A39" s="620" t="s">
        <v>2554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4.45">
      <c r="A40" s="617" t="s">
        <v>2555</v>
      </c>
    </row>
    <row r="41" spans="1:42" ht="14.4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4.45">
      <c r="A42" s="617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4.45">
      <c r="A43" s="617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4.45">
      <c r="A44" s="617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4.45">
      <c r="A45" s="617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4.45">
      <c r="A46" s="617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4.45">
      <c r="A47" s="617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4.45">
      <c r="A48" s="617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4.45">
      <c r="A49" s="618" t="s">
        <v>97</v>
      </c>
      <c r="B49" s="619">
        <f>SUM(B42:B48)</f>
        <v>0</v>
      </c>
      <c r="C49" s="619">
        <f t="shared" ref="C49:AN49" si="16">SUM(C42:C48)</f>
        <v>0</v>
      </c>
      <c r="D49" s="619">
        <f t="shared" si="16"/>
        <v>0</v>
      </c>
      <c r="E49" s="619">
        <f t="shared" si="16"/>
        <v>0.41068383249999985</v>
      </c>
      <c r="F49" s="619">
        <f t="shared" si="16"/>
        <v>1.9338574692499999</v>
      </c>
      <c r="G49" s="619">
        <f t="shared" si="16"/>
        <v>12.092284814600003</v>
      </c>
      <c r="H49" s="619">
        <f t="shared" si="16"/>
        <v>35.86507435275</v>
      </c>
      <c r="I49" s="619">
        <f t="shared" si="16"/>
        <v>71.481550355805425</v>
      </c>
      <c r="J49" s="619">
        <f t="shared" si="16"/>
        <v>119.8995683352576</v>
      </c>
      <c r="K49" s="619">
        <f t="shared" si="16"/>
        <v>161.54305351175077</v>
      </c>
      <c r="L49" s="619">
        <f t="shared" si="16"/>
        <v>198.3505755723846</v>
      </c>
      <c r="M49" s="619">
        <f t="shared" si="16"/>
        <v>248.43651514952251</v>
      </c>
      <c r="N49" s="619">
        <f t="shared" si="16"/>
        <v>309.96339086760844</v>
      </c>
      <c r="O49" s="619">
        <f t="shared" si="16"/>
        <v>383.7692818872851</v>
      </c>
      <c r="P49" s="619">
        <f t="shared" si="16"/>
        <v>466.54607155433996</v>
      </c>
      <c r="Q49" s="619">
        <f t="shared" si="16"/>
        <v>560.88637511478271</v>
      </c>
      <c r="R49" s="619">
        <f t="shared" si="16"/>
        <v>665.41420770095192</v>
      </c>
      <c r="S49" s="619">
        <f t="shared" si="16"/>
        <v>778.13650432217128</v>
      </c>
      <c r="T49" s="619">
        <f t="shared" si="16"/>
        <v>903.98230976690127</v>
      </c>
      <c r="U49" s="619">
        <f t="shared" si="16"/>
        <v>1024.6104123551142</v>
      </c>
      <c r="V49" s="619">
        <f t="shared" si="16"/>
        <v>1134.853255526129</v>
      </c>
      <c r="W49" s="619">
        <f t="shared" si="16"/>
        <v>1243.6765567252228</v>
      </c>
      <c r="X49" s="619">
        <f t="shared" si="16"/>
        <v>1349.4875732996759</v>
      </c>
      <c r="Y49" s="619">
        <f t="shared" si="16"/>
        <v>1456.5148887574051</v>
      </c>
      <c r="Z49" s="619">
        <f t="shared" si="16"/>
        <v>1563.2780720657026</v>
      </c>
      <c r="AA49" s="619">
        <f t="shared" si="16"/>
        <v>1668.9504230581931</v>
      </c>
      <c r="AB49" s="619">
        <f t="shared" si="16"/>
        <v>1775.8195306238106</v>
      </c>
      <c r="AC49" s="619">
        <f t="shared" si="16"/>
        <v>1886.7118323500006</v>
      </c>
      <c r="AD49" s="619">
        <f t="shared" si="16"/>
        <v>2004.6234235767972</v>
      </c>
      <c r="AE49" s="619">
        <f t="shared" si="16"/>
        <v>2122.5731053099244</v>
      </c>
      <c r="AF49" s="619">
        <f t="shared" si="16"/>
        <v>2241.9529268274796</v>
      </c>
      <c r="AG49" s="619">
        <f t="shared" si="16"/>
        <v>2382.3807443652427</v>
      </c>
      <c r="AH49" s="619">
        <f t="shared" si="16"/>
        <v>2536.1833021766079</v>
      </c>
      <c r="AI49" s="619">
        <f t="shared" si="16"/>
        <v>2686.7166036609378</v>
      </c>
      <c r="AJ49" s="619">
        <f t="shared" si="16"/>
        <v>2843.41461525874</v>
      </c>
      <c r="AK49" s="619">
        <f t="shared" si="16"/>
        <v>3026.0545721328576</v>
      </c>
      <c r="AL49" s="619">
        <f t="shared" si="16"/>
        <v>3253.6386306328586</v>
      </c>
      <c r="AM49" s="619">
        <f t="shared" si="16"/>
        <v>3499.5777726328588</v>
      </c>
      <c r="AN49" s="619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workbookViewId="0">
      <selection activeCell="C51" sqref="A2:C51"/>
    </sheetView>
  </sheetViews>
  <sheetFormatPr defaultRowHeight="13.15"/>
  <cols>
    <col min="1" max="1" width="12" bestFit="1" customWidth="1"/>
    <col min="2" max="2" width="98.42578125" bestFit="1" customWidth="1"/>
    <col min="5" max="5" width="9.7109375" customWidth="1"/>
  </cols>
  <sheetData>
    <row r="1" spans="1:5" ht="13.9" thickBot="1">
      <c r="A1" s="1" t="s">
        <v>34</v>
      </c>
      <c r="B1" s="2" t="s">
        <v>35</v>
      </c>
    </row>
    <row r="2" spans="1:5" ht="13.9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3.1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9" thickBot="1">
      <c r="A1" s="11" t="s">
        <v>138</v>
      </c>
      <c r="B1" s="61">
        <f>[5]tab_PeriodoEstudo!B2</f>
        <v>2012</v>
      </c>
      <c r="C1" s="61">
        <f>[5]tab_PeriodoEstudo!B3</f>
        <v>2013</v>
      </c>
      <c r="D1" s="61">
        <f>[5]tab_PeriodoEstudo!B4</f>
        <v>2014</v>
      </c>
      <c r="E1" s="61">
        <f>[5]tab_PeriodoEstudo!B5</f>
        <v>2015</v>
      </c>
      <c r="F1" s="61">
        <f>[5]tab_PeriodoEstudo!B6</f>
        <v>2016</v>
      </c>
      <c r="G1" s="61">
        <f>[5]tab_PeriodoEstudo!B7</f>
        <v>2017</v>
      </c>
      <c r="H1" s="61">
        <f>[5]tab_PeriodoEstudo!B8</f>
        <v>2018</v>
      </c>
      <c r="I1" s="61">
        <f>[5]tab_PeriodoEstudo!B9</f>
        <v>2019</v>
      </c>
      <c r="J1" s="61">
        <f>[5]tab_PeriodoEstudo!B10</f>
        <v>2020</v>
      </c>
      <c r="K1" s="61">
        <f>[5]tab_PeriodoEstudo!B11</f>
        <v>2021</v>
      </c>
      <c r="L1" s="61">
        <f>[5]tab_PeriodoEstudo!B12</f>
        <v>2022</v>
      </c>
      <c r="M1" s="61">
        <f>[5]tab_PeriodoEstudo!B13</f>
        <v>2023</v>
      </c>
      <c r="N1" s="61">
        <f>[5]tab_PeriodoEstudo!B14</f>
        <v>2024</v>
      </c>
      <c r="O1" s="61">
        <f>[5]tab_PeriodoEstudo!B15</f>
        <v>2025</v>
      </c>
      <c r="P1" s="61">
        <f>[5]tab_PeriodoEstudo!B16</f>
        <v>2026</v>
      </c>
      <c r="Q1" s="61">
        <f>[5]tab_PeriodoEstudo!B17</f>
        <v>2027</v>
      </c>
      <c r="R1" s="61">
        <f>[5]tab_PeriodoEstudo!B18</f>
        <v>2028</v>
      </c>
      <c r="S1" s="61">
        <f>[5]tab_PeriodoEstudo!B19</f>
        <v>2029</v>
      </c>
      <c r="T1" s="61">
        <f>[5]tab_PeriodoEstudo!B20</f>
        <v>2030</v>
      </c>
      <c r="U1" s="61">
        <f>[5]tab_PeriodoEstudo!B21</f>
        <v>2031</v>
      </c>
      <c r="V1" s="61">
        <f>[5]tab_PeriodoEstudo!B22</f>
        <v>2032</v>
      </c>
      <c r="W1" s="61">
        <f>[5]tab_PeriodoEstudo!B23</f>
        <v>2033</v>
      </c>
      <c r="X1" s="61">
        <f>[5]tab_PeriodoEstudo!B24</f>
        <v>2034</v>
      </c>
      <c r="Y1" s="61">
        <f>[5]tab_PeriodoEstudo!B25</f>
        <v>2035</v>
      </c>
      <c r="Z1" s="61">
        <f>[5]tab_PeriodoEstudo!B26</f>
        <v>2036</v>
      </c>
      <c r="AA1" s="61">
        <f>[5]tab_PeriodoEstudo!B27</f>
        <v>2037</v>
      </c>
      <c r="AB1" s="61">
        <f>[5]tab_PeriodoEstudo!B28</f>
        <v>2038</v>
      </c>
      <c r="AC1" s="61">
        <f>[5]tab_PeriodoEstudo!B29</f>
        <v>2039</v>
      </c>
      <c r="AD1" s="61">
        <f>[5]tab_PeriodoEstudo!B30</f>
        <v>2040</v>
      </c>
      <c r="AE1" s="61">
        <f>[5]tab_PeriodoEstudo!B31</f>
        <v>2041</v>
      </c>
      <c r="AF1" s="61">
        <f>[5]tab_PeriodoEstudo!B32</f>
        <v>2042</v>
      </c>
      <c r="AG1" s="61">
        <f>[5]tab_PeriodoEstudo!B33</f>
        <v>2043</v>
      </c>
      <c r="AH1" s="61">
        <f>[5]tab_PeriodoEstudo!B34</f>
        <v>2044</v>
      </c>
      <c r="AI1" s="61">
        <f>[5]tab_PeriodoEstudo!B35</f>
        <v>2045</v>
      </c>
      <c r="AJ1" s="61">
        <f>[5]tab_PeriodoEstudo!B36</f>
        <v>2046</v>
      </c>
      <c r="AK1" s="61">
        <f>[5]tab_PeriodoEstudo!B37</f>
        <v>2047</v>
      </c>
      <c r="AL1" s="61">
        <f>[5]tab_PeriodoEstudo!B38</f>
        <v>2048</v>
      </c>
      <c r="AM1" s="61">
        <f>[5]tab_PeriodoEstudo!B39</f>
        <v>2049</v>
      </c>
      <c r="AN1" s="61">
        <f>[5]tab_PeriodoEstudo!B40</f>
        <v>2050</v>
      </c>
    </row>
    <row r="2" spans="1:40" ht="13.9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7">
        <f>E19+E31+E43+E55</f>
        <v>0.70983861065819132</v>
      </c>
      <c r="F2" s="637">
        <f t="shared" ref="F2:AN2" si="1">F19+F31+F43+F55</f>
        <v>4.4388450636569177</v>
      </c>
      <c r="G2" s="637">
        <f t="shared" si="1"/>
        <v>24.431809736596122</v>
      </c>
      <c r="H2" s="637">
        <f t="shared" si="1"/>
        <v>70.953679247562974</v>
      </c>
      <c r="I2" s="637">
        <f t="shared" si="1"/>
        <v>138.15150094079453</v>
      </c>
      <c r="J2" s="637">
        <f t="shared" si="1"/>
        <v>225.73867317468006</v>
      </c>
      <c r="K2" s="637">
        <f t="shared" si="1"/>
        <v>296.547914215677</v>
      </c>
      <c r="L2" s="637">
        <f t="shared" si="1"/>
        <v>346.17028585053765</v>
      </c>
      <c r="M2" s="637">
        <f t="shared" si="1"/>
        <v>433.01779386993707</v>
      </c>
      <c r="N2" s="637">
        <f t="shared" si="1"/>
        <v>562.7132136644052</v>
      </c>
      <c r="O2" s="637">
        <f t="shared" si="1"/>
        <v>714.05546329887261</v>
      </c>
      <c r="P2" s="637">
        <f t="shared" si="1"/>
        <v>880.32877823056401</v>
      </c>
      <c r="Q2" s="637">
        <f t="shared" si="1"/>
        <v>1059.2932661405478</v>
      </c>
      <c r="R2" s="637">
        <f t="shared" si="1"/>
        <v>1241.4809004905339</v>
      </c>
      <c r="S2" s="637">
        <f t="shared" si="1"/>
        <v>1425.7169772148327</v>
      </c>
      <c r="T2" s="637">
        <f t="shared" si="1"/>
        <v>1618.4974558003214</v>
      </c>
      <c r="U2" s="637">
        <f t="shared" si="1"/>
        <v>1791.8202489519444</v>
      </c>
      <c r="V2" s="637">
        <f t="shared" si="1"/>
        <v>1943.0730434696768</v>
      </c>
      <c r="W2" s="637">
        <f t="shared" si="1"/>
        <v>2095.139858280002</v>
      </c>
      <c r="X2" s="637">
        <f t="shared" si="1"/>
        <v>2247.9842456453043</v>
      </c>
      <c r="Y2" s="637">
        <f t="shared" si="1"/>
        <v>2406.0781751769409</v>
      </c>
      <c r="Z2" s="637">
        <f t="shared" si="1"/>
        <v>2571.0608041143764</v>
      </c>
      <c r="AA2" s="637">
        <f t="shared" si="1"/>
        <v>2739.2522541082167</v>
      </c>
      <c r="AB2" s="637">
        <f t="shared" si="1"/>
        <v>2914.0386665633555</v>
      </c>
      <c r="AC2" s="637">
        <f t="shared" si="1"/>
        <v>3096.7253063360549</v>
      </c>
      <c r="AD2" s="637">
        <f t="shared" si="1"/>
        <v>3296.4508203223113</v>
      </c>
      <c r="AE2" s="637">
        <f t="shared" si="1"/>
        <v>3493.0358189086223</v>
      </c>
      <c r="AF2" s="637">
        <f t="shared" si="1"/>
        <v>3683.5384841537184</v>
      </c>
      <c r="AG2" s="637">
        <f t="shared" si="1"/>
        <v>3893.1982837823398</v>
      </c>
      <c r="AH2" s="637">
        <f t="shared" si="1"/>
        <v>4115.5397986007865</v>
      </c>
      <c r="AI2" s="637">
        <f t="shared" si="1"/>
        <v>4346.3583728102749</v>
      </c>
      <c r="AJ2" s="637">
        <f t="shared" si="1"/>
        <v>4588.1506508394677</v>
      </c>
      <c r="AK2" s="637">
        <f t="shared" si="1"/>
        <v>4843.8211309287781</v>
      </c>
      <c r="AL2" s="637">
        <f t="shared" si="1"/>
        <v>5114.8087263267207</v>
      </c>
      <c r="AM2" s="637">
        <f t="shared" si="1"/>
        <v>5402.0456529379444</v>
      </c>
      <c r="AN2" s="637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7">
        <f t="shared" si="2"/>
        <v>0.70012744047599773</v>
      </c>
      <c r="F3" s="637">
        <f t="shared" ref="F3:AN7" si="3">F20+F32+F44+F56</f>
        <v>1.780773436612709</v>
      </c>
      <c r="G3" s="637">
        <f t="shared" si="3"/>
        <v>5.5780095062822674</v>
      </c>
      <c r="H3" s="637">
        <f t="shared" si="3"/>
        <v>18.55700339175479</v>
      </c>
      <c r="I3" s="637">
        <f t="shared" si="3"/>
        <v>46.167958278118299</v>
      </c>
      <c r="J3" s="637">
        <f t="shared" si="3"/>
        <v>86.152023624688553</v>
      </c>
      <c r="K3" s="637">
        <f t="shared" si="3"/>
        <v>119.76098430932448</v>
      </c>
      <c r="L3" s="637">
        <f t="shared" si="3"/>
        <v>147.31321053277</v>
      </c>
      <c r="M3" s="637">
        <f t="shared" si="3"/>
        <v>190.29587416015164</v>
      </c>
      <c r="N3" s="637">
        <f t="shared" si="3"/>
        <v>249.04328536407291</v>
      </c>
      <c r="O3" s="637">
        <f t="shared" si="3"/>
        <v>320.0590139243472</v>
      </c>
      <c r="P3" s="637">
        <f t="shared" si="3"/>
        <v>400.20978334682479</v>
      </c>
      <c r="Q3" s="637">
        <f t="shared" si="3"/>
        <v>487.54445087768283</v>
      </c>
      <c r="R3" s="637">
        <f t="shared" si="3"/>
        <v>582.44356110083379</v>
      </c>
      <c r="S3" s="637">
        <f t="shared" si="3"/>
        <v>683.53312262617897</v>
      </c>
      <c r="T3" s="637">
        <f t="shared" si="3"/>
        <v>791.19223822629567</v>
      </c>
      <c r="U3" s="637">
        <f t="shared" si="3"/>
        <v>893.55790609832923</v>
      </c>
      <c r="V3" s="637">
        <f t="shared" si="3"/>
        <v>988.18923328513677</v>
      </c>
      <c r="W3" s="637">
        <f t="shared" si="3"/>
        <v>1079.7482931196714</v>
      </c>
      <c r="X3" s="637">
        <f t="shared" si="3"/>
        <v>1169.2058379870762</v>
      </c>
      <c r="Y3" s="637">
        <f t="shared" si="3"/>
        <v>1259.0200273979513</v>
      </c>
      <c r="Z3" s="637">
        <f t="shared" si="3"/>
        <v>1347.4050969712393</v>
      </c>
      <c r="AA3" s="637">
        <f t="shared" si="3"/>
        <v>1435.9851557557824</v>
      </c>
      <c r="AB3" s="637">
        <f t="shared" si="3"/>
        <v>1526.1286009933576</v>
      </c>
      <c r="AC3" s="637">
        <f t="shared" si="3"/>
        <v>1620.0398691318287</v>
      </c>
      <c r="AD3" s="637">
        <f t="shared" si="3"/>
        <v>1718.5948196926911</v>
      </c>
      <c r="AE3" s="637">
        <f t="shared" si="3"/>
        <v>1814.8700944441837</v>
      </c>
      <c r="AF3" s="637">
        <f t="shared" si="3"/>
        <v>1913.4380856851967</v>
      </c>
      <c r="AG3" s="637">
        <f t="shared" si="3"/>
        <v>2031.1207104656983</v>
      </c>
      <c r="AH3" s="637">
        <f t="shared" si="3"/>
        <v>2160.5105725145672</v>
      </c>
      <c r="AI3" s="637">
        <f t="shared" si="3"/>
        <v>2286.9462862129371</v>
      </c>
      <c r="AJ3" s="637">
        <f t="shared" si="3"/>
        <v>2419.1932621946162</v>
      </c>
      <c r="AK3" s="637">
        <f t="shared" si="3"/>
        <v>2574.2433954709513</v>
      </c>
      <c r="AL3" s="637">
        <f t="shared" si="3"/>
        <v>2768.2955006816592</v>
      </c>
      <c r="AM3" s="637">
        <f t="shared" si="3"/>
        <v>2977.5594244474419</v>
      </c>
      <c r="AN3" s="637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7">
        <f t="shared" si="0"/>
        <v>0.14720892604048189</v>
      </c>
      <c r="F4" s="637">
        <f t="shared" si="3"/>
        <v>1.3339766745905934</v>
      </c>
      <c r="G4" s="637">
        <f t="shared" si="3"/>
        <v>6.8878423362633212</v>
      </c>
      <c r="H4" s="637">
        <f t="shared" si="3"/>
        <v>21.287798314906794</v>
      </c>
      <c r="I4" s="637">
        <f t="shared" si="3"/>
        <v>47.868390859078005</v>
      </c>
      <c r="J4" s="637">
        <f t="shared" si="3"/>
        <v>86.345267983997545</v>
      </c>
      <c r="K4" s="637">
        <f t="shared" si="3"/>
        <v>112.25136441045886</v>
      </c>
      <c r="L4" s="637">
        <f t="shared" si="3"/>
        <v>120.84446603703057</v>
      </c>
      <c r="M4" s="637">
        <f t="shared" si="3"/>
        <v>139.2084149646935</v>
      </c>
      <c r="N4" s="637">
        <f t="shared" si="3"/>
        <v>170.08099709231755</v>
      </c>
      <c r="O4" s="637">
        <f t="shared" si="3"/>
        <v>205.72198965384135</v>
      </c>
      <c r="P4" s="637">
        <f t="shared" si="3"/>
        <v>244.87008537748503</v>
      </c>
      <c r="Q4" s="637">
        <f t="shared" si="3"/>
        <v>286.88312716298356</v>
      </c>
      <c r="R4" s="637">
        <f t="shared" si="3"/>
        <v>330.96018524453621</v>
      </c>
      <c r="S4" s="637">
        <f t="shared" si="3"/>
        <v>377.43279032900108</v>
      </c>
      <c r="T4" s="637">
        <f t="shared" si="3"/>
        <v>428.38557598007475</v>
      </c>
      <c r="U4" s="637">
        <f t="shared" si="3"/>
        <v>474.7061867928374</v>
      </c>
      <c r="V4" s="637">
        <f t="shared" si="3"/>
        <v>514.01452206351814</v>
      </c>
      <c r="W4" s="637">
        <f t="shared" si="3"/>
        <v>555.20186598252326</v>
      </c>
      <c r="X4" s="637">
        <f t="shared" si="3"/>
        <v>598.4571529330741</v>
      </c>
      <c r="Y4" s="637">
        <f t="shared" si="3"/>
        <v>644.67887163056173</v>
      </c>
      <c r="Z4" s="637">
        <f t="shared" si="3"/>
        <v>694.55285081954651</v>
      </c>
      <c r="AA4" s="637">
        <f t="shared" si="3"/>
        <v>748.56200894897017</v>
      </c>
      <c r="AB4" s="637">
        <f t="shared" si="3"/>
        <v>813.495868339759</v>
      </c>
      <c r="AC4" s="637">
        <f t="shared" si="3"/>
        <v>891.95674214081907</v>
      </c>
      <c r="AD4" s="637">
        <f t="shared" si="3"/>
        <v>973.31917506002753</v>
      </c>
      <c r="AE4" s="637">
        <f t="shared" si="3"/>
        <v>1049.3678836320357</v>
      </c>
      <c r="AF4" s="637">
        <f t="shared" si="3"/>
        <v>1125.1658918012999</v>
      </c>
      <c r="AG4" s="637">
        <f t="shared" si="3"/>
        <v>1206.7732923632366</v>
      </c>
      <c r="AH4" s="637">
        <f t="shared" si="3"/>
        <v>1295.3674936672116</v>
      </c>
      <c r="AI4" s="637">
        <f t="shared" si="3"/>
        <v>1391.5260191021098</v>
      </c>
      <c r="AJ4" s="637">
        <f t="shared" si="3"/>
        <v>1495.6913351540577</v>
      </c>
      <c r="AK4" s="637">
        <f t="shared" si="3"/>
        <v>1607.5447909854745</v>
      </c>
      <c r="AL4" s="637">
        <f t="shared" si="3"/>
        <v>1727.7520641726899</v>
      </c>
      <c r="AM4" s="637">
        <f t="shared" si="3"/>
        <v>1857.7546760854573</v>
      </c>
      <c r="AN4" s="637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7">
        <f t="shared" si="0"/>
        <v>5.39056002371366E-2</v>
      </c>
      <c r="F5" s="637">
        <f t="shared" si="3"/>
        <v>0.95431470540109065</v>
      </c>
      <c r="G5" s="637">
        <f t="shared" si="3"/>
        <v>3.4785753815268867</v>
      </c>
      <c r="H5" s="637">
        <f t="shared" si="3"/>
        <v>7.5994956607932309</v>
      </c>
      <c r="I5" s="637">
        <f t="shared" si="3"/>
        <v>13.98044788414993</v>
      </c>
      <c r="J5" s="637">
        <f t="shared" si="3"/>
        <v>22.510358338060136</v>
      </c>
      <c r="K5" s="637">
        <f t="shared" si="3"/>
        <v>28.975285930671564</v>
      </c>
      <c r="L5" s="637">
        <f t="shared" si="3"/>
        <v>31.77476521808504</v>
      </c>
      <c r="M5" s="637">
        <f t="shared" si="3"/>
        <v>37.02239458958995</v>
      </c>
      <c r="N5" s="637">
        <f t="shared" si="3"/>
        <v>47.96308453461355</v>
      </c>
      <c r="O5" s="637">
        <f t="shared" si="3"/>
        <v>62.079964671563218</v>
      </c>
      <c r="P5" s="637">
        <f t="shared" si="3"/>
        <v>76.302587072470374</v>
      </c>
      <c r="Q5" s="637">
        <f t="shared" si="3"/>
        <v>90.848606053779505</v>
      </c>
      <c r="R5" s="637">
        <f t="shared" si="3"/>
        <v>107.37700982712364</v>
      </c>
      <c r="S5" s="637">
        <f t="shared" si="3"/>
        <v>124.09775654819579</v>
      </c>
      <c r="T5" s="637">
        <f t="shared" si="3"/>
        <v>141.81162746510577</v>
      </c>
      <c r="U5" s="637">
        <f t="shared" si="3"/>
        <v>157.98364005509984</v>
      </c>
      <c r="V5" s="637">
        <f t="shared" si="3"/>
        <v>171.86889509358144</v>
      </c>
      <c r="W5" s="637">
        <f t="shared" si="3"/>
        <v>185.99345796864162</v>
      </c>
      <c r="X5" s="637">
        <f t="shared" si="3"/>
        <v>198.75796403406673</v>
      </c>
      <c r="Y5" s="637">
        <f t="shared" si="3"/>
        <v>211.98486795230471</v>
      </c>
      <c r="Z5" s="637">
        <f t="shared" si="3"/>
        <v>225.85316318105384</v>
      </c>
      <c r="AA5" s="637">
        <f t="shared" si="3"/>
        <v>239.74792106947331</v>
      </c>
      <c r="AB5" s="637">
        <f t="shared" si="3"/>
        <v>253.83129104664516</v>
      </c>
      <c r="AC5" s="637">
        <f t="shared" si="3"/>
        <v>269.10433715221558</v>
      </c>
      <c r="AD5" s="637">
        <f t="shared" si="3"/>
        <v>285.44926964476178</v>
      </c>
      <c r="AE5" s="637">
        <f t="shared" si="3"/>
        <v>300.1294487042785</v>
      </c>
      <c r="AF5" s="637">
        <f t="shared" si="3"/>
        <v>314.61116859734045</v>
      </c>
      <c r="AG5" s="637">
        <f t="shared" si="3"/>
        <v>330.59888722371937</v>
      </c>
      <c r="AH5" s="637">
        <f t="shared" si="3"/>
        <v>347.62449235640406</v>
      </c>
      <c r="AI5" s="637">
        <f t="shared" si="3"/>
        <v>365.73853594515816</v>
      </c>
      <c r="AJ5" s="637">
        <f t="shared" si="3"/>
        <v>384.88494611654346</v>
      </c>
      <c r="AK5" s="637">
        <f t="shared" si="3"/>
        <v>405.19569226442655</v>
      </c>
      <c r="AL5" s="637">
        <f t="shared" si="3"/>
        <v>426.70326625268211</v>
      </c>
      <c r="AM5" s="637">
        <f t="shared" si="3"/>
        <v>449.53080624422529</v>
      </c>
      <c r="AN5" s="637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7">
        <f t="shared" si="0"/>
        <v>0</v>
      </c>
      <c r="F6" s="637">
        <f t="shared" si="3"/>
        <v>0</v>
      </c>
      <c r="G6" s="637">
        <f t="shared" si="3"/>
        <v>0</v>
      </c>
      <c r="H6" s="637">
        <f t="shared" si="3"/>
        <v>0</v>
      </c>
      <c r="I6" s="637">
        <f t="shared" si="3"/>
        <v>0</v>
      </c>
      <c r="J6" s="637">
        <f t="shared" si="3"/>
        <v>0</v>
      </c>
      <c r="K6" s="637">
        <f t="shared" si="3"/>
        <v>0</v>
      </c>
      <c r="L6" s="637">
        <f t="shared" si="3"/>
        <v>0</v>
      </c>
      <c r="M6" s="637">
        <f t="shared" si="3"/>
        <v>0</v>
      </c>
      <c r="N6" s="637">
        <f t="shared" si="3"/>
        <v>0</v>
      </c>
      <c r="O6" s="637">
        <f t="shared" si="3"/>
        <v>0</v>
      </c>
      <c r="P6" s="637">
        <f t="shared" si="3"/>
        <v>0</v>
      </c>
      <c r="Q6" s="637">
        <f t="shared" si="3"/>
        <v>0</v>
      </c>
      <c r="R6" s="637">
        <f t="shared" si="3"/>
        <v>0</v>
      </c>
      <c r="S6" s="637">
        <f t="shared" si="3"/>
        <v>0</v>
      </c>
      <c r="T6" s="637">
        <f t="shared" si="3"/>
        <v>0</v>
      </c>
      <c r="U6" s="637">
        <f t="shared" si="3"/>
        <v>0</v>
      </c>
      <c r="V6" s="637">
        <f t="shared" si="3"/>
        <v>0</v>
      </c>
      <c r="W6" s="637">
        <f t="shared" si="3"/>
        <v>0</v>
      </c>
      <c r="X6" s="637">
        <f t="shared" si="3"/>
        <v>0</v>
      </c>
      <c r="Y6" s="637">
        <f t="shared" si="3"/>
        <v>0</v>
      </c>
      <c r="Z6" s="637">
        <f t="shared" si="3"/>
        <v>0</v>
      </c>
      <c r="AA6" s="637">
        <f t="shared" si="3"/>
        <v>0</v>
      </c>
      <c r="AB6" s="637">
        <f t="shared" si="3"/>
        <v>0</v>
      </c>
      <c r="AC6" s="637">
        <f t="shared" si="3"/>
        <v>0</v>
      </c>
      <c r="AD6" s="637">
        <f t="shared" si="3"/>
        <v>0</v>
      </c>
      <c r="AE6" s="637">
        <f t="shared" si="3"/>
        <v>0</v>
      </c>
      <c r="AF6" s="637">
        <f t="shared" si="3"/>
        <v>0</v>
      </c>
      <c r="AG6" s="637">
        <f t="shared" si="3"/>
        <v>0</v>
      </c>
      <c r="AH6" s="637">
        <f t="shared" si="3"/>
        <v>0</v>
      </c>
      <c r="AI6" s="637">
        <f t="shared" si="3"/>
        <v>0</v>
      </c>
      <c r="AJ6" s="637">
        <f t="shared" si="3"/>
        <v>0</v>
      </c>
      <c r="AK6" s="637">
        <f t="shared" si="3"/>
        <v>0</v>
      </c>
      <c r="AL6" s="637">
        <f t="shared" si="3"/>
        <v>0</v>
      </c>
      <c r="AM6" s="637">
        <f t="shared" si="3"/>
        <v>0</v>
      </c>
      <c r="AN6" s="637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7">
        <f t="shared" si="0"/>
        <v>1.3776506037335768E-3</v>
      </c>
      <c r="F7" s="637">
        <f t="shared" si="3"/>
        <v>9.9992056056778383E-3</v>
      </c>
      <c r="G7" s="637">
        <f t="shared" si="3"/>
        <v>5.6286076865589438E-2</v>
      </c>
      <c r="H7" s="637">
        <f t="shared" si="3"/>
        <v>0.1977263213615468</v>
      </c>
      <c r="I7" s="637">
        <f t="shared" si="3"/>
        <v>0.45925472030867881</v>
      </c>
      <c r="J7" s="637">
        <f t="shared" si="3"/>
        <v>0.81230447635381775</v>
      </c>
      <c r="K7" s="637">
        <f t="shared" si="3"/>
        <v>1.0062649511729489</v>
      </c>
      <c r="L7" s="637">
        <f t="shared" si="3"/>
        <v>1.025834776680784</v>
      </c>
      <c r="M7" s="637">
        <f t="shared" si="3"/>
        <v>1.1649199226207259</v>
      </c>
      <c r="N7" s="637">
        <f t="shared" si="3"/>
        <v>1.4379936917872875</v>
      </c>
      <c r="O7" s="637">
        <f t="shared" si="3"/>
        <v>1.7674499696886508</v>
      </c>
      <c r="P7" s="637">
        <f t="shared" si="3"/>
        <v>2.1751016202766933</v>
      </c>
      <c r="Q7" s="637">
        <f t="shared" si="3"/>
        <v>2.6240320042287477</v>
      </c>
      <c r="R7" s="637">
        <f t="shared" si="3"/>
        <v>3.0792042875872516</v>
      </c>
      <c r="S7" s="637">
        <f t="shared" si="3"/>
        <v>3.5878098154797735</v>
      </c>
      <c r="T7" s="637">
        <f t="shared" si="3"/>
        <v>4.1113785407247452</v>
      </c>
      <c r="U7" s="637">
        <f t="shared" si="3"/>
        <v>4.5391194141010027</v>
      </c>
      <c r="V7" s="637">
        <f t="shared" si="3"/>
        <v>4.8918928789005234</v>
      </c>
      <c r="W7" s="637">
        <f t="shared" si="3"/>
        <v>5.259833734884932</v>
      </c>
      <c r="X7" s="637">
        <f t="shared" si="3"/>
        <v>5.6412433710056975</v>
      </c>
      <c r="Y7" s="637">
        <f t="shared" si="3"/>
        <v>6.0420919202680166</v>
      </c>
      <c r="Z7" s="637">
        <f t="shared" si="3"/>
        <v>6.4826880263971356</v>
      </c>
      <c r="AA7" s="637">
        <f t="shared" si="3"/>
        <v>6.9600854268150467</v>
      </c>
      <c r="AB7" s="637">
        <f t="shared" si="3"/>
        <v>7.4732266552174353</v>
      </c>
      <c r="AC7" s="637">
        <f t="shared" si="3"/>
        <v>8.0406479596200793</v>
      </c>
      <c r="AD7" s="637">
        <f t="shared" si="3"/>
        <v>8.6562493427711296</v>
      </c>
      <c r="AE7" s="637">
        <f t="shared" si="3"/>
        <v>9.2203244867271952</v>
      </c>
      <c r="AF7" s="637">
        <f t="shared" si="3"/>
        <v>9.7933282878563173</v>
      </c>
      <c r="AG7" s="637">
        <f t="shared" si="3"/>
        <v>10.423957506474501</v>
      </c>
      <c r="AH7" s="637">
        <f t="shared" si="3"/>
        <v>11.092403932313335</v>
      </c>
      <c r="AI7" s="637">
        <f t="shared" si="3"/>
        <v>11.813341355274522</v>
      </c>
      <c r="AJ7" s="637">
        <f t="shared" si="3"/>
        <v>12.591561499004454</v>
      </c>
      <c r="AK7" s="637">
        <f t="shared" si="3"/>
        <v>13.415223584350542</v>
      </c>
      <c r="AL7" s="637">
        <f t="shared" si="3"/>
        <v>14.295032248880089</v>
      </c>
      <c r="AM7" s="637">
        <f t="shared" si="3"/>
        <v>15.229685249299569</v>
      </c>
      <c r="AN7" s="637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7">
        <f t="shared" ref="E8:AN8" si="4">E25+E37+E49+E61</f>
        <v>3.795360056026582E-3</v>
      </c>
      <c r="F8" s="637">
        <f t="shared" si="4"/>
        <v>2.5517683740473789E-2</v>
      </c>
      <c r="G8" s="637">
        <f t="shared" si="4"/>
        <v>0.24437820994921824</v>
      </c>
      <c r="H8" s="637">
        <f t="shared" si="4"/>
        <v>0.86271473820866007</v>
      </c>
      <c r="I8" s="637">
        <f t="shared" si="4"/>
        <v>1.9054418236967514</v>
      </c>
      <c r="J8" s="637">
        <f t="shared" si="4"/>
        <v>3.3202737699309051</v>
      </c>
      <c r="K8" s="637">
        <f t="shared" si="4"/>
        <v>4.7455971769748322</v>
      </c>
      <c r="L8" s="637">
        <f t="shared" si="4"/>
        <v>6.1657333352898211</v>
      </c>
      <c r="M8" s="637">
        <f t="shared" si="4"/>
        <v>8.2358436676344251</v>
      </c>
      <c r="N8" s="637">
        <f t="shared" si="4"/>
        <v>11.055946335319359</v>
      </c>
      <c r="O8" s="637">
        <f t="shared" si="4"/>
        <v>14.262793619045977</v>
      </c>
      <c r="P8" s="637">
        <f t="shared" si="4"/>
        <v>17.668954333580736</v>
      </c>
      <c r="Q8" s="637">
        <f t="shared" si="4"/>
        <v>21.086507016656139</v>
      </c>
      <c r="R8" s="637">
        <f t="shared" si="4"/>
        <v>24.408850761458716</v>
      </c>
      <c r="S8" s="637">
        <f t="shared" si="4"/>
        <v>27.625766938499691</v>
      </c>
      <c r="T8" s="637">
        <f t="shared" si="4"/>
        <v>30.757065665882585</v>
      </c>
      <c r="U8" s="637">
        <f t="shared" si="4"/>
        <v>33.463056703893756</v>
      </c>
      <c r="V8" s="637">
        <f t="shared" si="4"/>
        <v>35.746103838670209</v>
      </c>
      <c r="W8" s="637">
        <f t="shared" si="4"/>
        <v>37.998893650107831</v>
      </c>
      <c r="X8" s="637">
        <f t="shared" si="4"/>
        <v>40.276908755837432</v>
      </c>
      <c r="Y8" s="637">
        <f t="shared" si="4"/>
        <v>42.624544375933532</v>
      </c>
      <c r="Z8" s="637">
        <f t="shared" si="4"/>
        <v>45.047814767829969</v>
      </c>
      <c r="AA8" s="637">
        <f t="shared" si="4"/>
        <v>47.614540579222265</v>
      </c>
      <c r="AB8" s="637">
        <f t="shared" si="4"/>
        <v>50.364112564262129</v>
      </c>
      <c r="AC8" s="637">
        <f t="shared" si="4"/>
        <v>53.279436307790313</v>
      </c>
      <c r="AD8" s="637">
        <f t="shared" si="4"/>
        <v>56.374603422769646</v>
      </c>
      <c r="AE8" s="637">
        <f t="shared" si="4"/>
        <v>59.405368073790001</v>
      </c>
      <c r="AF8" s="637">
        <f t="shared" si="4"/>
        <v>62.399016864469523</v>
      </c>
      <c r="AG8" s="637">
        <f t="shared" si="4"/>
        <v>65.617757853418965</v>
      </c>
      <c r="AH8" s="637">
        <f t="shared" si="4"/>
        <v>69.033838976741109</v>
      </c>
      <c r="AI8" s="637">
        <f t="shared" si="4"/>
        <v>72.629102628705624</v>
      </c>
      <c r="AJ8" s="637">
        <f t="shared" si="4"/>
        <v>76.457563330336711</v>
      </c>
      <c r="AK8" s="637">
        <f t="shared" si="4"/>
        <v>80.567021450979141</v>
      </c>
      <c r="AL8" s="637">
        <f t="shared" si="4"/>
        <v>84.822218406604378</v>
      </c>
      <c r="AM8" s="637">
        <f t="shared" si="4"/>
        <v>89.171322186333029</v>
      </c>
      <c r="AN8" s="637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4.45">
      <c r="A16" s="616" t="s">
        <v>2556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4.45">
      <c r="A17" s="617" t="s">
        <v>2557</v>
      </c>
    </row>
    <row r="18" spans="1:40" ht="14.4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4.4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4.4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4.4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4.4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4.4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4.4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4.4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4.45">
      <c r="A26" s="618" t="s">
        <v>97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4.45">
      <c r="A27" s="617"/>
    </row>
    <row r="28" spans="1:40" ht="14.45">
      <c r="A28" s="616" t="s">
        <v>2558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4.45">
      <c r="A29" s="617" t="s">
        <v>2557</v>
      </c>
    </row>
    <row r="30" spans="1:40" ht="14.4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4.4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4.4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4.4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4.4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4.4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4.4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4.4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4.45">
      <c r="A38" s="618" t="s">
        <v>97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4.45">
      <c r="A39" s="617"/>
    </row>
    <row r="40" spans="1:40" ht="14.45">
      <c r="A40" s="616" t="s">
        <v>2559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4.45">
      <c r="A41" s="617" t="s">
        <v>2557</v>
      </c>
    </row>
    <row r="42" spans="1:40" ht="14.4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4.4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4.4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4.4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4.4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4.4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4.4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4.4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4.45">
      <c r="A50" s="618" t="s">
        <v>97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4.4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4.45">
      <c r="A52" s="616" t="s">
        <v>2560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4.45">
      <c r="A53" s="617" t="s">
        <v>2557</v>
      </c>
    </row>
    <row r="54" spans="1:40" ht="14.4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4.4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4.4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4.4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4.4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4.4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4.4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4.4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4.45">
      <c r="A62" s="618" t="s">
        <v>97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4.45">
      <c r="A66" s="620" t="s">
        <v>2556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4.45">
      <c r="A67" s="617" t="s">
        <v>2555</v>
      </c>
    </row>
    <row r="68" spans="1:40" ht="14.4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4.4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4.4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4.4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4.4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4.4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4.4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4.4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4.45">
      <c r="A76" s="618" t="s">
        <v>97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4.45">
      <c r="A77" s="617"/>
    </row>
    <row r="78" spans="1:40" ht="14.45">
      <c r="A78" s="620" t="s">
        <v>2558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4.45">
      <c r="A79" s="617" t="s">
        <v>2555</v>
      </c>
    </row>
    <row r="80" spans="1:40" ht="14.4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4.4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4.4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4.4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4.4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4.4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4.4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4.4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4.45">
      <c r="A88" s="618" t="s">
        <v>97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4.45">
      <c r="A89" s="617"/>
    </row>
    <row r="90" spans="1:40" ht="14.45">
      <c r="A90" s="620" t="s">
        <v>2559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4.45">
      <c r="A91" s="617" t="s">
        <v>2555</v>
      </c>
    </row>
    <row r="92" spans="1:40" ht="14.4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4.4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4.4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4.4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4.4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4.45">
      <c r="A97" s="617">
        <v>5</v>
      </c>
      <c r="B97" s="58">
        <v>0</v>
      </c>
      <c r="C97" s="58">
        <v>0</v>
      </c>
      <c r="D97" s="58">
        <v>0</v>
      </c>
      <c r="E97" s="638">
        <f t="shared" ref="E97:AN97" si="12">MIN(E85:E96)</f>
        <v>0</v>
      </c>
      <c r="F97" s="638">
        <f t="shared" si="12"/>
        <v>0</v>
      </c>
      <c r="G97" s="638">
        <f t="shared" si="12"/>
        <v>0</v>
      </c>
      <c r="H97" s="638">
        <f t="shared" si="12"/>
        <v>0</v>
      </c>
      <c r="I97" s="638">
        <f t="shared" si="12"/>
        <v>0</v>
      </c>
      <c r="J97" s="638">
        <f t="shared" si="12"/>
        <v>0</v>
      </c>
      <c r="K97" s="638">
        <f t="shared" si="12"/>
        <v>0</v>
      </c>
      <c r="L97" s="638">
        <f t="shared" si="12"/>
        <v>0</v>
      </c>
      <c r="M97" s="638">
        <f t="shared" si="12"/>
        <v>0</v>
      </c>
      <c r="N97" s="638">
        <f t="shared" si="12"/>
        <v>0</v>
      </c>
      <c r="O97" s="638">
        <f t="shared" si="12"/>
        <v>0</v>
      </c>
      <c r="P97" s="638">
        <f t="shared" si="12"/>
        <v>0</v>
      </c>
      <c r="Q97" s="638">
        <f t="shared" si="12"/>
        <v>0</v>
      </c>
      <c r="R97" s="638">
        <f t="shared" si="12"/>
        <v>0</v>
      </c>
      <c r="S97" s="638">
        <f t="shared" si="12"/>
        <v>0</v>
      </c>
      <c r="T97" s="638">
        <f t="shared" si="12"/>
        <v>0</v>
      </c>
      <c r="U97" s="638">
        <f t="shared" si="12"/>
        <v>0</v>
      </c>
      <c r="V97" s="638">
        <f t="shared" si="12"/>
        <v>0</v>
      </c>
      <c r="W97" s="638">
        <f t="shared" si="12"/>
        <v>0</v>
      </c>
      <c r="X97" s="638">
        <f t="shared" si="12"/>
        <v>0</v>
      </c>
      <c r="Y97" s="638">
        <f t="shared" si="12"/>
        <v>0</v>
      </c>
      <c r="Z97" s="638">
        <f t="shared" si="12"/>
        <v>0</v>
      </c>
      <c r="AA97" s="638">
        <f t="shared" si="12"/>
        <v>0</v>
      </c>
      <c r="AB97" s="638">
        <f t="shared" si="12"/>
        <v>0</v>
      </c>
      <c r="AC97" s="638">
        <f t="shared" si="12"/>
        <v>0</v>
      </c>
      <c r="AD97" s="638">
        <f t="shared" si="12"/>
        <v>0</v>
      </c>
      <c r="AE97" s="638">
        <f t="shared" si="12"/>
        <v>0</v>
      </c>
      <c r="AF97" s="638">
        <f t="shared" si="12"/>
        <v>0</v>
      </c>
      <c r="AG97" s="638">
        <f t="shared" si="12"/>
        <v>0</v>
      </c>
      <c r="AH97" s="638">
        <f t="shared" si="12"/>
        <v>0</v>
      </c>
      <c r="AI97" s="638">
        <f t="shared" si="12"/>
        <v>0</v>
      </c>
      <c r="AJ97" s="638">
        <f t="shared" si="12"/>
        <v>0</v>
      </c>
      <c r="AK97" s="638">
        <f t="shared" si="12"/>
        <v>0</v>
      </c>
      <c r="AL97" s="638">
        <f t="shared" si="12"/>
        <v>0</v>
      </c>
      <c r="AM97" s="638">
        <f t="shared" si="12"/>
        <v>0</v>
      </c>
      <c r="AN97" s="638">
        <f t="shared" si="12"/>
        <v>0</v>
      </c>
    </row>
    <row r="98" spans="1:40" ht="14.4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4.4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4.45">
      <c r="A100" s="618" t="s">
        <v>97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4.45">
      <c r="A101" s="617"/>
    </row>
    <row r="102" spans="1:40" ht="14.45">
      <c r="A102" s="620" t="s">
        <v>2560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4.45">
      <c r="A103" s="617" t="s">
        <v>2555</v>
      </c>
    </row>
    <row r="104" spans="1:40" ht="14.4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4.4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4.4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4.4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4.4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4.4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4.4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4.4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4.45">
      <c r="A112" s="618" t="s">
        <v>97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3.1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9" thickBot="1">
      <c r="A1" s="61" t="s">
        <v>138</v>
      </c>
      <c r="B1" s="11" t="s">
        <v>2534</v>
      </c>
      <c r="C1" s="111" t="s">
        <v>2561</v>
      </c>
      <c r="D1" s="11" t="s">
        <v>2562</v>
      </c>
      <c r="E1" s="11" t="s">
        <v>2563</v>
      </c>
      <c r="F1" s="11" t="s">
        <v>2564</v>
      </c>
      <c r="G1" s="11" t="s">
        <v>2565</v>
      </c>
      <c r="H1" s="11" t="s">
        <v>2566</v>
      </c>
      <c r="I1" s="11" t="s">
        <v>2567</v>
      </c>
    </row>
    <row r="2" spans="1:11" ht="13.9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3.15"/>
  <cols>
    <col min="1" max="1" width="15.42578125" bestFit="1" customWidth="1"/>
  </cols>
  <sheetData>
    <row r="1" spans="1:40" s="157" customFormat="1" ht="13.9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9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2568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2569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2570</v>
      </c>
    </row>
    <row r="27" spans="1:41" ht="13.9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9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6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2545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2571</v>
      </c>
    </row>
    <row r="47" spans="1:41" ht="13.9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9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6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2545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2572</v>
      </c>
    </row>
    <row r="68" spans="1:41" ht="13.9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9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6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2545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3.15"/>
  <cols>
    <col min="2" max="2" width="17.42578125" bestFit="1" customWidth="1"/>
  </cols>
  <sheetData>
    <row r="1" spans="1:2">
      <c r="A1" s="4" t="s">
        <v>138</v>
      </c>
      <c r="B1" s="126" t="s">
        <v>2573</v>
      </c>
    </row>
    <row r="2" spans="1:2">
      <c r="A2" s="127">
        <v>1</v>
      </c>
      <c r="B2" s="124" t="s">
        <v>2574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2575</v>
      </c>
    </row>
    <row r="7" spans="1:2">
      <c r="A7" s="127">
        <v>6</v>
      </c>
      <c r="B7" s="124" t="s">
        <v>2576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2577</v>
      </c>
    </row>
    <row r="12" spans="1:2">
      <c r="A12" s="127">
        <v>200</v>
      </c>
      <c r="B12" s="124" t="s">
        <v>2578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3.15"/>
  <cols>
    <col min="3" max="3" width="19.28515625" bestFit="1" customWidth="1"/>
    <col min="4" max="4" width="12" bestFit="1" customWidth="1"/>
  </cols>
  <sheetData>
    <row r="1" spans="1:4">
      <c r="A1" s="121" t="s">
        <v>2579</v>
      </c>
      <c r="B1" s="121" t="s">
        <v>137</v>
      </c>
      <c r="C1" s="121" t="s">
        <v>1</v>
      </c>
      <c r="D1" s="121" t="s">
        <v>2580</v>
      </c>
    </row>
    <row r="2" spans="1:4" ht="14.45">
      <c r="A2">
        <v>1</v>
      </c>
      <c r="B2" s="122" t="s">
        <v>157</v>
      </c>
      <c r="C2" s="123" t="s">
        <v>2581</v>
      </c>
      <c r="D2" s="124" t="s">
        <v>68</v>
      </c>
    </row>
    <row r="3" spans="1:4" ht="14.45">
      <c r="A3">
        <v>2</v>
      </c>
      <c r="B3" s="122" t="s">
        <v>2582</v>
      </c>
      <c r="C3" s="123" t="s">
        <v>2583</v>
      </c>
      <c r="D3" s="124" t="s">
        <v>67</v>
      </c>
    </row>
    <row r="4" spans="1:4" ht="14.45">
      <c r="A4">
        <v>3</v>
      </c>
      <c r="B4" s="122" t="s">
        <v>156</v>
      </c>
      <c r="C4" s="123" t="s">
        <v>2584</v>
      </c>
      <c r="D4" s="124" t="s">
        <v>68</v>
      </c>
    </row>
    <row r="5" spans="1:4" ht="14.45">
      <c r="A5">
        <v>4</v>
      </c>
      <c r="B5" s="122" t="s">
        <v>2001</v>
      </c>
      <c r="C5" s="123" t="s">
        <v>2585</v>
      </c>
      <c r="D5" s="124" t="s">
        <v>68</v>
      </c>
    </row>
    <row r="6" spans="1:4" ht="14.45">
      <c r="A6">
        <v>5</v>
      </c>
      <c r="B6" s="122" t="s">
        <v>154</v>
      </c>
      <c r="C6" s="123" t="s">
        <v>2586</v>
      </c>
      <c r="D6" s="124" t="s">
        <v>67</v>
      </c>
    </row>
    <row r="7" spans="1:4" ht="14.45">
      <c r="A7">
        <v>6</v>
      </c>
      <c r="B7" s="122" t="s">
        <v>2587</v>
      </c>
      <c r="C7" s="123" t="s">
        <v>2588</v>
      </c>
      <c r="D7" s="124" t="s">
        <v>67</v>
      </c>
    </row>
    <row r="8" spans="1:4" ht="14.45">
      <c r="A8">
        <v>7</v>
      </c>
      <c r="B8" s="122" t="s">
        <v>2589</v>
      </c>
      <c r="C8" s="123" t="s">
        <v>2590</v>
      </c>
      <c r="D8" s="125" t="s">
        <v>2591</v>
      </c>
    </row>
    <row r="9" spans="1:4" ht="14.45">
      <c r="A9">
        <v>8</v>
      </c>
      <c r="B9" s="122" t="s">
        <v>158</v>
      </c>
      <c r="C9" s="123" t="s">
        <v>2592</v>
      </c>
      <c r="D9" s="124" t="s">
        <v>2574</v>
      </c>
    </row>
    <row r="10" spans="1:4" ht="14.45">
      <c r="A10">
        <v>9</v>
      </c>
      <c r="B10" s="122" t="s">
        <v>2005</v>
      </c>
      <c r="C10" s="123" t="s">
        <v>2593</v>
      </c>
      <c r="D10" s="125" t="s">
        <v>2591</v>
      </c>
    </row>
    <row r="11" spans="1:4" ht="14.4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4.45">
      <c r="A12">
        <v>11</v>
      </c>
      <c r="B12" s="122" t="s">
        <v>152</v>
      </c>
      <c r="C12" s="123" t="s">
        <v>2594</v>
      </c>
      <c r="D12" s="124" t="s">
        <v>2574</v>
      </c>
    </row>
    <row r="13" spans="1:4" ht="14.45">
      <c r="A13">
        <v>12</v>
      </c>
      <c r="B13" s="122" t="s">
        <v>2092</v>
      </c>
      <c r="C13" s="123" t="s">
        <v>2595</v>
      </c>
      <c r="D13" s="125" t="s">
        <v>2591</v>
      </c>
    </row>
    <row r="14" spans="1:4" ht="14.45">
      <c r="A14">
        <v>13</v>
      </c>
      <c r="B14" s="122" t="s">
        <v>160</v>
      </c>
      <c r="C14" s="123" t="s">
        <v>2596</v>
      </c>
      <c r="D14" s="125" t="s">
        <v>2591</v>
      </c>
    </row>
    <row r="15" spans="1:4" ht="14.45">
      <c r="A15">
        <v>14</v>
      </c>
      <c r="B15" s="122" t="s">
        <v>155</v>
      </c>
      <c r="C15" s="123" t="s">
        <v>2597</v>
      </c>
      <c r="D15" s="124" t="s">
        <v>68</v>
      </c>
    </row>
    <row r="16" spans="1:4" ht="14.45">
      <c r="A16">
        <v>15</v>
      </c>
      <c r="B16" s="122" t="s">
        <v>2598</v>
      </c>
      <c r="C16" s="123" t="s">
        <v>2599</v>
      </c>
      <c r="D16" s="124" t="s">
        <v>67</v>
      </c>
    </row>
    <row r="17" spans="1:4" ht="14.45">
      <c r="A17">
        <v>16</v>
      </c>
      <c r="B17" s="122" t="s">
        <v>150</v>
      </c>
      <c r="C17" s="123" t="s">
        <v>2600</v>
      </c>
      <c r="D17" s="124" t="s">
        <v>67</v>
      </c>
    </row>
    <row r="18" spans="1:4" ht="14.45">
      <c r="A18">
        <v>17</v>
      </c>
      <c r="B18" s="122" t="s">
        <v>1985</v>
      </c>
      <c r="C18" s="123" t="s">
        <v>2601</v>
      </c>
      <c r="D18" s="124" t="s">
        <v>67</v>
      </c>
    </row>
    <row r="19" spans="1:4" ht="14.4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4.45">
      <c r="A20">
        <v>19</v>
      </c>
      <c r="B20" s="122" t="s">
        <v>284</v>
      </c>
      <c r="C20" s="123" t="s">
        <v>2602</v>
      </c>
      <c r="D20" s="124" t="s">
        <v>2574</v>
      </c>
    </row>
    <row r="21" spans="1:4" ht="14.45">
      <c r="A21">
        <v>20</v>
      </c>
      <c r="B21" s="122" t="s">
        <v>1866</v>
      </c>
      <c r="C21" s="123" t="s">
        <v>2603</v>
      </c>
      <c r="D21" s="124" t="s">
        <v>67</v>
      </c>
    </row>
    <row r="22" spans="1:4" ht="14.45">
      <c r="A22">
        <v>21</v>
      </c>
      <c r="B22" s="122" t="s">
        <v>2068</v>
      </c>
      <c r="C22" s="123" t="s">
        <v>2604</v>
      </c>
      <c r="D22" s="124" t="s">
        <v>68</v>
      </c>
    </row>
    <row r="23" spans="1:4" ht="14.45">
      <c r="A23">
        <v>22</v>
      </c>
      <c r="B23" s="122" t="s">
        <v>159</v>
      </c>
      <c r="C23" s="123" t="s">
        <v>2605</v>
      </c>
      <c r="D23" s="124" t="s">
        <v>68</v>
      </c>
    </row>
    <row r="24" spans="1:4" ht="14.45">
      <c r="A24">
        <v>23</v>
      </c>
      <c r="B24" s="122" t="s">
        <v>151</v>
      </c>
      <c r="C24" s="123" t="s">
        <v>2606</v>
      </c>
      <c r="D24" s="124" t="s">
        <v>66</v>
      </c>
    </row>
    <row r="25" spans="1:4" ht="14.45">
      <c r="A25">
        <v>24</v>
      </c>
      <c r="B25" s="122" t="s">
        <v>1991</v>
      </c>
      <c r="C25" s="123" t="s">
        <v>2607</v>
      </c>
      <c r="D25" s="124" t="s">
        <v>66</v>
      </c>
    </row>
    <row r="26" spans="1:4" ht="14.45">
      <c r="A26">
        <v>25</v>
      </c>
      <c r="B26" s="122" t="s">
        <v>2159</v>
      </c>
      <c r="C26" s="123" t="s">
        <v>2608</v>
      </c>
      <c r="D26" s="124" t="s">
        <v>67</v>
      </c>
    </row>
    <row r="27" spans="1:4" ht="14.45">
      <c r="A27">
        <v>26</v>
      </c>
      <c r="B27" s="122" t="s">
        <v>148</v>
      </c>
      <c r="C27" s="123" t="s">
        <v>2609</v>
      </c>
      <c r="D27" s="124" t="s">
        <v>2574</v>
      </c>
    </row>
    <row r="28" spans="1:4" ht="14.4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3.15"/>
  <sheetData>
    <row r="1" spans="1:3" ht="13.9" thickBot="1">
      <c r="A1" s="129" t="s">
        <v>138</v>
      </c>
      <c r="B1" s="2" t="s">
        <v>2610</v>
      </c>
      <c r="C1" s="2" t="s">
        <v>2611</v>
      </c>
    </row>
    <row r="2" spans="1:3" ht="13.9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10" sqref="F10"/>
    </sheetView>
  </sheetViews>
  <sheetFormatPr defaultRowHeight="13.15"/>
  <cols>
    <col min="2" max="2" width="17.42578125" customWidth="1"/>
  </cols>
  <sheetData>
    <row r="1" spans="1:10">
      <c r="A1" s="4" t="s">
        <v>138</v>
      </c>
      <c r="B1" s="126" t="s">
        <v>2573</v>
      </c>
      <c r="C1" s="126" t="s">
        <v>2612</v>
      </c>
      <c r="D1" s="126" t="s">
        <v>2613</v>
      </c>
      <c r="E1" s="126" t="s">
        <v>2614</v>
      </c>
      <c r="F1" s="126" t="s">
        <v>2615</v>
      </c>
      <c r="G1" s="126" t="s">
        <v>2616</v>
      </c>
      <c r="H1" s="126" t="s">
        <v>2617</v>
      </c>
      <c r="I1" s="126" t="s">
        <v>2618</v>
      </c>
      <c r="J1" s="126" t="s">
        <v>2619</v>
      </c>
    </row>
    <row r="2" spans="1:10">
      <c r="A2" s="127">
        <v>1</v>
      </c>
      <c r="B2" s="124" t="s">
        <v>2574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2575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2576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3.15"/>
  <cols>
    <col min="2" max="2" width="16.140625" bestFit="1" customWidth="1"/>
  </cols>
  <sheetData>
    <row r="1" spans="1:2">
      <c r="A1" s="4" t="s">
        <v>141</v>
      </c>
      <c r="B1" s="4" t="s">
        <v>2620</v>
      </c>
    </row>
    <row r="2" spans="1:2">
      <c r="A2" s="17">
        <v>1</v>
      </c>
      <c r="B2" s="17" t="s">
        <v>2621</v>
      </c>
    </row>
    <row r="3" spans="1:2">
      <c r="A3" s="17">
        <v>2</v>
      </c>
      <c r="B3" s="17" t="s">
        <v>2622</v>
      </c>
    </row>
    <row r="4" spans="1:2">
      <c r="A4" s="17">
        <v>3</v>
      </c>
      <c r="B4" s="17" t="s">
        <v>2623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3.15"/>
  <sheetData>
    <row r="1" spans="1:2">
      <c r="A1" s="143" t="s">
        <v>2610</v>
      </c>
      <c r="B1" s="143" t="s">
        <v>2624</v>
      </c>
    </row>
    <row r="2" spans="1:2">
      <c r="A2">
        <v>1</v>
      </c>
      <c r="B2" s="125" t="s">
        <v>2625</v>
      </c>
    </row>
    <row r="3" spans="1:2">
      <c r="A3">
        <v>2</v>
      </c>
      <c r="B3" s="125" t="s">
        <v>2626</v>
      </c>
    </row>
    <row r="4" spans="1:2">
      <c r="A4">
        <v>3</v>
      </c>
      <c r="B4" s="125" t="s">
        <v>2627</v>
      </c>
    </row>
    <row r="5" spans="1:2">
      <c r="A5">
        <v>4</v>
      </c>
      <c r="B5" s="125" t="s">
        <v>2628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3.15"/>
  <sheetData>
    <row r="1" spans="1:2">
      <c r="A1" s="131" t="s">
        <v>2629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83" activePane="bottomRight" state="frozen"/>
      <selection pane="bottomRight" sqref="A1:XFD1048576"/>
      <selection pane="bottomLeft" activeCell="A17" sqref="A17"/>
      <selection pane="topRight" activeCell="B1" sqref="B1"/>
    </sheetView>
  </sheetViews>
  <sheetFormatPr defaultColWidth="8.85546875" defaultRowHeight="13.1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9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9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9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9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9" thickBot="1">
      <c r="A16" s="369" t="s">
        <v>60</v>
      </c>
      <c r="B16" s="370">
        <f>[2]tab_PeriodoEstudo!B2</f>
        <v>2012</v>
      </c>
      <c r="C16" s="370">
        <f>[2]tab_PeriodoEstudo!B3</f>
        <v>2013</v>
      </c>
      <c r="D16" s="370">
        <f>[2]tab_PeriodoEstudo!B4</f>
        <v>2014</v>
      </c>
      <c r="E16" s="370">
        <f>[2]tab_PeriodoEstudo!B5</f>
        <v>2015</v>
      </c>
      <c r="F16" s="370">
        <f>[2]tab_PeriodoEstudo!B6</f>
        <v>2016</v>
      </c>
      <c r="G16" s="370">
        <f>[2]tab_PeriodoEstudo!B7</f>
        <v>2017</v>
      </c>
      <c r="H16" s="370">
        <f>[2]tab_PeriodoEstudo!B8</f>
        <v>2018</v>
      </c>
      <c r="I16" s="370">
        <f>[2]tab_PeriodoEstudo!B9</f>
        <v>2019</v>
      </c>
      <c r="J16" s="370">
        <f>[2]tab_PeriodoEstudo!B10</f>
        <v>2020</v>
      </c>
      <c r="K16" s="370">
        <f>[2]tab_PeriodoEstudo!B11</f>
        <v>2021</v>
      </c>
      <c r="L16" s="370">
        <f>[2]tab_PeriodoEstudo!B12</f>
        <v>2022</v>
      </c>
      <c r="M16" s="370">
        <f>[2]tab_PeriodoEstudo!B13</f>
        <v>2023</v>
      </c>
      <c r="N16" s="370">
        <f>[2]tab_PeriodoEstudo!B14</f>
        <v>2024</v>
      </c>
      <c r="O16" s="370">
        <f>[2]tab_PeriodoEstudo!B15</f>
        <v>2025</v>
      </c>
      <c r="P16" s="370">
        <f>[2]tab_PeriodoEstudo!B16</f>
        <v>2026</v>
      </c>
      <c r="Q16" s="370">
        <f>[2]tab_PeriodoEstudo!B17</f>
        <v>2027</v>
      </c>
      <c r="R16" s="370">
        <f>[2]tab_PeriodoEstudo!B18</f>
        <v>2028</v>
      </c>
      <c r="S16" s="370">
        <f>[2]tab_PeriodoEstudo!B19</f>
        <v>2029</v>
      </c>
      <c r="T16" s="370">
        <f>[2]tab_PeriodoEstudo!B20</f>
        <v>2030</v>
      </c>
      <c r="U16" s="370">
        <f>[2]tab_PeriodoEstudo!B21</f>
        <v>2031</v>
      </c>
      <c r="V16" s="370">
        <f>[2]tab_PeriodoEstudo!B22</f>
        <v>2032</v>
      </c>
      <c r="W16" s="370">
        <f>[2]tab_PeriodoEstudo!B23</f>
        <v>2033</v>
      </c>
      <c r="X16" s="370">
        <f>[2]tab_PeriodoEstudo!B24</f>
        <v>2034</v>
      </c>
      <c r="Y16" s="370">
        <f>[2]tab_PeriodoEstudo!B25</f>
        <v>2035</v>
      </c>
      <c r="Z16" s="370">
        <f>[2]tab_PeriodoEstudo!B26</f>
        <v>2036</v>
      </c>
      <c r="AA16" s="370">
        <f>[2]tab_PeriodoEstudo!B27</f>
        <v>2037</v>
      </c>
      <c r="AB16" s="370">
        <f>[2]tab_PeriodoEstudo!B28</f>
        <v>2038</v>
      </c>
      <c r="AC16" s="370">
        <f>[2]tab_PeriodoEstudo!B29</f>
        <v>2039</v>
      </c>
      <c r="AD16" s="370">
        <f>[2]tab_PeriodoEstudo!B30</f>
        <v>2040</v>
      </c>
      <c r="AE16" s="370">
        <f>[2]tab_PeriodoEstudo!B31</f>
        <v>2041</v>
      </c>
      <c r="AF16" s="370">
        <f>[2]tab_PeriodoEstudo!B32</f>
        <v>2042</v>
      </c>
      <c r="AG16" s="370">
        <f>[2]tab_PeriodoEstudo!B33</f>
        <v>2043</v>
      </c>
      <c r="AH16" s="370">
        <f>[2]tab_PeriodoEstudo!B34</f>
        <v>2044</v>
      </c>
      <c r="AI16" s="370">
        <f>[2]tab_PeriodoEstudo!B35</f>
        <v>2045</v>
      </c>
      <c r="AJ16" s="370">
        <f>[2]tab_PeriodoEstudo!B36</f>
        <v>2046</v>
      </c>
      <c r="AK16" s="370">
        <f>[2]tab_PeriodoEstudo!B37</f>
        <v>2047</v>
      </c>
      <c r="AL16" s="370">
        <f>[2]tab_PeriodoEstudo!B38</f>
        <v>2048</v>
      </c>
      <c r="AM16" s="370">
        <f>[2]tab_PeriodoEstudo!B39</f>
        <v>2049</v>
      </c>
      <c r="AN16" s="370">
        <f>[2]tab_PeriodoEstudo!B40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9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9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9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9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9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9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9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9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9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9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9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si="4"/>
        <v>330.42071923708824</v>
      </c>
      <c r="P42" s="362">
        <f t="shared" si="4"/>
        <v>330.42071923708824</v>
      </c>
      <c r="Q42" s="362">
        <f t="shared" si="4"/>
        <v>330.42071923708824</v>
      </c>
      <c r="R42" s="362">
        <f t="shared" si="4"/>
        <v>330.42071923708824</v>
      </c>
      <c r="S42" s="362">
        <f t="shared" si="4"/>
        <v>330.42071923708824</v>
      </c>
      <c r="T42" s="362">
        <f t="shared" si="4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9" thickBot="1">
      <c r="A44" s="357" t="s">
        <v>77</v>
      </c>
      <c r="B44" s="368">
        <f>B$16</f>
        <v>2012</v>
      </c>
      <c r="C44" s="368">
        <f t="shared" ref="C44:AN44" si="5">C$16</f>
        <v>2013</v>
      </c>
      <c r="D44" s="368">
        <f t="shared" si="5"/>
        <v>2014</v>
      </c>
      <c r="E44" s="368">
        <f t="shared" si="5"/>
        <v>2015</v>
      </c>
      <c r="F44" s="368">
        <f t="shared" si="5"/>
        <v>2016</v>
      </c>
      <c r="G44" s="368">
        <f t="shared" si="5"/>
        <v>2017</v>
      </c>
      <c r="H44" s="368">
        <f t="shared" si="5"/>
        <v>2018</v>
      </c>
      <c r="I44" s="368">
        <f t="shared" si="5"/>
        <v>2019</v>
      </c>
      <c r="J44" s="368">
        <f t="shared" si="5"/>
        <v>2020</v>
      </c>
      <c r="K44" s="368">
        <f t="shared" si="5"/>
        <v>2021</v>
      </c>
      <c r="L44" s="368">
        <f t="shared" si="5"/>
        <v>2022</v>
      </c>
      <c r="M44" s="368">
        <f t="shared" si="5"/>
        <v>2023</v>
      </c>
      <c r="N44" s="368">
        <f t="shared" si="5"/>
        <v>2024</v>
      </c>
      <c r="O44" s="368">
        <f t="shared" si="5"/>
        <v>2025</v>
      </c>
      <c r="P44" s="368">
        <f t="shared" si="5"/>
        <v>2026</v>
      </c>
      <c r="Q44" s="368">
        <f t="shared" si="5"/>
        <v>2027</v>
      </c>
      <c r="R44" s="368">
        <f t="shared" si="5"/>
        <v>2028</v>
      </c>
      <c r="S44" s="368">
        <f t="shared" si="5"/>
        <v>2029</v>
      </c>
      <c r="T44" s="368">
        <f t="shared" si="5"/>
        <v>2030</v>
      </c>
      <c r="U44" s="368">
        <f t="shared" si="5"/>
        <v>2031</v>
      </c>
      <c r="V44" s="368">
        <f t="shared" si="5"/>
        <v>2032</v>
      </c>
      <c r="W44" s="368">
        <f t="shared" si="5"/>
        <v>2033</v>
      </c>
      <c r="X44" s="368">
        <f t="shared" si="5"/>
        <v>2034</v>
      </c>
      <c r="Y44" s="368">
        <f t="shared" si="5"/>
        <v>2035</v>
      </c>
      <c r="Z44" s="368">
        <f t="shared" si="5"/>
        <v>2036</v>
      </c>
      <c r="AA44" s="368">
        <f t="shared" si="5"/>
        <v>2037</v>
      </c>
      <c r="AB44" s="368">
        <f t="shared" si="5"/>
        <v>2038</v>
      </c>
      <c r="AC44" s="368">
        <f t="shared" si="5"/>
        <v>2039</v>
      </c>
      <c r="AD44" s="368">
        <f t="shared" si="5"/>
        <v>2040</v>
      </c>
      <c r="AE44" s="368">
        <f t="shared" si="5"/>
        <v>2041</v>
      </c>
      <c r="AF44" s="368">
        <f t="shared" si="5"/>
        <v>2042</v>
      </c>
      <c r="AG44" s="368">
        <f t="shared" si="5"/>
        <v>2043</v>
      </c>
      <c r="AH44" s="368">
        <f t="shared" si="5"/>
        <v>2044</v>
      </c>
      <c r="AI44" s="368">
        <f t="shared" si="5"/>
        <v>2045</v>
      </c>
      <c r="AJ44" s="368">
        <f t="shared" si="5"/>
        <v>2046</v>
      </c>
      <c r="AK44" s="368">
        <f t="shared" si="5"/>
        <v>2047</v>
      </c>
      <c r="AL44" s="368">
        <f t="shared" si="5"/>
        <v>2048</v>
      </c>
      <c r="AM44" s="368">
        <f t="shared" si="5"/>
        <v>2049</v>
      </c>
      <c r="AN44" s="368">
        <f t="shared" si="5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9" thickBot="1">
      <c r="A51" s="358" t="s">
        <v>70</v>
      </c>
      <c r="B51" s="362">
        <f t="shared" ref="B51:AM51" si="6">SUM(B45:B50)</f>
        <v>153</v>
      </c>
      <c r="C51" s="362">
        <f t="shared" si="6"/>
        <v>153</v>
      </c>
      <c r="D51" s="362">
        <f t="shared" si="6"/>
        <v>153</v>
      </c>
      <c r="E51" s="362">
        <f t="shared" si="6"/>
        <v>153</v>
      </c>
      <c r="F51" s="362">
        <f t="shared" si="6"/>
        <v>153</v>
      </c>
      <c r="G51" s="362">
        <f t="shared" si="6"/>
        <v>153</v>
      </c>
      <c r="H51" s="362">
        <f t="shared" si="6"/>
        <v>153</v>
      </c>
      <c r="I51" s="362">
        <f t="shared" si="6"/>
        <v>153</v>
      </c>
      <c r="J51" s="362">
        <f t="shared" si="6"/>
        <v>153</v>
      </c>
      <c r="K51" s="362">
        <f t="shared" si="6"/>
        <v>153</v>
      </c>
      <c r="L51" s="362">
        <f t="shared" si="6"/>
        <v>153</v>
      </c>
      <c r="M51" s="362">
        <f t="shared" si="6"/>
        <v>153</v>
      </c>
      <c r="N51" s="362">
        <f t="shared" si="6"/>
        <v>216.45</v>
      </c>
      <c r="O51" s="362">
        <f t="shared" si="6"/>
        <v>216.45</v>
      </c>
      <c r="P51" s="362">
        <f t="shared" si="6"/>
        <v>216.45</v>
      </c>
      <c r="Q51" s="362">
        <f t="shared" si="6"/>
        <v>216.45</v>
      </c>
      <c r="R51" s="362">
        <f t="shared" si="6"/>
        <v>216.45</v>
      </c>
      <c r="S51" s="362">
        <f t="shared" si="6"/>
        <v>216.45</v>
      </c>
      <c r="T51" s="362">
        <f t="shared" si="6"/>
        <v>216.45</v>
      </c>
      <c r="U51" s="362">
        <f t="shared" si="6"/>
        <v>216.45</v>
      </c>
      <c r="V51" s="362">
        <f t="shared" si="6"/>
        <v>216.45</v>
      </c>
      <c r="W51" s="362">
        <f t="shared" si="6"/>
        <v>216.45</v>
      </c>
      <c r="X51" s="362">
        <f t="shared" si="6"/>
        <v>216.45</v>
      </c>
      <c r="Y51" s="362">
        <f t="shared" si="6"/>
        <v>216.45</v>
      </c>
      <c r="Z51" s="362">
        <f t="shared" si="6"/>
        <v>216.45</v>
      </c>
      <c r="AA51" s="362">
        <f t="shared" si="6"/>
        <v>216.45</v>
      </c>
      <c r="AB51" s="362">
        <f t="shared" si="6"/>
        <v>216.45</v>
      </c>
      <c r="AC51" s="362">
        <f t="shared" si="6"/>
        <v>216.45</v>
      </c>
      <c r="AD51" s="362">
        <f t="shared" si="6"/>
        <v>216.45</v>
      </c>
      <c r="AE51" s="362">
        <f t="shared" si="6"/>
        <v>216.45</v>
      </c>
      <c r="AF51" s="362">
        <f t="shared" si="6"/>
        <v>216.45</v>
      </c>
      <c r="AG51" s="362">
        <f t="shared" si="6"/>
        <v>216.45</v>
      </c>
      <c r="AH51" s="362">
        <f t="shared" si="6"/>
        <v>216.45</v>
      </c>
      <c r="AI51" s="362">
        <f t="shared" si="6"/>
        <v>216.45</v>
      </c>
      <c r="AJ51" s="362">
        <f t="shared" si="6"/>
        <v>216.45</v>
      </c>
      <c r="AK51" s="362">
        <f t="shared" si="6"/>
        <v>216.45</v>
      </c>
      <c r="AL51" s="362">
        <f t="shared" si="6"/>
        <v>216.45</v>
      </c>
      <c r="AM51" s="362">
        <f t="shared" si="6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9" thickBot="1">
      <c r="A54" s="357" t="s">
        <v>79</v>
      </c>
      <c r="B54" s="368">
        <f>B$16</f>
        <v>2012</v>
      </c>
      <c r="C54" s="368">
        <f t="shared" ref="C54:AN54" si="7">C$16</f>
        <v>2013</v>
      </c>
      <c r="D54" s="368">
        <f t="shared" si="7"/>
        <v>2014</v>
      </c>
      <c r="E54" s="368">
        <f t="shared" si="7"/>
        <v>2015</v>
      </c>
      <c r="F54" s="368">
        <f t="shared" si="7"/>
        <v>2016</v>
      </c>
      <c r="G54" s="368">
        <f t="shared" si="7"/>
        <v>2017</v>
      </c>
      <c r="H54" s="368">
        <f t="shared" si="7"/>
        <v>2018</v>
      </c>
      <c r="I54" s="368">
        <f t="shared" si="7"/>
        <v>2019</v>
      </c>
      <c r="J54" s="368">
        <f t="shared" si="7"/>
        <v>2020</v>
      </c>
      <c r="K54" s="368">
        <f t="shared" si="7"/>
        <v>2021</v>
      </c>
      <c r="L54" s="368">
        <f t="shared" si="7"/>
        <v>2022</v>
      </c>
      <c r="M54" s="368">
        <f t="shared" si="7"/>
        <v>2023</v>
      </c>
      <c r="N54" s="368">
        <f t="shared" si="7"/>
        <v>2024</v>
      </c>
      <c r="O54" s="368">
        <f t="shared" si="7"/>
        <v>2025</v>
      </c>
      <c r="P54" s="368">
        <f t="shared" si="7"/>
        <v>2026</v>
      </c>
      <c r="Q54" s="368">
        <f t="shared" si="7"/>
        <v>2027</v>
      </c>
      <c r="R54" s="368">
        <f t="shared" si="7"/>
        <v>2028</v>
      </c>
      <c r="S54" s="368">
        <f t="shared" si="7"/>
        <v>2029</v>
      </c>
      <c r="T54" s="368">
        <f t="shared" si="7"/>
        <v>2030</v>
      </c>
      <c r="U54" s="368">
        <f t="shared" si="7"/>
        <v>2031</v>
      </c>
      <c r="V54" s="368">
        <f t="shared" si="7"/>
        <v>2032</v>
      </c>
      <c r="W54" s="368">
        <f t="shared" si="7"/>
        <v>2033</v>
      </c>
      <c r="X54" s="368">
        <f t="shared" si="7"/>
        <v>2034</v>
      </c>
      <c r="Y54" s="368">
        <f t="shared" si="7"/>
        <v>2035</v>
      </c>
      <c r="Z54" s="368">
        <f t="shared" si="7"/>
        <v>2036</v>
      </c>
      <c r="AA54" s="368">
        <f t="shared" si="7"/>
        <v>2037</v>
      </c>
      <c r="AB54" s="368">
        <f t="shared" si="7"/>
        <v>2038</v>
      </c>
      <c r="AC54" s="368">
        <f t="shared" si="7"/>
        <v>2039</v>
      </c>
      <c r="AD54" s="368">
        <f t="shared" si="7"/>
        <v>2040</v>
      </c>
      <c r="AE54" s="368">
        <f t="shared" si="7"/>
        <v>2041</v>
      </c>
      <c r="AF54" s="368">
        <f t="shared" si="7"/>
        <v>2042</v>
      </c>
      <c r="AG54" s="368">
        <f t="shared" si="7"/>
        <v>2043</v>
      </c>
      <c r="AH54" s="368">
        <f t="shared" si="7"/>
        <v>2044</v>
      </c>
      <c r="AI54" s="368">
        <f t="shared" si="7"/>
        <v>2045</v>
      </c>
      <c r="AJ54" s="368">
        <f t="shared" si="7"/>
        <v>2046</v>
      </c>
      <c r="AK54" s="368">
        <f t="shared" si="7"/>
        <v>2047</v>
      </c>
      <c r="AL54" s="368">
        <f t="shared" si="7"/>
        <v>2048</v>
      </c>
      <c r="AM54" s="368">
        <f t="shared" si="7"/>
        <v>2049</v>
      </c>
      <c r="AN54" s="368">
        <f t="shared" si="7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9" thickBot="1">
      <c r="A61" s="358" t="s">
        <v>70</v>
      </c>
      <c r="B61" s="362">
        <f t="shared" ref="B61:AM61" si="8">SUM(B55:B60)</f>
        <v>51.035668516078516</v>
      </c>
      <c r="C61" s="362">
        <f t="shared" si="8"/>
        <v>51.035668516078516</v>
      </c>
      <c r="D61" s="362">
        <f t="shared" si="8"/>
        <v>58.349581369164675</v>
      </c>
      <c r="E61" s="362">
        <f t="shared" si="8"/>
        <v>57.798166113946401</v>
      </c>
      <c r="F61" s="362">
        <f t="shared" si="8"/>
        <v>57.893355977873895</v>
      </c>
      <c r="G61" s="362">
        <f t="shared" si="8"/>
        <v>60.345454274306491</v>
      </c>
      <c r="H61" s="362">
        <f t="shared" si="8"/>
        <v>60.345454274306491</v>
      </c>
      <c r="I61" s="362">
        <f t="shared" si="8"/>
        <v>62.487190811838985</v>
      </c>
      <c r="J61" s="362">
        <f t="shared" si="8"/>
        <v>64.62892734937148</v>
      </c>
      <c r="K61" s="362">
        <f t="shared" si="8"/>
        <v>66.770663886903975</v>
      </c>
      <c r="L61" s="362">
        <f t="shared" si="8"/>
        <v>68.91240042443647</v>
      </c>
      <c r="M61" s="362">
        <f t="shared" si="8"/>
        <v>79.621083112098944</v>
      </c>
      <c r="N61" s="362">
        <f t="shared" si="8"/>
        <v>88.60890821209459</v>
      </c>
      <c r="O61" s="362">
        <f t="shared" si="8"/>
        <v>113.97071923708825</v>
      </c>
      <c r="P61" s="362">
        <f t="shared" si="8"/>
        <v>113.97071923708825</v>
      </c>
      <c r="Q61" s="362">
        <f t="shared" si="8"/>
        <v>113.97071923708825</v>
      </c>
      <c r="R61" s="362">
        <f t="shared" si="8"/>
        <v>113.97071923708825</v>
      </c>
      <c r="S61" s="362">
        <f t="shared" si="8"/>
        <v>113.97071923708825</v>
      </c>
      <c r="T61" s="362">
        <f t="shared" si="8"/>
        <v>113.97071923708825</v>
      </c>
      <c r="U61" s="362">
        <f t="shared" si="8"/>
        <v>113.97071923708825</v>
      </c>
      <c r="V61" s="362">
        <f t="shared" si="8"/>
        <v>119.37980360965575</v>
      </c>
      <c r="W61" s="362">
        <f t="shared" si="8"/>
        <v>125.43557085629337</v>
      </c>
      <c r="X61" s="362">
        <f t="shared" si="8"/>
        <v>132.03864952319114</v>
      </c>
      <c r="Y61" s="362">
        <f t="shared" si="8"/>
        <v>139.73437381062649</v>
      </c>
      <c r="Z61" s="362">
        <f t="shared" si="8"/>
        <v>153.03794793185011</v>
      </c>
      <c r="AA61" s="362">
        <f t="shared" si="8"/>
        <v>166.14582560423077</v>
      </c>
      <c r="AB61" s="362">
        <f t="shared" si="8"/>
        <v>178.95755596476567</v>
      </c>
      <c r="AC61" s="362">
        <f t="shared" si="8"/>
        <v>191.91490302437367</v>
      </c>
      <c r="AD61" s="362">
        <f t="shared" si="8"/>
        <v>205.4882841709711</v>
      </c>
      <c r="AE61" s="362">
        <f t="shared" si="8"/>
        <v>212.28902582463681</v>
      </c>
      <c r="AF61" s="362">
        <f t="shared" si="8"/>
        <v>219.07024314407707</v>
      </c>
      <c r="AG61" s="362">
        <f t="shared" si="8"/>
        <v>225.76366384329472</v>
      </c>
      <c r="AH61" s="362">
        <f t="shared" si="8"/>
        <v>232.41240714888542</v>
      </c>
      <c r="AI61" s="362">
        <f t="shared" si="8"/>
        <v>239.14879938285875</v>
      </c>
      <c r="AJ61" s="362">
        <f t="shared" si="8"/>
        <v>237.60810657011757</v>
      </c>
      <c r="AK61" s="362">
        <f t="shared" si="8"/>
        <v>236.0970830314821</v>
      </c>
      <c r="AL61" s="362">
        <f t="shared" si="8"/>
        <v>234.55979786868446</v>
      </c>
      <c r="AM61" s="362">
        <f t="shared" si="8"/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9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9" thickBot="1">
      <c r="A65" s="356" t="s">
        <v>75</v>
      </c>
      <c r="B65" s="357">
        <f>B$16</f>
        <v>2012</v>
      </c>
      <c r="C65" s="357">
        <f t="shared" ref="C65:AN65" si="9">C$16</f>
        <v>2013</v>
      </c>
      <c r="D65" s="357">
        <f t="shared" si="9"/>
        <v>2014</v>
      </c>
      <c r="E65" s="357">
        <f t="shared" si="9"/>
        <v>2015</v>
      </c>
      <c r="F65" s="357">
        <f t="shared" si="9"/>
        <v>2016</v>
      </c>
      <c r="G65" s="357">
        <f t="shared" si="9"/>
        <v>2017</v>
      </c>
      <c r="H65" s="357">
        <f t="shared" si="9"/>
        <v>2018</v>
      </c>
      <c r="I65" s="357">
        <f t="shared" si="9"/>
        <v>2019</v>
      </c>
      <c r="J65" s="357">
        <f t="shared" si="9"/>
        <v>2020</v>
      </c>
      <c r="K65" s="357">
        <f t="shared" si="9"/>
        <v>2021</v>
      </c>
      <c r="L65" s="357">
        <f t="shared" si="9"/>
        <v>2022</v>
      </c>
      <c r="M65" s="357">
        <f t="shared" si="9"/>
        <v>2023</v>
      </c>
      <c r="N65" s="357">
        <f t="shared" si="9"/>
        <v>2024</v>
      </c>
      <c r="O65" s="357">
        <f t="shared" si="9"/>
        <v>2025</v>
      </c>
      <c r="P65" s="357">
        <f t="shared" si="9"/>
        <v>2026</v>
      </c>
      <c r="Q65" s="357">
        <f t="shared" si="9"/>
        <v>2027</v>
      </c>
      <c r="R65" s="357">
        <f t="shared" si="9"/>
        <v>2028</v>
      </c>
      <c r="S65" s="357">
        <f t="shared" si="9"/>
        <v>2029</v>
      </c>
      <c r="T65" s="357">
        <f t="shared" si="9"/>
        <v>2030</v>
      </c>
      <c r="U65" s="357">
        <f t="shared" si="9"/>
        <v>2031</v>
      </c>
      <c r="V65" s="357">
        <f t="shared" si="9"/>
        <v>2032</v>
      </c>
      <c r="W65" s="357">
        <f t="shared" si="9"/>
        <v>2033</v>
      </c>
      <c r="X65" s="357">
        <f t="shared" si="9"/>
        <v>2034</v>
      </c>
      <c r="Y65" s="357">
        <f t="shared" si="9"/>
        <v>2035</v>
      </c>
      <c r="Z65" s="357">
        <f t="shared" si="9"/>
        <v>2036</v>
      </c>
      <c r="AA65" s="357">
        <f t="shared" si="9"/>
        <v>2037</v>
      </c>
      <c r="AB65" s="357">
        <f t="shared" si="9"/>
        <v>2038</v>
      </c>
      <c r="AC65" s="357">
        <f t="shared" si="9"/>
        <v>2039</v>
      </c>
      <c r="AD65" s="357">
        <f t="shared" si="9"/>
        <v>2040</v>
      </c>
      <c r="AE65" s="357">
        <f t="shared" si="9"/>
        <v>2041</v>
      </c>
      <c r="AF65" s="357">
        <f t="shared" si="9"/>
        <v>2042</v>
      </c>
      <c r="AG65" s="357">
        <f t="shared" si="9"/>
        <v>2043</v>
      </c>
      <c r="AH65" s="357">
        <f t="shared" si="9"/>
        <v>2044</v>
      </c>
      <c r="AI65" s="357">
        <f t="shared" si="9"/>
        <v>2045</v>
      </c>
      <c r="AJ65" s="357">
        <f t="shared" si="9"/>
        <v>2046</v>
      </c>
      <c r="AK65" s="357">
        <f t="shared" si="9"/>
        <v>2047</v>
      </c>
      <c r="AL65" s="357">
        <f t="shared" si="9"/>
        <v>2048</v>
      </c>
      <c r="AM65" s="357">
        <f t="shared" si="9"/>
        <v>2049</v>
      </c>
      <c r="AN65" s="357">
        <f t="shared" si="9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9" thickBot="1">
      <c r="A72" s="358" t="s">
        <v>70</v>
      </c>
      <c r="B72" s="362">
        <f>SUM(B66:B71)</f>
        <v>51.035668516078516</v>
      </c>
      <c r="C72" s="362">
        <f t="shared" ref="C72:AN72" si="10">SUM(C66:C71)</f>
        <v>51.035668516078516</v>
      </c>
      <c r="D72" s="362">
        <f t="shared" si="10"/>
        <v>58.349581369164675</v>
      </c>
      <c r="E72" s="362">
        <f t="shared" si="10"/>
        <v>58.71767170629186</v>
      </c>
      <c r="F72" s="362">
        <f t="shared" si="10"/>
        <v>58.71767170629186</v>
      </c>
      <c r="G72" s="362">
        <f t="shared" si="10"/>
        <v>61.169770002724462</v>
      </c>
      <c r="H72" s="362">
        <f t="shared" si="10"/>
        <v>61.169770002724462</v>
      </c>
      <c r="I72" s="362">
        <f t="shared" si="10"/>
        <v>63.311506540256957</v>
      </c>
      <c r="J72" s="362">
        <f t="shared" si="10"/>
        <v>65.453243077789452</v>
      </c>
      <c r="K72" s="362">
        <f t="shared" si="10"/>
        <v>67.594979615321947</v>
      </c>
      <c r="L72" s="362">
        <f t="shared" si="10"/>
        <v>69.736716152854441</v>
      </c>
      <c r="M72" s="362">
        <f t="shared" si="10"/>
        <v>80.445398840516916</v>
      </c>
      <c r="N72" s="362">
        <f t="shared" si="10"/>
        <v>305.05890821209459</v>
      </c>
      <c r="O72" s="362">
        <f t="shared" si="10"/>
        <v>330.42071923708824</v>
      </c>
      <c r="P72" s="362">
        <f t="shared" si="10"/>
        <v>330.42071923708824</v>
      </c>
      <c r="Q72" s="362">
        <f t="shared" si="10"/>
        <v>330.42071923708824</v>
      </c>
      <c r="R72" s="362">
        <f t="shared" si="10"/>
        <v>330.42071923708824</v>
      </c>
      <c r="S72" s="362">
        <f t="shared" si="10"/>
        <v>330.42071923708824</v>
      </c>
      <c r="T72" s="362">
        <f t="shared" si="10"/>
        <v>330.42071923708824</v>
      </c>
      <c r="U72" s="362">
        <f t="shared" si="10"/>
        <v>330.42071923708824</v>
      </c>
      <c r="V72" s="362">
        <f t="shared" si="10"/>
        <v>335.82980360965576</v>
      </c>
      <c r="W72" s="362">
        <f t="shared" si="10"/>
        <v>341.88557085629344</v>
      </c>
      <c r="X72" s="362">
        <f t="shared" si="10"/>
        <v>348.48864952319121</v>
      </c>
      <c r="Y72" s="362">
        <f t="shared" si="10"/>
        <v>356.18437381062643</v>
      </c>
      <c r="Z72" s="362">
        <f t="shared" si="10"/>
        <v>369.4879479318501</v>
      </c>
      <c r="AA72" s="362">
        <f t="shared" si="10"/>
        <v>382.5958256042307</v>
      </c>
      <c r="AB72" s="362">
        <f t="shared" si="10"/>
        <v>395.40755596476566</v>
      </c>
      <c r="AC72" s="362">
        <f t="shared" si="10"/>
        <v>408.36490302437363</v>
      </c>
      <c r="AD72" s="362">
        <f t="shared" si="10"/>
        <v>421.93828417097109</v>
      </c>
      <c r="AE72" s="362">
        <f t="shared" si="10"/>
        <v>428.73902582463683</v>
      </c>
      <c r="AF72" s="362">
        <f t="shared" si="10"/>
        <v>435.52024314407703</v>
      </c>
      <c r="AG72" s="362">
        <f t="shared" si="10"/>
        <v>442.21366384329474</v>
      </c>
      <c r="AH72" s="362">
        <f t="shared" si="10"/>
        <v>448.86240714888538</v>
      </c>
      <c r="AI72" s="362">
        <f t="shared" si="10"/>
        <v>455.59879938285877</v>
      </c>
      <c r="AJ72" s="362">
        <f t="shared" si="10"/>
        <v>454.0581065701175</v>
      </c>
      <c r="AK72" s="362">
        <f t="shared" si="10"/>
        <v>452.54708303148215</v>
      </c>
      <c r="AL72" s="362">
        <f t="shared" si="10"/>
        <v>451.00979786868442</v>
      </c>
      <c r="AM72" s="362">
        <f t="shared" si="10"/>
        <v>449.461550819053</v>
      </c>
      <c r="AN72" s="362">
        <f t="shared" si="10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9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9" thickBot="1">
      <c r="A75" s="356" t="s">
        <v>75</v>
      </c>
      <c r="B75" s="357">
        <f>B$16</f>
        <v>2012</v>
      </c>
      <c r="C75" s="357">
        <f t="shared" ref="C75:AN75" si="11">C$16</f>
        <v>2013</v>
      </c>
      <c r="D75" s="357">
        <f t="shared" si="11"/>
        <v>2014</v>
      </c>
      <c r="E75" s="357">
        <f t="shared" si="11"/>
        <v>2015</v>
      </c>
      <c r="F75" s="357">
        <f t="shared" si="11"/>
        <v>2016</v>
      </c>
      <c r="G75" s="357">
        <f t="shared" si="11"/>
        <v>2017</v>
      </c>
      <c r="H75" s="357">
        <f t="shared" si="11"/>
        <v>2018</v>
      </c>
      <c r="I75" s="357">
        <f t="shared" si="11"/>
        <v>2019</v>
      </c>
      <c r="J75" s="357">
        <f t="shared" si="11"/>
        <v>2020</v>
      </c>
      <c r="K75" s="357">
        <f t="shared" si="11"/>
        <v>2021</v>
      </c>
      <c r="L75" s="357">
        <f t="shared" si="11"/>
        <v>2022</v>
      </c>
      <c r="M75" s="357">
        <f t="shared" si="11"/>
        <v>2023</v>
      </c>
      <c r="N75" s="357">
        <f t="shared" si="11"/>
        <v>2024</v>
      </c>
      <c r="O75" s="357">
        <f t="shared" si="11"/>
        <v>2025</v>
      </c>
      <c r="P75" s="357">
        <f t="shared" si="11"/>
        <v>2026</v>
      </c>
      <c r="Q75" s="357">
        <f t="shared" si="11"/>
        <v>2027</v>
      </c>
      <c r="R75" s="357">
        <f t="shared" si="11"/>
        <v>2028</v>
      </c>
      <c r="S75" s="357">
        <f t="shared" si="11"/>
        <v>2029</v>
      </c>
      <c r="T75" s="357">
        <f t="shared" si="11"/>
        <v>2030</v>
      </c>
      <c r="U75" s="357">
        <f t="shared" si="11"/>
        <v>2031</v>
      </c>
      <c r="V75" s="357">
        <f t="shared" si="11"/>
        <v>2032</v>
      </c>
      <c r="W75" s="357">
        <f t="shared" si="11"/>
        <v>2033</v>
      </c>
      <c r="X75" s="357">
        <f t="shared" si="11"/>
        <v>2034</v>
      </c>
      <c r="Y75" s="357">
        <f t="shared" si="11"/>
        <v>2035</v>
      </c>
      <c r="Z75" s="357">
        <f t="shared" si="11"/>
        <v>2036</v>
      </c>
      <c r="AA75" s="357">
        <f t="shared" si="11"/>
        <v>2037</v>
      </c>
      <c r="AB75" s="357">
        <f t="shared" si="11"/>
        <v>2038</v>
      </c>
      <c r="AC75" s="357">
        <f t="shared" si="11"/>
        <v>2039</v>
      </c>
      <c r="AD75" s="357">
        <f t="shared" si="11"/>
        <v>2040</v>
      </c>
      <c r="AE75" s="357">
        <f t="shared" si="11"/>
        <v>2041</v>
      </c>
      <c r="AF75" s="357">
        <f t="shared" si="11"/>
        <v>2042</v>
      </c>
      <c r="AG75" s="357">
        <f t="shared" si="11"/>
        <v>2043</v>
      </c>
      <c r="AH75" s="357">
        <f t="shared" si="11"/>
        <v>2044</v>
      </c>
      <c r="AI75" s="357">
        <f t="shared" si="11"/>
        <v>2045</v>
      </c>
      <c r="AJ75" s="357">
        <f t="shared" si="11"/>
        <v>2046</v>
      </c>
      <c r="AK75" s="357">
        <f t="shared" si="11"/>
        <v>2047</v>
      </c>
      <c r="AL75" s="357">
        <f t="shared" si="11"/>
        <v>2048</v>
      </c>
      <c r="AM75" s="357">
        <f t="shared" si="11"/>
        <v>2049</v>
      </c>
      <c r="AN75" s="357">
        <f t="shared" si="11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AN81" si="12">Q36</f>
        <v>112.19877684501537</v>
      </c>
      <c r="R76" s="263">
        <f t="shared" si="12"/>
        <v>112.19877684501537</v>
      </c>
      <c r="S76" s="263">
        <f t="shared" si="12"/>
        <v>112.19877684501537</v>
      </c>
      <c r="T76" s="263">
        <f t="shared" si="12"/>
        <v>112.19877684501537</v>
      </c>
      <c r="U76" s="263">
        <f t="shared" si="12"/>
        <v>112.19877684501537</v>
      </c>
      <c r="V76" s="263">
        <f t="shared" si="12"/>
        <v>112.19877684501537</v>
      </c>
      <c r="W76" s="263">
        <f t="shared" si="12"/>
        <v>112.19877684501537</v>
      </c>
      <c r="X76" s="263">
        <f t="shared" si="12"/>
        <v>112.19877684501537</v>
      </c>
      <c r="Y76" s="263">
        <f t="shared" si="12"/>
        <v>112.19877684501537</v>
      </c>
      <c r="Z76" s="263">
        <f t="shared" si="12"/>
        <v>112.19877684501537</v>
      </c>
      <c r="AA76" s="263">
        <f t="shared" si="12"/>
        <v>112.19877684501537</v>
      </c>
      <c r="AB76" s="263">
        <f t="shared" si="12"/>
        <v>112.19877684501537</v>
      </c>
      <c r="AC76" s="263">
        <f t="shared" si="12"/>
        <v>112.19877684501537</v>
      </c>
      <c r="AD76" s="263">
        <f t="shared" si="12"/>
        <v>112.19877684501537</v>
      </c>
      <c r="AE76" s="263">
        <f t="shared" si="12"/>
        <v>112.19877684501537</v>
      </c>
      <c r="AF76" s="263">
        <f t="shared" si="12"/>
        <v>112.19877684501537</v>
      </c>
      <c r="AG76" s="263">
        <f t="shared" si="12"/>
        <v>112.19877684501537</v>
      </c>
      <c r="AH76" s="263">
        <f t="shared" si="12"/>
        <v>112.19877684501537</v>
      </c>
      <c r="AI76" s="263">
        <f t="shared" si="12"/>
        <v>112.19877684501537</v>
      </c>
      <c r="AJ76" s="263">
        <f t="shared" si="12"/>
        <v>112.19877684501537</v>
      </c>
      <c r="AK76" s="263">
        <f t="shared" si="12"/>
        <v>112.19877684501537</v>
      </c>
      <c r="AL76" s="263">
        <f t="shared" si="12"/>
        <v>112.19877684501537</v>
      </c>
      <c r="AM76" s="263">
        <f t="shared" si="12"/>
        <v>112.19877684501537</v>
      </c>
      <c r="AN76" s="263">
        <f t="shared" si="12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si="12"/>
        <v>72.373607910212627</v>
      </c>
      <c r="R77" s="264">
        <f t="shared" si="12"/>
        <v>72.373607910212627</v>
      </c>
      <c r="S77" s="264">
        <f t="shared" si="12"/>
        <v>72.373607910212627</v>
      </c>
      <c r="T77" s="264">
        <f t="shared" si="12"/>
        <v>72.373607910212627</v>
      </c>
      <c r="U77" s="264">
        <f t="shared" si="12"/>
        <v>72.373607910212627</v>
      </c>
      <c r="V77" s="264">
        <f t="shared" si="12"/>
        <v>72.833905603395635</v>
      </c>
      <c r="W77" s="264">
        <f t="shared" si="12"/>
        <v>74.465340862706299</v>
      </c>
      <c r="X77" s="264">
        <f t="shared" si="12"/>
        <v>76.074166018131208</v>
      </c>
      <c r="Y77" s="264">
        <f t="shared" si="12"/>
        <v>77.672025093672531</v>
      </c>
      <c r="Z77" s="264">
        <f t="shared" si="12"/>
        <v>83.594264776845549</v>
      </c>
      <c r="AA77" s="264">
        <f t="shared" si="12"/>
        <v>89.543089986228665</v>
      </c>
      <c r="AB77" s="264">
        <f t="shared" si="12"/>
        <v>95.405902517804151</v>
      </c>
      <c r="AC77" s="264">
        <f t="shared" si="12"/>
        <v>101.26591915638852</v>
      </c>
      <c r="AD77" s="264">
        <f t="shared" si="12"/>
        <v>107.21796173605873</v>
      </c>
      <c r="AE77" s="264">
        <f t="shared" si="12"/>
        <v>108.39361542500035</v>
      </c>
      <c r="AF77" s="264">
        <f t="shared" si="12"/>
        <v>109.55377747778138</v>
      </c>
      <c r="AG77" s="264">
        <f t="shared" si="12"/>
        <v>110.65987610039778</v>
      </c>
      <c r="AH77" s="264">
        <f t="shared" si="12"/>
        <v>111.76110910964849</v>
      </c>
      <c r="AI77" s="264">
        <f t="shared" si="12"/>
        <v>112.85107277817394</v>
      </c>
      <c r="AJ77" s="264">
        <f t="shared" si="12"/>
        <v>112.69105865578959</v>
      </c>
      <c r="AK77" s="264">
        <f t="shared" si="12"/>
        <v>112.54377642659838</v>
      </c>
      <c r="AL77" s="264">
        <f t="shared" si="12"/>
        <v>112.38522461956987</v>
      </c>
      <c r="AM77" s="264">
        <f t="shared" si="12"/>
        <v>112.22196876849006</v>
      </c>
      <c r="AN77" s="264">
        <f t="shared" si="12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si="12"/>
        <v>66.686248230949801</v>
      </c>
      <c r="R78" s="263">
        <f t="shared" si="12"/>
        <v>66.686248230949801</v>
      </c>
      <c r="S78" s="263">
        <f t="shared" si="12"/>
        <v>66.686248230949801</v>
      </c>
      <c r="T78" s="263">
        <f t="shared" si="12"/>
        <v>66.686248230949801</v>
      </c>
      <c r="U78" s="263">
        <f t="shared" si="12"/>
        <v>66.686248230949801</v>
      </c>
      <c r="V78" s="263">
        <f t="shared" si="12"/>
        <v>68.229243703671955</v>
      </c>
      <c r="W78" s="263">
        <f t="shared" si="12"/>
        <v>69.845069509415026</v>
      </c>
      <c r="X78" s="263">
        <f t="shared" si="12"/>
        <v>71.431897810576032</v>
      </c>
      <c r="Y78" s="263">
        <f t="shared" si="12"/>
        <v>73.003862091806837</v>
      </c>
      <c r="Z78" s="263">
        <f t="shared" si="12"/>
        <v>73.525303263146526</v>
      </c>
      <c r="AA78" s="263">
        <f t="shared" si="12"/>
        <v>74.275191426348556</v>
      </c>
      <c r="AB78" s="263">
        <f t="shared" si="12"/>
        <v>74.922057153944237</v>
      </c>
      <c r="AC78" s="263">
        <f t="shared" si="12"/>
        <v>75.558469143047532</v>
      </c>
      <c r="AD78" s="263">
        <f t="shared" si="12"/>
        <v>76.308489590238011</v>
      </c>
      <c r="AE78" s="263">
        <f t="shared" si="12"/>
        <v>77.316702416075373</v>
      </c>
      <c r="AF78" s="263">
        <f t="shared" si="12"/>
        <v>78.304623186780361</v>
      </c>
      <c r="AG78" s="263">
        <f t="shared" si="12"/>
        <v>79.221395497474163</v>
      </c>
      <c r="AH78" s="263">
        <f t="shared" si="12"/>
        <v>80.12958864905238</v>
      </c>
      <c r="AI78" s="263">
        <f t="shared" si="12"/>
        <v>81.049238848049328</v>
      </c>
      <c r="AJ78" s="263">
        <f t="shared" si="12"/>
        <v>78.465171823785184</v>
      </c>
      <c r="AK78" s="263">
        <f t="shared" si="12"/>
        <v>75.897433478640437</v>
      </c>
      <c r="AL78" s="263">
        <f t="shared" si="12"/>
        <v>73.315241876817723</v>
      </c>
      <c r="AM78" s="263">
        <f t="shared" si="12"/>
        <v>70.727017328856348</v>
      </c>
      <c r="AN78" s="263">
        <f t="shared" si="12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si="12"/>
        <v>46.128740107146697</v>
      </c>
      <c r="R79" s="264">
        <f t="shared" si="12"/>
        <v>46.128740107146697</v>
      </c>
      <c r="S79" s="264">
        <f t="shared" si="12"/>
        <v>46.128740107146697</v>
      </c>
      <c r="T79" s="264">
        <f t="shared" si="12"/>
        <v>46.128740107146697</v>
      </c>
      <c r="U79" s="264">
        <f t="shared" si="12"/>
        <v>46.128740107146697</v>
      </c>
      <c r="V79" s="264">
        <f t="shared" si="12"/>
        <v>46.558971309630522</v>
      </c>
      <c r="W79" s="264">
        <f t="shared" si="12"/>
        <v>46.389202512114345</v>
      </c>
      <c r="X79" s="264">
        <f t="shared" si="12"/>
        <v>46.819433714598169</v>
      </c>
      <c r="Y79" s="264">
        <f t="shared" si="12"/>
        <v>48.368664917081979</v>
      </c>
      <c r="Z79" s="264">
        <f t="shared" si="12"/>
        <v>53.92743493266547</v>
      </c>
      <c r="AA79" s="264">
        <f t="shared" si="12"/>
        <v>59.034204948248963</v>
      </c>
      <c r="AB79" s="264">
        <f t="shared" si="12"/>
        <v>64.037974963832454</v>
      </c>
      <c r="AC79" s="264">
        <f t="shared" si="12"/>
        <v>69.20074497941593</v>
      </c>
      <c r="AD79" s="264">
        <f t="shared" si="12"/>
        <v>74.769514994999426</v>
      </c>
      <c r="AE79" s="264">
        <f t="shared" si="12"/>
        <v>78.697494539668298</v>
      </c>
      <c r="AF79" s="264">
        <f t="shared" si="12"/>
        <v>82.642474084337181</v>
      </c>
      <c r="AG79" s="264">
        <f t="shared" si="12"/>
        <v>86.627453629006069</v>
      </c>
      <c r="AH79" s="264">
        <f t="shared" si="12"/>
        <v>90.581433173674938</v>
      </c>
      <c r="AI79" s="264">
        <f t="shared" si="12"/>
        <v>94.623412718343801</v>
      </c>
      <c r="AJ79" s="264">
        <f t="shared" si="12"/>
        <v>95.615587102648405</v>
      </c>
      <c r="AK79" s="264">
        <f t="shared" si="12"/>
        <v>96.607761486953024</v>
      </c>
      <c r="AL79" s="264">
        <f t="shared" si="12"/>
        <v>97.599935871257642</v>
      </c>
      <c r="AM79" s="264">
        <f t="shared" si="12"/>
        <v>98.592110255562247</v>
      </c>
      <c r="AN79" s="264">
        <f t="shared" si="12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si="12"/>
        <v>31.266920206494341</v>
      </c>
      <c r="R80" s="263">
        <f t="shared" si="12"/>
        <v>31.266920206494341</v>
      </c>
      <c r="S80" s="263">
        <f t="shared" si="12"/>
        <v>31.266920206494341</v>
      </c>
      <c r="T80" s="263">
        <f t="shared" si="12"/>
        <v>31.266920206494341</v>
      </c>
      <c r="U80" s="263">
        <f t="shared" si="12"/>
        <v>31.266920206494341</v>
      </c>
      <c r="V80" s="263">
        <f t="shared" si="12"/>
        <v>34.034533985011066</v>
      </c>
      <c r="W80" s="263">
        <f t="shared" si="12"/>
        <v>36.80486273844933</v>
      </c>
      <c r="X80" s="263">
        <f t="shared" si="12"/>
        <v>39.574110520615562</v>
      </c>
      <c r="Y80" s="263">
        <f t="shared" si="12"/>
        <v>42.342834023133165</v>
      </c>
      <c r="Z80" s="263">
        <f t="shared" si="12"/>
        <v>43.413034811945707</v>
      </c>
      <c r="AA80" s="263">
        <f t="shared" si="12"/>
        <v>44.484506633842841</v>
      </c>
      <c r="AB80" s="263">
        <f t="shared" si="12"/>
        <v>45.551866257308248</v>
      </c>
      <c r="AC80" s="263">
        <f t="shared" si="12"/>
        <v>46.619092211330198</v>
      </c>
      <c r="AD80" s="263">
        <f t="shared" si="12"/>
        <v>47.6907178531686</v>
      </c>
      <c r="AE80" s="263">
        <f t="shared" si="12"/>
        <v>48.19196440060162</v>
      </c>
      <c r="AF80" s="263">
        <f t="shared" si="12"/>
        <v>48.69247030510212</v>
      </c>
      <c r="AG80" s="263">
        <f t="shared" si="12"/>
        <v>49.190391479555814</v>
      </c>
      <c r="AH80" s="263">
        <f t="shared" si="12"/>
        <v>49.688080032863859</v>
      </c>
      <c r="AI80" s="263">
        <f t="shared" si="12"/>
        <v>50.185229807861091</v>
      </c>
      <c r="AJ80" s="263">
        <f t="shared" si="12"/>
        <v>50.363951649285546</v>
      </c>
      <c r="AK80" s="263">
        <f t="shared" si="12"/>
        <v>50.543282192503234</v>
      </c>
      <c r="AL80" s="263">
        <f t="shared" si="12"/>
        <v>50.722073946073976</v>
      </c>
      <c r="AM80" s="263">
        <f t="shared" si="12"/>
        <v>50.900640803000826</v>
      </c>
      <c r="AN80" s="263">
        <f t="shared" si="12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si="12"/>
        <v>1.7664259372694027</v>
      </c>
      <c r="R81" s="264">
        <f t="shared" si="12"/>
        <v>1.7664259372694027</v>
      </c>
      <c r="S81" s="264">
        <f t="shared" si="12"/>
        <v>1.7664259372694027</v>
      </c>
      <c r="T81" s="264">
        <f t="shared" si="12"/>
        <v>1.7664259372694027</v>
      </c>
      <c r="U81" s="264">
        <f t="shared" si="12"/>
        <v>1.7664259372694027</v>
      </c>
      <c r="V81" s="264">
        <f t="shared" si="12"/>
        <v>1.9743721629312017</v>
      </c>
      <c r="W81" s="264">
        <f t="shared" si="12"/>
        <v>2.1823183885930009</v>
      </c>
      <c r="X81" s="264">
        <f t="shared" si="12"/>
        <v>2.3902646142547996</v>
      </c>
      <c r="Y81" s="264">
        <f t="shared" si="12"/>
        <v>2.598210839916598</v>
      </c>
      <c r="Z81" s="264">
        <f t="shared" si="12"/>
        <v>2.8291333022314697</v>
      </c>
      <c r="AA81" s="264">
        <f t="shared" si="12"/>
        <v>3.0600557645463415</v>
      </c>
      <c r="AB81" s="264">
        <f t="shared" si="12"/>
        <v>3.2909782268612129</v>
      </c>
      <c r="AC81" s="264">
        <f t="shared" si="12"/>
        <v>3.5219006891760847</v>
      </c>
      <c r="AD81" s="264">
        <f t="shared" si="12"/>
        <v>3.7528231514909556</v>
      </c>
      <c r="AE81" s="264">
        <f t="shared" si="12"/>
        <v>3.9404721982758106</v>
      </c>
      <c r="AF81" s="264">
        <f t="shared" si="12"/>
        <v>4.1281212450606652</v>
      </c>
      <c r="AG81" s="264">
        <f t="shared" si="12"/>
        <v>4.3157702918455199</v>
      </c>
      <c r="AH81" s="264">
        <f t="shared" si="12"/>
        <v>4.5034193386303745</v>
      </c>
      <c r="AI81" s="264">
        <f t="shared" si="12"/>
        <v>4.6910683854152291</v>
      </c>
      <c r="AJ81" s="264">
        <f t="shared" si="12"/>
        <v>4.723560493593447</v>
      </c>
      <c r="AK81" s="264">
        <f t="shared" si="12"/>
        <v>4.7560526017716649</v>
      </c>
      <c r="AL81" s="264">
        <f t="shared" si="12"/>
        <v>4.7885447099498828</v>
      </c>
      <c r="AM81" s="264">
        <f t="shared" si="12"/>
        <v>4.8210368181280998</v>
      </c>
      <c r="AN81" s="264">
        <f t="shared" si="12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9" thickBot="1">
      <c r="A82" s="358" t="s">
        <v>70</v>
      </c>
      <c r="B82" s="362">
        <f>SUM(B76:B81)</f>
        <v>369.4879479318501</v>
      </c>
      <c r="C82" s="362">
        <f t="shared" ref="C82:AN82" si="13">SUM(C76:C81)</f>
        <v>382.5958256042307</v>
      </c>
      <c r="D82" s="362">
        <f t="shared" si="13"/>
        <v>395.40755596476566</v>
      </c>
      <c r="E82" s="362">
        <f t="shared" si="13"/>
        <v>408.36490302437363</v>
      </c>
      <c r="F82" s="362">
        <f t="shared" si="13"/>
        <v>421.93828417097109</v>
      </c>
      <c r="G82" s="362">
        <f t="shared" si="13"/>
        <v>428.73902582463683</v>
      </c>
      <c r="H82" s="362">
        <f t="shared" si="13"/>
        <v>435.52024314407703</v>
      </c>
      <c r="I82" s="362">
        <f t="shared" si="13"/>
        <v>442.21366384329474</v>
      </c>
      <c r="J82" s="362">
        <f t="shared" si="13"/>
        <v>448.86240714888538</v>
      </c>
      <c r="K82" s="362">
        <f t="shared" si="13"/>
        <v>455.59879938285877</v>
      </c>
      <c r="L82" s="362">
        <f t="shared" si="13"/>
        <v>454.0581065701175</v>
      </c>
      <c r="M82" s="362">
        <f t="shared" si="13"/>
        <v>452.54708303148215</v>
      </c>
      <c r="N82" s="362">
        <f t="shared" si="13"/>
        <v>451.00979786868442</v>
      </c>
      <c r="O82" s="362">
        <f t="shared" si="13"/>
        <v>449.461550819053</v>
      </c>
      <c r="P82" s="362">
        <f t="shared" si="13"/>
        <v>447.82852589560099</v>
      </c>
      <c r="Q82" s="362">
        <f t="shared" si="13"/>
        <v>330.42071923708824</v>
      </c>
      <c r="R82" s="362">
        <f t="shared" si="13"/>
        <v>330.42071923708824</v>
      </c>
      <c r="S82" s="362">
        <f t="shared" si="13"/>
        <v>330.42071923708824</v>
      </c>
      <c r="T82" s="362">
        <f t="shared" si="13"/>
        <v>330.42071923708824</v>
      </c>
      <c r="U82" s="362">
        <f t="shared" si="13"/>
        <v>330.42071923708824</v>
      </c>
      <c r="V82" s="362">
        <f t="shared" si="13"/>
        <v>335.82980360965576</v>
      </c>
      <c r="W82" s="362">
        <f t="shared" si="13"/>
        <v>341.88557085629344</v>
      </c>
      <c r="X82" s="362">
        <f t="shared" si="13"/>
        <v>348.48864952319121</v>
      </c>
      <c r="Y82" s="362">
        <f t="shared" si="13"/>
        <v>356.18437381062643</v>
      </c>
      <c r="Z82" s="362">
        <f t="shared" si="13"/>
        <v>369.4879479318501</v>
      </c>
      <c r="AA82" s="362">
        <f t="shared" si="13"/>
        <v>382.5958256042307</v>
      </c>
      <c r="AB82" s="362">
        <f t="shared" si="13"/>
        <v>395.40755596476566</v>
      </c>
      <c r="AC82" s="362">
        <f t="shared" si="13"/>
        <v>408.36490302437363</v>
      </c>
      <c r="AD82" s="362">
        <f t="shared" si="13"/>
        <v>421.93828417097109</v>
      </c>
      <c r="AE82" s="362">
        <f t="shared" si="13"/>
        <v>428.73902582463683</v>
      </c>
      <c r="AF82" s="362">
        <f t="shared" si="13"/>
        <v>435.52024314407703</v>
      </c>
      <c r="AG82" s="362">
        <f t="shared" si="13"/>
        <v>442.21366384329474</v>
      </c>
      <c r="AH82" s="362">
        <f t="shared" si="13"/>
        <v>448.86240714888538</v>
      </c>
      <c r="AI82" s="362">
        <f t="shared" si="13"/>
        <v>455.59879938285877</v>
      </c>
      <c r="AJ82" s="362">
        <f t="shared" si="13"/>
        <v>454.0581065701175</v>
      </c>
      <c r="AK82" s="362">
        <f t="shared" si="13"/>
        <v>452.54708303148215</v>
      </c>
      <c r="AL82" s="362">
        <f t="shared" si="13"/>
        <v>451.00979786868442</v>
      </c>
      <c r="AM82" s="362">
        <f t="shared" si="13"/>
        <v>449.461550819053</v>
      </c>
      <c r="AN82" s="362">
        <f t="shared" si="13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9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9" thickBot="1">
      <c r="A85" s="257" t="s">
        <v>82</v>
      </c>
      <c r="B85" s="256">
        <f t="shared" ref="B85:AN85" si="14">B16</f>
        <v>2012</v>
      </c>
      <c r="C85" s="256">
        <f t="shared" si="14"/>
        <v>2013</v>
      </c>
      <c r="D85" s="256">
        <f t="shared" si="14"/>
        <v>2014</v>
      </c>
      <c r="E85" s="256">
        <f t="shared" si="14"/>
        <v>2015</v>
      </c>
      <c r="F85" s="256">
        <f t="shared" si="14"/>
        <v>2016</v>
      </c>
      <c r="G85" s="256">
        <f t="shared" si="14"/>
        <v>2017</v>
      </c>
      <c r="H85" s="256">
        <f t="shared" si="14"/>
        <v>2018</v>
      </c>
      <c r="I85" s="256">
        <f t="shared" si="14"/>
        <v>2019</v>
      </c>
      <c r="J85" s="256">
        <f t="shared" si="14"/>
        <v>2020</v>
      </c>
      <c r="K85" s="256">
        <f t="shared" si="14"/>
        <v>2021</v>
      </c>
      <c r="L85" s="256">
        <f t="shared" si="14"/>
        <v>2022</v>
      </c>
      <c r="M85" s="256">
        <f t="shared" si="14"/>
        <v>2023</v>
      </c>
      <c r="N85" s="256">
        <f t="shared" si="14"/>
        <v>2024</v>
      </c>
      <c r="O85" s="256">
        <f t="shared" si="14"/>
        <v>2025</v>
      </c>
      <c r="P85" s="256">
        <f t="shared" si="14"/>
        <v>2026</v>
      </c>
      <c r="Q85" s="256">
        <f t="shared" si="14"/>
        <v>2027</v>
      </c>
      <c r="R85" s="256">
        <f t="shared" si="14"/>
        <v>2028</v>
      </c>
      <c r="S85" s="256">
        <f t="shared" si="14"/>
        <v>2029</v>
      </c>
      <c r="T85" s="256">
        <f t="shared" si="14"/>
        <v>2030</v>
      </c>
      <c r="U85" s="256">
        <f t="shared" si="14"/>
        <v>2031</v>
      </c>
      <c r="V85" s="256">
        <f t="shared" si="14"/>
        <v>2032</v>
      </c>
      <c r="W85" s="256">
        <f t="shared" si="14"/>
        <v>2033</v>
      </c>
      <c r="X85" s="256">
        <f t="shared" si="14"/>
        <v>2034</v>
      </c>
      <c r="Y85" s="256">
        <f t="shared" si="14"/>
        <v>2035</v>
      </c>
      <c r="Z85" s="256">
        <f t="shared" si="14"/>
        <v>2036</v>
      </c>
      <c r="AA85" s="256">
        <f t="shared" si="14"/>
        <v>2037</v>
      </c>
      <c r="AB85" s="256">
        <f t="shared" si="14"/>
        <v>2038</v>
      </c>
      <c r="AC85" s="256">
        <f t="shared" si="14"/>
        <v>2039</v>
      </c>
      <c r="AD85" s="256">
        <f t="shared" si="14"/>
        <v>2040</v>
      </c>
      <c r="AE85" s="256">
        <f t="shared" si="14"/>
        <v>2041</v>
      </c>
      <c r="AF85" s="256">
        <f t="shared" si="14"/>
        <v>2042</v>
      </c>
      <c r="AG85" s="256">
        <f t="shared" si="14"/>
        <v>2043</v>
      </c>
      <c r="AH85" s="256">
        <f t="shared" si="14"/>
        <v>2044</v>
      </c>
      <c r="AI85" s="256">
        <f t="shared" si="14"/>
        <v>2045</v>
      </c>
      <c r="AJ85" s="256">
        <f t="shared" si="14"/>
        <v>2046</v>
      </c>
      <c r="AK85" s="256">
        <f t="shared" si="14"/>
        <v>2047</v>
      </c>
      <c r="AL85" s="256">
        <f t="shared" si="14"/>
        <v>2048</v>
      </c>
      <c r="AM85" s="256">
        <f t="shared" si="14"/>
        <v>2049</v>
      </c>
      <c r="AN85" s="256">
        <f t="shared" si="14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1200</v>
      </c>
      <c r="K88" s="156">
        <v>1200</v>
      </c>
      <c r="L88" s="156">
        <v>1200</v>
      </c>
      <c r="M88" s="156">
        <v>1200</v>
      </c>
      <c r="N88" s="156">
        <v>1200</v>
      </c>
      <c r="O88" s="156">
        <v>1200</v>
      </c>
      <c r="P88" s="156">
        <v>1200</v>
      </c>
      <c r="Q88" s="156">
        <v>1200</v>
      </c>
      <c r="R88" s="156">
        <v>1200</v>
      </c>
      <c r="S88" s="156">
        <v>1200</v>
      </c>
      <c r="T88" s="156">
        <v>3000</v>
      </c>
      <c r="U88" s="156">
        <v>3000</v>
      </c>
      <c r="V88" s="156">
        <v>1200</v>
      </c>
      <c r="W88" s="156">
        <v>1200</v>
      </c>
      <c r="X88" s="156">
        <v>1200</v>
      </c>
      <c r="Y88" s="156">
        <v>1200</v>
      </c>
      <c r="Z88" s="156">
        <v>1200</v>
      </c>
      <c r="AA88" s="156">
        <v>1200</v>
      </c>
      <c r="AB88" s="156">
        <v>1200</v>
      </c>
      <c r="AC88" s="156">
        <v>1200</v>
      </c>
      <c r="AD88" s="156">
        <v>3000</v>
      </c>
      <c r="AE88" s="156">
        <v>2000</v>
      </c>
      <c r="AF88" s="156">
        <v>1600</v>
      </c>
      <c r="AG88" s="156">
        <v>1600</v>
      </c>
      <c r="AH88" s="156">
        <v>1200</v>
      </c>
      <c r="AI88" s="156">
        <v>1200</v>
      </c>
      <c r="AJ88" s="156">
        <v>1200</v>
      </c>
      <c r="AK88" s="156">
        <v>1200</v>
      </c>
      <c r="AL88" s="156">
        <v>1200</v>
      </c>
      <c r="AM88" s="156">
        <v>1200</v>
      </c>
      <c r="AN88" s="156">
        <v>1200</v>
      </c>
      <c r="AO88" s="5">
        <f t="shared" ref="AO88:AO93" si="15">SUM(B88:AN88)</f>
        <v>8000000000044200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15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15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156">
        <v>1000000000000000</v>
      </c>
      <c r="G92" s="156">
        <v>1000000000000000</v>
      </c>
      <c r="H92" s="156">
        <v>1000000000000000</v>
      </c>
      <c r="I92" s="156">
        <v>1000000000000000</v>
      </c>
      <c r="J92" s="156">
        <v>1000000000000000</v>
      </c>
      <c r="K92" s="156">
        <v>1000000000000000</v>
      </c>
      <c r="L92" s="156">
        <v>1000000000000000</v>
      </c>
      <c r="M92" s="156">
        <v>1000000000000000</v>
      </c>
      <c r="N92" s="156">
        <v>1000000000000000</v>
      </c>
      <c r="O92" s="156">
        <v>1000000000000000</v>
      </c>
      <c r="P92" s="156">
        <v>1000000000000000</v>
      </c>
      <c r="Q92" s="156">
        <v>1000000000000000</v>
      </c>
      <c r="R92" s="156">
        <v>1000000000000000</v>
      </c>
      <c r="S92" s="156">
        <v>1000000000000000</v>
      </c>
      <c r="T92" s="156">
        <v>1000000000000000</v>
      </c>
      <c r="U92" s="156">
        <v>1000000000000000</v>
      </c>
      <c r="V92" s="156">
        <v>1000000000000000</v>
      </c>
      <c r="W92" s="156">
        <v>1000000000000000</v>
      </c>
      <c r="X92" s="156">
        <v>1000000000000000</v>
      </c>
      <c r="Y92" s="156">
        <v>1000000000000000</v>
      </c>
      <c r="Z92" s="156">
        <v>1000000000000000</v>
      </c>
      <c r="AA92" s="156">
        <v>1000000000000000</v>
      </c>
      <c r="AB92" s="156">
        <v>1000000000000000</v>
      </c>
      <c r="AC92" s="156">
        <v>1000000000000000</v>
      </c>
      <c r="AD92" s="156">
        <v>1000000000000000</v>
      </c>
      <c r="AE92" s="156">
        <v>1000000000000000</v>
      </c>
      <c r="AF92" s="156">
        <v>1000000000000000</v>
      </c>
      <c r="AG92" s="156">
        <v>1000000000000000</v>
      </c>
      <c r="AH92" s="156">
        <v>1000000000000000</v>
      </c>
      <c r="AI92" s="156">
        <v>1000000000000000</v>
      </c>
      <c r="AJ92" s="156">
        <v>1000000000000000</v>
      </c>
      <c r="AK92" s="156">
        <v>1000000000000000</v>
      </c>
      <c r="AL92" s="156">
        <v>1000000000000000</v>
      </c>
      <c r="AM92" s="156">
        <v>1000000000000000</v>
      </c>
      <c r="AN92" s="156">
        <v>1000000000000000</v>
      </c>
      <c r="AO92" s="5">
        <f t="shared" si="15"/>
        <v>3.9E+16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15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9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16">C16</f>
        <v>2013</v>
      </c>
      <c r="D97" s="256">
        <f t="shared" si="16"/>
        <v>2014</v>
      </c>
      <c r="E97" s="256">
        <f t="shared" si="16"/>
        <v>2015</v>
      </c>
      <c r="F97" s="256">
        <f t="shared" si="16"/>
        <v>2016</v>
      </c>
      <c r="G97" s="256">
        <f t="shared" si="16"/>
        <v>2017</v>
      </c>
      <c r="H97" s="256">
        <f t="shared" si="16"/>
        <v>2018</v>
      </c>
      <c r="I97" s="256">
        <f t="shared" si="16"/>
        <v>2019</v>
      </c>
      <c r="J97" s="256">
        <f t="shared" si="16"/>
        <v>2020</v>
      </c>
      <c r="K97" s="256">
        <f t="shared" si="16"/>
        <v>2021</v>
      </c>
      <c r="L97" s="256">
        <f t="shared" si="16"/>
        <v>2022</v>
      </c>
      <c r="M97" s="256">
        <f t="shared" si="16"/>
        <v>2023</v>
      </c>
      <c r="N97" s="256">
        <f t="shared" si="16"/>
        <v>2024</v>
      </c>
      <c r="O97" s="256">
        <f t="shared" si="16"/>
        <v>2025</v>
      </c>
      <c r="P97" s="256">
        <f t="shared" si="16"/>
        <v>2026</v>
      </c>
      <c r="Q97" s="256">
        <f t="shared" si="16"/>
        <v>2027</v>
      </c>
      <c r="R97" s="256">
        <f t="shared" si="16"/>
        <v>2028</v>
      </c>
      <c r="S97" s="256">
        <f t="shared" si="16"/>
        <v>2029</v>
      </c>
      <c r="T97" s="256">
        <f t="shared" si="16"/>
        <v>2030</v>
      </c>
      <c r="U97" s="256">
        <f t="shared" si="16"/>
        <v>2031</v>
      </c>
      <c r="V97" s="256">
        <f t="shared" si="16"/>
        <v>2032</v>
      </c>
      <c r="W97" s="256">
        <f t="shared" si="16"/>
        <v>2033</v>
      </c>
      <c r="X97" s="256">
        <f t="shared" si="16"/>
        <v>2034</v>
      </c>
      <c r="Y97" s="256">
        <f t="shared" si="16"/>
        <v>2035</v>
      </c>
      <c r="Z97" s="256">
        <f t="shared" si="16"/>
        <v>2036</v>
      </c>
      <c r="AA97" s="256">
        <f t="shared" si="16"/>
        <v>2037</v>
      </c>
      <c r="AB97" s="256">
        <f t="shared" si="16"/>
        <v>2038</v>
      </c>
      <c r="AC97" s="256">
        <f t="shared" si="16"/>
        <v>2039</v>
      </c>
      <c r="AD97" s="256">
        <f t="shared" si="16"/>
        <v>2040</v>
      </c>
      <c r="AE97" s="256">
        <f t="shared" si="16"/>
        <v>2041</v>
      </c>
      <c r="AF97" s="256">
        <f t="shared" si="16"/>
        <v>2042</v>
      </c>
      <c r="AG97" s="256">
        <f t="shared" si="16"/>
        <v>2043</v>
      </c>
      <c r="AH97" s="256">
        <f t="shared" si="16"/>
        <v>2044</v>
      </c>
      <c r="AI97" s="256">
        <f t="shared" si="16"/>
        <v>2045</v>
      </c>
      <c r="AJ97" s="256">
        <f t="shared" si="16"/>
        <v>2046</v>
      </c>
      <c r="AK97" s="256">
        <f t="shared" si="16"/>
        <v>2047</v>
      </c>
      <c r="AL97" s="256">
        <f t="shared" si="16"/>
        <v>2048</v>
      </c>
      <c r="AM97" s="256">
        <f t="shared" si="16"/>
        <v>2049</v>
      </c>
      <c r="AN97" s="256">
        <f t="shared" si="16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5.15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9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17">(C106*1000)*10</f>
        <v>12500000000</v>
      </c>
      <c r="D108" s="54">
        <f t="shared" si="17"/>
        <v>12500000000</v>
      </c>
      <c r="E108" s="54">
        <f t="shared" si="17"/>
        <v>12500000000</v>
      </c>
      <c r="F108" s="54">
        <f t="shared" si="17"/>
        <v>12500000000</v>
      </c>
      <c r="G108" s="54">
        <f t="shared" si="17"/>
        <v>12500000000</v>
      </c>
      <c r="H108" s="54">
        <f t="shared" si="17"/>
        <v>12500000000</v>
      </c>
      <c r="I108" s="54">
        <f t="shared" si="17"/>
        <v>12500000000</v>
      </c>
      <c r="J108" s="54">
        <f t="shared" si="17"/>
        <v>12500000000</v>
      </c>
      <c r="K108" s="54">
        <f t="shared" si="17"/>
        <v>12500000000</v>
      </c>
      <c r="L108" s="54">
        <f t="shared" si="17"/>
        <v>12500000000</v>
      </c>
      <c r="M108" s="54">
        <f t="shared" si="17"/>
        <v>12500000000</v>
      </c>
      <c r="N108" s="54">
        <f t="shared" si="17"/>
        <v>12500000000</v>
      </c>
      <c r="O108" s="54">
        <f t="shared" si="17"/>
        <v>12500000000</v>
      </c>
      <c r="P108" s="54">
        <f t="shared" si="17"/>
        <v>12500000000</v>
      </c>
      <c r="Q108" s="54">
        <f t="shared" si="17"/>
        <v>12500000000</v>
      </c>
      <c r="R108" s="54">
        <f t="shared" si="17"/>
        <v>12500000000</v>
      </c>
      <c r="S108" s="54">
        <f t="shared" si="17"/>
        <v>12500000000</v>
      </c>
      <c r="T108" s="54">
        <f t="shared" si="17"/>
        <v>12500000000</v>
      </c>
      <c r="U108" s="54">
        <f t="shared" si="17"/>
        <v>14500000000</v>
      </c>
      <c r="V108" s="54">
        <f t="shared" si="17"/>
        <v>14500000000</v>
      </c>
      <c r="W108" s="54">
        <f t="shared" si="17"/>
        <v>14500000000</v>
      </c>
      <c r="X108" s="54">
        <f t="shared" si="17"/>
        <v>14500000000</v>
      </c>
      <c r="Y108" s="54">
        <f t="shared" si="17"/>
        <v>14500000000</v>
      </c>
      <c r="Z108" s="54">
        <f t="shared" si="17"/>
        <v>19500000000</v>
      </c>
      <c r="AA108" s="54">
        <f t="shared" si="17"/>
        <v>19500000000</v>
      </c>
      <c r="AB108" s="54">
        <f t="shared" si="17"/>
        <v>19500000000</v>
      </c>
      <c r="AC108" s="54">
        <f t="shared" si="17"/>
        <v>19500000000</v>
      </c>
      <c r="AD108" s="54">
        <f t="shared" si="17"/>
        <v>19500000000</v>
      </c>
      <c r="AE108" s="54">
        <f t="shared" si="17"/>
        <v>26000000000</v>
      </c>
      <c r="AF108" s="54">
        <f t="shared" si="17"/>
        <v>26000000000</v>
      </c>
      <c r="AG108" s="54">
        <f t="shared" si="17"/>
        <v>26000000000</v>
      </c>
      <c r="AH108" s="54">
        <f t="shared" si="17"/>
        <v>26000000000</v>
      </c>
      <c r="AI108" s="54">
        <f t="shared" si="17"/>
        <v>26000000000</v>
      </c>
      <c r="AJ108" s="54">
        <f t="shared" si="17"/>
        <v>27500000000</v>
      </c>
      <c r="AK108" s="54">
        <f t="shared" si="17"/>
        <v>27500000000</v>
      </c>
      <c r="AL108" s="54">
        <f t="shared" si="17"/>
        <v>27500000000</v>
      </c>
      <c r="AM108" s="54">
        <f t="shared" si="17"/>
        <v>27500000000</v>
      </c>
      <c r="AN108" s="54">
        <f t="shared" si="17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4.4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3.1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9" thickBot="1">
      <c r="A1" s="428" t="s">
        <v>138</v>
      </c>
      <c r="B1" s="428" t="s">
        <v>2573</v>
      </c>
      <c r="C1" s="386" t="s">
        <v>2630</v>
      </c>
      <c r="D1" s="386" t="s">
        <v>2631</v>
      </c>
      <c r="E1" s="386" t="s">
        <v>2632</v>
      </c>
      <c r="F1" s="386" t="s">
        <v>2633</v>
      </c>
    </row>
    <row r="2" spans="1:6" ht="13.9" thickTop="1">
      <c r="A2" s="127">
        <v>1</v>
      </c>
      <c r="B2" s="124" t="s">
        <v>2574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2575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2576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2577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2578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3.1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2634</v>
      </c>
      <c r="B1" s="121" t="s">
        <v>1961</v>
      </c>
      <c r="C1" s="121" t="s">
        <v>2635</v>
      </c>
      <c r="D1" s="121" t="s">
        <v>2636</v>
      </c>
    </row>
    <row r="2" spans="1:4">
      <c r="A2" s="135">
        <v>801</v>
      </c>
      <c r="B2" s="95" t="s">
        <v>2637</v>
      </c>
      <c r="C2" s="136">
        <v>1</v>
      </c>
      <c r="D2" s="136">
        <v>2</v>
      </c>
    </row>
    <row r="3" spans="1:4">
      <c r="A3" s="135">
        <v>802</v>
      </c>
      <c r="B3" s="95" t="s">
        <v>2638</v>
      </c>
      <c r="C3" s="136">
        <v>1</v>
      </c>
      <c r="D3" s="136">
        <v>3</v>
      </c>
    </row>
    <row r="4" spans="1:4">
      <c r="A4" s="135">
        <v>803</v>
      </c>
      <c r="B4" s="95" t="s">
        <v>2639</v>
      </c>
      <c r="C4" s="137">
        <v>1</v>
      </c>
      <c r="D4" s="137">
        <v>5</v>
      </c>
    </row>
    <row r="5" spans="1:4">
      <c r="A5" s="135">
        <v>804</v>
      </c>
      <c r="B5" s="95" t="s">
        <v>2640</v>
      </c>
      <c r="C5" s="136">
        <v>1</v>
      </c>
      <c r="D5" s="136">
        <v>100</v>
      </c>
    </row>
    <row r="6" spans="1:4">
      <c r="A6" s="135">
        <v>805</v>
      </c>
      <c r="B6" s="95" t="s">
        <v>2641</v>
      </c>
      <c r="C6" s="136">
        <v>1</v>
      </c>
      <c r="D6" s="136">
        <v>200</v>
      </c>
    </row>
    <row r="7" spans="1:4">
      <c r="A7" s="135">
        <v>806</v>
      </c>
      <c r="B7" s="95" t="s">
        <v>2642</v>
      </c>
      <c r="C7" s="137">
        <v>2</v>
      </c>
      <c r="D7" s="137">
        <v>5</v>
      </c>
    </row>
    <row r="8" spans="1:4">
      <c r="A8" s="135">
        <v>807</v>
      </c>
      <c r="B8" s="95" t="s">
        <v>2643</v>
      </c>
      <c r="C8" s="137">
        <v>2</v>
      </c>
      <c r="D8" s="137">
        <v>100</v>
      </c>
    </row>
    <row r="9" spans="1:4">
      <c r="A9" s="135">
        <v>808</v>
      </c>
      <c r="B9" s="95" t="s">
        <v>2644</v>
      </c>
      <c r="C9" s="137">
        <v>3</v>
      </c>
      <c r="D9" s="137">
        <v>200</v>
      </c>
    </row>
    <row r="10" spans="1:4">
      <c r="A10" s="135">
        <v>809</v>
      </c>
      <c r="B10" s="95" t="s">
        <v>2645</v>
      </c>
      <c r="C10" s="136">
        <v>4</v>
      </c>
      <c r="D10" s="136">
        <v>7</v>
      </c>
    </row>
    <row r="11" spans="1:4">
      <c r="A11" s="135">
        <v>810</v>
      </c>
      <c r="B11" s="95" t="s">
        <v>2646</v>
      </c>
      <c r="C11" s="136">
        <v>4</v>
      </c>
      <c r="D11" s="136">
        <v>200</v>
      </c>
    </row>
    <row r="12" spans="1:4">
      <c r="A12" s="135">
        <v>811</v>
      </c>
      <c r="B12" s="95" t="s">
        <v>2647</v>
      </c>
      <c r="C12" s="137">
        <v>5</v>
      </c>
      <c r="D12" s="137">
        <v>100</v>
      </c>
    </row>
    <row r="13" spans="1:4">
      <c r="A13" s="135">
        <v>812</v>
      </c>
      <c r="B13" s="95" t="s">
        <v>2648</v>
      </c>
      <c r="C13" s="136">
        <v>6</v>
      </c>
      <c r="D13" s="136">
        <v>1</v>
      </c>
    </row>
    <row r="14" spans="1:4">
      <c r="A14" s="135">
        <v>813</v>
      </c>
      <c r="B14" s="95" t="s">
        <v>2649</v>
      </c>
      <c r="C14" s="136">
        <v>7</v>
      </c>
      <c r="D14" s="136">
        <v>6</v>
      </c>
    </row>
    <row r="15" spans="1:4">
      <c r="A15" s="135">
        <v>814</v>
      </c>
      <c r="B15" s="95" t="s">
        <v>2650</v>
      </c>
      <c r="C15" s="136">
        <v>9</v>
      </c>
      <c r="D15" s="136">
        <v>4</v>
      </c>
    </row>
    <row r="16" spans="1:4">
      <c r="A16" s="135">
        <v>815</v>
      </c>
      <c r="B16" s="95" t="s">
        <v>2651</v>
      </c>
      <c r="C16" s="136">
        <v>9</v>
      </c>
      <c r="D16" s="136">
        <v>1</v>
      </c>
    </row>
    <row r="17" spans="1:4">
      <c r="A17" s="135">
        <v>816</v>
      </c>
      <c r="B17" s="95" t="s">
        <v>2652</v>
      </c>
      <c r="C17" s="136">
        <v>10</v>
      </c>
      <c r="D17" s="136">
        <v>1</v>
      </c>
    </row>
    <row r="18" spans="1:4">
      <c r="A18" s="135">
        <v>817</v>
      </c>
      <c r="B18" s="95" t="s">
        <v>2653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3.1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9" thickBot="1">
      <c r="A1" s="11" t="s">
        <v>2654</v>
      </c>
      <c r="B1" s="2" t="s">
        <v>2655</v>
      </c>
      <c r="C1" s="11" t="s">
        <v>2634</v>
      </c>
      <c r="D1" s="138" t="s">
        <v>2635</v>
      </c>
      <c r="E1" s="138" t="s">
        <v>2636</v>
      </c>
      <c r="F1" s="139" t="s">
        <v>162</v>
      </c>
      <c r="G1" s="11" t="s">
        <v>2656</v>
      </c>
      <c r="H1" s="11" t="s">
        <v>2657</v>
      </c>
      <c r="I1" s="11" t="s">
        <v>2658</v>
      </c>
      <c r="J1" s="11" t="s">
        <v>2659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VLOOKUP(C2,[6]tab_corredor!$A$2:$B$50,2,0)&amp;"_"&amp;K2</f>
        <v>SE-Sul_2012</v>
      </c>
      <c r="C2" s="135">
        <v>801</v>
      </c>
      <c r="D2" s="142">
        <f>IF(C2="","",VLOOKUP(C2,[6]tab_corredor!$A$2:$D$30,3,0))</f>
        <v>1</v>
      </c>
      <c r="E2" s="142">
        <f>IF(C2="","",VLOOKUP(C2,[6]tab_corredor!$A$2:$D$30,4,0))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VLOOKUP(C3,[6]tab_corredor!$A$2:$B$50,2,0)&amp;"_"&amp;K3</f>
        <v>SE-Sul_2017</v>
      </c>
      <c r="C3" s="135">
        <v>801</v>
      </c>
      <c r="D3" s="142">
        <f>IF(C3="","",VLOOKUP(C3,[6]tab_corredor!$A$2:$D$30,3,0))</f>
        <v>1</v>
      </c>
      <c r="E3" s="142">
        <f>IF(C3="","",VLOOKUP(C3,[6]tab_corredor!$A$2:$D$30,4,0))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VLOOKUP(C4,[6]tab_corredor!$A$2:$B$50,2,0)&amp;"_"&amp;K4</f>
        <v>SE-Sul_2020</v>
      </c>
      <c r="C4" s="135">
        <v>801</v>
      </c>
      <c r="D4" s="142">
        <f>IF(C4="","",VLOOKUP(C4,[6]tab_corredor!$A$2:$D$30,3,0))</f>
        <v>1</v>
      </c>
      <c r="E4" s="142">
        <f>IF(C4="","",VLOOKUP(C4,[6]tab_corredor!$A$2:$D$30,4,0))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VLOOKUP(C5,[6]tab_corredor!$A$2:$B$50,2,0)&amp;"_"&amp;K5</f>
        <v>SE-NE_2012</v>
      </c>
      <c r="C5" s="135">
        <v>802</v>
      </c>
      <c r="D5" s="142">
        <f>IF(C5="","",VLOOKUP(C5,[6]tab_corredor!$A$2:$D$30,3,0))</f>
        <v>1</v>
      </c>
      <c r="E5" s="142">
        <f>IF(C5="","",VLOOKUP(C5,[6]tab_corredor!$A$2:$D$30,4,0))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VLOOKUP(C6,[6]tab_corredor!$A$2:$B$50,2,0)&amp;"_"&amp;K6</f>
        <v>SE-NE_2016</v>
      </c>
      <c r="C6" s="135">
        <v>802</v>
      </c>
      <c r="D6" s="142">
        <f>IF(C6="","",VLOOKUP(C6,[6]tab_corredor!$A$2:$D$30,3,0))</f>
        <v>1</v>
      </c>
      <c r="E6" s="142">
        <f>IF(C6="","",VLOOKUP(C6,[6]tab_corredor!$A$2:$D$30,4,0))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VLOOKUP(C7,[6]tab_corredor!$A$2:$B$50,2,0)&amp;"_"&amp;K7</f>
        <v>SE-NE_2023</v>
      </c>
      <c r="C7" s="135">
        <v>802</v>
      </c>
      <c r="D7" s="142">
        <f>IF(C7="","",VLOOKUP(C7,[6]tab_corredor!$A$2:$D$30,3,0))</f>
        <v>1</v>
      </c>
      <c r="E7" s="142">
        <f>IF(C7="","",VLOOKUP(C7,[6]tab_corredor!$A$2:$D$30,4,0))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VLOOKUP(C8,[6]tab_corredor!$A$2:$B$50,2,0)&amp;"_"&amp;K8</f>
        <v>SE-Itaipu_2012</v>
      </c>
      <c r="C8" s="135">
        <v>803</v>
      </c>
      <c r="D8" s="142">
        <f>IF(C8="","",VLOOKUP(C8,[6]tab_corredor!$A$2:$D$30,3,0))</f>
        <v>1</v>
      </c>
      <c r="E8" s="142">
        <f>IF(C8="","",VLOOKUP(C8,[6]tab_corredor!$A$2:$D$30,4,0))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VLOOKUP(C9,[6]tab_corredor!$A$2:$B$50,2,0)&amp;"_"&amp;K9</f>
        <v>SE-Ivaip_2012</v>
      </c>
      <c r="C9" s="135">
        <v>804</v>
      </c>
      <c r="D9" s="142">
        <f>IF(C9="","",VLOOKUP(C9,[6]tab_corredor!$A$2:$D$30,3,0))</f>
        <v>1</v>
      </c>
      <c r="E9" s="142">
        <f>IF(C9="","",VLOOKUP(C9,[6]tab_corredor!$A$2:$D$30,4,0))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VLOOKUP(C10,[6]tab_corredor!$A$2:$B$50,2,0)&amp;"_"&amp;K10</f>
        <v>SE-Imp_2012</v>
      </c>
      <c r="C10" s="135">
        <v>805</v>
      </c>
      <c r="D10" s="142">
        <f>IF(C10="","",VLOOKUP(C10,[6]tab_corredor!$A$2:$D$30,3,0))</f>
        <v>1</v>
      </c>
      <c r="E10" s="142">
        <f>IF(C10="","",VLOOKUP(C10,[6]tab_corredor!$A$2:$D$30,4,0))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VLOOKUP(C11,[6]tab_corredor!$A$2:$B$50,2,0)&amp;"_"&amp;K11</f>
        <v>SE-Imp_2019</v>
      </c>
      <c r="C11" s="135">
        <v>805</v>
      </c>
      <c r="D11" s="142">
        <f>IF(C11="","",VLOOKUP(C11,[6]tab_corredor!$A$2:$D$30,3,0))</f>
        <v>1</v>
      </c>
      <c r="E11" s="142">
        <f>IF(C11="","",VLOOKUP(C11,[6]tab_corredor!$A$2:$D$30,4,0))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VLOOKUP(C12,[6]tab_corredor!$A$2:$B$50,2,0)&amp;"_"&amp;K12</f>
        <v>SE-Imp_2023</v>
      </c>
      <c r="C12" s="135">
        <v>805</v>
      </c>
      <c r="D12" s="142">
        <f>IF(C12="","",VLOOKUP(C12,[6]tab_corredor!$A$2:$D$30,3,0))</f>
        <v>1</v>
      </c>
      <c r="E12" s="142">
        <f>IF(C12="","",VLOOKUP(C12,[6]tab_corredor!$A$2:$D$30,4,0))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VLOOKUP(C13,[6]tab_corredor!$A$2:$B$50,2,0)&amp;"_"&amp;K13</f>
        <v>Sul-Itaipu_2017</v>
      </c>
      <c r="C13" s="135">
        <v>806</v>
      </c>
      <c r="D13" s="142">
        <f>IF(C13="","",VLOOKUP(C13,[6]tab_corredor!$A$2:$D$30,3,0))</f>
        <v>2</v>
      </c>
      <c r="E13" s="142">
        <f>IF(C13="","",VLOOKUP(C13,[6]tab_corredor!$A$2:$D$30,4,0))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VLOOKUP(C14,[6]tab_corredor!$A$2:$B$50,2,0)&amp;"_"&amp;K14</f>
        <v>Sul-Itaipu_2012</v>
      </c>
      <c r="C14" s="135">
        <v>806</v>
      </c>
      <c r="D14" s="142">
        <f>IF(C14="","",VLOOKUP(C14,[6]tab_corredor!$A$2:$D$30,3,0))</f>
        <v>2</v>
      </c>
      <c r="E14" s="142">
        <f>IF(C14="","",VLOOKUP(C14,[6]tab_corredor!$A$2:$D$30,4,0))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VLOOKUP(C15,[6]tab_corredor!$A$2:$B$50,2,0)&amp;"_"&amp;K15</f>
        <v>Sul-Ivaip_2018</v>
      </c>
      <c r="C15" s="135">
        <v>807</v>
      </c>
      <c r="D15" s="142">
        <f>IF(C15="","",VLOOKUP(C15,[6]tab_corredor!$A$2:$D$30,3,0))</f>
        <v>2</v>
      </c>
      <c r="E15" s="142">
        <f>IF(C15="","",VLOOKUP(C15,[6]tab_corredor!$A$2:$D$30,4,0))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VLOOKUP(C16,[6]tab_corredor!$A$2:$B$50,2,0)&amp;"_"&amp;K16</f>
        <v>Sul-Ivaip_2020</v>
      </c>
      <c r="C16" s="135">
        <v>807</v>
      </c>
      <c r="D16" s="142">
        <f>IF(C16="","",VLOOKUP(C16,[6]tab_corredor!$A$2:$D$30,3,0))</f>
        <v>2</v>
      </c>
      <c r="E16" s="142">
        <f>IF(C16="","",VLOOKUP(C16,[6]tab_corredor!$A$2:$D$30,4,0))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VLOOKUP(C17,[6]tab_corredor!$A$2:$B$50,2,0)&amp;"_"&amp;K17</f>
        <v>Sul-Ivaip_2012</v>
      </c>
      <c r="C17" s="135">
        <v>807</v>
      </c>
      <c r="D17" s="142">
        <f>IF(C17="","",VLOOKUP(C17,[6]tab_corredor!$A$2:$D$30,3,0))</f>
        <v>2</v>
      </c>
      <c r="E17" s="142">
        <f>IF(C17="","",VLOOKUP(C17,[6]tab_corredor!$A$2:$D$30,4,0))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VLOOKUP(C18,[6]tab_corredor!$A$2:$B$50,2,0)&amp;"_"&amp;K18</f>
        <v>NE-Imp_2012</v>
      </c>
      <c r="C18" s="135">
        <v>808</v>
      </c>
      <c r="D18" s="142">
        <f>IF(C18="","",VLOOKUP(C18,[6]tab_corredor!$A$2:$D$30,3,0))</f>
        <v>3</v>
      </c>
      <c r="E18" s="142">
        <f>IF(C18="","",VLOOKUP(C18,[6]tab_corredor!$A$2:$D$30,4,0))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VLOOKUP(C19,[6]tab_corredor!$A$2:$B$50,2,0)&amp;"_"&amp;K19</f>
        <v>NE-Imp_2019</v>
      </c>
      <c r="C19" s="135">
        <v>808</v>
      </c>
      <c r="D19" s="142">
        <f>IF(C19="","",VLOOKUP(C19,[6]tab_corredor!$A$2:$D$30,3,0))</f>
        <v>3</v>
      </c>
      <c r="E19" s="142">
        <f>IF(C19="","",VLOOKUP(C19,[6]tab_corredor!$A$2:$D$30,4,0))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VLOOKUP(C20,[6]tab_corredor!$A$2:$B$50,2,0)&amp;"_"&amp;K20</f>
        <v>NE-Imp_2020</v>
      </c>
      <c r="C20" s="135">
        <v>808</v>
      </c>
      <c r="D20" s="142">
        <f>IF(C20="","",VLOOKUP(C20,[6]tab_corredor!$A$2:$D$30,3,0))</f>
        <v>3</v>
      </c>
      <c r="E20" s="142">
        <f>IF(C20="","",VLOOKUP(C20,[6]tab_corredor!$A$2:$D$30,4,0))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VLOOKUP(C21,[6]tab_corredor!$A$2:$B$50,2,0)&amp;"_"&amp;K21</f>
        <v>NE-Imp_2023</v>
      </c>
      <c r="C21" s="135">
        <v>808</v>
      </c>
      <c r="D21" s="142">
        <f>IF(C21="","",VLOOKUP(C21,[6]tab_corredor!$A$2:$D$30,3,0))</f>
        <v>3</v>
      </c>
      <c r="E21" s="142">
        <f>IF(C21="","",VLOOKUP(C21,[6]tab_corredor!$A$2:$D$30,4,0))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VLOOKUP(C22,[6]tab_corredor!$A$2:$B$50,2,0)&amp;"_"&amp;K22</f>
        <v>N-Manaus_2012</v>
      </c>
      <c r="C22" s="135">
        <v>809</v>
      </c>
      <c r="D22" s="142">
        <f>IF(C22="","",VLOOKUP(C22,[6]tab_corredor!$A$2:$D$30,3,0))</f>
        <v>4</v>
      </c>
      <c r="E22" s="142">
        <f>IF(C22="","",VLOOKUP(C22,[6]tab_corredor!$A$2:$D$30,4,0))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VLOOKUP(C23,[6]tab_corredor!$A$2:$B$50,2,0)&amp;"_"&amp;K23</f>
        <v>N-Imp_2016</v>
      </c>
      <c r="C23" s="135">
        <v>810</v>
      </c>
      <c r="D23" s="142">
        <f>IF(C23="","",VLOOKUP(C23,[6]tab_corredor!$A$2:$D$30,3,0))</f>
        <v>4</v>
      </c>
      <c r="E23" s="142">
        <f>IF(C23="","",VLOOKUP(C23,[6]tab_corredor!$A$2:$D$30,4,0))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2660</v>
      </c>
    </row>
    <row r="24" spans="1:13" ht="13.5" customHeight="1">
      <c r="A24" s="141">
        <v>6023</v>
      </c>
      <c r="B24" s="379" t="str">
        <f>VLOOKUP(C24,[6]tab_corredor!$A$2:$B$50,2,0)&amp;"_"&amp;K24</f>
        <v>N-Imp_2019</v>
      </c>
      <c r="C24" s="135">
        <v>810</v>
      </c>
      <c r="D24" s="142">
        <f>IF(C24="","",VLOOKUP(C24,[6]tab_corredor!$A$2:$D$30,3,0))</f>
        <v>4</v>
      </c>
      <c r="E24" s="142">
        <f>IF(C24="","",VLOOKUP(C24,[6]tab_corredor!$A$2:$D$30,4,0))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2660</v>
      </c>
    </row>
    <row r="25" spans="1:13" ht="13.5" customHeight="1">
      <c r="A25" s="141">
        <v>6025</v>
      </c>
      <c r="B25" s="379" t="str">
        <f>VLOOKUP(C25,[6]tab_corredor!$A$2:$B$50,2,0)&amp;"_"&amp;K25</f>
        <v>N-Imp_2023</v>
      </c>
      <c r="C25" s="135">
        <v>810</v>
      </c>
      <c r="D25" s="142">
        <f>IF(C25="","",VLOOKUP(C25,[6]tab_corredor!$A$2:$D$30,3,0))</f>
        <v>4</v>
      </c>
      <c r="E25" s="142">
        <f>IF(C25="","",VLOOKUP(C25,[6]tab_corredor!$A$2:$D$30,4,0))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2660</v>
      </c>
    </row>
    <row r="26" spans="1:13">
      <c r="A26" s="141">
        <v>6026</v>
      </c>
      <c r="B26" s="379" t="str">
        <f>VLOOKUP(C26,[6]tab_corredor!$A$2:$B$50,2,0)&amp;"_"&amp;K26</f>
        <v>Itaipu-Ivaip_2012</v>
      </c>
      <c r="C26" s="135">
        <v>811</v>
      </c>
      <c r="D26" s="142">
        <f>IF(C26="","",VLOOKUP(C26,[6]tab_corredor!$A$2:$D$30,3,0))</f>
        <v>5</v>
      </c>
      <c r="E26" s="142">
        <f>IF(C26="","",VLOOKUP(C26,[6]tab_corredor!$A$2:$D$30,4,0))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VLOOKUP(C27,[6]tab_corredor!$A$2:$B$50,2,0)&amp;"_"&amp;K27</f>
        <v>AC/RO/Mad-SE_2016</v>
      </c>
      <c r="C27" s="135">
        <v>812</v>
      </c>
      <c r="D27" s="142">
        <f>IF(C27="","",VLOOKUP(C27,[6]tab_corredor!$A$2:$D$30,3,0))</f>
        <v>6</v>
      </c>
      <c r="E27" s="142">
        <f>IF(C27="","",VLOOKUP(C27,[6]tab_corredor!$A$2:$D$30,4,0))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VLOOKUP(C28,[6]tab_corredor!$A$2:$B$50,2,0)&amp;"_"&amp;K28</f>
        <v>AC/RO/Mad-SE_2018</v>
      </c>
      <c r="C28" s="135">
        <v>812</v>
      </c>
      <c r="D28" s="142">
        <f>IF(C28="","",VLOOKUP(C28,[6]tab_corredor!$A$2:$D$30,3,0))</f>
        <v>6</v>
      </c>
      <c r="E28" s="142">
        <f>IF(C28="","",VLOOKUP(C28,[6]tab_corredor!$A$2:$D$30,4,0))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VLOOKUP(C29,[6]tab_corredor!$A$2:$B$50,2,0)&amp;"_"&amp;K29</f>
        <v>AC/RO/Mad-SE_2020</v>
      </c>
      <c r="C29" s="135">
        <v>812</v>
      </c>
      <c r="D29" s="142">
        <f>IF(C29="","",VLOOKUP(C29,[6]tab_corredor!$A$2:$D$30,3,0))</f>
        <v>6</v>
      </c>
      <c r="E29" s="142">
        <f>IF(C29="","",VLOOKUP(C29,[6]tab_corredor!$A$2:$D$30,4,0))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VLOOKUP(C30,[6]tab_corredor!$A$2:$B$50,2,0)&amp;"_"&amp;K30</f>
        <v>AC/RO/Mad-SE_2023</v>
      </c>
      <c r="C30" s="135">
        <v>812</v>
      </c>
      <c r="D30" s="142">
        <f>IF(C30="","",VLOOKUP(C30,[6]tab_corredor!$A$2:$D$30,3,0))</f>
        <v>6</v>
      </c>
      <c r="E30" s="142">
        <f>IF(C30="","",VLOOKUP(C30,[6]tab_corredor!$A$2:$D$30,4,0))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VLOOKUP(C31,[6]tab_corredor!$A$2:$B$50,2,0)&amp;"_"&amp;K31</f>
        <v>Tap-N_2024</v>
      </c>
      <c r="C31" s="135">
        <v>814</v>
      </c>
      <c r="D31" s="142">
        <f>IF(C31="","",VLOOKUP(C31,[6]tab_corredor!$A$2:$D$30,3,0))</f>
        <v>9</v>
      </c>
      <c r="E31" s="142">
        <f>IF(C31="","",VLOOKUP(C31,[6]tab_corredor!$A$2:$D$30,4,0))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2661</v>
      </c>
    </row>
    <row r="32" spans="1:13" ht="12.75" customHeight="1">
      <c r="A32" s="141">
        <v>6032</v>
      </c>
      <c r="B32" s="379" t="str">
        <f>VLOOKUP(C32,[6]tab_corredor!$A$2:$B$50,2,0)&amp;"_"&amp;K32</f>
        <v>N-SE/CO_2019</v>
      </c>
      <c r="C32" s="135">
        <v>817</v>
      </c>
      <c r="D32" s="142">
        <f>IF(C32="","",VLOOKUP(C32,[6]tab_corredor!$A$2:$D$30,3,0))</f>
        <v>4</v>
      </c>
      <c r="E32" s="142">
        <f>IF(C32="","",VLOOKUP(C32,[6]tab_corredor!$A$2:$D$30,4,0))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2662</v>
      </c>
    </row>
    <row r="33" spans="1:13" ht="12.75" customHeight="1">
      <c r="A33" s="141">
        <v>6033</v>
      </c>
      <c r="B33" s="379" t="str">
        <f>VLOOKUP(C33,[6]tab_corredor!$A$2:$B$50,2,0)&amp;"_"&amp;K33</f>
        <v>N-SE/CO_2020</v>
      </c>
      <c r="C33" s="135">
        <v>817</v>
      </c>
      <c r="D33" s="142">
        <f>IF(C33="","",VLOOKUP(C33,[6]tab_corredor!$A$2:$D$30,3,0))</f>
        <v>4</v>
      </c>
      <c r="E33" s="142">
        <f>IF(C33="","",VLOOKUP(C33,[6]tab_corredor!$A$2:$D$30,4,0))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2662</v>
      </c>
    </row>
    <row r="34" spans="1:13" ht="12.75" customHeight="1">
      <c r="A34" s="141">
        <v>6034</v>
      </c>
      <c r="B34" s="379" t="str">
        <f>VLOOKUP(C34,[6]tab_corredor!$A$2:$B$50,2,0)&amp;"_"&amp;K34</f>
        <v>TelesP-SE_2020</v>
      </c>
      <c r="C34" s="135">
        <v>816</v>
      </c>
      <c r="D34" s="142">
        <f>IF(C34="","",VLOOKUP(C34,[6]tab_corredor!$A$2:$D$30,3,0))</f>
        <v>10</v>
      </c>
      <c r="E34" s="142">
        <f>IF(C34="","",VLOOKUP(C34,[6]tab_corredor!$A$2:$D$30,4,0))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2662</v>
      </c>
    </row>
    <row r="35" spans="1:13">
      <c r="A35" s="141">
        <v>6033</v>
      </c>
      <c r="B35" s="379" t="str">
        <f>VLOOKUP(C35,[6]tab_corredor!$A$2:$B$50,2,0)&amp;"_"&amp;K35</f>
        <v>N-SE/CO_2023</v>
      </c>
      <c r="C35" s="135">
        <v>817</v>
      </c>
      <c r="D35" s="142">
        <f>IF(C35="","",VLOOKUP(C35,[6]tab_corredor!$A$2:$D$30,3,0))</f>
        <v>4</v>
      </c>
      <c r="E35" s="142">
        <f>IF(C35="","",VLOOKUP(C35,[6]tab_corredor!$A$2:$D$30,4,0))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3.1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9" thickBot="1">
      <c r="A1" s="15" t="s">
        <v>2663</v>
      </c>
      <c r="B1" s="2" t="s">
        <v>2664</v>
      </c>
      <c r="C1" s="2" t="s">
        <v>2634</v>
      </c>
      <c r="D1" s="138" t="s">
        <v>2665</v>
      </c>
      <c r="E1" s="2" t="s">
        <v>162</v>
      </c>
      <c r="F1" s="2" t="s">
        <v>2666</v>
      </c>
      <c r="G1" s="2" t="s">
        <v>2667</v>
      </c>
      <c r="H1" s="2" t="s">
        <v>2668</v>
      </c>
      <c r="I1" s="393" t="s">
        <v>2658</v>
      </c>
      <c r="J1" s="393" t="s">
        <v>2659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2669</v>
      </c>
      <c r="AA1" s="468" t="s">
        <v>2670</v>
      </c>
      <c r="AB1" s="468" t="s">
        <v>2671</v>
      </c>
      <c r="AC1" s="468" t="s">
        <v>2672</v>
      </c>
    </row>
    <row r="2" spans="1:29" ht="13.9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2673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2621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2673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2621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2673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2621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2673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2621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2673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2621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2673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2621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2673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2621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2673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2621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2673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2621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2673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2621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2673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2621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2673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2621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2673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2621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2673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2621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2673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2621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2673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2621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2673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2621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2673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2621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2673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2621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2673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2621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2673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2621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2673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2621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2673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2621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2673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2621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2673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2621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2673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2621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2673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2621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2673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2621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2673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2621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2673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2621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2673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2621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2673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2621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2673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2621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2673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2621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2673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2621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2673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2621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2673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2621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2673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2621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2673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2621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2673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2621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2673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2621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2673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2621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2673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2621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2673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2621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2673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2621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2673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2621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2673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2621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2673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2621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2673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2621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2673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2621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2673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2621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2673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2621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2673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2621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2673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2621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2673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2621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2673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2621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2673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2621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2673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2621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2673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2621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2673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2621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2673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2621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2673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2621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2673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2621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2673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2621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2673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2621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2673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2621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2673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2621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2673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2621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2673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2621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2673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2621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2673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2621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2673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2621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2673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2621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2673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2621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2673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2621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2673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2621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2673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2621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2673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2621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2673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2621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2673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2621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2673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2621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2673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2621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2673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2621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2673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2621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2673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2621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2673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2621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2673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2621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2673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2621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2673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2621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2673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2621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2673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2621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2673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2621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2673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2621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2673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2621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2673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2621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2673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2621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2673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2621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2673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2621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2673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2621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2673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2621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2673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2621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2673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2621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2673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2621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2673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2621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2673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2621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2673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2621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2673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2621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2673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2621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2673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2621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2673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2621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2673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2621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2673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2621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2673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2621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2673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2621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2673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2621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2673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2621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2673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2621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2673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2621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2673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2621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2673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2621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2673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2621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2673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2621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2673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2621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2673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2621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2673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2621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2673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2621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2673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2621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2673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2621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2673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2621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2673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2621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2673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2621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2673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2621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2673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2621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2673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2621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2673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2621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2673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2621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2673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2621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2673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2621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2673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2621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2673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2621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2673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2621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2673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2621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2673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2621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2673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2621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2673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2621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2673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2621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2673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2621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2673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2621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2673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2621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2673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2621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2673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2621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2673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2621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2673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2621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2673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2621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2673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2621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2673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2621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2673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2621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2673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2621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2673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2621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2673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2621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2673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2621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2673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2621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2673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2621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2673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2621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2673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2621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2673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2621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2673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2621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2673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2621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2673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2621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2673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2621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2673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2621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2673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2621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2673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2621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2673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2621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2673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2621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2673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2621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2673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2621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2673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2621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2673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2621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2673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2621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2673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2621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2673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2621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2673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2621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2673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2621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2673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2621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2673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2621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2673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2621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2673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2621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2673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2621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2673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2621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2673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2621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2673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2621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2673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2621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2673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2621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2673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2621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2673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2621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2673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2621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2673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2621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2673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2621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2673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2621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2673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2621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2673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2621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2673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2621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2673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2621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2673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2621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2673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2621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2673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2621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2673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2621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2673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2621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2673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2621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2673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2621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2673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2621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2673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2621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2673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2621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2673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2621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2673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2621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2673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2621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2673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2621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2673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2621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2673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2621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2673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2621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2673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2621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2673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2621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2673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2621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2673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2621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2673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2621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2673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2621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2673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2621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2673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2621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2673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2621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2673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2621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2673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2621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2673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2621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2673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2621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2673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2621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2673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2621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2673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2621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2673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2621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2673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2621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2673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2621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2673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2621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2673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2621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2673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2621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2673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2621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2673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2621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2673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2621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2673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2621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2673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2621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2673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2621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2673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2621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2673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2621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2673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2621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2673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2621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2673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2621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2673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2621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2673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2621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2673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2621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2673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2621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2673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2621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2673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2621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2673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2621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2673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2621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2673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2621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2673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2621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2673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2621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2673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2621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2673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2621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2673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2621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2673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2621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2673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2621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2673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2621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2673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2621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2673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2621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2673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2621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2673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2621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2673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2621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2673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2621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2673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2621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2673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2621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2673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2621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2673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2621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2673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2621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2673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2621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2673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2621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2673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2621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2673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2621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2673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2621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2673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2621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2673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2621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2673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2621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2673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2621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2673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2621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2673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2621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2673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2621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2673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2621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2673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2621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2673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2621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2673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2621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2673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2621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2673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2621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2673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2621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2673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2621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2673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2621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2673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2621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2673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2621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2673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2621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2673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2621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2673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2621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2673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2621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2673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2621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2673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2621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2673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2621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2673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2621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2673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2621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2673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2621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2673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2621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2673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2621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3.15"/>
  <cols>
    <col min="2" max="6" width="13.85546875" customWidth="1"/>
  </cols>
  <sheetData>
    <row r="1" spans="1:19" ht="13.9">
      <c r="A1" s="649" t="s">
        <v>2674</v>
      </c>
      <c r="B1" s="649"/>
      <c r="C1" s="649"/>
      <c r="D1" s="649"/>
      <c r="E1" s="649"/>
      <c r="F1" s="649"/>
      <c r="G1" s="649"/>
      <c r="H1" s="650" t="s">
        <v>2675</v>
      </c>
      <c r="I1" s="651"/>
      <c r="J1" s="651"/>
      <c r="K1" s="651"/>
      <c r="L1" s="651"/>
      <c r="M1" s="651"/>
      <c r="N1" s="651"/>
      <c r="O1" s="651"/>
      <c r="P1" s="651"/>
      <c r="Q1" s="651"/>
      <c r="R1" s="651"/>
      <c r="S1" s="652"/>
    </row>
    <row r="2" spans="1:19" ht="13.9">
      <c r="A2" s="433" t="s">
        <v>2676</v>
      </c>
      <c r="B2" s="434" t="s">
        <v>1</v>
      </c>
      <c r="C2" s="434" t="s">
        <v>2677</v>
      </c>
      <c r="D2" s="434" t="s">
        <v>2678</v>
      </c>
      <c r="E2" s="434" t="s">
        <v>2679</v>
      </c>
      <c r="F2" s="435" t="s">
        <v>2680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 ht="13.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 ht="13.9">
      <c r="A4" s="437">
        <v>2</v>
      </c>
      <c r="B4" s="438" t="s">
        <v>2681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 ht="13.9">
      <c r="A5" s="437">
        <v>3</v>
      </c>
      <c r="B5" s="438" t="s">
        <v>2682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 ht="13.9">
      <c r="A6" s="437">
        <v>4</v>
      </c>
      <c r="B6" s="438" t="s">
        <v>2683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 ht="13.9">
      <c r="A7" s="437">
        <v>5</v>
      </c>
      <c r="B7" s="438" t="s">
        <v>2684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 ht="13.9">
      <c r="A8" s="437">
        <v>6</v>
      </c>
      <c r="B8" s="438" t="s">
        <v>2685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 ht="13.9">
      <c r="A9" s="437">
        <v>7</v>
      </c>
      <c r="B9" s="438" t="s">
        <v>2686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 ht="13.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 ht="13.9">
      <c r="B12" s="447" t="s">
        <v>2687</v>
      </c>
      <c r="C12" s="269" t="s">
        <v>2625</v>
      </c>
      <c r="D12" s="269" t="s">
        <v>2626</v>
      </c>
      <c r="E12" s="269" t="s">
        <v>2627</v>
      </c>
      <c r="F12" s="269" t="s">
        <v>2628</v>
      </c>
    </row>
    <row r="13" spans="1:19" ht="13.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t="13.9" hidden="1">
      <c r="B14" s="438" t="s">
        <v>2681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t="13.9" hidden="1">
      <c r="B15" s="438" t="s">
        <v>2682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t="13.9" hidden="1">
      <c r="B16" s="438" t="s">
        <v>2683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t="13.9" hidden="1">
      <c r="B17" s="438" t="s">
        <v>2684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 ht="13.9">
      <c r="B18" s="438" t="s">
        <v>2685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 ht="13.9">
      <c r="B19" s="438" t="s">
        <v>2686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 ht="13.9">
      <c r="A22" s="449" t="s">
        <v>2688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 ht="13.9">
      <c r="A23" s="450" t="s">
        <v>2677</v>
      </c>
      <c r="B23" s="450" t="s">
        <v>2689</v>
      </c>
      <c r="C23" s="450" t="s">
        <v>2690</v>
      </c>
      <c r="D23" s="450" t="s">
        <v>2691</v>
      </c>
      <c r="E23" s="450" t="s">
        <v>2692</v>
      </c>
      <c r="F23" s="450" t="s">
        <v>2693</v>
      </c>
      <c r="G23" s="450" t="s">
        <v>2694</v>
      </c>
      <c r="H23" s="450" t="s">
        <v>2695</v>
      </c>
      <c r="I23" s="450" t="s">
        <v>2696</v>
      </c>
      <c r="J23" s="450" t="s">
        <v>2697</v>
      </c>
      <c r="K23" s="450" t="s">
        <v>2698</v>
      </c>
      <c r="L23" s="450" t="s">
        <v>2699</v>
      </c>
      <c r="M23" s="450" t="s">
        <v>2700</v>
      </c>
      <c r="N23" s="467" t="s">
        <v>2701</v>
      </c>
    </row>
    <row r="24" spans="1:14" ht="13.9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 ht="13.9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 ht="13.9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 ht="13.9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 ht="13.9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 ht="13.9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 ht="13.9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2702</v>
      </c>
      <c r="M30" s="452">
        <v>0.89</v>
      </c>
    </row>
    <row r="31" spans="1:14" ht="13.9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 ht="13.9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 ht="13.9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 ht="13.9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 ht="13.9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 ht="13.9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 ht="13.9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 ht="13.9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 ht="13.9">
      <c r="A39" s="449" t="s">
        <v>2703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 ht="13.9">
      <c r="A40" s="450" t="s">
        <v>2677</v>
      </c>
      <c r="B40" s="450" t="s">
        <v>2689</v>
      </c>
      <c r="C40" s="450" t="s">
        <v>2690</v>
      </c>
      <c r="D40" s="450" t="s">
        <v>2691</v>
      </c>
      <c r="E40" s="450" t="s">
        <v>2692</v>
      </c>
      <c r="F40" s="450" t="s">
        <v>2693</v>
      </c>
      <c r="G40" s="450" t="s">
        <v>2694</v>
      </c>
      <c r="H40" s="450" t="s">
        <v>2695</v>
      </c>
      <c r="I40" s="450" t="s">
        <v>2696</v>
      </c>
      <c r="J40" s="450" t="s">
        <v>2697</v>
      </c>
      <c r="K40" s="450" t="s">
        <v>2698</v>
      </c>
      <c r="L40" s="450" t="s">
        <v>2699</v>
      </c>
      <c r="M40" s="450" t="s">
        <v>2700</v>
      </c>
    </row>
    <row r="41" spans="1:16" ht="13.9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 ht="13.9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2704</v>
      </c>
      <c r="D44" s="350"/>
      <c r="E44" s="350"/>
      <c r="F44" s="350"/>
      <c r="H44" s="350" t="s">
        <v>2705</v>
      </c>
      <c r="I44" s="350"/>
      <c r="J44" s="350"/>
      <c r="K44" s="350"/>
    </row>
    <row r="45" spans="1:16" ht="13.9">
      <c r="B45" s="447" t="s">
        <v>2706</v>
      </c>
      <c r="C45" s="269" t="s">
        <v>2625</v>
      </c>
      <c r="D45" s="269" t="s">
        <v>2626</v>
      </c>
      <c r="E45" s="269" t="s">
        <v>2627</v>
      </c>
      <c r="F45" s="269" t="s">
        <v>2628</v>
      </c>
      <c r="H45" s="269" t="s">
        <v>2625</v>
      </c>
      <c r="I45" s="269" t="s">
        <v>2626</v>
      </c>
      <c r="J45" s="269" t="s">
        <v>2627</v>
      </c>
      <c r="K45" s="269" t="s">
        <v>2628</v>
      </c>
    </row>
    <row r="46" spans="1:16" ht="13.9">
      <c r="B46" s="438" t="s">
        <v>2685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 ht="13.9">
      <c r="B47" s="438" t="s">
        <v>2686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9" thickBot="1">
      <c r="A50" s="458" t="s">
        <v>138</v>
      </c>
      <c r="B50" s="458" t="s">
        <v>2573</v>
      </c>
      <c r="C50" s="459" t="s">
        <v>2630</v>
      </c>
      <c r="D50" s="459" t="s">
        <v>2631</v>
      </c>
      <c r="E50" s="459" t="s">
        <v>2632</v>
      </c>
      <c r="F50" s="459" t="s">
        <v>2633</v>
      </c>
    </row>
    <row r="51" spans="1:12" ht="13.9" thickTop="1">
      <c r="A51" s="127">
        <v>1</v>
      </c>
      <c r="B51" s="124" t="s">
        <v>2574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2575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2576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2577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2578</v>
      </c>
      <c r="C61" s="153">
        <v>1</v>
      </c>
      <c r="D61" s="153">
        <v>1</v>
      </c>
      <c r="E61" s="153">
        <v>1</v>
      </c>
      <c r="F61" s="153">
        <v>1</v>
      </c>
    </row>
    <row r="63" spans="1:12" ht="13.9">
      <c r="I63" s="460"/>
      <c r="J63" s="461" t="s">
        <v>2707</v>
      </c>
      <c r="K63" s="460" t="s">
        <v>2708</v>
      </c>
      <c r="L63" s="460"/>
    </row>
    <row r="64" spans="1:12" ht="14.45">
      <c r="A64" s="127">
        <v>1</v>
      </c>
      <c r="B64" s="124" t="s">
        <v>2574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2709</v>
      </c>
      <c r="K64" s="124" t="s">
        <v>2574</v>
      </c>
      <c r="L64" s="127">
        <v>1</v>
      </c>
    </row>
    <row r="65" spans="1:12" ht="14.4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2710</v>
      </c>
      <c r="K65" s="124" t="s">
        <v>66</v>
      </c>
      <c r="L65" s="127">
        <v>2</v>
      </c>
    </row>
    <row r="66" spans="1:12" ht="14.4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2711</v>
      </c>
      <c r="K66" s="124" t="s">
        <v>67</v>
      </c>
      <c r="L66" s="127">
        <v>3</v>
      </c>
    </row>
    <row r="67" spans="1:12" ht="14.4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2712</v>
      </c>
      <c r="K67" s="124" t="s">
        <v>68</v>
      </c>
      <c r="L67" s="127">
        <v>4</v>
      </c>
    </row>
    <row r="68" spans="1:12" ht="14.45">
      <c r="A68" s="127">
        <v>5</v>
      </c>
      <c r="B68" s="124" t="s">
        <v>2575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2575</v>
      </c>
      <c r="L68" s="127">
        <v>5</v>
      </c>
    </row>
    <row r="69" spans="1:12" ht="14.45">
      <c r="A69" s="127">
        <v>6</v>
      </c>
      <c r="B69" s="124" t="s">
        <v>2576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2713</v>
      </c>
      <c r="K69" s="124" t="s">
        <v>2576</v>
      </c>
      <c r="L69" s="127">
        <v>6</v>
      </c>
    </row>
    <row r="70" spans="1:12" ht="14.4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2714</v>
      </c>
      <c r="K70" s="124" t="s">
        <v>69</v>
      </c>
      <c r="L70" s="127">
        <v>7</v>
      </c>
    </row>
    <row r="71" spans="1:12" ht="14.4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2715</v>
      </c>
      <c r="K71" s="449"/>
      <c r="L71" s="453"/>
    </row>
    <row r="72" spans="1:12" ht="14.4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2716</v>
      </c>
      <c r="K72" s="128" t="s">
        <v>2154</v>
      </c>
      <c r="L72" s="127">
        <v>10</v>
      </c>
    </row>
    <row r="73" spans="1:12" ht="14.45">
      <c r="A73" s="127">
        <v>100</v>
      </c>
      <c r="B73" s="124" t="s">
        <v>2577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2717</v>
      </c>
      <c r="K73" s="449"/>
      <c r="L73" s="453"/>
    </row>
    <row r="74" spans="1:12" ht="14.45">
      <c r="A74" s="127">
        <v>200</v>
      </c>
      <c r="B74" s="124" t="s">
        <v>2578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2718</v>
      </c>
      <c r="K74" s="124" t="s">
        <v>2264</v>
      </c>
      <c r="L74" s="127">
        <v>9</v>
      </c>
    </row>
    <row r="75" spans="1:12" ht="14.45">
      <c r="I75" s="453">
        <v>12</v>
      </c>
      <c r="J75" s="462" t="s">
        <v>2719</v>
      </c>
      <c r="K75" s="124" t="s">
        <v>2577</v>
      </c>
      <c r="L75" s="127">
        <v>100</v>
      </c>
    </row>
    <row r="76" spans="1:12" ht="14.45">
      <c r="I76" s="453">
        <v>13</v>
      </c>
      <c r="J76" s="462" t="s">
        <v>2720</v>
      </c>
      <c r="K76" s="124" t="s">
        <v>2578</v>
      </c>
      <c r="L76" s="127">
        <v>200</v>
      </c>
    </row>
    <row r="77" spans="1:12" ht="14.45">
      <c r="I77" s="453">
        <v>14</v>
      </c>
      <c r="J77" s="462" t="s">
        <v>2721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3.1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1000000000000000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1000000000000000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1000000000000000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1000000000000000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1200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1000000000000000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1200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1000000000000000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1200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1000000000000000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1200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1000000000000000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1200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1000000000000000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1200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1000000000000000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1200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1000000000000000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1200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1000000000000000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1200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1000000000000000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1200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1000000000000000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3000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1000000000000000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3000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1000000000000000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1200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1000000000000000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1200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1000000000000000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1200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1000000000000000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1200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1000000000000000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1200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1000000000000000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1200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1000000000000000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1200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1000000000000000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1200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1000000000000000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3000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1000000000000000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2000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1000000000000000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1600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1000000000000000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1600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1000000000000000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1200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1000000000000000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1200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1000000000000000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1200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1000000000000000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1200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1000000000000000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1200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1000000000000000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1200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1000000000000000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1200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1000000000000000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D2" activePane="bottomRight" state="frozen"/>
      <selection pane="bottomRight" activeCell="H270" sqref="H270"/>
      <selection pane="bottomLeft" activeCell="A2" sqref="A2"/>
      <selection pane="topRight" activeCell="D1" sqref="D1"/>
    </sheetView>
  </sheetViews>
  <sheetFormatPr defaultColWidth="9.140625" defaultRowHeight="13.1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4" max="14" width="8.85546875"/>
    <col min="15" max="15" width="20.7109375" customWidth="1"/>
  </cols>
  <sheetData>
    <row r="1" spans="1:15" ht="13.9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9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f>J4+1</f>
        <v>2018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NAC_fluid_menorCAPEX_2_1_2018</v>
      </c>
      <c r="H41" s="23">
        <v>1</v>
      </c>
      <c r="I41" s="345" t="str">
        <f>VLOOKUP(H41,tab_tipo_expansao!$A$2:$B$4,2,0)</f>
        <v>opcional</v>
      </c>
      <c r="J41" s="59">
        <v>2018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151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ref="G130:G19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519">
        <v>501</v>
      </c>
      <c r="C147" s="96" t="str">
        <f>VLOOKUP(B147,tab_Tecnologias_TE_RE!$A$1:$B$101,2,0)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 ht="15" customHeight="1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ref="K159" si="4">J159+1</f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ref="K162:K163" si="5">J162+1</f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5"/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ref="K165" si="6">J165+1</f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ref="K167" si="7">J167+1</f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ref="K168" si="8">J168+1</f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159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ref="K169" si="9">J169+1</f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ref="K170" si="10">J170+1</f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ref="K171" si="11">J171+1</f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f t="shared" si="3"/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f t="shared" si="3"/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f t="shared" ref="K178" si="12">J178+1</f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f t="shared" si="3"/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86">
        <v>308</v>
      </c>
      <c r="C181" s="96" t="str">
        <f>VLOOKUP(B181,tab_Tecnologias_TE_RE!$A$1:$B$101,2,0)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ref="G194:G257" si="13">C194&amp;"_"&amp;E194&amp;"_"&amp;H194&amp;"_"&amp;J194</f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si="13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13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13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13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13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13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13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13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13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13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13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13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13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13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13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13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13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13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13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13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13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13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13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13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13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13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si="13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13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13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13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13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13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13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13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13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13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5179</v>
      </c>
      <c r="B231" s="86">
        <v>320</v>
      </c>
      <c r="C231" s="96" t="str">
        <f>VLOOKUP(B231,tab_Tecnologias_TE_RE!$A$1:$B$101,2,0)</f>
        <v>GAS_CC_flexível_30_40</v>
      </c>
      <c r="D231" s="152" t="s">
        <v>148</v>
      </c>
      <c r="E231" s="17">
        <v>1</v>
      </c>
      <c r="F231" s="125">
        <v>535</v>
      </c>
      <c r="G231" s="97" t="str">
        <f t="shared" si="13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 s="95">
        <v>5180</v>
      </c>
      <c r="B232" s="86">
        <v>320</v>
      </c>
      <c r="C232" s="96" t="str">
        <f>VLOOKUP(B232,tab_Tecnologias_TE_RE!$A$1:$B$101,2,0)</f>
        <v>GAS_CC_flexível_30_40</v>
      </c>
      <c r="D232" s="152" t="s">
        <v>148</v>
      </c>
      <c r="E232" s="17">
        <v>1</v>
      </c>
      <c r="F232" s="125">
        <v>535</v>
      </c>
      <c r="G232" s="97" t="str">
        <f t="shared" si="13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5181</v>
      </c>
      <c r="B233" s="86">
        <v>320</v>
      </c>
      <c r="C233" s="96" t="str">
        <f>VLOOKUP(B233,tab_Tecnologias_TE_RE!$A$1:$B$101,2,0)</f>
        <v>GAS_CC_flexível_30_40</v>
      </c>
      <c r="D233" s="152" t="s">
        <v>148</v>
      </c>
      <c r="E233" s="17">
        <v>1</v>
      </c>
      <c r="F233" s="125">
        <v>535</v>
      </c>
      <c r="G233" s="97" t="str">
        <f t="shared" si="13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5182</v>
      </c>
      <c r="B234" s="86">
        <v>320</v>
      </c>
      <c r="C234" s="96" t="str">
        <f>VLOOKUP(B234,tab_Tecnologias_TE_RE!$A$1:$B$101,2,0)</f>
        <v>GAS_CC_flexível_30_40</v>
      </c>
      <c r="D234" s="152" t="s">
        <v>148</v>
      </c>
      <c r="E234" s="17">
        <v>1</v>
      </c>
      <c r="F234" s="125">
        <v>535</v>
      </c>
      <c r="G234" s="97" t="str">
        <f t="shared" si="13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5183</v>
      </c>
      <c r="B235" s="86">
        <v>320</v>
      </c>
      <c r="C235" s="96" t="str">
        <f>VLOOKUP(B235,tab_Tecnologias_TE_RE!$A$1:$B$101,2,0)</f>
        <v>GAS_CC_flexível_30_40</v>
      </c>
      <c r="D235" s="152" t="s">
        <v>148</v>
      </c>
      <c r="E235" s="17">
        <v>1</v>
      </c>
      <c r="F235" s="125">
        <v>535</v>
      </c>
      <c r="G235" s="97" t="str">
        <f t="shared" si="13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5184</v>
      </c>
      <c r="B236" s="86">
        <v>320</v>
      </c>
      <c r="C236" s="96" t="str">
        <f>VLOOKUP(B236,tab_Tecnologias_TE_RE!$A$1:$B$101,2,0)</f>
        <v>GAS_CC_flexível_30_40</v>
      </c>
      <c r="D236" s="152" t="s">
        <v>148</v>
      </c>
      <c r="E236" s="17">
        <v>1</v>
      </c>
      <c r="F236" s="125">
        <v>535</v>
      </c>
      <c r="G236" s="97" t="str">
        <f t="shared" si="13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5185</v>
      </c>
      <c r="B237" s="86">
        <v>320</v>
      </c>
      <c r="C237" s="96" t="str">
        <f>VLOOKUP(B237,tab_Tecnologias_TE_RE!$A$1:$B$101,2,0)</f>
        <v>GAS_CC_flexível_30_40</v>
      </c>
      <c r="D237" s="152" t="s">
        <v>148</v>
      </c>
      <c r="E237" s="17">
        <v>1</v>
      </c>
      <c r="F237" s="125">
        <v>535</v>
      </c>
      <c r="G237" s="97" t="str">
        <f t="shared" si="13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5186</v>
      </c>
      <c r="B238" s="86">
        <v>320</v>
      </c>
      <c r="C238" s="96" t="str">
        <f>VLOOKUP(B238,tab_Tecnologias_TE_RE!$A$1:$B$101,2,0)</f>
        <v>GAS_CC_flexível_30_40</v>
      </c>
      <c r="D238" s="152" t="s">
        <v>148</v>
      </c>
      <c r="E238" s="17">
        <v>1</v>
      </c>
      <c r="F238" s="125">
        <v>535</v>
      </c>
      <c r="G238" s="97" t="str">
        <f t="shared" si="13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5187</v>
      </c>
      <c r="B239" s="86">
        <v>320</v>
      </c>
      <c r="C239" s="96" t="str">
        <f>VLOOKUP(B239,tab_Tecnologias_TE_RE!$A$1:$B$101,2,0)</f>
        <v>GAS_CC_flexível_30_40</v>
      </c>
      <c r="D239" s="152" t="s">
        <v>148</v>
      </c>
      <c r="E239" s="17">
        <v>1</v>
      </c>
      <c r="F239" s="125">
        <v>535</v>
      </c>
      <c r="G239" s="97" t="str">
        <f t="shared" si="13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5188</v>
      </c>
      <c r="B240" s="86">
        <v>320</v>
      </c>
      <c r="C240" s="96" t="str">
        <f>VLOOKUP(B240,tab_Tecnologias_TE_RE!$A$1:$B$101,2,0)</f>
        <v>GAS_CC_flexível_30_40</v>
      </c>
      <c r="D240" s="152" t="s">
        <v>148</v>
      </c>
      <c r="E240" s="17">
        <v>1</v>
      </c>
      <c r="F240" s="125">
        <v>535</v>
      </c>
      <c r="G240" s="97" t="str">
        <f t="shared" si="13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5189</v>
      </c>
      <c r="B241" s="86">
        <v>506</v>
      </c>
      <c r="C241" s="96" t="str">
        <f>VLOOKUP(B241,tab_Tecnologias_TE_RE!$A$1:$B$101,2,0)</f>
        <v>GAS_CC_NAC_Não_Conv</v>
      </c>
      <c r="D241" s="152" t="s">
        <v>148</v>
      </c>
      <c r="E241" s="17">
        <v>1</v>
      </c>
      <c r="F241" s="125">
        <v>3400</v>
      </c>
      <c r="G241" s="97" t="str">
        <f t="shared" si="13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 s="95">
        <v>5190</v>
      </c>
      <c r="B242" s="86">
        <v>506</v>
      </c>
      <c r="C242" s="96" t="str">
        <f>VLOOKUP(B242,tab_Tecnologias_TE_RE!$A$1:$B$101,2,0)</f>
        <v>GAS_CC_NAC_Não_Conv</v>
      </c>
      <c r="D242" s="152" t="s">
        <v>148</v>
      </c>
      <c r="E242" s="17">
        <v>1</v>
      </c>
      <c r="F242" s="125">
        <v>3400</v>
      </c>
      <c r="G242" s="97" t="str">
        <f t="shared" si="13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5191</v>
      </c>
      <c r="B243" s="86">
        <v>506</v>
      </c>
      <c r="C243" s="96" t="str">
        <f>VLOOKUP(B243,tab_Tecnologias_TE_RE!$A$1:$B$101,2,0)</f>
        <v>GAS_CC_NAC_Não_Conv</v>
      </c>
      <c r="D243" s="152" t="s">
        <v>148</v>
      </c>
      <c r="E243" s="17">
        <v>1</v>
      </c>
      <c r="F243" s="125">
        <v>3400</v>
      </c>
      <c r="G243" s="97" t="str">
        <f t="shared" si="13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5192</v>
      </c>
      <c r="B244" s="86">
        <v>506</v>
      </c>
      <c r="C244" s="96" t="str">
        <f>VLOOKUP(B244,tab_Tecnologias_TE_RE!$A$1:$B$101,2,0)</f>
        <v>GAS_CC_NAC_Não_Conv</v>
      </c>
      <c r="D244" s="152" t="s">
        <v>148</v>
      </c>
      <c r="E244" s="17">
        <v>1</v>
      </c>
      <c r="F244" s="125">
        <v>3400</v>
      </c>
      <c r="G244" s="97" t="str">
        <f t="shared" si="13"/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5193</v>
      </c>
      <c r="B245" s="86">
        <v>506</v>
      </c>
      <c r="C245" s="96" t="str">
        <f>VLOOKUP(B245,tab_Tecnologias_TE_RE!$A$1:$B$101,2,0)</f>
        <v>GAS_CC_NAC_Não_Conv</v>
      </c>
      <c r="D245" s="152" t="s">
        <v>148</v>
      </c>
      <c r="E245" s="17">
        <v>1</v>
      </c>
      <c r="F245" s="125">
        <v>3400</v>
      </c>
      <c r="G245" s="97" t="str">
        <f t="shared" si="13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5194</v>
      </c>
      <c r="B246" s="86">
        <v>506</v>
      </c>
      <c r="C246" s="96" t="str">
        <f>VLOOKUP(B246,tab_Tecnologias_TE_RE!$A$1:$B$101,2,0)</f>
        <v>GAS_CC_NAC_Não_Conv</v>
      </c>
      <c r="D246" s="152" t="s">
        <v>148</v>
      </c>
      <c r="E246" s="17">
        <v>1</v>
      </c>
      <c r="F246" s="125">
        <v>3400</v>
      </c>
      <c r="G246" s="97" t="str">
        <f t="shared" si="13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5195</v>
      </c>
      <c r="B247" s="86">
        <v>506</v>
      </c>
      <c r="C247" s="96" t="str">
        <f>VLOOKUP(B247,tab_Tecnologias_TE_RE!$A$1:$B$101,2,0)</f>
        <v>GAS_CC_NAC_Não_Conv</v>
      </c>
      <c r="D247" s="152" t="s">
        <v>148</v>
      </c>
      <c r="E247" s="17">
        <v>1</v>
      </c>
      <c r="F247" s="125">
        <v>3400</v>
      </c>
      <c r="G247" s="97" t="str">
        <f t="shared" si="13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5196</v>
      </c>
      <c r="B248" s="86">
        <v>506</v>
      </c>
      <c r="C248" s="96" t="str">
        <f>VLOOKUP(B248,tab_Tecnologias_TE_RE!$A$1:$B$101,2,0)</f>
        <v>GAS_CC_NAC_Não_Conv</v>
      </c>
      <c r="D248" s="152" t="s">
        <v>148</v>
      </c>
      <c r="E248" s="17">
        <v>1</v>
      </c>
      <c r="F248" s="125">
        <v>3400</v>
      </c>
      <c r="G248" s="97" t="str">
        <f t="shared" si="13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5197</v>
      </c>
      <c r="B249" s="86">
        <v>506</v>
      </c>
      <c r="C249" s="96" t="str">
        <f>VLOOKUP(B249,tab_Tecnologias_TE_RE!$A$1:$B$101,2,0)</f>
        <v>GAS_CC_NAC_Não_Conv</v>
      </c>
      <c r="D249" s="152" t="s">
        <v>148</v>
      </c>
      <c r="E249" s="17">
        <v>1</v>
      </c>
      <c r="F249" s="125">
        <v>3400</v>
      </c>
      <c r="G249" s="97" t="str">
        <f t="shared" si="13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5198</v>
      </c>
      <c r="B250" s="86">
        <v>506</v>
      </c>
      <c r="C250" s="96" t="str">
        <f>VLOOKUP(B250,tab_Tecnologias_TE_RE!$A$1:$B$101,2,0)</f>
        <v>GAS_CC_NAC_Não_Conv</v>
      </c>
      <c r="D250" s="152" t="s">
        <v>148</v>
      </c>
      <c r="E250" s="17">
        <v>1</v>
      </c>
      <c r="F250" s="125">
        <v>3400</v>
      </c>
      <c r="G250" s="97" t="str">
        <f t="shared" si="13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5199</v>
      </c>
      <c r="B251" s="86">
        <v>506</v>
      </c>
      <c r="C251" s="96" t="str">
        <f>VLOOKUP(B251,tab_Tecnologias_TE_RE!$A$1:$B$101,2,0)</f>
        <v>GAS_CC_NAC_Não_Conv</v>
      </c>
      <c r="D251" s="152" t="s">
        <v>148</v>
      </c>
      <c r="E251" s="17">
        <v>1</v>
      </c>
      <c r="F251" s="125">
        <v>3400</v>
      </c>
      <c r="G251" s="97" t="str">
        <f t="shared" si="13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5200</v>
      </c>
      <c r="B252" s="86">
        <v>506</v>
      </c>
      <c r="C252" s="96" t="str">
        <f>VLOOKUP(B252,tab_Tecnologias_TE_RE!$A$1:$B$101,2,0)</f>
        <v>GAS_CC_NAC_Não_Conv</v>
      </c>
      <c r="D252" s="152" t="s">
        <v>148</v>
      </c>
      <c r="E252" s="17">
        <v>1</v>
      </c>
      <c r="F252" s="125">
        <v>1550</v>
      </c>
      <c r="G252" s="97" t="str">
        <f t="shared" si="13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 s="95">
        <v>5201</v>
      </c>
      <c r="B253" s="86">
        <v>506</v>
      </c>
      <c r="C253" s="96" t="str">
        <f>VLOOKUP(B253,tab_Tecnologias_TE_RE!$A$1:$B$101,2,0)</f>
        <v>GAS_CC_NAC_Não_Conv</v>
      </c>
      <c r="D253" s="152" t="s">
        <v>148</v>
      </c>
      <c r="E253" s="17">
        <v>1</v>
      </c>
      <c r="F253" s="125">
        <v>1550</v>
      </c>
      <c r="G253" s="97" t="str">
        <f t="shared" si="13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5202</v>
      </c>
      <c r="B254" s="86">
        <v>506</v>
      </c>
      <c r="C254" s="96" t="str">
        <f>VLOOKUP(B254,tab_Tecnologias_TE_RE!$A$1:$B$101,2,0)</f>
        <v>GAS_CC_NAC_Não_Conv</v>
      </c>
      <c r="D254" s="152" t="s">
        <v>148</v>
      </c>
      <c r="E254" s="17">
        <v>1</v>
      </c>
      <c r="F254" s="125">
        <v>1550</v>
      </c>
      <c r="G254" s="97" t="str">
        <f t="shared" si="13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5203</v>
      </c>
      <c r="B255" s="86">
        <v>506</v>
      </c>
      <c r="C255" s="96" t="str">
        <f>VLOOKUP(B255,tab_Tecnologias_TE_RE!$A$1:$B$101,2,0)</f>
        <v>GAS_CC_NAC_Não_Conv</v>
      </c>
      <c r="D255" s="152" t="s">
        <v>148</v>
      </c>
      <c r="E255" s="17">
        <v>1</v>
      </c>
      <c r="F255" s="125">
        <v>1550</v>
      </c>
      <c r="G255" s="97" t="str">
        <f t="shared" si="13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5204</v>
      </c>
      <c r="B256" s="86">
        <v>506</v>
      </c>
      <c r="C256" s="96" t="str">
        <f>VLOOKUP(B256,tab_Tecnologias_TE_RE!$A$1:$B$101,2,0)</f>
        <v>GAS_CC_NAC_Não_Conv</v>
      </c>
      <c r="D256" s="152" t="s">
        <v>148</v>
      </c>
      <c r="E256" s="17">
        <v>1</v>
      </c>
      <c r="F256" s="125">
        <v>1550</v>
      </c>
      <c r="G256" s="97" t="str">
        <f t="shared" si="13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5205</v>
      </c>
      <c r="B257" s="86">
        <v>506</v>
      </c>
      <c r="C257" s="96" t="str">
        <f>VLOOKUP(B257,tab_Tecnologias_TE_RE!$A$1:$B$101,2,0)</f>
        <v>GAS_CC_NAC_Não_Conv</v>
      </c>
      <c r="D257" s="152" t="s">
        <v>148</v>
      </c>
      <c r="E257" s="17">
        <v>1</v>
      </c>
      <c r="F257" s="125">
        <v>1550</v>
      </c>
      <c r="G257" s="97" t="str">
        <f t="shared" si="13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5206</v>
      </c>
      <c r="B258" s="86">
        <v>506</v>
      </c>
      <c r="C258" s="96" t="str">
        <f>VLOOKUP(B258,tab_Tecnologias_TE_RE!$A$1:$B$101,2,0)</f>
        <v>GAS_CC_NAC_Não_Conv</v>
      </c>
      <c r="D258" s="152" t="s">
        <v>148</v>
      </c>
      <c r="E258" s="17">
        <v>1</v>
      </c>
      <c r="F258" s="125">
        <v>1550</v>
      </c>
      <c r="G258" s="97" t="str">
        <f t="shared" ref="G258:G269" si="14">C258&amp;"_"&amp;E258&amp;"_"&amp;H258&amp;"_"&amp;J258</f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5207</v>
      </c>
      <c r="B259" s="86">
        <v>506</v>
      </c>
      <c r="C259" s="96" t="str">
        <f>VLOOKUP(B259,tab_Tecnologias_TE_RE!$A$1:$B$101,2,0)</f>
        <v>GAS_CC_NAC_Não_Conv</v>
      </c>
      <c r="D259" s="152" t="s">
        <v>148</v>
      </c>
      <c r="E259" s="17">
        <v>1</v>
      </c>
      <c r="F259" s="125">
        <v>1550</v>
      </c>
      <c r="G259" s="97" t="str">
        <f t="shared" si="14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5208</v>
      </c>
      <c r="B260" s="86">
        <v>506</v>
      </c>
      <c r="C260" s="96" t="str">
        <f>VLOOKUP(B260,tab_Tecnologias_TE_RE!$A$1:$B$101,2,0)</f>
        <v>GAS_CC_NAC_Não_Conv</v>
      </c>
      <c r="D260" s="152" t="s">
        <v>148</v>
      </c>
      <c r="E260" s="17">
        <v>1</v>
      </c>
      <c r="F260" s="125">
        <v>1550</v>
      </c>
      <c r="G260" s="97" t="str">
        <f t="shared" si="14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5209</v>
      </c>
      <c r="B261" s="86">
        <v>506</v>
      </c>
      <c r="C261" s="96" t="str">
        <f>VLOOKUP(B261,tab_Tecnologias_TE_RE!$A$1:$B$101,2,0)</f>
        <v>GAS_CC_NAC_Não_Conv</v>
      </c>
      <c r="D261" s="152" t="s">
        <v>148</v>
      </c>
      <c r="E261" s="17">
        <v>1</v>
      </c>
      <c r="F261" s="125">
        <v>1550</v>
      </c>
      <c r="G261" s="97" t="str">
        <f t="shared" si="14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5210</v>
      </c>
      <c r="B262" s="86">
        <v>508</v>
      </c>
      <c r="C262" s="96" t="str">
        <f>VLOOKUP(B262,tab_Tecnologias_TE_RE!$A$1:$B$101,2,0)</f>
        <v>UHE_repotenciação</v>
      </c>
      <c r="D262" s="152" t="s">
        <v>148</v>
      </c>
      <c r="E262" s="17">
        <v>1</v>
      </c>
      <c r="F262" s="125">
        <f>39723*0.2</f>
        <v>7944.6</v>
      </c>
      <c r="G262" s="97" t="str">
        <f t="shared" si="14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 s="95">
        <v>5211</v>
      </c>
      <c r="B263" s="86">
        <v>508</v>
      </c>
      <c r="C263" s="96" t="str">
        <f>VLOOKUP(B263,tab_Tecnologias_TE_RE!$A$1:$B$101,2,0)</f>
        <v>UHE_repotenciação</v>
      </c>
      <c r="D263" s="152" t="s">
        <v>151</v>
      </c>
      <c r="E263" s="17">
        <v>2</v>
      </c>
      <c r="F263" s="125">
        <f>17140*0.2</f>
        <v>3428</v>
      </c>
      <c r="G263" s="97" t="str">
        <f t="shared" si="14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 s="95">
        <v>5212</v>
      </c>
      <c r="B264" s="86">
        <v>508</v>
      </c>
      <c r="C264" s="96" t="str">
        <f>VLOOKUP(B264,tab_Tecnologias_TE_RE!$A$1:$B$101,2,0)</f>
        <v>UHE_repotenciação</v>
      </c>
      <c r="D264" s="152" t="s">
        <v>154</v>
      </c>
      <c r="E264" s="17">
        <v>3</v>
      </c>
      <c r="F264" s="125">
        <f>11082*0.2</f>
        <v>2216.4</v>
      </c>
      <c r="G264" s="97" t="str">
        <f t="shared" si="14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 s="95">
        <v>5213</v>
      </c>
      <c r="B265" s="86">
        <v>508</v>
      </c>
      <c r="C265" s="96" t="str">
        <f>VLOOKUP(B265,tab_Tecnologias_TE_RE!$A$1:$B$101,2,0)</f>
        <v>UHE_repotenciação</v>
      </c>
      <c r="D265" s="152" t="s">
        <v>155</v>
      </c>
      <c r="E265" s="17">
        <v>4</v>
      </c>
      <c r="F265" s="125">
        <f>21706*0.2</f>
        <v>4341.2</v>
      </c>
      <c r="G265" s="97" t="str">
        <f t="shared" si="14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 s="95">
        <v>5214</v>
      </c>
      <c r="B266" s="86">
        <v>508</v>
      </c>
      <c r="C266" s="96" t="str">
        <f>VLOOKUP(B266,tab_Tecnologias_TE_RE!$A$1:$B$101,2,0)</f>
        <v>UHE_repotenciação</v>
      </c>
      <c r="D266" s="152" t="s">
        <v>153</v>
      </c>
      <c r="E266" s="17">
        <v>5</v>
      </c>
      <c r="F266" s="125">
        <f>14000*0.2</f>
        <v>2800</v>
      </c>
      <c r="G266" s="97" t="str">
        <f t="shared" si="14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 s="95">
        <v>5215</v>
      </c>
      <c r="B267" s="86">
        <v>508</v>
      </c>
      <c r="C267" s="96" t="str">
        <f>VLOOKUP(B267,tab_Tecnologias_TE_RE!$A$1:$B$101,2,0)</f>
        <v>UHE_repotenciação</v>
      </c>
      <c r="D267" s="152" t="s">
        <v>157</v>
      </c>
      <c r="E267" s="17">
        <v>6</v>
      </c>
      <c r="F267" s="125">
        <f>7658*0.2</f>
        <v>1531.6000000000001</v>
      </c>
      <c r="G267" s="97" t="str">
        <f t="shared" si="14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 s="95">
        <v>5216</v>
      </c>
      <c r="B268" s="86">
        <v>508</v>
      </c>
      <c r="C268" s="96" t="str">
        <f>VLOOKUP(B268,tab_Tecnologias_TE_RE!$A$1:$B$101,2,0)</f>
        <v>UHE_repotenciação</v>
      </c>
      <c r="D268" s="152" t="s">
        <v>156</v>
      </c>
      <c r="E268" s="17">
        <v>7</v>
      </c>
      <c r="F268" s="125">
        <f>620*0.2</f>
        <v>124</v>
      </c>
      <c r="G268" s="97" t="str">
        <f t="shared" si="14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 s="95">
        <v>5217</v>
      </c>
      <c r="B269" s="86">
        <v>508</v>
      </c>
      <c r="C269" s="96" t="str">
        <f>VLOOKUP(B269,tab_Tecnologias_TE_RE!$A$1:$B$101,2,0)</f>
        <v>UHE_repotenciação</v>
      </c>
      <c r="D269" s="152" t="s">
        <v>160</v>
      </c>
      <c r="E269" s="17">
        <v>10</v>
      </c>
      <c r="F269" s="125">
        <f>3277*0.2</f>
        <v>655.40000000000009</v>
      </c>
      <c r="G269" s="97" t="str">
        <f t="shared" si="14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autoFilter ref="A1:M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Z8" activePane="bottomRight" state="frozen"/>
      <selection pane="bottomRight" activeCell="AE1" sqref="AE1:AE1048576"/>
      <selection pane="bottomLeft" activeCell="A2" sqref="A2"/>
      <selection pane="topRight" activeCell="D1" sqref="D1"/>
    </sheetView>
  </sheetViews>
  <sheetFormatPr defaultRowHeight="13.1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9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2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5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5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5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5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5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5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5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211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6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5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5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5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215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6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5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5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5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6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5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5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5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5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5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5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5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5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5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5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5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5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5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5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5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5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5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5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5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5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5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5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5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5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5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5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5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5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5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5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5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5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5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5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5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5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6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5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1.2291393210627957</v>
      </c>
      <c r="AO54" s="80">
        <f ca="1">IF(AJ54=0,"",AN54/constantes!$B$3)</f>
        <v>15.364241513284945</v>
      </c>
      <c r="AP54" s="83">
        <f ca="1">IF(AJ54=0,"",PV(constantes!$B$3,AA54,-AN54)*constantes!$B$3)</f>
        <v>1.0496629725551254</v>
      </c>
      <c r="AQ54" s="84">
        <f t="shared" si="64"/>
        <v>0.35560975609756101</v>
      </c>
      <c r="AR54" s="484">
        <f t="shared" ref="AR54" si="68">120+230*(AE54/2050)</f>
        <v>355.60975609756099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5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9">AF56*C56/1000</f>
        <v>1.56</v>
      </c>
      <c r="AE56" s="632">
        <f>1000*0.4</f>
        <v>400</v>
      </c>
      <c r="AF56" s="633">
        <f>AE56*constantes!$B$4</f>
        <v>1560</v>
      </c>
      <c r="AG56" s="23">
        <v>1</v>
      </c>
      <c r="AH56" s="23"/>
      <c r="AI56" s="23"/>
      <c r="AJ56" s="635">
        <f t="shared" ref="AJ56" si="70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1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2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2">
        <f>1000*0.4</f>
        <v>400</v>
      </c>
      <c r="AF57" s="633">
        <f>AE57*constantes!$B$4</f>
        <v>1560</v>
      </c>
      <c r="AG57" s="23">
        <v>1</v>
      </c>
      <c r="AH57" s="23"/>
      <c r="AI57" s="23"/>
      <c r="AJ57" s="635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3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4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7"/>
        <v>1.248</v>
      </c>
      <c r="AE58" s="634">
        <f>800*0.4</f>
        <v>320</v>
      </c>
      <c r="AF58" s="633">
        <f>AE58*constantes!$B$4</f>
        <v>1248</v>
      </c>
      <c r="AG58" s="590">
        <v>1</v>
      </c>
      <c r="AH58" s="569"/>
      <c r="AI58" s="569"/>
      <c r="AJ58" s="635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3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4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5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6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7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5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3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4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6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5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3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4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8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6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9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80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5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3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4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8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6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9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80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5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3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4"/>
        <v>0.22321951219512196</v>
      </c>
      <c r="AR62" s="484">
        <f t="shared" ref="AR62" si="81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8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6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9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80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5">
        <f t="shared" ref="AJ63:AJ64" si="82">AD63+AH63+AI63</f>
        <v>6.63</v>
      </c>
      <c r="AK63" s="79">
        <f t="shared" ref="AK63:AK64" si="83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4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5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8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6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9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80"/>
        <v>1.56</v>
      </c>
      <c r="AE64" s="632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5">
        <f t="shared" si="82"/>
        <v>1.56</v>
      </c>
      <c r="AK64" s="79">
        <f t="shared" si="83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4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5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4" xr:uid="{00000000-0009-0000-0000-000005000000}"/>
  <conditionalFormatting sqref="AJ2:AK3 AJ20:AK23 AJ12:AK12 AJ34:AK34 AJ14:AK15 AJ9:AK9 AJ36:AK52">
    <cfRule type="cellIs" dxfId="93" priority="82" stopIfTrue="1" operator="equal">
      <formula>0</formula>
    </cfRule>
  </conditionalFormatting>
  <conditionalFormatting sqref="AJ16:AK16">
    <cfRule type="cellIs" dxfId="92" priority="81" stopIfTrue="1" operator="equal">
      <formula>0</formula>
    </cfRule>
  </conditionalFormatting>
  <conditionalFormatting sqref="AJ6:AK6 AJ8:AK8">
    <cfRule type="cellIs" dxfId="91" priority="65" stopIfTrue="1" operator="equal">
      <formula>0</formula>
    </cfRule>
  </conditionalFormatting>
  <conditionalFormatting sqref="AJ4:AK4">
    <cfRule type="cellIs" dxfId="90" priority="63" stopIfTrue="1" operator="equal">
      <formula>0</formula>
    </cfRule>
  </conditionalFormatting>
  <conditionalFormatting sqref="AJ5:AK5">
    <cfRule type="cellIs" dxfId="89" priority="62" stopIfTrue="1" operator="equal">
      <formula>0</formula>
    </cfRule>
  </conditionalFormatting>
  <conditionalFormatting sqref="AJ7:AK7">
    <cfRule type="cellIs" dxfId="88" priority="61" stopIfTrue="1" operator="equal">
      <formula>0</formula>
    </cfRule>
  </conditionalFormatting>
  <conditionalFormatting sqref="AJ32:AK32">
    <cfRule type="cellIs" dxfId="87" priority="58" stopIfTrue="1" operator="equal">
      <formula>0</formula>
    </cfRule>
  </conditionalFormatting>
  <conditionalFormatting sqref="AJ10:AK11">
    <cfRule type="cellIs" dxfId="86" priority="57" stopIfTrue="1" operator="equal">
      <formula>0</formula>
    </cfRule>
  </conditionalFormatting>
  <conditionalFormatting sqref="AJ35:AK35">
    <cfRule type="cellIs" dxfId="85" priority="56" stopIfTrue="1" operator="equal">
      <formula>0</formula>
    </cfRule>
  </conditionalFormatting>
  <conditionalFormatting sqref="AJ33:AK33">
    <cfRule type="cellIs" dxfId="84" priority="55" stopIfTrue="1" operator="equal">
      <formula>0</formula>
    </cfRule>
  </conditionalFormatting>
  <conditionalFormatting sqref="A63:A1048576 A1 A53">
    <cfRule type="duplicateValues" dxfId="83" priority="345"/>
  </conditionalFormatting>
  <conditionalFormatting sqref="A2:A23 A32:A40">
    <cfRule type="duplicateValues" dxfId="82" priority="348"/>
  </conditionalFormatting>
  <conditionalFormatting sqref="AJ13:AK13">
    <cfRule type="cellIs" dxfId="81" priority="30" stopIfTrue="1" operator="equal">
      <formula>0</formula>
    </cfRule>
  </conditionalFormatting>
  <conditionalFormatting sqref="AJ24:AK31">
    <cfRule type="cellIs" dxfId="80" priority="28" stopIfTrue="1" operator="equal">
      <formula>0</formula>
    </cfRule>
  </conditionalFormatting>
  <conditionalFormatting sqref="A24:A31">
    <cfRule type="duplicateValues" dxfId="79" priority="29"/>
  </conditionalFormatting>
  <conditionalFormatting sqref="AJ53:AK53">
    <cfRule type="cellIs" dxfId="78" priority="27" stopIfTrue="1" operator="equal">
      <formula>0</formula>
    </cfRule>
  </conditionalFormatting>
  <conditionalFormatting sqref="A41:A52">
    <cfRule type="duplicateValues" dxfId="77" priority="26"/>
  </conditionalFormatting>
  <conditionalFormatting sqref="AJ54:AK54">
    <cfRule type="cellIs" dxfId="76" priority="23" stopIfTrue="1" operator="equal">
      <formula>0</formula>
    </cfRule>
  </conditionalFormatting>
  <conditionalFormatting sqref="A54">
    <cfRule type="duplicateValues" dxfId="75" priority="24"/>
  </conditionalFormatting>
  <conditionalFormatting sqref="A55">
    <cfRule type="duplicateValues" dxfId="74" priority="22"/>
  </conditionalFormatting>
  <conditionalFormatting sqref="AJ55:AK55 AJ57:AK58">
    <cfRule type="cellIs" dxfId="73" priority="20" stopIfTrue="1" operator="equal">
      <formula>0</formula>
    </cfRule>
  </conditionalFormatting>
  <conditionalFormatting sqref="AJ17:AK17">
    <cfRule type="cellIs" dxfId="72" priority="19" stopIfTrue="1" operator="equal">
      <formula>0</formula>
    </cfRule>
  </conditionalFormatting>
  <conditionalFormatting sqref="AJ18:AK18">
    <cfRule type="cellIs" dxfId="71" priority="18" stopIfTrue="1" operator="equal">
      <formula>0</formula>
    </cfRule>
  </conditionalFormatting>
  <conditionalFormatting sqref="AJ19:AK19">
    <cfRule type="cellIs" dxfId="70" priority="17" stopIfTrue="1" operator="equal">
      <formula>0</formula>
    </cfRule>
  </conditionalFormatting>
  <conditionalFormatting sqref="A56:A60">
    <cfRule type="duplicateValues" dxfId="69" priority="16"/>
  </conditionalFormatting>
  <conditionalFormatting sqref="AJ59:AK59">
    <cfRule type="cellIs" dxfId="68" priority="12" stopIfTrue="1" operator="equal">
      <formula>0</formula>
    </cfRule>
  </conditionalFormatting>
  <conditionalFormatting sqref="AJ60:AK60">
    <cfRule type="cellIs" dxfId="67" priority="10" stopIfTrue="1" operator="equal">
      <formula>0</formula>
    </cfRule>
  </conditionalFormatting>
  <conditionalFormatting sqref="AJ56:AK56">
    <cfRule type="cellIs" dxfId="66" priority="9" stopIfTrue="1" operator="equal">
      <formula>0</formula>
    </cfRule>
  </conditionalFormatting>
  <conditionalFormatting sqref="AJ61:AK61">
    <cfRule type="cellIs" dxfId="65" priority="7" stopIfTrue="1" operator="equal">
      <formula>0</formula>
    </cfRule>
  </conditionalFormatting>
  <conditionalFormatting sqref="A62">
    <cfRule type="duplicateValues" dxfId="64" priority="6"/>
  </conditionalFormatting>
  <conditionalFormatting sqref="AJ62:AK64">
    <cfRule type="cellIs" dxfId="63" priority="4" stopIfTrue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3.1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9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9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9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9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9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9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9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3.1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9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4.4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4.4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4.4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4.4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4.4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4.4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4.4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4.4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4.4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4.4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4.4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4.4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4.4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4.4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4.4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4.4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4.4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4.4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4.4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4.4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4.4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4.4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4.4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4.4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4.4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4.4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4.4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4.4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4.4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4.4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4.4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4.4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4.4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4.4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4.4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4.4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4.4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4.4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4.4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4.4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4.4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4.4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4.4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4.4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4.4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4.4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4.4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4.4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4.4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4.4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4.4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4.4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4.4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4.4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4.4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4.4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4.4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4.4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4.4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4.4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4.4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4.4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4.4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4.4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4.4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4.4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4.4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4.4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4.4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4.4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4.4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4.4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4.4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4.4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4.4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4.4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4.4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4.4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4.4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4.4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4.4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4.4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4.4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4.4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4.4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4.4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4.4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4.4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4.4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4.4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4.4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4.4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4.4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4.4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4.4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4.4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4.4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4.4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4.4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4.4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4.4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4.4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4.4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4.4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4.4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4.4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4.4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4.4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4.4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4.4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4.4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4.4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4.4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4.4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4.4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4.4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4.4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4.4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4.4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4.4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4.4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4.4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4.4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4.4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4.4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4.4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4.4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4.4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4.4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4.4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4.4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4.4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4.4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4.4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4.4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4.4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4.4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4.4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4.4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4.4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4.4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4.4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4.4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4.4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4.4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4.4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4.4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4.4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4.4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4.4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4.4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4.4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4.4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4.4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4.4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4.4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4.4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4.4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4.4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4.4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4.4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4.4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4.4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4.4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4.4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4.4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4.4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4.4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4.4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4.4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4.4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4.4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4.4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4.4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4.4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4.4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4.4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4.4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4.4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4.4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4.4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4.4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4.4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4.4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4.4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4.4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4.4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4.4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4.4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4.4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4.4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4.4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4.4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4.4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4.4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4.4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4.4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4.4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4.4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4.4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4.4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4.4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4.4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4.4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4.4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4.4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4.4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4.4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4.4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4.4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4.4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4.4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4.4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4.4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4.4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4.4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4.4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4.4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4.4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4.4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4.4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4.4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4.4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4.4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4.4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4.4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4.4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4.4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4.4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4.4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4.4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4.4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4.4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4.4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4.4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4.4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4.4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4.4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4.4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4.4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4.4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4.4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4.4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4.4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4.4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4.4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4.4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4.4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4.4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4.4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4.4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4.4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4.4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4.4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4.4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4.4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4.4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4.4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4.4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4.4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4.4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4.4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4.4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4.4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4.4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4.4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4.4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4.4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4.4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4.4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4.4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4.4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4.4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4.4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4.4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4.4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4.4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4.4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4.4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4.4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4.4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4.4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4.4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4.4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4.4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4.4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4.4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4.4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4.4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4.4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4.4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4.4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4.4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4.4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4.4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4.4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4.4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4.4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4.4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4.4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4.4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4.4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4.4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4.4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4.4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4.4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4.4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4.4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4.4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4.4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4.4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4.4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4.4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4.4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4.4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4.4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4.4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4.4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4.4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4.4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4.4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4.4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4.4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4.4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4.4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4.4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4.4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4.4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4.4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4.4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4.4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4.4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4.4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4.4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4.4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4.4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4.4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4.4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4.4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4.4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4.4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4.4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4.4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4.4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4.4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4.4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4.4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4.4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4.4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4.4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4.4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4.4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4.4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4.4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4.4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4.4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4.4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4.4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4.4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4.4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4.4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4.4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4.4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4.4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4.4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4.4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4.4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4.4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4.4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4.4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4.4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4.4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4.4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4.4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4.4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4.4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4.4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4.4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4.4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4.4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4.4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4.4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4.4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4.4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4.4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4.4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4.4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4.4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4.4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4.4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4.4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4.4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4.4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4.4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4.4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4.4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4.4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4.4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4.4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4.4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4.4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4.4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4.4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4.4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4.4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4.4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4.4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4.4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4.4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4.4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4.4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4.4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4.4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4.4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4.4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4.4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4.4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4.4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4.4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4.4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4.4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4.4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4.4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4.4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4.4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4.4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4.4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4.4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4.4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4.4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4.4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4.4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4.4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4.4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4.4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4.4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4.4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4.4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4.4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4.4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4.4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4.4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4.4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4.4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4.4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4.4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4.4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4.4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4.4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4.4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4.4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4.4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4.4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4.4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4.4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4.4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4.4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4.4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4.4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4.4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4.4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4.4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4.4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4.4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4.4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4.4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4.4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4.4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4.4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4.4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4.4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4.4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4.4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4.4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4.4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4.4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4.4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4.4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4.4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4.4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4.4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4.4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4.4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4.4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4.4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4.4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4.4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4.4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4.4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4.4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4.4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4.4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4.4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4.4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4.4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4.4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4.4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4.4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4.4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4.4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4.4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4.4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4.4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4.4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4.4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4.4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4.4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4.4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4.4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4.4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4.4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4.4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4.4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4.4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4.4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4.4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4.4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4.4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4.4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4.4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4.4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4.4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4.4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4.4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4.4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4.4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4.4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4.4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4.4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4.4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4.4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4.4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4.4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4.4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4.4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4.4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4.4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4.4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4.4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4.4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4.4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4.4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4.4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4.4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4.4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4.4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4.4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4.4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4.4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4.4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4.4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4.4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4.4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4.4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4.4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4.4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4.4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4.4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4.4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4.4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4.4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4.4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4.4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4.4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4.4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4.4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4.4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4.4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4.4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4.4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4.4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4.4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4.4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4.4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4.4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4.4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4.4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4.4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4.4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4.4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4.4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4.4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4.4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4.4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4.4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4.4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4.4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4.4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4.4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4.4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4.4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4.4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4.4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4.4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4.4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4.4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4.4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4.4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4.4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4.4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4.4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4.4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4.4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4.4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4.4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4.4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4.4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4.4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4.4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4.4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4.4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4.4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4.4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4.4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4.4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4.4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4.4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4.4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4.4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4.4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4.4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4.4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4.4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4.4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4.4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4.4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4.4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4.4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4.4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4.4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4.4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4.4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4.4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4.4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4.4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4.4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4.4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4.4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4.4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4.4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4.4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4.4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4.4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4.4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4.4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4.4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4.4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4.4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4.4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4.4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4.4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4.4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4.4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4.4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4.4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4.4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4.4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4.4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4.4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4.4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4.4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4.4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4.4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4.4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4.4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4.4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4.4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4.4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4.4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4.4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4.4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4.4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4.4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4.4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4.4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4.4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4.4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4.4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4.4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4.4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4.4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4.4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4.4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4.4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4.4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4.4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4.4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4.4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4.4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4.4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4.4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4.4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4.4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4.4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4.4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4.4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4.4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4.4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4.4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4.4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4.4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4.4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4.4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4.4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4.4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4.4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4.4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4.4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4.4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4.4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4.4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4.4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4.4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4.4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4.4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4.4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4.4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4.4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4.4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4.4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4.4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4.4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4.4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4.4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4.4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4.4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4.4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4.4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4.4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4.4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4.4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4.4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4.4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4.4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4.4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4.4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4.4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4.4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4.4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4.4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4.4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4.4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4.4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4.4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4.4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4.4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4.4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4.4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4.4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4.4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4.4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4.4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4.4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4.4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4.4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4.4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4.4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4.4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4.4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4.4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4.4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4.4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4.4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4.4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4.4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4.4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4.4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4.4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4.4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4.4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4.4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4.4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4.4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4.4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4.4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4.4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4.4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4.4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4.4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4.4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4.4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4.4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4.4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4.4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4.4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4.4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4.4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4.4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4.4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4.4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4.4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4.4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4.4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4.4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4.4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4.4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4.4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4.4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4.4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4.4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4.4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4.4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4.4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4.4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4.4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4.4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4.4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4.4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4.4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4.4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4.4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4.4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4.4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4.4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4.4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4.4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4.4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4.4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4.4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4.4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4.4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4.4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4.4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4.4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4.4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4.4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4.4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4.4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4.4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4.4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4.4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4.4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4.4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4.4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4.4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4.4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4.4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4.4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4.4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4.4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4.4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4.4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4.4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4.4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4.4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4.4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4.4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4.4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4.4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4.4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4.4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4.4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4.4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4.4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4.4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4.4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4.4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4.4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4.4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4.4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4.4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4.4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4.4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4.4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4.4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4.4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4.4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4.4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4.4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4.4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4.4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4.4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4.4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4.4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4.4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4.4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4.4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4.4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4.4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4.4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4.4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4.4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4.4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4.4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4.4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4.4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4.4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4.4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4.4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4.4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4.4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4.4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4.4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4.4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4.4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4.4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4.4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4.4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4.4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4.4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4.4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4.4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4.4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4.4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4.4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4.4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4.4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4.4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4.4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4.4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4.4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4.4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4.4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4.4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4.4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4.4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4.4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4.4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4.4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4.4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4.4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4.4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4.4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4.4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4.4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4.4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4.4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4.4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4.4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4.4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4.4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4.4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4.4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4.4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4.4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4.4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4.4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4.4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4.4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4.4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4.4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4.4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4.4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4.4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4.4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4.4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4.4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4.4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4.4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4.4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4.4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4.4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4.4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4.4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4.4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4.4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4.4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4.4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4.4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4.4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4.4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4.4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4.4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4.4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4.4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4.4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4.4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4.4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4.4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4.4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4.4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4.4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4.4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4.4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4.4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4.4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4.4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4.4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4.4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4.4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4.4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4.4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4.4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4.4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4.4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4.4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4.4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4.4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4.4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4.4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4.4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4.4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4.4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4.4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4.4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4.4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4.4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4.4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4.4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4.4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4.4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4.4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4.4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4.4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4.4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4.4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4.4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4.4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4.4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4.4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4.4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4.4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4.4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4.4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4.4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4.4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4.4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4.4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4.4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4.4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4.4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4.4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4.4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4.4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4.4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4.4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4.4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4.4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4.4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4.4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4.4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4.4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4.4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4.4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4.4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4.4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4.4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4.4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4.4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4.4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4.4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4.4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4.4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4.4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4.4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4.4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4.4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4.4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4.4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4.4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4.4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4.4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4.4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4.4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4.4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4.4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4.4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4.4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4.4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4.4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4.4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4.4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4.4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4.4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4.4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4.4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4.4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4.4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4.4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4.4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4.4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4.4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4.4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4.4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4.4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4.4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4.4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4.4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4.4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4.4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4.4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4.4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4.4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4.4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4.4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4.4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4.4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4.4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4.4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4.4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4.4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4.4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4.4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4.4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4.4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4.4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4.4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4.4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4.4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4.4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4.4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4.4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4.4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4.4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4.4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4.4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4.4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4.4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4.4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4.4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4.4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4.4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4.4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4.4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4.4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4.4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4.4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4.4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4.4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4.4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4.4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4.4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4.4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4.4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4.4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4.4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4.4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4.4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4.4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4.4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4.4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4.4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4.4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4.4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4.4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4.4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4.4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4.4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4.4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4.4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4.4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4.4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4.4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4.4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4.4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4.4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4.4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4.4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4.4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4.4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4.4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4.4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4.4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4.4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4.4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4.4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4.4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4.4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4.4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4.4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4.4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4.4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4.4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4.4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4.4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4.4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4.4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4.4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4.4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4.4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4.4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4.4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4.4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4.4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4.4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4.4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4.4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4.4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4.4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4.4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4.4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4.4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4.4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4.4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4.4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4.4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4.4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4.4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4.4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4.4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4.4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4.4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4.4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4.4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4.4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4.4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4.4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4.4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4.4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4.4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4.4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4.4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4.4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4.4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4.4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4.4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4.4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4.4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4.4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4.4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4.4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4.4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4.4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4.4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4.4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4.4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4.4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4.4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4.4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4.4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4.4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4.4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4.4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4.4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4.4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4.4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4.4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4.4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4.4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4.4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4.4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4.4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4.4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4.4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4.4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4.4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4.4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4.4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4.4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4.4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4.4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4.4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4.4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4.4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4.4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4.4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4.4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4.4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4.4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4.4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4.4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4.4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4.4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4.4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4.4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4.4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4.4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4.4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4.4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4.4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4.4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4.4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4.4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4.4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4.4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4.4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4.4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4.4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4.4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4.4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4.4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4.4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4.4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4.4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4.4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4.4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4.4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4.4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4.4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4.4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4.4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4.4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4.4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4.4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4.4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4.4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4.4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4.4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4.4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4.4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4.4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4.4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4.4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4.4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4.4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4.4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4.4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4.4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4.4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4.4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4.4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4.4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4.4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4.4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4.4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4.4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4.4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4.4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4.4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4.4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4.4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4.4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4.4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4.4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4.4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4.4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4.4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4.4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4.4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4.4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4.4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4.4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4.4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4.4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4.4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4.4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4.4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4.4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4.4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4.4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4.4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4.4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4.4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4.4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4.4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4.4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4.4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4.4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4.4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4.4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4.4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4.4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4.4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4.4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4.4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4.4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4.4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4.4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4.4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4.4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4.4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4.4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4.4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4.4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4.4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4.4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4.4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4.4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4.4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4.4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4.4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4.4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4.4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4.4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4.4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4.4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4.4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4.4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4.4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4.4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4.4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4.4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4.4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4.4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4.4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4.4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4.4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4.4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4.4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4.4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4.4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4.4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4.4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4.4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4.4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4.4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4.4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4.4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4.4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4.4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4.4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4.4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4.4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4.4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4.4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4.4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4.4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4.4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4.4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4.4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4.4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4.4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4.4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4.4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4.4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4.4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4.4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4.4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4.4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4.4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4.4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4.4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4.4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4.4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4.4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4.4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4.4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4.4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4.4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4.4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4.4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4.4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4.4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4.4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4.4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4.4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4.4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4.4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4.4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4.4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4.45" hidden="1">
      <c r="A1471">
        <v>10003</v>
      </c>
      <c r="B1471">
        <v>10003</v>
      </c>
      <c r="C1471" s="476" t="s">
        <v>1865</v>
      </c>
      <c r="D1471" s="606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4.45" hidden="1">
      <c r="A1472">
        <v>10004</v>
      </c>
      <c r="B1472">
        <v>10004</v>
      </c>
      <c r="C1472" s="476" t="s">
        <v>1867</v>
      </c>
      <c r="D1472" s="606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4.45" hidden="1">
      <c r="A1473">
        <v>10005</v>
      </c>
      <c r="B1473">
        <v>10005</v>
      </c>
      <c r="C1473" s="476" t="s">
        <v>1868</v>
      </c>
      <c r="D1473" s="606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4.45" hidden="1">
      <c r="A1474">
        <v>10006</v>
      </c>
      <c r="B1474">
        <v>10006</v>
      </c>
      <c r="C1474" s="476" t="s">
        <v>1869</v>
      </c>
      <c r="D1474" s="606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4.45" hidden="1">
      <c r="A1475">
        <v>10007</v>
      </c>
      <c r="B1475">
        <v>10007</v>
      </c>
      <c r="C1475" s="476" t="s">
        <v>1870</v>
      </c>
      <c r="D1475" s="606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4.45" hidden="1">
      <c r="A1476">
        <v>10008</v>
      </c>
      <c r="B1476">
        <v>10008</v>
      </c>
      <c r="C1476" s="476" t="s">
        <v>1871</v>
      </c>
      <c r="D1476" s="606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4.45" hidden="1">
      <c r="A1477">
        <v>10009</v>
      </c>
      <c r="B1477">
        <v>10009</v>
      </c>
      <c r="C1477" s="476" t="s">
        <v>1448</v>
      </c>
      <c r="D1477" s="606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4.45" hidden="1">
      <c r="A1478">
        <v>10010</v>
      </c>
      <c r="B1478">
        <v>10010</v>
      </c>
      <c r="C1478" s="476" t="s">
        <v>1449</v>
      </c>
      <c r="D1478" s="606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4.45" hidden="1">
      <c r="A1479">
        <v>10011</v>
      </c>
      <c r="B1479">
        <v>10011</v>
      </c>
      <c r="C1479" s="476" t="s">
        <v>1017</v>
      </c>
      <c r="D1479" s="606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4.45" hidden="1">
      <c r="A1480">
        <v>10012</v>
      </c>
      <c r="B1480">
        <v>10012</v>
      </c>
      <c r="C1480" s="476" t="s">
        <v>1872</v>
      </c>
      <c r="D1480" s="606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4.45" hidden="1">
      <c r="A1481">
        <v>10013</v>
      </c>
      <c r="B1481">
        <v>10013</v>
      </c>
      <c r="C1481" s="476" t="s">
        <v>1873</v>
      </c>
      <c r="D1481" s="606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4.45" hidden="1">
      <c r="A1482">
        <v>10014</v>
      </c>
      <c r="B1482">
        <v>10014</v>
      </c>
      <c r="C1482" s="476" t="s">
        <v>1874</v>
      </c>
      <c r="D1482" s="606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4.45" hidden="1">
      <c r="A1483">
        <v>10015</v>
      </c>
      <c r="B1483">
        <v>10015</v>
      </c>
      <c r="C1483" s="476" t="s">
        <v>1875</v>
      </c>
      <c r="D1483" s="606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4.45" hidden="1">
      <c r="A1484">
        <v>10016</v>
      </c>
      <c r="B1484">
        <v>10016</v>
      </c>
      <c r="C1484" s="476" t="s">
        <v>1876</v>
      </c>
      <c r="D1484" s="606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4.45" hidden="1">
      <c r="A1485">
        <v>10017</v>
      </c>
      <c r="B1485">
        <v>10017</v>
      </c>
      <c r="C1485" s="476" t="s">
        <v>1266</v>
      </c>
      <c r="D1485" s="606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4.45" hidden="1">
      <c r="A1486">
        <v>10018</v>
      </c>
      <c r="B1486">
        <v>10018</v>
      </c>
      <c r="C1486" s="476" t="s">
        <v>1267</v>
      </c>
      <c r="D1486" s="606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4.45" hidden="1">
      <c r="A1487">
        <v>10019</v>
      </c>
      <c r="B1487">
        <v>10019</v>
      </c>
      <c r="C1487" s="476" t="s">
        <v>1287</v>
      </c>
      <c r="D1487" s="606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4.45" hidden="1">
      <c r="A1488">
        <v>10020</v>
      </c>
      <c r="B1488">
        <v>10020</v>
      </c>
      <c r="C1488" s="476" t="s">
        <v>1288</v>
      </c>
      <c r="D1488" s="606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4.45" hidden="1">
      <c r="A1489">
        <v>10021</v>
      </c>
      <c r="B1489">
        <v>10021</v>
      </c>
      <c r="C1489" s="476" t="s">
        <v>1877</v>
      </c>
      <c r="D1489" s="606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4.45" hidden="1">
      <c r="A1490">
        <v>10022</v>
      </c>
      <c r="B1490">
        <v>10022</v>
      </c>
      <c r="C1490" s="476" t="s">
        <v>1878</v>
      </c>
      <c r="D1490" s="606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4.45" hidden="1">
      <c r="A1491">
        <v>10023</v>
      </c>
      <c r="B1491">
        <v>10023</v>
      </c>
      <c r="C1491" s="476" t="s">
        <v>1879</v>
      </c>
      <c r="D1491" s="606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4.45" hidden="1">
      <c r="A1492">
        <v>10024</v>
      </c>
      <c r="B1492">
        <v>10024</v>
      </c>
      <c r="C1492" s="476" t="s">
        <v>1586</v>
      </c>
      <c r="D1492" s="606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4.45" hidden="1">
      <c r="A1493">
        <v>10025</v>
      </c>
      <c r="B1493">
        <v>10025</v>
      </c>
      <c r="C1493" s="476" t="s">
        <v>1006</v>
      </c>
      <c r="D1493" s="606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4.45" hidden="1">
      <c r="A1494">
        <v>10026</v>
      </c>
      <c r="B1494">
        <v>10026</v>
      </c>
      <c r="C1494" s="476" t="s">
        <v>1880</v>
      </c>
      <c r="D1494" s="606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4.45" hidden="1">
      <c r="A1495">
        <v>10027</v>
      </c>
      <c r="B1495">
        <v>10027</v>
      </c>
      <c r="C1495" s="476" t="s">
        <v>1007</v>
      </c>
      <c r="D1495" s="606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4.45" hidden="1">
      <c r="A1496">
        <v>10028</v>
      </c>
      <c r="B1496">
        <v>10028</v>
      </c>
      <c r="C1496" s="476" t="s">
        <v>1016</v>
      </c>
      <c r="D1496" s="606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4.45" hidden="1">
      <c r="A1497">
        <v>10029</v>
      </c>
      <c r="B1497">
        <v>10029</v>
      </c>
      <c r="C1497" s="476" t="s">
        <v>1881</v>
      </c>
      <c r="D1497" s="606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4.45" hidden="1">
      <c r="A1498">
        <v>10030</v>
      </c>
      <c r="B1498">
        <v>10030</v>
      </c>
      <c r="C1498" s="476" t="s">
        <v>1882</v>
      </c>
      <c r="D1498" s="606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4.45" hidden="1">
      <c r="A1499">
        <v>10031</v>
      </c>
      <c r="B1499">
        <v>10031</v>
      </c>
      <c r="C1499" s="476" t="s">
        <v>1883</v>
      </c>
      <c r="D1499" s="606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4.45" hidden="1">
      <c r="A1500">
        <v>10032</v>
      </c>
      <c r="B1500">
        <v>10032</v>
      </c>
      <c r="C1500" s="476" t="s">
        <v>1884</v>
      </c>
      <c r="D1500" s="606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4.45" hidden="1">
      <c r="A1501">
        <v>10033</v>
      </c>
      <c r="B1501">
        <v>10033</v>
      </c>
      <c r="C1501" s="476" t="s">
        <v>1885</v>
      </c>
      <c r="D1501" s="606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4.45" hidden="1">
      <c r="A1502">
        <v>10034</v>
      </c>
      <c r="B1502">
        <v>10034</v>
      </c>
      <c r="C1502" s="476" t="s">
        <v>1886</v>
      </c>
      <c r="D1502" s="606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4.45" hidden="1">
      <c r="A1503">
        <v>10035</v>
      </c>
      <c r="B1503">
        <v>10035</v>
      </c>
      <c r="C1503" s="476" t="s">
        <v>1887</v>
      </c>
      <c r="D1503" s="606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4.45" hidden="1">
      <c r="A1504">
        <v>10036</v>
      </c>
      <c r="B1504">
        <v>10036</v>
      </c>
      <c r="C1504" s="476" t="s">
        <v>1888</v>
      </c>
      <c r="D1504" s="606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4.45" hidden="1">
      <c r="A1505">
        <v>10037</v>
      </c>
      <c r="B1505">
        <v>10037</v>
      </c>
      <c r="C1505" s="476" t="s">
        <v>1889</v>
      </c>
      <c r="D1505" s="606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4.45" hidden="1">
      <c r="A1506">
        <v>10038</v>
      </c>
      <c r="B1506">
        <v>10038</v>
      </c>
      <c r="C1506" s="476" t="s">
        <v>1890</v>
      </c>
      <c r="D1506" s="606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4.45" hidden="1">
      <c r="A1507">
        <v>10039</v>
      </c>
      <c r="B1507">
        <v>10039</v>
      </c>
      <c r="C1507" s="476" t="s">
        <v>1891</v>
      </c>
      <c r="D1507" s="606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4.45" hidden="1">
      <c r="A1508">
        <v>10040</v>
      </c>
      <c r="B1508">
        <v>10040</v>
      </c>
      <c r="C1508" s="476" t="s">
        <v>1892</v>
      </c>
      <c r="D1508" s="606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4.45" hidden="1">
      <c r="A1509">
        <v>10041</v>
      </c>
      <c r="B1509">
        <v>10041</v>
      </c>
      <c r="C1509" s="476" t="s">
        <v>1893</v>
      </c>
      <c r="D1509" s="606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4.45" hidden="1">
      <c r="A1510">
        <v>10042</v>
      </c>
      <c r="B1510">
        <v>10042</v>
      </c>
      <c r="C1510" s="476" t="s">
        <v>1894</v>
      </c>
      <c r="D1510" s="606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4.45" hidden="1">
      <c r="A1511">
        <v>10043</v>
      </c>
      <c r="B1511">
        <v>10043</v>
      </c>
      <c r="C1511" s="476" t="s">
        <v>1895</v>
      </c>
      <c r="D1511" s="606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4.45" hidden="1">
      <c r="A1512">
        <v>10044</v>
      </c>
      <c r="B1512">
        <v>10044</v>
      </c>
      <c r="C1512" s="476" t="s">
        <v>1896</v>
      </c>
      <c r="D1512" s="606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4.45" hidden="1">
      <c r="A1513">
        <v>10045</v>
      </c>
      <c r="B1513">
        <v>10045</v>
      </c>
      <c r="C1513" s="476" t="s">
        <v>1897</v>
      </c>
      <c r="D1513" s="606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4.45" hidden="1">
      <c r="A1514">
        <v>10046</v>
      </c>
      <c r="B1514">
        <v>10046</v>
      </c>
      <c r="C1514" s="476" t="s">
        <v>1281</v>
      </c>
      <c r="D1514" s="606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4.45" hidden="1">
      <c r="A1515">
        <v>10047</v>
      </c>
      <c r="B1515">
        <v>10047</v>
      </c>
      <c r="C1515" s="476" t="s">
        <v>1322</v>
      </c>
      <c r="D1515" s="606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4.45" hidden="1">
      <c r="A1516">
        <v>10048</v>
      </c>
      <c r="B1516">
        <v>10048</v>
      </c>
      <c r="C1516" s="476" t="s">
        <v>1323</v>
      </c>
      <c r="D1516" s="606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4.45" hidden="1">
      <c r="A1517">
        <v>10049</v>
      </c>
      <c r="B1517">
        <v>10049</v>
      </c>
      <c r="C1517" s="476" t="s">
        <v>1898</v>
      </c>
      <c r="D1517" s="606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4.45" hidden="1">
      <c r="A1518">
        <v>10050</v>
      </c>
      <c r="B1518">
        <v>10050</v>
      </c>
      <c r="C1518" s="476" t="s">
        <v>1899</v>
      </c>
      <c r="D1518" s="606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4.45" hidden="1">
      <c r="A1519">
        <v>10051</v>
      </c>
      <c r="B1519">
        <v>10051</v>
      </c>
      <c r="C1519" s="476" t="s">
        <v>1446</v>
      </c>
      <c r="D1519" s="606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4.45" hidden="1">
      <c r="A1520">
        <v>10052</v>
      </c>
      <c r="B1520">
        <v>10052</v>
      </c>
      <c r="C1520" s="476" t="s">
        <v>1468</v>
      </c>
      <c r="D1520" s="606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4.45" hidden="1">
      <c r="A1521">
        <v>10053</v>
      </c>
      <c r="B1521">
        <v>10053</v>
      </c>
      <c r="C1521" s="476" t="s">
        <v>1469</v>
      </c>
      <c r="D1521" s="606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4.45" hidden="1">
      <c r="A1522">
        <v>10054</v>
      </c>
      <c r="B1522">
        <v>10054</v>
      </c>
      <c r="C1522" s="476" t="s">
        <v>1537</v>
      </c>
      <c r="D1522" s="606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4.45" hidden="1">
      <c r="A1523">
        <v>10055</v>
      </c>
      <c r="B1523">
        <v>10055</v>
      </c>
      <c r="C1523" s="476" t="s">
        <v>1900</v>
      </c>
      <c r="D1523" s="606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4.45" hidden="1">
      <c r="A1524">
        <v>10056</v>
      </c>
      <c r="B1524">
        <v>10056</v>
      </c>
      <c r="C1524" s="476" t="s">
        <v>1351</v>
      </c>
      <c r="D1524" s="606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4.45" hidden="1">
      <c r="A1525">
        <v>10057</v>
      </c>
      <c r="B1525">
        <v>10057</v>
      </c>
      <c r="C1525" s="476" t="s">
        <v>1393</v>
      </c>
      <c r="D1525" s="606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4.45" hidden="1">
      <c r="A1526">
        <v>10058</v>
      </c>
      <c r="B1526">
        <v>10058</v>
      </c>
      <c r="C1526" s="476" t="s">
        <v>1472</v>
      </c>
      <c r="D1526" s="606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4.45" hidden="1">
      <c r="A1527">
        <v>10059</v>
      </c>
      <c r="B1527">
        <v>10059</v>
      </c>
      <c r="C1527" s="476" t="s">
        <v>1901</v>
      </c>
      <c r="D1527" s="606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4.45" hidden="1">
      <c r="A1528">
        <v>10060</v>
      </c>
      <c r="B1528">
        <v>10060</v>
      </c>
      <c r="C1528" s="476" t="s">
        <v>1902</v>
      </c>
      <c r="D1528" s="606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4.45" hidden="1">
      <c r="A1529">
        <v>10061</v>
      </c>
      <c r="B1529">
        <v>10061</v>
      </c>
      <c r="C1529" s="476" t="s">
        <v>1365</v>
      </c>
      <c r="D1529" s="606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4.45" hidden="1">
      <c r="A1530">
        <v>10062</v>
      </c>
      <c r="B1530">
        <v>10062</v>
      </c>
      <c r="C1530" s="476" t="s">
        <v>1903</v>
      </c>
      <c r="D1530" s="606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4.45" hidden="1">
      <c r="A1531">
        <v>10063</v>
      </c>
      <c r="B1531">
        <v>10063</v>
      </c>
      <c r="C1531" s="476" t="s">
        <v>1904</v>
      </c>
      <c r="D1531" s="606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4.45" hidden="1">
      <c r="A1532">
        <v>10064</v>
      </c>
      <c r="B1532">
        <v>10064</v>
      </c>
      <c r="C1532" s="476" t="s">
        <v>1905</v>
      </c>
      <c r="D1532" s="606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4.45" hidden="1">
      <c r="A1533">
        <v>10065</v>
      </c>
      <c r="B1533">
        <v>10065</v>
      </c>
      <c r="C1533" s="476" t="s">
        <v>1906</v>
      </c>
      <c r="D1533" s="606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4.45" hidden="1">
      <c r="A1534">
        <v>10066</v>
      </c>
      <c r="B1534">
        <v>10066</v>
      </c>
      <c r="C1534" s="476" t="s">
        <v>1907</v>
      </c>
      <c r="D1534" s="606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4.45" hidden="1">
      <c r="A1535">
        <v>10067</v>
      </c>
      <c r="B1535">
        <v>10067</v>
      </c>
      <c r="C1535" s="476" t="s">
        <v>1908</v>
      </c>
      <c r="D1535" s="606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4.45" hidden="1">
      <c r="A1536">
        <v>10068</v>
      </c>
      <c r="B1536">
        <v>10068</v>
      </c>
      <c r="C1536" s="476" t="s">
        <v>1009</v>
      </c>
      <c r="D1536" s="606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4.45" hidden="1">
      <c r="A1537">
        <v>10069</v>
      </c>
      <c r="B1537">
        <v>10069</v>
      </c>
      <c r="C1537" s="476" t="s">
        <v>1014</v>
      </c>
      <c r="D1537" s="606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4.45" hidden="1">
      <c r="A1538">
        <v>10070</v>
      </c>
      <c r="B1538">
        <v>10070</v>
      </c>
      <c r="C1538" s="476" t="s">
        <v>1174</v>
      </c>
      <c r="D1538" s="606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4.45" hidden="1">
      <c r="A1539">
        <v>10071</v>
      </c>
      <c r="B1539">
        <v>10071</v>
      </c>
      <c r="C1539" s="476" t="s">
        <v>1177</v>
      </c>
      <c r="D1539" s="606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4.45" hidden="1">
      <c r="A1540">
        <v>10072</v>
      </c>
      <c r="B1540">
        <v>10072</v>
      </c>
      <c r="C1540" s="476" t="s">
        <v>1225</v>
      </c>
      <c r="D1540" s="606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4.45" hidden="1">
      <c r="A1541">
        <v>10073</v>
      </c>
      <c r="B1541">
        <v>10073</v>
      </c>
      <c r="C1541" s="476" t="s">
        <v>1234</v>
      </c>
      <c r="D1541" s="606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4.45" hidden="1">
      <c r="A1542">
        <v>10074</v>
      </c>
      <c r="B1542">
        <v>10074</v>
      </c>
      <c r="C1542" s="476" t="s">
        <v>1237</v>
      </c>
      <c r="D1542" s="606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4.45" hidden="1">
      <c r="A1543">
        <v>10075</v>
      </c>
      <c r="B1543">
        <v>10075</v>
      </c>
      <c r="C1543" s="476" t="s">
        <v>1378</v>
      </c>
      <c r="D1543" s="606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4.45" hidden="1">
      <c r="A1544">
        <v>10076</v>
      </c>
      <c r="B1544">
        <v>10076</v>
      </c>
      <c r="C1544" s="476" t="s">
        <v>1909</v>
      </c>
      <c r="D1544" s="606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4.45" hidden="1">
      <c r="A1545">
        <v>10077</v>
      </c>
      <c r="B1545">
        <v>10077</v>
      </c>
      <c r="C1545" s="476" t="s">
        <v>1910</v>
      </c>
      <c r="D1545" s="606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4.45" hidden="1">
      <c r="A1546">
        <v>10078</v>
      </c>
      <c r="B1546">
        <v>10078</v>
      </c>
      <c r="C1546" s="476" t="s">
        <v>1911</v>
      </c>
      <c r="D1546" s="606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4.45" hidden="1">
      <c r="A1547">
        <v>10079</v>
      </c>
      <c r="B1547">
        <v>10079</v>
      </c>
      <c r="C1547" s="476" t="s">
        <v>1912</v>
      </c>
      <c r="D1547" s="606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4.45" hidden="1">
      <c r="A1548">
        <v>10080</v>
      </c>
      <c r="B1548">
        <v>10080</v>
      </c>
      <c r="C1548" s="476" t="s">
        <v>1913</v>
      </c>
      <c r="D1548" s="606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4.45" hidden="1">
      <c r="A1549">
        <v>10081</v>
      </c>
      <c r="B1549">
        <v>10081</v>
      </c>
      <c r="C1549" s="476" t="s">
        <v>1914</v>
      </c>
      <c r="D1549" s="606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4.45" hidden="1">
      <c r="A1550">
        <v>10082</v>
      </c>
      <c r="B1550">
        <v>10082</v>
      </c>
      <c r="C1550" s="476" t="s">
        <v>1915</v>
      </c>
      <c r="D1550" s="606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4.45" hidden="1">
      <c r="A1551">
        <v>10083</v>
      </c>
      <c r="B1551">
        <v>10083</v>
      </c>
      <c r="C1551" s="476" t="s">
        <v>1916</v>
      </c>
      <c r="D1551" s="606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4.45" hidden="1">
      <c r="A1552">
        <v>10084</v>
      </c>
      <c r="B1552">
        <v>10084</v>
      </c>
      <c r="C1552" s="476" t="s">
        <v>1917</v>
      </c>
      <c r="D1552" s="607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4.45" hidden="1">
      <c r="A1553">
        <v>10085</v>
      </c>
      <c r="B1553">
        <v>10085</v>
      </c>
      <c r="C1553" s="476" t="s">
        <v>1918</v>
      </c>
      <c r="D1553" s="607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4.45" hidden="1">
      <c r="A1554">
        <v>10086</v>
      </c>
      <c r="B1554">
        <v>10086</v>
      </c>
      <c r="C1554" s="476" t="s">
        <v>1919</v>
      </c>
      <c r="D1554" s="607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4.45" hidden="1">
      <c r="A1555">
        <v>10087</v>
      </c>
      <c r="B1555">
        <v>10087</v>
      </c>
      <c r="C1555" s="476" t="s">
        <v>1920</v>
      </c>
      <c r="D1555" s="607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4.45" hidden="1">
      <c r="A1556">
        <v>10088</v>
      </c>
      <c r="B1556">
        <v>10088</v>
      </c>
      <c r="C1556" s="476" t="s">
        <v>1921</v>
      </c>
      <c r="D1556" s="607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4.45" hidden="1">
      <c r="A1557">
        <v>10089</v>
      </c>
      <c r="B1557">
        <v>10089</v>
      </c>
      <c r="C1557" s="476" t="s">
        <v>1922</v>
      </c>
      <c r="D1557" s="607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4.45" hidden="1">
      <c r="A1558">
        <v>10090</v>
      </c>
      <c r="B1558">
        <v>10090</v>
      </c>
      <c r="C1558" s="476" t="s">
        <v>1923</v>
      </c>
      <c r="D1558" s="607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4.45" hidden="1">
      <c r="A1559">
        <v>10091</v>
      </c>
      <c r="B1559">
        <v>10091</v>
      </c>
      <c r="C1559" s="476" t="s">
        <v>1924</v>
      </c>
      <c r="D1559" s="607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4.45" hidden="1">
      <c r="A1560">
        <v>10092</v>
      </c>
      <c r="B1560">
        <v>10092</v>
      </c>
      <c r="C1560" s="476" t="s">
        <v>1925</v>
      </c>
      <c r="D1560" s="607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4.45" hidden="1">
      <c r="A1561">
        <v>10093</v>
      </c>
      <c r="B1561">
        <v>10093</v>
      </c>
      <c r="C1561" s="476" t="s">
        <v>1926</v>
      </c>
      <c r="D1561" s="607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4.45" hidden="1">
      <c r="A1562">
        <v>10094</v>
      </c>
      <c r="B1562">
        <v>10094</v>
      </c>
      <c r="C1562" s="476" t="s">
        <v>1927</v>
      </c>
      <c r="D1562" s="608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4.45" hidden="1">
      <c r="A1563">
        <v>10095</v>
      </c>
      <c r="B1563">
        <v>10095</v>
      </c>
      <c r="C1563" s="476" t="s">
        <v>1373</v>
      </c>
      <c r="D1563" s="607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4.45" hidden="1">
      <c r="A1564">
        <v>10096</v>
      </c>
      <c r="B1564">
        <v>10096</v>
      </c>
      <c r="C1564" s="476" t="s">
        <v>1928</v>
      </c>
      <c r="D1564" s="607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4.45" hidden="1">
      <c r="A1565">
        <v>10097</v>
      </c>
      <c r="B1565">
        <v>10097</v>
      </c>
      <c r="C1565" s="476" t="s">
        <v>1929</v>
      </c>
      <c r="D1565" s="607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4.45" hidden="1">
      <c r="A1566">
        <v>10098</v>
      </c>
      <c r="B1566">
        <v>10098</v>
      </c>
      <c r="C1566" s="476" t="s">
        <v>1930</v>
      </c>
      <c r="D1566" s="607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4.45" hidden="1">
      <c r="A1567">
        <v>10099</v>
      </c>
      <c r="B1567">
        <v>10099</v>
      </c>
      <c r="C1567" s="476" t="s">
        <v>1931</v>
      </c>
      <c r="D1567" s="607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4.45" hidden="1">
      <c r="A1568">
        <v>10100</v>
      </c>
      <c r="B1568">
        <v>10100</v>
      </c>
      <c r="C1568" s="476" t="s">
        <v>1932</v>
      </c>
      <c r="D1568" s="607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4.45" hidden="1">
      <c r="A1569">
        <v>10101</v>
      </c>
      <c r="B1569">
        <v>10101</v>
      </c>
      <c r="C1569" s="476" t="s">
        <v>1933</v>
      </c>
      <c r="D1569" s="607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4.45" hidden="1">
      <c r="A1570">
        <v>10102</v>
      </c>
      <c r="B1570">
        <v>10102</v>
      </c>
      <c r="C1570" s="476" t="s">
        <v>1934</v>
      </c>
      <c r="D1570" s="607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4.45" hidden="1">
      <c r="A1571">
        <v>10103</v>
      </c>
      <c r="B1571">
        <v>10103</v>
      </c>
      <c r="C1571" s="476" t="s">
        <v>1935</v>
      </c>
      <c r="D1571" s="607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4.45" hidden="1">
      <c r="A1572">
        <v>10104</v>
      </c>
      <c r="B1572">
        <v>10104</v>
      </c>
      <c r="C1572" s="476" t="s">
        <v>1936</v>
      </c>
      <c r="D1572" s="607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4.45" hidden="1">
      <c r="A1573">
        <v>10105</v>
      </c>
      <c r="B1573">
        <v>10105</v>
      </c>
      <c r="C1573" s="476" t="s">
        <v>1937</v>
      </c>
      <c r="D1573" s="607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4.45" hidden="1">
      <c r="A1574">
        <v>10106</v>
      </c>
      <c r="B1574">
        <v>10106</v>
      </c>
      <c r="C1574" s="476" t="s">
        <v>1938</v>
      </c>
      <c r="D1574" s="607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4.45" hidden="1">
      <c r="A1575">
        <v>10107</v>
      </c>
      <c r="B1575">
        <v>10107</v>
      </c>
      <c r="C1575" s="476" t="s">
        <v>1939</v>
      </c>
      <c r="D1575" s="607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4.45" hidden="1">
      <c r="A1576">
        <v>10108</v>
      </c>
      <c r="B1576">
        <v>10108</v>
      </c>
      <c r="C1576" s="476" t="s">
        <v>1940</v>
      </c>
      <c r="D1576" s="607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4.45" hidden="1">
      <c r="A1577">
        <v>10109</v>
      </c>
      <c r="B1577">
        <v>10109</v>
      </c>
      <c r="C1577" s="476" t="s">
        <v>1941</v>
      </c>
      <c r="D1577" s="607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4.45" hidden="1">
      <c r="A1578">
        <v>10110</v>
      </c>
      <c r="B1578">
        <v>10110</v>
      </c>
      <c r="C1578" s="476" t="s">
        <v>1942</v>
      </c>
      <c r="D1578" s="607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4.45" hidden="1">
      <c r="A1579">
        <v>10191</v>
      </c>
      <c r="B1579">
        <v>10191</v>
      </c>
      <c r="C1579" s="476" t="s">
        <v>1391</v>
      </c>
      <c r="D1579" s="606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4.45" hidden="1">
      <c r="A1580">
        <v>10192</v>
      </c>
      <c r="B1580">
        <v>10192</v>
      </c>
      <c r="C1580" s="476" t="s">
        <v>1280</v>
      </c>
      <c r="D1580" s="606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4.45" hidden="1">
      <c r="A1581">
        <v>10193</v>
      </c>
      <c r="B1581">
        <v>10193</v>
      </c>
      <c r="C1581" s="476" t="s">
        <v>1943</v>
      </c>
      <c r="D1581" s="606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4.45" hidden="1">
      <c r="A1582">
        <v>10194</v>
      </c>
      <c r="B1582">
        <v>10194</v>
      </c>
      <c r="C1582" s="476" t="s">
        <v>1944</v>
      </c>
      <c r="D1582" s="606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4.45" hidden="1">
      <c r="A1583">
        <v>10195</v>
      </c>
      <c r="B1583">
        <v>10195</v>
      </c>
      <c r="C1583" s="476" t="s">
        <v>1945</v>
      </c>
      <c r="D1583" s="606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4.45" hidden="1">
      <c r="A1584">
        <v>10196</v>
      </c>
      <c r="B1584">
        <v>10196</v>
      </c>
      <c r="C1584" s="476" t="s">
        <v>1946</v>
      </c>
      <c r="D1584" s="606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4.45" hidden="1">
      <c r="A1585">
        <v>10197</v>
      </c>
      <c r="B1585">
        <v>10197</v>
      </c>
      <c r="C1585" s="476" t="s">
        <v>1947</v>
      </c>
      <c r="D1585" s="606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4.45" hidden="1">
      <c r="A1586">
        <v>10198</v>
      </c>
      <c r="B1586">
        <v>10198</v>
      </c>
      <c r="C1586" s="476" t="s">
        <v>1948</v>
      </c>
      <c r="D1586" s="606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4.45" hidden="1">
      <c r="A1587">
        <v>10199</v>
      </c>
      <c r="B1587">
        <v>10199</v>
      </c>
      <c r="C1587" s="476" t="s">
        <v>1949</v>
      </c>
      <c r="D1587" s="606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4.45" hidden="1">
      <c r="A1588">
        <v>10200</v>
      </c>
      <c r="B1588">
        <v>10200</v>
      </c>
      <c r="C1588" s="476" t="s">
        <v>1950</v>
      </c>
      <c r="D1588" s="606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4.45" hidden="1">
      <c r="A1589">
        <v>10201</v>
      </c>
      <c r="B1589">
        <v>10201</v>
      </c>
      <c r="C1589" s="476" t="s">
        <v>1951</v>
      </c>
      <c r="D1589" s="606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4.4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4.4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4.4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4.4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4.4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4.4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4.4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4.4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4.4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4.4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4.4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4.4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4.4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4.4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4.4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4.4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4.4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4.4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4.4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3.1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9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9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[3]constantes!$B$12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[3]constantes!$B$12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[3]constantes!$B$12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[3]constantes!$B$12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[3]constantes!$B$12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[3]constantes!$B$12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[3]constantes!$B$12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[3]constantes!$B$12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[3]constantes!$B$12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[3]constantes!$B$12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[3]constantes!$B$12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[3]constantes!$B$12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[3]constantes!$B$12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[3]constantes!$B$12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[3]constantes!$B$12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[3]constantes!$B$12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[3]constantes!$B$12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[3]constantes!$B$12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[3]constantes!$B$12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[3]constantes!$B$12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[3]constantes!$B$12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[3]constantes!$B$12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[3]constantes!$B$12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[3]constantes!$B$12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[3]constantes!$B$12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[3]constantes!$B$12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[3]constantes!$B$12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[3]constantes!$B$12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[3]constantes!$B$12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[3]constantes!$B$12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[3]constantes!$B$12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[3]constantes!$B$12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[3]constantes!$B$12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[3]constantes!$B$12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[3]constantes!$B$12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[3]constantes!$B$12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[3]constantes!$B$12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[3]constantes!$B$12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[3]constantes!$B$12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[3]constantes!$B$12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[3]constantes!$B$12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[3]constantes!$B$12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[3]constantes!$B$12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[3]constantes!$B$12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[3]constantes!$B$12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[3]constantes!$B$12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[3]constantes!$B$12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[3]constantes!$B$12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[3]constantes!$B$12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[3]constantes!$B$12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[3]constantes!$B$12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[3]constantes!$B$12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[3]constantes!$B$12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[3]constantes!$B$12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[3]constantes!$B$12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[3]constantes!$B$12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[3]constantes!$B$12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[3]constantes!$B$12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[3]constantes!$B$12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[3]constantes!$B$12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[3]constantes!$B$12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[3]constantes!$B$12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[3]constantes!$B$12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[3]constantes!$B$12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[3]constantes!$B$12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[3]constantes!$B$12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[3]constantes!$B$12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[3]constantes!$B$12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[3]constantes!$B$12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[3]constantes!$B$12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[3]constantes!$B$12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[3]constantes!$B$12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[3]constantes!$B$12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[3]constantes!$B$12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[3]constantes!$B$12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[3]constantes!$B$12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[3]constantes!$B$12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[3]constantes!$B$12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[3]constantes!$B$12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[3]constantes!$B$12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[3]constantes!$B$12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[3]constantes!$B$12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[3]constantes!$B$12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[3]constantes!$B$12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[3]constantes!$B$12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[3]constantes!$B$12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[3]constantes!$B$12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[3]constantes!$B$12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[3]constantes!$B$12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[3]constantes!$B$12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[3]constantes!$B$12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[3]constantes!$B$12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[3]constantes!$B$12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[3]constantes!$B$12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[3]constantes!$B$12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[3]constantes!$B$12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[3]constantes!$B$12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[3]constantes!$B$12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[3]constantes!$B$12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[3]constantes!$B$12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[3]constantes!$B$12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[3]constantes!$B$12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[3]constantes!$B$12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[3]constantes!$B$12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[3]constantes!$B$12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[3]constantes!$B$12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[3]constantes!$B$12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[3]constantes!$B$12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[3]constantes!$B$12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[3]constantes!$B$12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[3]constantes!$B$12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[3]constantes!$B$12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[3]constantes!$B$12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[3]constantes!$B$12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[3]constantes!$B$12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[3]constantes!$B$12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[3]constantes!$B$12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[3]constantes!$B$12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[3]constantes!$B$12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[3]constantes!$B$12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[3]constantes!$B$12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[3]constantes!$B$12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[3]constantes!$B$12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[3]constantes!$B$12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[3]constantes!$B$12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[3]constantes!$B$12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[3]constantes!$B$12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[3]constantes!$B$12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[3]constantes!$B$12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[3]constantes!$B$12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[3]constantes!$B$12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[3]constantes!$B$12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[3]constantes!$B$12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[3]constantes!$B$12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[3]constantes!$B$12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[3]constantes!$B$12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[3]constantes!$B$12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[3]constantes!$B$12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[3]constantes!$B$12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[3]constantes!$B$12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[3]constantes!$B$12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[3]constantes!$B$12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[3]constantes!$B$12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[3]constantes!$B$12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[3]constantes!$B$12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[3]constantes!$B$12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[3]constantes!$B$12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[3]constantes!$B$12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[3]constantes!$B$12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[3]constantes!$B$12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[3]constantes!$B$12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[3]constantes!$B$12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[3]constantes!$B$12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[3]constantes!$B$12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[3]constantes!$B$12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[3]constantes!$B$12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[3]constantes!$B$12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[3]constantes!$B$12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7BFC524-2FA3-475F-93E0-CE16D2491D2C}"/>
</file>

<file path=customXml/itemProps2.xml><?xml version="1.0" encoding="utf-8"?>
<ds:datastoreItem xmlns:ds="http://schemas.openxmlformats.org/officeDocument/2006/customXml" ds:itemID="{A3FE3CA4-72F1-4329-B0FD-849492B9E8BC}"/>
</file>

<file path=customXml/itemProps3.xml><?xml version="1.0" encoding="utf-8"?>
<ds:datastoreItem xmlns:ds="http://schemas.openxmlformats.org/officeDocument/2006/customXml" ds:itemID="{FCDA537F-7CFE-4C75-86F0-8E21D89DD68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2022-04-29T22:32:24Z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