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sta\Documents\Google Drive\Acervo Técnico da RedEE\Planilhas\"/>
    </mc:Choice>
  </mc:AlternateContent>
  <xr:revisionPtr revIDLastSave="0" documentId="13_ncr:1_{4B6E3B1A-F650-4274-9479-B6A87FDAF5A0}" xr6:coauthVersionLast="36" xr6:coauthVersionMax="36" xr10:uidLastSave="{00000000-0000-0000-0000-000000000000}"/>
  <bookViews>
    <workbookView xWindow="0" yWindow="0" windowWidth="23040" windowHeight="9060" xr2:uid="{B932B359-E1D8-48D5-852F-9D8C1B438D72}"/>
  </bookViews>
  <sheets>
    <sheet name="Informações" sheetId="2" r:id="rId1"/>
    <sheet name="Iluminação Retrofit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6" i="1" l="1"/>
  <c r="I44" i="1" s="1"/>
  <c r="E12" i="1"/>
  <c r="F12" i="1" s="1"/>
  <c r="D13" i="1"/>
  <c r="E14" i="1"/>
  <c r="F14" i="1" s="1"/>
  <c r="C18" i="1"/>
  <c r="D18" i="1"/>
  <c r="D25" i="1" s="1"/>
  <c r="C19" i="1"/>
  <c r="D19" i="1" s="1"/>
  <c r="C25" i="1"/>
  <c r="C26" i="1"/>
  <c r="C39" i="1"/>
  <c r="E40" i="1"/>
  <c r="C43" i="1"/>
  <c r="H44" i="1"/>
  <c r="D26" i="1" l="1"/>
  <c r="F40" i="1"/>
  <c r="G14" i="1"/>
  <c r="G12" i="1"/>
  <c r="F13" i="1"/>
  <c r="D45" i="1"/>
  <c r="M44" i="1"/>
  <c r="E44" i="1"/>
  <c r="D40" i="1"/>
  <c r="D44" i="1"/>
  <c r="K44" i="1"/>
  <c r="E13" i="1"/>
  <c r="G44" i="1"/>
  <c r="F44" i="1"/>
  <c r="L44" i="1"/>
  <c r="J44" i="1"/>
  <c r="C44" i="1" l="1"/>
  <c r="F45" i="1"/>
  <c r="F18" i="1"/>
  <c r="F25" i="1" s="1"/>
  <c r="G40" i="1"/>
  <c r="H14" i="1"/>
  <c r="E18" i="1"/>
  <c r="E45" i="1"/>
  <c r="H12" i="1"/>
  <c r="G13" i="1"/>
  <c r="H13" i="1" l="1"/>
  <c r="I12" i="1"/>
  <c r="G18" i="1"/>
  <c r="G25" i="1" s="1"/>
  <c r="G45" i="1"/>
  <c r="E25" i="1"/>
  <c r="E19" i="1"/>
  <c r="F19" i="1" s="1"/>
  <c r="G19" i="1" s="1"/>
  <c r="I14" i="1"/>
  <c r="H40" i="1"/>
  <c r="E26" i="1" l="1"/>
  <c r="F26" i="1" s="1"/>
  <c r="G26" i="1" s="1"/>
  <c r="I13" i="1"/>
  <c r="J12" i="1"/>
  <c r="H18" i="1"/>
  <c r="H45" i="1"/>
  <c r="J14" i="1"/>
  <c r="I40" i="1"/>
  <c r="H25" i="1" l="1"/>
  <c r="K12" i="1"/>
  <c r="J13" i="1"/>
  <c r="K14" i="1"/>
  <c r="J40" i="1"/>
  <c r="H19" i="1"/>
  <c r="I18" i="1"/>
  <c r="I25" i="1" s="1"/>
  <c r="I45" i="1"/>
  <c r="L14" i="1" l="1"/>
  <c r="K40" i="1"/>
  <c r="J18" i="1"/>
  <c r="J45" i="1"/>
  <c r="K13" i="1"/>
  <c r="L12" i="1"/>
  <c r="H26" i="1"/>
  <c r="I26" i="1" s="1"/>
  <c r="C32" i="1"/>
  <c r="I19" i="1"/>
  <c r="C33" i="1" l="1"/>
  <c r="M12" i="1"/>
  <c r="M13" i="1" s="1"/>
  <c r="L13" i="1"/>
  <c r="K45" i="1"/>
  <c r="K18" i="1"/>
  <c r="K25" i="1" s="1"/>
  <c r="J19" i="1"/>
  <c r="K19" i="1" s="1"/>
  <c r="J25" i="1"/>
  <c r="L40" i="1"/>
  <c r="M14" i="1"/>
  <c r="M40" i="1" s="1"/>
  <c r="C40" i="1" l="1"/>
  <c r="C42" i="1" s="1"/>
  <c r="C37" i="1" s="1"/>
  <c r="M45" i="1"/>
  <c r="M18" i="1"/>
  <c r="M25" i="1" s="1"/>
  <c r="J26" i="1"/>
  <c r="K26" i="1" s="1"/>
  <c r="L45" i="1"/>
  <c r="L18" i="1"/>
  <c r="L25" i="1" s="1"/>
  <c r="C35" i="1"/>
  <c r="C34" i="1" l="1"/>
  <c r="L26" i="1"/>
  <c r="M26" i="1" s="1"/>
  <c r="C45" i="1"/>
  <c r="C38" i="1" s="1"/>
  <c r="L19" i="1"/>
  <c r="M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Gontijo</author>
  </authors>
  <commentList>
    <comment ref="B9" authorId="0" shapeId="0" xr:uid="{EF76EE1C-8A13-4C2E-9A0E-0D0ACCA0F3F3}">
      <text>
        <r>
          <rPr>
            <b/>
            <sz val="9"/>
            <color indexed="81"/>
            <rFont val="Segoe UI"/>
            <family val="2"/>
          </rPr>
          <t>Gustavo Gontijo:</t>
        </r>
        <r>
          <rPr>
            <sz val="9"/>
            <color indexed="81"/>
            <rFont val="Segoe UI"/>
            <family val="2"/>
          </rPr>
          <t xml:space="preserve">
Todas as saídas de caixa deve ser registradas com sinal negativo. Isto se aplica a Manutenção, Reinvestimento, Alavancagem e Investimento.</t>
        </r>
      </text>
    </comment>
    <comment ref="B16" authorId="0" shapeId="0" xr:uid="{570EDDAD-86B6-440E-81D3-E54FA3CB8DA6}">
      <text>
        <r>
          <rPr>
            <b/>
            <sz val="9"/>
            <color indexed="81"/>
            <rFont val="Segoe UI"/>
            <family val="2"/>
          </rPr>
          <t>Gustavo Gontijo:</t>
        </r>
        <r>
          <rPr>
            <sz val="9"/>
            <color indexed="81"/>
            <rFont val="Segoe UI"/>
            <family val="2"/>
          </rPr>
          <t xml:space="preserve">
Aqui entram as parcelas que amortizam o financiamento, se for o caso.</t>
        </r>
      </text>
    </comment>
  </commentList>
</comments>
</file>

<file path=xl/sharedStrings.xml><?xml version="1.0" encoding="utf-8"?>
<sst xmlns="http://schemas.openxmlformats.org/spreadsheetml/2006/main" count="42" uniqueCount="40">
  <si>
    <r>
      <rPr>
        <b/>
        <u/>
        <sz val="11"/>
        <color rgb="FFFF0000"/>
        <rFont val="Calibri"/>
        <family val="2"/>
        <scheme val="minor"/>
      </rPr>
      <t>Parâmetro:</t>
    </r>
    <r>
      <rPr>
        <sz val="11"/>
        <color rgb="FFFF0000"/>
        <rFont val="Calibri"/>
        <family val="2"/>
        <scheme val="minor"/>
      </rPr>
      <t xml:space="preserve"> O IBC deve ser maior que zero.</t>
    </r>
  </si>
  <si>
    <t>IBC [R$ obtido/R$ investido]</t>
  </si>
  <si>
    <t>LCCE [R$/kWh evitado]</t>
  </si>
  <si>
    <t>VPL Economia total [mil R$]</t>
  </si>
  <si>
    <t>VPL Consumo evitado [mil kWh]</t>
  </si>
  <si>
    <t>Consumo evitado total [mil kWh]</t>
  </si>
  <si>
    <t>VPL Total Investimento [mil R$]</t>
  </si>
  <si>
    <t>VPL Reinvestimento [mil R$]</t>
  </si>
  <si>
    <t>VPL OPEX [mil R$]</t>
  </si>
  <si>
    <t>VPL CAPEX [mil R$]</t>
  </si>
  <si>
    <r>
      <rPr>
        <b/>
        <u/>
        <sz val="11"/>
        <color rgb="FFFF0000"/>
        <rFont val="Calibri"/>
        <family val="2"/>
        <scheme val="minor"/>
      </rPr>
      <t>Parâmetro:</t>
    </r>
    <r>
      <rPr>
        <sz val="11"/>
        <color rgb="FFFF0000"/>
        <rFont val="Calibri"/>
        <family val="2"/>
        <scheme val="minor"/>
      </rPr>
      <t xml:space="preserve"> A TIR deve ser maior que a TMA.</t>
    </r>
  </si>
  <si>
    <t>TIR [% a.a.]</t>
  </si>
  <si>
    <r>
      <rPr>
        <b/>
        <u/>
        <sz val="11"/>
        <color rgb="FFFF0000"/>
        <rFont val="Calibri"/>
        <family val="2"/>
        <scheme val="minor"/>
      </rPr>
      <t>Parâmetro:</t>
    </r>
    <r>
      <rPr>
        <sz val="11"/>
        <color rgb="FFFF0000"/>
        <rFont val="Calibri"/>
        <family val="2"/>
        <scheme val="minor"/>
      </rPr>
      <t xml:space="preserve"> O VPL deve ser maior que zero.</t>
    </r>
  </si>
  <si>
    <t>Valor Presente Líquido [mil R$]</t>
  </si>
  <si>
    <t>Payback descontado [anos]</t>
  </si>
  <si>
    <t>Payback simples [anos]</t>
  </si>
  <si>
    <t>Total acumulado descontado [mil R$]</t>
  </si>
  <si>
    <t>Fluxo de caixa descontado [mil R$]</t>
  </si>
  <si>
    <t>Total acumulado [mil R$]</t>
  </si>
  <si>
    <t>Fluxo de caixa [mil R$]</t>
  </si>
  <si>
    <t>Reinvestimento [mil R$]</t>
  </si>
  <si>
    <t>Manutenção [mil R$]</t>
  </si>
  <si>
    <t>Economia total com energia [mil R$]</t>
  </si>
  <si>
    <t>Tarifa média [R$/kWh]</t>
  </si>
  <si>
    <t>Consumo evitado [mil kWh/ano]</t>
  </si>
  <si>
    <t>Ano</t>
  </si>
  <si>
    <t>Taxa Mínima de Atratividade [% a.a.]</t>
  </si>
  <si>
    <t>Taxa de juros [% a.a.]</t>
  </si>
  <si>
    <t>Tesouro IPCA+</t>
  </si>
  <si>
    <t>Projeção IPCA BC (16/04/2021) [% a.a.]</t>
  </si>
  <si>
    <t>Inflação [% a.a.]</t>
  </si>
  <si>
    <r>
      <t xml:space="preserve">Análise de Viabilidade
</t>
    </r>
    <r>
      <rPr>
        <b/>
        <sz val="20"/>
        <color theme="5"/>
        <rFont val="Calibri"/>
        <family val="2"/>
        <scheme val="minor"/>
      </rPr>
      <t>Retrofit de Iluminação</t>
    </r>
  </si>
  <si>
    <t>Investimento [mil R$]</t>
  </si>
  <si>
    <t>Fluxo de caixa simples</t>
  </si>
  <si>
    <t>Fluxo de caixa descontado</t>
  </si>
  <si>
    <t>Cálculo dos Indicadores</t>
  </si>
  <si>
    <t>TIRM [% a.a.]</t>
  </si>
  <si>
    <r>
      <rPr>
        <b/>
        <u/>
        <sz val="11"/>
        <color rgb="FFFF0000"/>
        <rFont val="Calibri"/>
        <family val="2"/>
        <scheme val="minor"/>
      </rPr>
      <t>Parâmetro:</t>
    </r>
    <r>
      <rPr>
        <sz val="11"/>
        <color rgb="FFFF0000"/>
        <rFont val="Calibri"/>
        <family val="2"/>
        <scheme val="minor"/>
      </rPr>
      <t xml:space="preserve"> A TIRM deve ser maior que a TMA.</t>
    </r>
  </si>
  <si>
    <t>Alavancagem (financiamento) [mil R$]</t>
  </si>
  <si>
    <r>
      <rPr>
        <b/>
        <sz val="20"/>
        <color theme="9" tint="-0.249977111117893"/>
        <rFont val="Calibri"/>
        <family val="2"/>
        <scheme val="minor"/>
      </rPr>
      <t>Informações sobre esta planilha</t>
    </r>
    <r>
      <rPr>
        <sz val="11"/>
        <color theme="1"/>
        <rFont val="Calibri"/>
        <family val="2"/>
        <scheme val="minor"/>
      </rPr>
      <t xml:space="preserve">
Esta planilha foi desenvolvida por Gustavo Vaz Gontijo, no âmbito do projeto RedEE - Edifícios Públicos.
É recomendável não alterar as fórmulas. Em caso de necessidade de adaptação ou correção, entre em contato pelo e-mail </t>
    </r>
    <r>
      <rPr>
        <b/>
        <sz val="11"/>
        <color theme="9" tint="-0.249977111117893"/>
        <rFont val="Calibri"/>
        <family val="2"/>
        <scheme val="minor"/>
      </rPr>
      <t>gustavo@vazgontijo.com.br</t>
    </r>
    <r>
      <rPr>
        <sz val="11"/>
        <color theme="1"/>
        <rFont val="Calibri"/>
        <family val="2"/>
        <scheme val="minor"/>
      </rPr>
      <t xml:space="preserve">
Esta planilha é parte integrante da apresentação intitulada</t>
    </r>
    <r>
      <rPr>
        <b/>
        <sz val="11"/>
        <color theme="9" tint="-0.249977111117893"/>
        <rFont val="Calibri"/>
        <family val="2"/>
        <scheme val="minor"/>
      </rPr>
      <t xml:space="preserve"> Análise de viabilidade econômico financeira de Ações de Eficiência Energética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rgb="FFFF0000"/>
        <rFont val="Calibri"/>
        <family val="2"/>
        <scheme val="minor"/>
      </rPr>
      <t>Assista a esta apresentação</t>
    </r>
    <r>
      <rPr>
        <sz val="11"/>
        <color theme="1"/>
        <rFont val="Calibri"/>
        <family val="2"/>
        <scheme val="minor"/>
      </rPr>
      <t xml:space="preserve">, disponível no Acervo Técnico da RedEE - Edifícios Públicos em </t>
    </r>
    <r>
      <rPr>
        <b/>
        <sz val="11"/>
        <color theme="9" tint="-0.249977111117893"/>
        <rFont val="Calibri"/>
        <family val="2"/>
        <scheme val="minor"/>
      </rPr>
      <t>http://www.mme.gov.br/redee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</si>
</sst>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164" fontId="0" fillId="2" borderId="1" xfId="0" applyNumberFormat="1" applyFill="1" applyBorder="1" applyAlignment="1">
      <alignment horizontal="center"/>
    </xf>
    <xf numFmtId="0" fontId="3" fillId="3" borderId="1" xfId="0" applyFont="1" applyFill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2" borderId="1" xfId="1" applyNumberFormat="1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0" fontId="0" fillId="6" borderId="1" xfId="1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 indent="2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6" fillId="7" borderId="0" xfId="0" applyFont="1" applyFill="1" applyAlignment="1" applyProtection="1">
      <alignment vertical="center" wrapText="1"/>
      <protection locked="0"/>
    </xf>
    <xf numFmtId="0" fontId="0" fillId="0" borderId="0" xfId="0" applyAlignment="1"/>
    <xf numFmtId="0" fontId="0" fillId="0" borderId="0" xfId="0" applyAlignment="1">
      <alignment horizontal="left" vertical="center" indent="2"/>
    </xf>
    <xf numFmtId="0" fontId="8" fillId="3" borderId="4" xfId="0" applyFont="1" applyFill="1" applyBorder="1" applyAlignment="1">
      <alignment horizontal="left" vertical="center" indent="2"/>
    </xf>
    <xf numFmtId="0" fontId="0" fillId="3" borderId="3" xfId="0" applyFill="1" applyBorder="1" applyAlignment="1">
      <alignment horizontal="left" vertical="center" indent="2"/>
    </xf>
    <xf numFmtId="0" fontId="0" fillId="3" borderId="2" xfId="0" applyFill="1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0" fontId="3" fillId="5" borderId="1" xfId="0" applyFont="1" applyFill="1" applyBorder="1" applyAlignment="1">
      <alignment horizontal="right" indent="2"/>
    </xf>
    <xf numFmtId="0" fontId="0" fillId="3" borderId="1" xfId="0" applyFill="1" applyBorder="1" applyAlignment="1">
      <alignment horizontal="left" indent="4"/>
    </xf>
    <xf numFmtId="0" fontId="6" fillId="7" borderId="0" xfId="0" applyFont="1" applyFill="1" applyAlignment="1" applyProtection="1">
      <alignment vertical="center" wrapText="1"/>
      <protection locked="0"/>
    </xf>
    <xf numFmtId="0" fontId="0" fillId="7" borderId="0" xfId="0" applyFill="1" applyAlignment="1" applyProtection="1">
      <protection locked="0"/>
    </xf>
    <xf numFmtId="0" fontId="6" fillId="7" borderId="0" xfId="0" applyFont="1" applyFill="1" applyAlignment="1" applyProtection="1">
      <alignment vertical="center" wrapText="1"/>
      <protection locked="0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7" borderId="0" xfId="0" applyFont="1" applyFill="1" applyAlignment="1" applyProtection="1">
      <alignment horizontal="left" vertical="center" wrapText="1" indent="4"/>
      <protection locked="0"/>
    </xf>
    <xf numFmtId="0" fontId="0" fillId="7" borderId="6" xfId="0" applyFill="1" applyBorder="1" applyAlignment="1" applyProtection="1">
      <alignment vertical="center" wrapText="1"/>
      <protection locked="0"/>
    </xf>
    <xf numFmtId="0" fontId="0" fillId="7" borderId="7" xfId="0" applyFill="1" applyBorder="1" applyAlignment="1" applyProtection="1">
      <alignment vertical="center" wrapText="1"/>
      <protection locked="0"/>
    </xf>
    <xf numFmtId="0" fontId="0" fillId="7" borderId="8" xfId="0" applyFill="1" applyBorder="1" applyAlignment="1" applyProtection="1">
      <alignment vertical="center" wrapText="1"/>
      <protection locked="0"/>
    </xf>
    <xf numFmtId="0" fontId="0" fillId="7" borderId="9" xfId="0" applyFill="1" applyBorder="1" applyAlignment="1" applyProtection="1">
      <alignment vertical="center" wrapText="1"/>
      <protection locked="0"/>
    </xf>
    <xf numFmtId="0" fontId="0" fillId="7" borderId="0" xfId="0" applyFill="1" applyBorder="1" applyAlignment="1" applyProtection="1">
      <alignment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7" borderId="11" xfId="0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0" fillId="7" borderId="13" xfId="0" applyFill="1" applyBorder="1" applyAlignment="1" applyProtection="1">
      <alignment vertical="center" wrapText="1"/>
      <protection locked="0"/>
    </xf>
    <xf numFmtId="0" fontId="0" fillId="7" borderId="6" xfId="0" applyFill="1" applyBorder="1" applyAlignment="1" applyProtection="1">
      <alignment horizontal="center" vertical="top" wrapText="1"/>
      <protection locked="0"/>
    </xf>
    <xf numFmtId="0" fontId="0" fillId="7" borderId="7" xfId="0" applyFill="1" applyBorder="1" applyAlignment="1" applyProtection="1">
      <alignment horizontal="center" vertical="top" wrapText="1"/>
      <protection locked="0"/>
    </xf>
    <xf numFmtId="0" fontId="0" fillId="7" borderId="8" xfId="0" applyFill="1" applyBorder="1" applyAlignment="1" applyProtection="1">
      <alignment horizontal="center" vertical="top" wrapText="1"/>
      <protection locked="0"/>
    </xf>
    <xf numFmtId="0" fontId="0" fillId="7" borderId="9" xfId="0" applyFill="1" applyBorder="1" applyAlignment="1" applyProtection="1">
      <alignment horizontal="center" vertical="top" wrapText="1"/>
      <protection locked="0"/>
    </xf>
    <xf numFmtId="0" fontId="0" fillId="7" borderId="0" xfId="0" applyFill="1" applyBorder="1" applyAlignment="1" applyProtection="1">
      <alignment horizontal="center" vertical="top" wrapText="1"/>
      <protection locked="0"/>
    </xf>
    <xf numFmtId="0" fontId="0" fillId="7" borderId="10" xfId="0" applyFill="1" applyBorder="1" applyAlignment="1" applyProtection="1">
      <alignment horizontal="center" vertical="top" wrapText="1"/>
      <protection locked="0"/>
    </xf>
    <xf numFmtId="0" fontId="0" fillId="7" borderId="11" xfId="0" applyFill="1" applyBorder="1" applyAlignment="1" applyProtection="1">
      <alignment horizontal="center" vertical="top" wrapText="1"/>
      <protection locked="0"/>
    </xf>
    <xf numFmtId="0" fontId="0" fillId="7" borderId="12" xfId="0" applyFill="1" applyBorder="1" applyAlignment="1" applyProtection="1">
      <alignment horizontal="center" vertical="top" wrapText="1"/>
      <protection locked="0"/>
    </xf>
    <xf numFmtId="0" fontId="0" fillId="7" borderId="13" xfId="0" applyFill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</xdr:rowOff>
    </xdr:from>
    <xdr:to>
      <xdr:col>1</xdr:col>
      <xdr:colOff>1069322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36C8613-BED6-49B4-A425-2553D2D60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1648442" cy="1082040"/>
        </a:xfrm>
        <a:prstGeom prst="rect">
          <a:avLst/>
        </a:prstGeom>
      </xdr:spPr>
    </xdr:pic>
    <xdr:clientData/>
  </xdr:twoCellAnchor>
  <xdr:twoCellAnchor editAs="oneCell">
    <xdr:from>
      <xdr:col>1</xdr:col>
      <xdr:colOff>354330</xdr:colOff>
      <xdr:row>17</xdr:row>
      <xdr:rowOff>116205</xdr:rowOff>
    </xdr:from>
    <xdr:to>
      <xdr:col>6</xdr:col>
      <xdr:colOff>506730</xdr:colOff>
      <xdr:row>21</xdr:row>
      <xdr:rowOff>135315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AE871FB-3053-4047-BAF5-D9F41BFBB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3930" y="4147185"/>
          <a:ext cx="4617720" cy="750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</xdr:rowOff>
    </xdr:from>
    <xdr:to>
      <xdr:col>1</xdr:col>
      <xdr:colOff>1488422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EF57ACC-6628-463B-B441-1D7E8C5AE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1648442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4C947-C6F8-4CFB-AA17-A3286D2DF669}">
  <dimension ref="A1:I22"/>
  <sheetViews>
    <sheetView showGridLines="0" tabSelected="1" zoomScaleNormal="100" workbookViewId="0">
      <selection activeCell="A3" sqref="A3"/>
    </sheetView>
  </sheetViews>
  <sheetFormatPr defaultRowHeight="14.4" x14ac:dyDescent="0.3"/>
  <cols>
    <col min="2" max="2" width="15.77734375" customWidth="1"/>
    <col min="5" max="7" width="15.77734375" customWidth="1"/>
    <col min="9" max="9" width="15.21875" bestFit="1" customWidth="1"/>
    <col min="12" max="14" width="15.77734375" customWidth="1"/>
  </cols>
  <sheetData>
    <row r="1" spans="1:9" s="27" customFormat="1" ht="85.95" customHeight="1" x14ac:dyDescent="0.3">
      <c r="A1" s="36"/>
      <c r="B1" s="36"/>
      <c r="C1" s="40" t="s">
        <v>31</v>
      </c>
      <c r="D1" s="40"/>
      <c r="E1" s="40"/>
      <c r="F1" s="40"/>
      <c r="G1" s="40"/>
      <c r="H1" s="40"/>
      <c r="I1" s="35"/>
    </row>
    <row r="4" spans="1:9" ht="15" thickBot="1" x14ac:dyDescent="0.35"/>
    <row r="5" spans="1:9" x14ac:dyDescent="0.3">
      <c r="B5" s="41" t="s">
        <v>39</v>
      </c>
      <c r="C5" s="42"/>
      <c r="D5" s="42"/>
      <c r="E5" s="42"/>
      <c r="F5" s="42"/>
      <c r="G5" s="43"/>
    </row>
    <row r="6" spans="1:9" x14ac:dyDescent="0.3">
      <c r="B6" s="44"/>
      <c r="C6" s="45"/>
      <c r="D6" s="45"/>
      <c r="E6" s="45"/>
      <c r="F6" s="45"/>
      <c r="G6" s="46"/>
    </row>
    <row r="7" spans="1:9" x14ac:dyDescent="0.3">
      <c r="B7" s="44"/>
      <c r="C7" s="45"/>
      <c r="D7" s="45"/>
      <c r="E7" s="45"/>
      <c r="F7" s="45"/>
      <c r="G7" s="46"/>
    </row>
    <row r="8" spans="1:9" x14ac:dyDescent="0.3">
      <c r="B8" s="44"/>
      <c r="C8" s="45"/>
      <c r="D8" s="45"/>
      <c r="E8" s="45"/>
      <c r="F8" s="45"/>
      <c r="G8" s="46"/>
    </row>
    <row r="9" spans="1:9" x14ac:dyDescent="0.3">
      <c r="B9" s="44"/>
      <c r="C9" s="45"/>
      <c r="D9" s="45"/>
      <c r="E9" s="45"/>
      <c r="F9" s="45"/>
      <c r="G9" s="46"/>
    </row>
    <row r="10" spans="1:9" x14ac:dyDescent="0.3">
      <c r="B10" s="44"/>
      <c r="C10" s="45"/>
      <c r="D10" s="45"/>
      <c r="E10" s="45"/>
      <c r="F10" s="45"/>
      <c r="G10" s="46"/>
    </row>
    <row r="11" spans="1:9" x14ac:dyDescent="0.3">
      <c r="B11" s="44"/>
      <c r="C11" s="45"/>
      <c r="D11" s="45"/>
      <c r="E11" s="45"/>
      <c r="F11" s="45"/>
      <c r="G11" s="46"/>
    </row>
    <row r="12" spans="1:9" x14ac:dyDescent="0.3">
      <c r="B12" s="44"/>
      <c r="C12" s="45"/>
      <c r="D12" s="45"/>
      <c r="E12" s="45"/>
      <c r="F12" s="45"/>
      <c r="G12" s="46"/>
    </row>
    <row r="13" spans="1:9" x14ac:dyDescent="0.3">
      <c r="B13" s="44"/>
      <c r="C13" s="45"/>
      <c r="D13" s="45"/>
      <c r="E13" s="45"/>
      <c r="F13" s="45"/>
      <c r="G13" s="46"/>
    </row>
    <row r="14" spans="1:9" x14ac:dyDescent="0.3">
      <c r="B14" s="44"/>
      <c r="C14" s="45"/>
      <c r="D14" s="45"/>
      <c r="E14" s="45"/>
      <c r="F14" s="45"/>
      <c r="G14" s="46"/>
    </row>
    <row r="15" spans="1:9" x14ac:dyDescent="0.3">
      <c r="B15" s="44"/>
      <c r="C15" s="45"/>
      <c r="D15" s="45"/>
      <c r="E15" s="45"/>
      <c r="F15" s="45"/>
      <c r="G15" s="46"/>
    </row>
    <row r="16" spans="1:9" x14ac:dyDescent="0.3">
      <c r="B16" s="44"/>
      <c r="C16" s="45"/>
      <c r="D16" s="45"/>
      <c r="E16" s="45"/>
      <c r="F16" s="45"/>
      <c r="G16" s="46"/>
    </row>
    <row r="17" spans="2:7" ht="15" thickBot="1" x14ac:dyDescent="0.35">
      <c r="B17" s="47"/>
      <c r="C17" s="48"/>
      <c r="D17" s="48"/>
      <c r="E17" s="48"/>
      <c r="F17" s="48"/>
      <c r="G17" s="49"/>
    </row>
    <row r="18" spans="2:7" x14ac:dyDescent="0.3">
      <c r="B18" s="50"/>
      <c r="C18" s="51"/>
      <c r="D18" s="51"/>
      <c r="E18" s="51"/>
      <c r="F18" s="51"/>
      <c r="G18" s="52"/>
    </row>
    <row r="19" spans="2:7" x14ac:dyDescent="0.3">
      <c r="B19" s="53"/>
      <c r="C19" s="54"/>
      <c r="D19" s="54"/>
      <c r="E19" s="54"/>
      <c r="F19" s="54"/>
      <c r="G19" s="55"/>
    </row>
    <row r="20" spans="2:7" x14ac:dyDescent="0.3">
      <c r="B20" s="53"/>
      <c r="C20" s="54"/>
      <c r="D20" s="54"/>
      <c r="E20" s="54"/>
      <c r="F20" s="54"/>
      <c r="G20" s="55"/>
    </row>
    <row r="21" spans="2:7" x14ac:dyDescent="0.3">
      <c r="B21" s="53"/>
      <c r="C21" s="54"/>
      <c r="D21" s="54"/>
      <c r="E21" s="54"/>
      <c r="F21" s="54"/>
      <c r="G21" s="55"/>
    </row>
    <row r="22" spans="2:7" ht="15" thickBot="1" x14ac:dyDescent="0.35">
      <c r="B22" s="56"/>
      <c r="C22" s="57"/>
      <c r="D22" s="57"/>
      <c r="E22" s="57"/>
      <c r="F22" s="57"/>
      <c r="G22" s="58"/>
    </row>
  </sheetData>
  <mergeCells count="4">
    <mergeCell ref="A1:B1"/>
    <mergeCell ref="C1:H1"/>
    <mergeCell ref="B5:G17"/>
    <mergeCell ref="B18:G22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9ECD8-60C8-43B5-807E-D358EABE751D}">
  <dimension ref="A1:R45"/>
  <sheetViews>
    <sheetView showGridLines="0" workbookViewId="0">
      <selection activeCell="A2" sqref="A2"/>
    </sheetView>
  </sheetViews>
  <sheetFormatPr defaultRowHeight="14.4" x14ac:dyDescent="0.3"/>
  <cols>
    <col min="1" max="1" width="2.77734375" customWidth="1"/>
    <col min="2" max="2" width="34.33203125" customWidth="1"/>
    <col min="3" max="3" width="9.6640625" style="1" customWidth="1"/>
    <col min="4" max="10" width="9.109375" style="1" bestFit="1" customWidth="1"/>
    <col min="11" max="13" width="9" style="1" bestFit="1" customWidth="1"/>
  </cols>
  <sheetData>
    <row r="1" spans="1:14" s="27" customFormat="1" ht="85.95" customHeight="1" x14ac:dyDescent="0.3">
      <c r="A1" s="36"/>
      <c r="B1" s="36"/>
      <c r="C1" s="37" t="s">
        <v>31</v>
      </c>
      <c r="D1" s="37"/>
      <c r="E1" s="37"/>
      <c r="F1" s="37"/>
      <c r="G1" s="37"/>
      <c r="H1" s="37"/>
      <c r="I1" s="26"/>
    </row>
    <row r="4" spans="1:14" x14ac:dyDescent="0.3">
      <c r="B4" s="4" t="s">
        <v>30</v>
      </c>
      <c r="C4" s="20">
        <v>3.3500000000000002E-2</v>
      </c>
      <c r="E4" s="23" t="s">
        <v>29</v>
      </c>
      <c r="F4" s="25"/>
      <c r="G4" s="25"/>
      <c r="H4" s="25"/>
      <c r="I4" s="24"/>
      <c r="K4" s="23" t="s">
        <v>28</v>
      </c>
      <c r="L4" s="22"/>
      <c r="M4" s="21"/>
    </row>
    <row r="5" spans="1:14" x14ac:dyDescent="0.3">
      <c r="B5" s="4" t="s">
        <v>27</v>
      </c>
      <c r="C5" s="20">
        <v>3.7400000000000003E-2</v>
      </c>
      <c r="E5" s="19">
        <v>2021</v>
      </c>
      <c r="F5" s="19">
        <v>2022</v>
      </c>
      <c r="G5" s="19">
        <v>2023</v>
      </c>
      <c r="H5" s="19">
        <v>2024</v>
      </c>
      <c r="I5" s="19">
        <v>2025</v>
      </c>
      <c r="K5" s="19">
        <v>2026</v>
      </c>
      <c r="L5" s="19">
        <v>2035</v>
      </c>
      <c r="M5" s="19">
        <v>2045</v>
      </c>
    </row>
    <row r="6" spans="1:14" x14ac:dyDescent="0.3">
      <c r="B6" s="4" t="s">
        <v>26</v>
      </c>
      <c r="C6" s="7">
        <f>((1+C4)*(1+C5)-1)</f>
        <v>7.2152900000000297E-2</v>
      </c>
      <c r="E6" s="18">
        <v>4.9099999999999998E-2</v>
      </c>
      <c r="F6" s="18">
        <v>3.6400000000000002E-2</v>
      </c>
      <c r="G6" s="18">
        <v>3.3500000000000002E-2</v>
      </c>
      <c r="H6" s="18">
        <v>3.2899999999999999E-2</v>
      </c>
      <c r="I6" s="18">
        <v>3.27E-2</v>
      </c>
      <c r="K6" s="18">
        <v>3.7400000000000003E-2</v>
      </c>
      <c r="L6" s="18">
        <v>4.1799999999999997E-2</v>
      </c>
      <c r="M6" s="18">
        <v>4.1799999999999997E-2</v>
      </c>
    </row>
    <row r="9" spans="1:14" s="28" customFormat="1" ht="28.8" customHeight="1" x14ac:dyDescent="0.3">
      <c r="B9" s="29" t="s">
        <v>33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1"/>
      <c r="N9" s="32"/>
    </row>
    <row r="10" spans="1:14" x14ac:dyDescent="0.3">
      <c r="B10" s="33" t="s">
        <v>25</v>
      </c>
      <c r="C10" s="17">
        <v>0</v>
      </c>
      <c r="D10" s="17">
        <v>1</v>
      </c>
      <c r="E10" s="17">
        <v>2</v>
      </c>
      <c r="F10" s="17">
        <v>3</v>
      </c>
      <c r="G10" s="17">
        <v>4</v>
      </c>
      <c r="H10" s="17">
        <v>5</v>
      </c>
      <c r="I10" s="17">
        <v>6</v>
      </c>
      <c r="J10" s="17">
        <v>7</v>
      </c>
      <c r="K10" s="17">
        <v>8</v>
      </c>
      <c r="L10" s="17">
        <v>9</v>
      </c>
      <c r="M10" s="17">
        <v>10</v>
      </c>
    </row>
    <row r="11" spans="1:14" x14ac:dyDescent="0.3">
      <c r="B11" s="4" t="s">
        <v>24</v>
      </c>
      <c r="C11" s="6"/>
      <c r="D11" s="16">
        <v>835.53</v>
      </c>
      <c r="E11" s="16">
        <v>835.53</v>
      </c>
      <c r="F11" s="16">
        <v>835.53</v>
      </c>
      <c r="G11" s="16">
        <v>835.53</v>
      </c>
      <c r="H11" s="16">
        <v>835.53</v>
      </c>
      <c r="I11" s="16">
        <v>835.53</v>
      </c>
      <c r="J11" s="16">
        <v>835.53</v>
      </c>
      <c r="K11" s="16">
        <v>835.53</v>
      </c>
      <c r="L11" s="16">
        <v>835.53</v>
      </c>
      <c r="M11" s="16">
        <v>835.53</v>
      </c>
    </row>
    <row r="12" spans="1:14" x14ac:dyDescent="0.3">
      <c r="B12" s="4" t="s">
        <v>23</v>
      </c>
      <c r="C12" s="6"/>
      <c r="D12" s="15">
        <v>0.48559000000000002</v>
      </c>
      <c r="E12" s="14">
        <f t="shared" ref="E12:M12" si="0">D12*(1+$C$4)</f>
        <v>0.50185726500000005</v>
      </c>
      <c r="F12" s="14">
        <f t="shared" si="0"/>
        <v>0.51866948337750007</v>
      </c>
      <c r="G12" s="14">
        <f t="shared" si="0"/>
        <v>0.53604491107064633</v>
      </c>
      <c r="H12" s="14">
        <f t="shared" si="0"/>
        <v>0.55400241559151309</v>
      </c>
      <c r="I12" s="14">
        <f t="shared" si="0"/>
        <v>0.57256149651382882</v>
      </c>
      <c r="J12" s="14">
        <f t="shared" si="0"/>
        <v>0.59174230664704208</v>
      </c>
      <c r="K12" s="14">
        <f t="shared" si="0"/>
        <v>0.61156567391971806</v>
      </c>
      <c r="L12" s="14">
        <f t="shared" si="0"/>
        <v>0.63205312399602864</v>
      </c>
      <c r="M12" s="14">
        <f t="shared" si="0"/>
        <v>0.65322690364989566</v>
      </c>
    </row>
    <row r="13" spans="1:14" x14ac:dyDescent="0.3">
      <c r="B13" s="4" t="s">
        <v>22</v>
      </c>
      <c r="C13" s="6"/>
      <c r="D13" s="12">
        <f t="shared" ref="D13:M13" si="1">D11*D12</f>
        <v>405.72501269999998</v>
      </c>
      <c r="E13" s="12">
        <f t="shared" si="1"/>
        <v>419.31680062545001</v>
      </c>
      <c r="F13" s="12">
        <f t="shared" si="1"/>
        <v>433.36391344640265</v>
      </c>
      <c r="G13" s="12">
        <f t="shared" si="1"/>
        <v>447.88160454685709</v>
      </c>
      <c r="H13" s="12">
        <f t="shared" si="1"/>
        <v>462.88563829917689</v>
      </c>
      <c r="I13" s="12">
        <f t="shared" si="1"/>
        <v>478.39230718219937</v>
      </c>
      <c r="J13" s="12">
        <f t="shared" si="1"/>
        <v>494.41844947280305</v>
      </c>
      <c r="K13" s="12">
        <f t="shared" si="1"/>
        <v>510.98146753014203</v>
      </c>
      <c r="L13" s="12">
        <f t="shared" si="1"/>
        <v>528.09934669240181</v>
      </c>
      <c r="M13" s="12">
        <f t="shared" si="1"/>
        <v>545.79067480659728</v>
      </c>
    </row>
    <row r="14" spans="1:14" x14ac:dyDescent="0.3">
      <c r="B14" s="4" t="s">
        <v>21</v>
      </c>
      <c r="C14" s="6"/>
      <c r="D14" s="13">
        <v>0</v>
      </c>
      <c r="E14" s="5">
        <f t="shared" ref="E14:M14" si="2">D14*(1+$C$4)</f>
        <v>0</v>
      </c>
      <c r="F14" s="5">
        <f t="shared" si="2"/>
        <v>0</v>
      </c>
      <c r="G14" s="5">
        <f t="shared" si="2"/>
        <v>0</v>
      </c>
      <c r="H14" s="5">
        <f t="shared" si="2"/>
        <v>0</v>
      </c>
      <c r="I14" s="5">
        <f t="shared" si="2"/>
        <v>0</v>
      </c>
      <c r="J14" s="5">
        <f t="shared" si="2"/>
        <v>0</v>
      </c>
      <c r="K14" s="5">
        <f t="shared" si="2"/>
        <v>0</v>
      </c>
      <c r="L14" s="5">
        <f t="shared" si="2"/>
        <v>0</v>
      </c>
      <c r="M14" s="5">
        <f t="shared" si="2"/>
        <v>0</v>
      </c>
    </row>
    <row r="15" spans="1:14" x14ac:dyDescent="0.3">
      <c r="B15" s="4" t="s">
        <v>20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4" x14ac:dyDescent="0.3">
      <c r="B16" s="4" t="s">
        <v>38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2:18" x14ac:dyDescent="0.3">
      <c r="B17" s="4" t="s">
        <v>32</v>
      </c>
      <c r="C17" s="11">
        <v>-1965.0443600000001</v>
      </c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2:18" x14ac:dyDescent="0.3">
      <c r="B18" s="4" t="s">
        <v>19</v>
      </c>
      <c r="C18" s="5">
        <f t="shared" ref="C18:M18" si="3">SUM(C13:C17)</f>
        <v>-1965.0443600000001</v>
      </c>
      <c r="D18" s="12">
        <f t="shared" si="3"/>
        <v>405.72501269999998</v>
      </c>
      <c r="E18" s="12">
        <f t="shared" si="3"/>
        <v>419.31680062545001</v>
      </c>
      <c r="F18" s="12">
        <f t="shared" si="3"/>
        <v>433.36391344640265</v>
      </c>
      <c r="G18" s="12">
        <f t="shared" si="3"/>
        <v>447.88160454685709</v>
      </c>
      <c r="H18" s="12">
        <f t="shared" si="3"/>
        <v>462.88563829917689</v>
      </c>
      <c r="I18" s="12">
        <f t="shared" si="3"/>
        <v>478.39230718219937</v>
      </c>
      <c r="J18" s="12">
        <f t="shared" si="3"/>
        <v>494.41844947280305</v>
      </c>
      <c r="K18" s="12">
        <f t="shared" si="3"/>
        <v>510.98146753014203</v>
      </c>
      <c r="L18" s="12">
        <f t="shared" si="3"/>
        <v>528.09934669240181</v>
      </c>
      <c r="M18" s="12">
        <f t="shared" si="3"/>
        <v>545.79067480659728</v>
      </c>
    </row>
    <row r="19" spans="2:18" x14ac:dyDescent="0.3">
      <c r="B19" s="4" t="s">
        <v>18</v>
      </c>
      <c r="C19" s="5">
        <f>C18</f>
        <v>-1965.0443600000001</v>
      </c>
      <c r="D19" s="5">
        <f t="shared" ref="D19:M19" si="4">C19+D18</f>
        <v>-1559.3193473000001</v>
      </c>
      <c r="E19" s="5">
        <f t="shared" si="4"/>
        <v>-1140.0025466745501</v>
      </c>
      <c r="F19" s="5">
        <f t="shared" si="4"/>
        <v>-706.63863322814746</v>
      </c>
      <c r="G19" s="5">
        <f t="shared" si="4"/>
        <v>-258.75702868129036</v>
      </c>
      <c r="H19" s="10">
        <f t="shared" si="4"/>
        <v>204.12860961788653</v>
      </c>
      <c r="I19" s="5">
        <f t="shared" si="4"/>
        <v>682.52091680008584</v>
      </c>
      <c r="J19" s="5">
        <f t="shared" si="4"/>
        <v>1176.9393662728889</v>
      </c>
      <c r="K19" s="5">
        <f t="shared" si="4"/>
        <v>1687.920833803031</v>
      </c>
      <c r="L19" s="11">
        <f t="shared" si="4"/>
        <v>2216.0201804954327</v>
      </c>
      <c r="M19" s="5">
        <f t="shared" si="4"/>
        <v>2761.8108553020302</v>
      </c>
    </row>
    <row r="23" spans="2:18" s="28" customFormat="1" ht="28.8" customHeight="1" x14ac:dyDescent="0.3">
      <c r="B23" s="29" t="s">
        <v>34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1"/>
      <c r="N23" s="32"/>
    </row>
    <row r="24" spans="2:18" x14ac:dyDescent="0.3">
      <c r="B24" s="33" t="s">
        <v>25</v>
      </c>
      <c r="C24" s="17">
        <v>0</v>
      </c>
      <c r="D24" s="17">
        <v>1</v>
      </c>
      <c r="E24" s="17">
        <v>2</v>
      </c>
      <c r="F24" s="17">
        <v>3</v>
      </c>
      <c r="G24" s="17">
        <v>4</v>
      </c>
      <c r="H24" s="17">
        <v>5</v>
      </c>
      <c r="I24" s="17">
        <v>6</v>
      </c>
      <c r="J24" s="17">
        <v>7</v>
      </c>
      <c r="K24" s="17">
        <v>8</v>
      </c>
      <c r="L24" s="17">
        <v>9</v>
      </c>
      <c r="M24" s="17">
        <v>10</v>
      </c>
    </row>
    <row r="25" spans="2:18" x14ac:dyDescent="0.3">
      <c r="B25" s="4" t="s">
        <v>17</v>
      </c>
      <c r="C25" s="5">
        <f>C18</f>
        <v>-1965.0443600000001</v>
      </c>
      <c r="D25" s="5">
        <f t="shared" ref="D25:M25" si="5">D18/(1+$C$6)^D10</f>
        <v>378.42085088796557</v>
      </c>
      <c r="E25" s="5">
        <f t="shared" si="5"/>
        <v>364.77814814725804</v>
      </c>
      <c r="F25" s="5">
        <f t="shared" si="5"/>
        <v>351.62728759134177</v>
      </c>
      <c r="G25" s="5">
        <f t="shared" si="5"/>
        <v>338.95053748924397</v>
      </c>
      <c r="H25" s="5">
        <f t="shared" si="5"/>
        <v>326.73080536846339</v>
      </c>
      <c r="I25" s="5">
        <f t="shared" si="5"/>
        <v>314.95161496863631</v>
      </c>
      <c r="J25" s="5">
        <f t="shared" si="5"/>
        <v>303.59708402606151</v>
      </c>
      <c r="K25" s="5">
        <f t="shared" si="5"/>
        <v>292.65190285913002</v>
      </c>
      <c r="L25" s="5">
        <f t="shared" si="5"/>
        <v>282.10131372578559</v>
      </c>
      <c r="M25" s="5">
        <f t="shared" si="5"/>
        <v>271.93109092518364</v>
      </c>
    </row>
    <row r="26" spans="2:18" x14ac:dyDescent="0.3">
      <c r="B26" s="4" t="s">
        <v>16</v>
      </c>
      <c r="C26" s="5">
        <f>C25</f>
        <v>-1965.0443600000001</v>
      </c>
      <c r="D26" s="5">
        <f t="shared" ref="D26:M26" si="6">C26+D25</f>
        <v>-1586.6235091120345</v>
      </c>
      <c r="E26" s="5">
        <f t="shared" si="6"/>
        <v>-1221.8453609647765</v>
      </c>
      <c r="F26" s="5">
        <f t="shared" si="6"/>
        <v>-870.21807337343478</v>
      </c>
      <c r="G26" s="5">
        <f t="shared" si="6"/>
        <v>-531.26753588419081</v>
      </c>
      <c r="H26" s="5">
        <f t="shared" si="6"/>
        <v>-204.53673051572741</v>
      </c>
      <c r="I26" s="10">
        <f t="shared" si="6"/>
        <v>110.41488445290889</v>
      </c>
      <c r="J26" s="5">
        <f t="shared" si="6"/>
        <v>414.0119684789704</v>
      </c>
      <c r="K26" s="5">
        <f t="shared" si="6"/>
        <v>706.66387133810042</v>
      </c>
      <c r="L26" s="5">
        <f t="shared" si="6"/>
        <v>988.76518506388607</v>
      </c>
      <c r="M26" s="5">
        <f t="shared" si="6"/>
        <v>1260.6962759890698</v>
      </c>
    </row>
    <row r="27" spans="2:18" x14ac:dyDescent="0.3">
      <c r="N27" s="1"/>
      <c r="O27" s="1"/>
      <c r="P27" s="1"/>
      <c r="Q27" s="1"/>
      <c r="R27" s="1"/>
    </row>
    <row r="28" spans="2:18" x14ac:dyDescent="0.3">
      <c r="N28" s="1"/>
      <c r="O28" s="1"/>
      <c r="P28" s="1"/>
      <c r="Q28" s="1"/>
      <c r="R28" s="1"/>
    </row>
    <row r="29" spans="2:18" x14ac:dyDescent="0.3">
      <c r="N29" s="1"/>
      <c r="O29" s="1"/>
      <c r="P29" s="1"/>
      <c r="Q29" s="1"/>
      <c r="R29" s="1"/>
    </row>
    <row r="30" spans="2:18" ht="28.8" customHeight="1" x14ac:dyDescent="0.3">
      <c r="B30" s="38" t="s">
        <v>35</v>
      </c>
      <c r="C30" s="39"/>
      <c r="N30" s="1"/>
      <c r="O30" s="1"/>
      <c r="P30" s="1"/>
      <c r="Q30" s="1"/>
      <c r="R30" s="1"/>
    </row>
    <row r="32" spans="2:18" x14ac:dyDescent="0.3">
      <c r="B32" s="4" t="s">
        <v>15</v>
      </c>
      <c r="C32" s="9">
        <f>G10+1-(H19/(H19-G19))</f>
        <v>4.5590085482713718</v>
      </c>
    </row>
    <row r="33" spans="2:13" x14ac:dyDescent="0.3">
      <c r="B33" s="4" t="s">
        <v>14</v>
      </c>
      <c r="C33" s="9">
        <f>H10+1-(I26/(I26-H26))</f>
        <v>5.6494227074723709</v>
      </c>
    </row>
    <row r="34" spans="2:13" x14ac:dyDescent="0.3">
      <c r="B34" s="4" t="s">
        <v>13</v>
      </c>
      <c r="C34" s="8">
        <f>C25+SUM(D25:M25)</f>
        <v>1260.69627598907</v>
      </c>
      <c r="E34" s="2" t="s">
        <v>12</v>
      </c>
    </row>
    <row r="35" spans="2:13" x14ac:dyDescent="0.3">
      <c r="B35" s="4" t="s">
        <v>11</v>
      </c>
      <c r="C35" s="7">
        <f>IRR(C18:M18)</f>
        <v>0.18924117083089431</v>
      </c>
      <c r="E35" s="2" t="s">
        <v>10</v>
      </c>
    </row>
    <row r="36" spans="2:13" x14ac:dyDescent="0.3">
      <c r="B36" s="4" t="s">
        <v>36</v>
      </c>
      <c r="C36" s="7">
        <f>MIRR(C18:M18,C6,C6)</f>
        <v>0.12663291007603394</v>
      </c>
      <c r="E36" s="2" t="s">
        <v>37</v>
      </c>
    </row>
    <row r="37" spans="2:13" x14ac:dyDescent="0.3">
      <c r="B37" s="4" t="s">
        <v>2</v>
      </c>
      <c r="C37" s="3">
        <f>C42/C44</f>
        <v>0.33819117390075126</v>
      </c>
    </row>
    <row r="38" spans="2:13" x14ac:dyDescent="0.3">
      <c r="B38" s="4" t="s">
        <v>1</v>
      </c>
      <c r="C38" s="3">
        <f>C45/C42</f>
        <v>1.641561229685965</v>
      </c>
      <c r="E38" s="2" t="s">
        <v>0</v>
      </c>
    </row>
    <row r="39" spans="2:13" x14ac:dyDescent="0.3">
      <c r="B39" s="34" t="s">
        <v>9</v>
      </c>
      <c r="C39" s="5">
        <f>-C17</f>
        <v>1965.0443600000001</v>
      </c>
    </row>
    <row r="40" spans="2:13" x14ac:dyDescent="0.3">
      <c r="B40" s="34" t="s">
        <v>8</v>
      </c>
      <c r="C40" s="6">
        <f>-SUM(D40:M40)</f>
        <v>0</v>
      </c>
      <c r="D40" s="5">
        <f t="shared" ref="D40:M40" si="7">D14/(1+$C$6)^D10</f>
        <v>0</v>
      </c>
      <c r="E40" s="5">
        <f t="shared" si="7"/>
        <v>0</v>
      </c>
      <c r="F40" s="5">
        <f t="shared" si="7"/>
        <v>0</v>
      </c>
      <c r="G40" s="5">
        <f t="shared" si="7"/>
        <v>0</v>
      </c>
      <c r="H40" s="5">
        <f t="shared" si="7"/>
        <v>0</v>
      </c>
      <c r="I40" s="5">
        <f t="shared" si="7"/>
        <v>0</v>
      </c>
      <c r="J40" s="5">
        <f t="shared" si="7"/>
        <v>0</v>
      </c>
      <c r="K40" s="5">
        <f t="shared" si="7"/>
        <v>0</v>
      </c>
      <c r="L40" s="5">
        <f t="shared" si="7"/>
        <v>0</v>
      </c>
      <c r="M40" s="5">
        <f t="shared" si="7"/>
        <v>0</v>
      </c>
    </row>
    <row r="41" spans="2:13" x14ac:dyDescent="0.3">
      <c r="B41" s="34" t="s">
        <v>7</v>
      </c>
      <c r="C41" s="6">
        <v>0</v>
      </c>
    </row>
    <row r="42" spans="2:13" x14ac:dyDescent="0.3">
      <c r="B42" s="34" t="s">
        <v>6</v>
      </c>
      <c r="C42" s="5">
        <f>SUM(C39:C41)</f>
        <v>1965.0443600000001</v>
      </c>
    </row>
    <row r="43" spans="2:13" x14ac:dyDescent="0.3">
      <c r="B43" s="34" t="s">
        <v>5</v>
      </c>
      <c r="C43" s="5">
        <f>SUM(D11:M11)</f>
        <v>8355.2999999999993</v>
      </c>
    </row>
    <row r="44" spans="2:13" x14ac:dyDescent="0.3">
      <c r="B44" s="34" t="s">
        <v>4</v>
      </c>
      <c r="C44" s="5">
        <f>SUM(D44:M44)</f>
        <v>5810.4542981854411</v>
      </c>
      <c r="D44" s="5">
        <f t="shared" ref="D44:M44" si="8">D11/(1+$C$6)^D10</f>
        <v>779.30116124295307</v>
      </c>
      <c r="E44" s="5">
        <f t="shared" si="8"/>
        <v>726.85636651540358</v>
      </c>
      <c r="F44" s="5">
        <f t="shared" si="8"/>
        <v>677.94096020763766</v>
      </c>
      <c r="G44" s="5">
        <f t="shared" si="8"/>
        <v>632.31742432225622</v>
      </c>
      <c r="H44" s="5">
        <f t="shared" si="8"/>
        <v>589.76422516066134</v>
      </c>
      <c r="I44" s="5">
        <f t="shared" si="8"/>
        <v>550.07473762432687</v>
      </c>
      <c r="J44" s="5">
        <f t="shared" si="8"/>
        <v>513.05624190759238</v>
      </c>
      <c r="K44" s="5">
        <f t="shared" si="8"/>
        <v>478.5289877102345</v>
      </c>
      <c r="L44" s="5">
        <f t="shared" si="8"/>
        <v>446.32532142592191</v>
      </c>
      <c r="M44" s="5">
        <f t="shared" si="8"/>
        <v>416.28887206845388</v>
      </c>
    </row>
    <row r="45" spans="2:13" x14ac:dyDescent="0.3">
      <c r="B45" s="34" t="s">
        <v>3</v>
      </c>
      <c r="C45" s="5">
        <f>SUM(D45:M45)</f>
        <v>3225.7406359890701</v>
      </c>
      <c r="D45" s="5">
        <f t="shared" ref="D45:M45" si="9">D13/(1+$C$6)^D10</f>
        <v>378.42085088796557</v>
      </c>
      <c r="E45" s="5">
        <f t="shared" si="9"/>
        <v>364.77814814725804</v>
      </c>
      <c r="F45" s="5">
        <f t="shared" si="9"/>
        <v>351.62728759134177</v>
      </c>
      <c r="G45" s="5">
        <f t="shared" si="9"/>
        <v>338.95053748924397</v>
      </c>
      <c r="H45" s="5">
        <f t="shared" si="9"/>
        <v>326.73080536846339</v>
      </c>
      <c r="I45" s="5">
        <f t="shared" si="9"/>
        <v>314.95161496863631</v>
      </c>
      <c r="J45" s="5">
        <f t="shared" si="9"/>
        <v>303.59708402606151</v>
      </c>
      <c r="K45" s="5">
        <f t="shared" si="9"/>
        <v>292.65190285913002</v>
      </c>
      <c r="L45" s="5">
        <f t="shared" si="9"/>
        <v>282.10131372578559</v>
      </c>
      <c r="M45" s="5">
        <f t="shared" si="9"/>
        <v>271.93109092518364</v>
      </c>
    </row>
  </sheetData>
  <mergeCells count="3">
    <mergeCell ref="A1:B1"/>
    <mergeCell ref="C1:H1"/>
    <mergeCell ref="B30:C30"/>
  </mergeCells>
  <pageMargins left="0.511811024" right="0.511811024" top="0.78740157499999996" bottom="0.78740157499999996" header="0.31496062000000002" footer="0.31496062000000002"/>
  <ignoredErrors>
    <ignoredError sqref="E13:M13" formula="1"/>
  </ignoredError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Informações</vt:lpstr>
      <vt:lpstr>Iluminação Retrofit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Gontijo</dc:creator>
  <cp:lastModifiedBy>Gustavo Gontijo</cp:lastModifiedBy>
  <dcterms:created xsi:type="dcterms:W3CDTF">2021-04-23T11:12:22Z</dcterms:created>
  <dcterms:modified xsi:type="dcterms:W3CDTF">2021-06-23T15:26:17Z</dcterms:modified>
</cp:coreProperties>
</file>