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8D77E8FD-B1DE-40F0-9358-8866AD26A1AC}" xr6:coauthVersionLast="36" xr6:coauthVersionMax="36" xr10:uidLastSave="{00000000-0000-0000-0000-000000000000}"/>
  <bookViews>
    <workbookView xWindow="0" yWindow="0" windowWidth="23040" windowHeight="9060" tabRatio="721" xr2:uid="{00000000-000D-0000-FFFF-FFFF00000000}"/>
  </bookViews>
  <sheets>
    <sheet name="Dados do Contrato" sheetId="5" r:id="rId1"/>
    <sheet name="Entradas Mensais" sheetId="1" r:id="rId2"/>
    <sheet name="Valores Apurados" sheetId="9" r:id="rId3"/>
    <sheet name="Gráfico - Consumo e Demanda" sheetId="3" r:id="rId4"/>
    <sheet name="Gráfico - Gastos e Tarifas" sheetId="4" r:id="rId5"/>
    <sheet name="Resumo e Indicadores" sheetId="6" r:id="rId6"/>
    <sheet name="Demandas Contratadas" sheetId="10" r:id="rId7"/>
    <sheet name="Dados" sheetId="2" state="hidden" r:id="rId8"/>
  </sheets>
  <definedNames>
    <definedName name="area_condicionada" comment="Área climatizada por ar condicionado do edifício">'Dados do Contrato'!$G$18</definedName>
    <definedName name="area_construida" comment="Área construída do edifício">'Dados do Contrato'!$C$18</definedName>
    <definedName name="area_nao_condicionada" comment="Área não climatizada por ar condicionado do edifício">'Dados do Contrato'!$I$18</definedName>
    <definedName name="area_util" comment="Área útil do edifício">'Dados do Contrato'!$E$18</definedName>
    <definedName name="classificacao">'Dados do Contrato'!$C$9</definedName>
    <definedName name="horas" comment="Horas de funcionamento do edifício por dia">(5*('Dados do Contrato'!$F$23-'Dados do Contrato'!$E$23)+('Dados do Contrato'!$H$23-'Dados do Contrato'!$G$23)+('Dados do Contrato'!$J$23-'Dados do Contrato'!$I$23))/7</definedName>
    <definedName name="intervalo_consumo_fponta">OFFSET('Entradas Mensais'!$C$7,COUNTA('Entradas Mensais'!$A$7:'Entradas Mensais'!$A$66)-numero_amostras,0,numero_amostras,1)</definedName>
    <definedName name="intervalo_consumo_ponta">OFFSET('Entradas Mensais'!$B$7,COUNTA('Entradas Mensais'!$A$7:'Entradas Mensais'!$A$66)-numero_amostras,0,numero_amostras,1)</definedName>
    <definedName name="intervalo_demanda_contratada_fponta">OFFSET(Dados!$K$4,0,0,numero_amostras,1)</definedName>
    <definedName name="intervalo_demanda_contratada_ponta">OFFSET(Dados!$J$4,0,0,numero_amostras,1)</definedName>
    <definedName name="intervalo_demanda_fponta">OFFSET('Entradas Mensais'!$E$7,COUNTA('Entradas Mensais'!$A$7:'Entradas Mensais'!$A$66)-numero_amostras,0,numero_amostras,1)</definedName>
    <definedName name="intervalo_demanda_ponta">OFFSET('Entradas Mensais'!$D$7,COUNTA('Entradas Mensais'!$A$7:'Entradas Mensais'!$A$66)-numero_amostras,0,numero_amostras,1)</definedName>
    <definedName name="intervalo_mes_faturado">OFFSET('Entradas Mensais'!$A$7,COUNTA('Entradas Mensais'!$A$7:'Entradas Mensais'!$A$66)-numero_amostras,0,numero_amostras,1)</definedName>
    <definedName name="intervalo_tarifa_consumo_fponta">OFFSET('Entradas Mensais'!$P$7,COUNTA('Entradas Mensais'!$A$7:'Entradas Mensais'!$A$66)-numero_amostras,0,numero_amostras,1)</definedName>
    <definedName name="intervalo_tarifa_consumo_ponta">OFFSET('Entradas Mensais'!$O$7,COUNTA('Entradas Mensais'!$A$7:'Entradas Mensais'!$A$66)-numero_amostras,0,numero_amostras,1)</definedName>
    <definedName name="intervalo_tarifa_demanda_fponta">OFFSET('Entradas Mensais'!$R$7,COUNTA('Entradas Mensais'!$A$7:'Entradas Mensais'!$A$66)-numero_amostras,0,numero_amostras,1)</definedName>
    <definedName name="intervalo_tarifa_demanda_ponta">OFFSET('Entradas Mensais'!$Q$7,COUNTA('Entradas Mensais'!$A$7:'Entradas Mensais'!$A$66)-numero_amostras,0,numero_amostras,1)</definedName>
    <definedName name="intervalo_valor_consumo_fponta">OFFSET('Valores Apurados'!$C$7,COUNTA('Entradas Mensais'!$A$7:'Entradas Mensais'!$A$66)-numero_amostras,0,numero_amostras,1)</definedName>
    <definedName name="intervalo_valor_consumo_ponta">OFFSET('Valores Apurados'!$B$7,COUNTA('Entradas Mensais'!$A$7:'Entradas Mensais'!$A$66)-numero_amostras,0,numero_amostras,1)</definedName>
    <definedName name="intervalo_valor_demanda_fponta">OFFSET('Valores Apurados'!$E$7,COUNTA('Entradas Mensais'!$A$7:'Entradas Mensais'!$A$66)-numero_amostras,0,numero_amostras,1)</definedName>
    <definedName name="intervalo_valor_demanda_ponta">OFFSET('Valores Apurados'!$D$7,COUNTA('Entradas Mensais'!$A$7:'Entradas Mensais'!$A$66)-numero_amostras,0,numero_amostras,1)</definedName>
    <definedName name="intervalo_valor_erex_fponta">OFFSET('Valores Apurados'!$I$7,COUNTA('Entradas Mensais'!$A$7:'Entradas Mensais'!$A$66)-numero_amostras,0,numero_amostras,1)</definedName>
    <definedName name="intervalo_valor_erex_ponta">OFFSET('Valores Apurados'!$H$7,COUNTA('Entradas Mensais'!$A$7:'Entradas Mensais'!$A$66)-numero_amostras,0,numero_amostras,1)</definedName>
    <definedName name="intervalo_valor_ultdemanda_fponta">OFFSET('Valores Apurados'!$G$7,COUNTA('Entradas Mensais'!$A$7:'Entradas Mensais'!$A$66)-numero_amostras,0,numero_amostras,1)</definedName>
    <definedName name="intervalo_valor_ultdemanda_ponta">OFFSET('Valores Apurados'!$F$7,COUNTA('Entradas Mensais'!$A$7:'Entradas Mensais'!$A$66)-numero_amostras,0,numero_amostras,1)</definedName>
    <definedName name="ligacao">'Dados do Contrato'!$E$9</definedName>
    <definedName name="numero_amostras">IF(COUNTA('Entradas Mensais'!$A$7:'Entradas Mensais'!$A$66)&gt;12,12,COUNTA('Entradas Mensais'!$A$7:'Entradas Mensais'!$A$66))</definedName>
    <definedName name="tamanho_populacao" comment="Número total de faturas contabilizadas na planilha">COUNTA('Entradas Mensais'!$A$7:'Entradas Mensais'!$A$66)</definedName>
    <definedName name="usuarios" comment="Número médio de usuários do edifício">'Dados do Contrato'!$C$23</definedName>
    <definedName name="versão" comment="Versão da planilha">Dados!$V$1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K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J12" i="1"/>
  <c r="K12" i="1"/>
  <c r="H13" i="1"/>
  <c r="I13" i="1"/>
  <c r="J13" i="1"/>
  <c r="K13" i="1"/>
  <c r="H14" i="1"/>
  <c r="I14" i="1"/>
  <c r="J14" i="1"/>
  <c r="K14" i="1"/>
  <c r="H15" i="1"/>
  <c r="I15" i="1"/>
  <c r="J15" i="1"/>
  <c r="K15" i="1"/>
  <c r="H16" i="1"/>
  <c r="I16" i="1"/>
  <c r="J16" i="1"/>
  <c r="K16" i="1"/>
  <c r="H17" i="1"/>
  <c r="I17" i="1"/>
  <c r="J17" i="1"/>
  <c r="K17" i="1"/>
  <c r="H18" i="1"/>
  <c r="I18" i="1"/>
  <c r="J18" i="1"/>
  <c r="K18" i="1"/>
  <c r="H19" i="1"/>
  <c r="I19" i="1"/>
  <c r="J19" i="1"/>
  <c r="K19" i="1"/>
  <c r="H20" i="1"/>
  <c r="I20" i="1"/>
  <c r="J20" i="1"/>
  <c r="K20" i="1"/>
  <c r="H21" i="1"/>
  <c r="I21" i="1"/>
  <c r="J21" i="1"/>
  <c r="K21" i="1"/>
  <c r="H22" i="1"/>
  <c r="I22" i="1"/>
  <c r="J22" i="1"/>
  <c r="K22" i="1"/>
  <c r="H23" i="1"/>
  <c r="I23" i="1"/>
  <c r="J23" i="1"/>
  <c r="K23" i="1"/>
  <c r="H24" i="1"/>
  <c r="I24" i="1"/>
  <c r="J24" i="1"/>
  <c r="K24" i="1"/>
  <c r="H25" i="1"/>
  <c r="I25" i="1"/>
  <c r="J25" i="1"/>
  <c r="K25" i="1"/>
  <c r="H26" i="1"/>
  <c r="I26" i="1"/>
  <c r="J26" i="1"/>
  <c r="K26" i="1"/>
  <c r="H27" i="1"/>
  <c r="I27" i="1"/>
  <c r="J27" i="1"/>
  <c r="K27" i="1"/>
  <c r="H28" i="1"/>
  <c r="I28" i="1"/>
  <c r="J28" i="1"/>
  <c r="K28" i="1"/>
  <c r="H29" i="1"/>
  <c r="I29" i="1"/>
  <c r="J29" i="1"/>
  <c r="K29" i="1"/>
  <c r="H30" i="1"/>
  <c r="I30" i="1"/>
  <c r="J30" i="1"/>
  <c r="K30" i="1"/>
  <c r="H31" i="1"/>
  <c r="I31" i="1"/>
  <c r="J31" i="1"/>
  <c r="K31" i="1"/>
  <c r="H32" i="1"/>
  <c r="I32" i="1"/>
  <c r="J32" i="1"/>
  <c r="K32" i="1"/>
  <c r="H33" i="1"/>
  <c r="I33" i="1"/>
  <c r="J33" i="1"/>
  <c r="K33" i="1"/>
  <c r="H34" i="1"/>
  <c r="I34" i="1"/>
  <c r="J34" i="1"/>
  <c r="K34" i="1"/>
  <c r="H35" i="1"/>
  <c r="I35" i="1"/>
  <c r="J35" i="1"/>
  <c r="K35" i="1"/>
  <c r="H36" i="1"/>
  <c r="I36" i="1"/>
  <c r="J36" i="1"/>
  <c r="K36" i="1"/>
  <c r="H37" i="1"/>
  <c r="I37" i="1"/>
  <c r="J37" i="1"/>
  <c r="K37" i="1"/>
  <c r="H38" i="1"/>
  <c r="I38" i="1"/>
  <c r="J38" i="1"/>
  <c r="K38" i="1"/>
  <c r="H39" i="1"/>
  <c r="I39" i="1"/>
  <c r="J39" i="1"/>
  <c r="K39" i="1"/>
  <c r="H40" i="1"/>
  <c r="I40" i="1"/>
  <c r="J40" i="1"/>
  <c r="K40" i="1"/>
  <c r="H41" i="1"/>
  <c r="I41" i="1"/>
  <c r="J41" i="1"/>
  <c r="K41" i="1"/>
  <c r="H42" i="1"/>
  <c r="I42" i="1"/>
  <c r="J42" i="1"/>
  <c r="K42" i="1"/>
  <c r="H43" i="1"/>
  <c r="I43" i="1"/>
  <c r="J43" i="1"/>
  <c r="K43" i="1"/>
  <c r="H44" i="1"/>
  <c r="I44" i="1"/>
  <c r="J44" i="1"/>
  <c r="K44" i="1"/>
  <c r="H45" i="1"/>
  <c r="I45" i="1"/>
  <c r="J45" i="1"/>
  <c r="K45" i="1"/>
  <c r="H46" i="1"/>
  <c r="I46" i="1"/>
  <c r="J46" i="1"/>
  <c r="K46" i="1"/>
  <c r="H47" i="1"/>
  <c r="I47" i="1"/>
  <c r="J47" i="1"/>
  <c r="K47" i="1"/>
  <c r="H48" i="1"/>
  <c r="I48" i="1"/>
  <c r="J48" i="1"/>
  <c r="K48" i="1"/>
  <c r="H49" i="1"/>
  <c r="I49" i="1"/>
  <c r="J49" i="1"/>
  <c r="K49" i="1"/>
  <c r="H50" i="1"/>
  <c r="I50" i="1"/>
  <c r="J50" i="1"/>
  <c r="K50" i="1"/>
  <c r="H51" i="1"/>
  <c r="I51" i="1"/>
  <c r="J51" i="1"/>
  <c r="K51" i="1"/>
  <c r="H52" i="1"/>
  <c r="I52" i="1"/>
  <c r="J52" i="1"/>
  <c r="K52" i="1"/>
  <c r="H53" i="1"/>
  <c r="I53" i="1"/>
  <c r="J53" i="1"/>
  <c r="K53" i="1"/>
  <c r="H54" i="1"/>
  <c r="I54" i="1"/>
  <c r="J54" i="1"/>
  <c r="K54" i="1"/>
  <c r="H55" i="1"/>
  <c r="I55" i="1"/>
  <c r="J55" i="1"/>
  <c r="K55" i="1"/>
  <c r="H56" i="1"/>
  <c r="I56" i="1"/>
  <c r="J56" i="1"/>
  <c r="K56" i="1"/>
  <c r="H57" i="1"/>
  <c r="I57" i="1"/>
  <c r="J57" i="1"/>
  <c r="K57" i="1"/>
  <c r="H58" i="1"/>
  <c r="I58" i="1"/>
  <c r="J58" i="1"/>
  <c r="K58" i="1"/>
  <c r="H59" i="1"/>
  <c r="I59" i="1"/>
  <c r="J59" i="1"/>
  <c r="K59" i="1"/>
  <c r="H60" i="1"/>
  <c r="I60" i="1"/>
  <c r="J60" i="1"/>
  <c r="K60" i="1"/>
  <c r="H61" i="1"/>
  <c r="I61" i="1"/>
  <c r="J61" i="1"/>
  <c r="K61" i="1"/>
  <c r="H62" i="1"/>
  <c r="I62" i="1"/>
  <c r="J62" i="1"/>
  <c r="K62" i="1"/>
  <c r="H63" i="1"/>
  <c r="I63" i="1"/>
  <c r="J63" i="1"/>
  <c r="K63" i="1"/>
  <c r="H64" i="1"/>
  <c r="I64" i="1"/>
  <c r="J64" i="1"/>
  <c r="K64" i="1"/>
  <c r="H65" i="1"/>
  <c r="I65" i="1"/>
  <c r="J65" i="1"/>
  <c r="K65" i="1"/>
  <c r="H66" i="1"/>
  <c r="I66" i="1"/>
  <c r="J66" i="1"/>
  <c r="K66" i="1"/>
  <c r="K7" i="1"/>
  <c r="J7" i="1"/>
  <c r="I7" i="1"/>
  <c r="H7" i="1"/>
  <c r="J9" i="5" l="1"/>
  <c r="I9" i="5"/>
  <c r="F8" i="1" l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F58" i="1"/>
  <c r="G58" i="1"/>
  <c r="F59" i="1"/>
  <c r="G59" i="1"/>
  <c r="F60" i="1"/>
  <c r="G60" i="1"/>
  <c r="F61" i="1"/>
  <c r="G61" i="1"/>
  <c r="F62" i="1"/>
  <c r="G62" i="1"/>
  <c r="F63" i="1"/>
  <c r="G63" i="1"/>
  <c r="F64" i="1"/>
  <c r="G64" i="1"/>
  <c r="F65" i="1"/>
  <c r="G65" i="1"/>
  <c r="F66" i="1"/>
  <c r="G66" i="1"/>
  <c r="G7" i="1"/>
  <c r="K4" i="2" s="1" a="1"/>
  <c r="K4" i="2" s="1"/>
  <c r="F7" i="1"/>
  <c r="J4" i="2" s="1" a="1"/>
  <c r="J5" i="2" s="1"/>
  <c r="J9" i="2" l="1"/>
  <c r="K5" i="2"/>
  <c r="J7" i="2"/>
  <c r="K13" i="2"/>
  <c r="J13" i="2"/>
  <c r="J15" i="2"/>
  <c r="K14" i="2"/>
  <c r="J11" i="2"/>
  <c r="J8" i="2"/>
  <c r="K15" i="2"/>
  <c r="J4" i="2"/>
  <c r="J10" i="2"/>
  <c r="K8" i="2"/>
  <c r="J12" i="2"/>
  <c r="K12" i="2"/>
  <c r="K6" i="2"/>
  <c r="J6" i="2"/>
  <c r="K7" i="2"/>
  <c r="K11" i="2"/>
  <c r="J14" i="2"/>
  <c r="K10" i="2"/>
  <c r="K9" i="2"/>
  <c r="T20" i="9" l="1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T40" i="9"/>
  <c r="T41" i="9"/>
  <c r="T42" i="9"/>
  <c r="T43" i="9"/>
  <c r="T44" i="9"/>
  <c r="T45" i="9"/>
  <c r="T46" i="9"/>
  <c r="T47" i="9"/>
  <c r="T48" i="9"/>
  <c r="T49" i="9"/>
  <c r="T50" i="9"/>
  <c r="T51" i="9"/>
  <c r="T52" i="9"/>
  <c r="T53" i="9"/>
  <c r="T54" i="9"/>
  <c r="T55" i="9"/>
  <c r="T56" i="9"/>
  <c r="T57" i="9"/>
  <c r="T58" i="9"/>
  <c r="T59" i="9"/>
  <c r="T60" i="9"/>
  <c r="T61" i="9"/>
  <c r="T62" i="9"/>
  <c r="T63" i="9"/>
  <c r="T64" i="9"/>
  <c r="T65" i="9"/>
  <c r="T66" i="9"/>
  <c r="A21" i="9" l="1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7" i="9"/>
  <c r="E16" i="6" l="1"/>
  <c r="C14" i="6"/>
  <c r="C18" i="6" l="1"/>
  <c r="C17" i="6"/>
  <c r="C13" i="6"/>
  <c r="C12" i="6"/>
  <c r="C11" i="6"/>
  <c r="U66" i="9"/>
  <c r="S66" i="9"/>
  <c r="R66" i="9"/>
  <c r="Q66" i="9"/>
  <c r="P66" i="9"/>
  <c r="O66" i="9"/>
  <c r="N66" i="9"/>
  <c r="M66" i="9"/>
  <c r="L66" i="9"/>
  <c r="K66" i="9"/>
  <c r="I66" i="9"/>
  <c r="H66" i="9"/>
  <c r="G66" i="9"/>
  <c r="F66" i="9"/>
  <c r="E66" i="9"/>
  <c r="D66" i="9"/>
  <c r="C66" i="9"/>
  <c r="B66" i="9"/>
  <c r="U65" i="9"/>
  <c r="S65" i="9"/>
  <c r="R65" i="9"/>
  <c r="Q65" i="9"/>
  <c r="P65" i="9"/>
  <c r="O65" i="9"/>
  <c r="N65" i="9"/>
  <c r="M65" i="9"/>
  <c r="L65" i="9"/>
  <c r="K65" i="9"/>
  <c r="I65" i="9"/>
  <c r="H65" i="9"/>
  <c r="G65" i="9"/>
  <c r="F65" i="9"/>
  <c r="E65" i="9"/>
  <c r="D65" i="9"/>
  <c r="C65" i="9"/>
  <c r="B65" i="9"/>
  <c r="U64" i="9"/>
  <c r="S64" i="9"/>
  <c r="R64" i="9"/>
  <c r="Q64" i="9"/>
  <c r="P64" i="9"/>
  <c r="O64" i="9"/>
  <c r="N64" i="9"/>
  <c r="M64" i="9"/>
  <c r="L64" i="9"/>
  <c r="K64" i="9"/>
  <c r="I64" i="9"/>
  <c r="H64" i="9"/>
  <c r="G64" i="9"/>
  <c r="F64" i="9"/>
  <c r="E64" i="9"/>
  <c r="D64" i="9"/>
  <c r="C64" i="9"/>
  <c r="B64" i="9"/>
  <c r="U63" i="9"/>
  <c r="S63" i="9"/>
  <c r="R63" i="9"/>
  <c r="Q63" i="9"/>
  <c r="P63" i="9"/>
  <c r="O63" i="9"/>
  <c r="N63" i="9"/>
  <c r="M63" i="9"/>
  <c r="L63" i="9"/>
  <c r="K63" i="9"/>
  <c r="I63" i="9"/>
  <c r="H63" i="9"/>
  <c r="G63" i="9"/>
  <c r="F63" i="9"/>
  <c r="E63" i="9"/>
  <c r="D63" i="9"/>
  <c r="C63" i="9"/>
  <c r="B63" i="9"/>
  <c r="U62" i="9"/>
  <c r="S62" i="9"/>
  <c r="R62" i="9"/>
  <c r="Q62" i="9"/>
  <c r="P62" i="9"/>
  <c r="O62" i="9"/>
  <c r="N62" i="9"/>
  <c r="M62" i="9"/>
  <c r="L62" i="9"/>
  <c r="K62" i="9"/>
  <c r="I62" i="9"/>
  <c r="H62" i="9"/>
  <c r="G62" i="9"/>
  <c r="F62" i="9"/>
  <c r="E62" i="9"/>
  <c r="D62" i="9"/>
  <c r="C62" i="9"/>
  <c r="B62" i="9"/>
  <c r="U61" i="9"/>
  <c r="S61" i="9"/>
  <c r="R61" i="9"/>
  <c r="Q61" i="9"/>
  <c r="P61" i="9"/>
  <c r="O61" i="9"/>
  <c r="N61" i="9"/>
  <c r="M61" i="9"/>
  <c r="L61" i="9"/>
  <c r="K61" i="9"/>
  <c r="I61" i="9"/>
  <c r="H61" i="9"/>
  <c r="G61" i="9"/>
  <c r="F61" i="9"/>
  <c r="E61" i="9"/>
  <c r="D61" i="9"/>
  <c r="C61" i="9"/>
  <c r="B61" i="9"/>
  <c r="U60" i="9"/>
  <c r="S60" i="9"/>
  <c r="R60" i="9"/>
  <c r="Q60" i="9"/>
  <c r="P60" i="9"/>
  <c r="O60" i="9"/>
  <c r="N60" i="9"/>
  <c r="M60" i="9"/>
  <c r="L60" i="9"/>
  <c r="K60" i="9"/>
  <c r="I60" i="9"/>
  <c r="H60" i="9"/>
  <c r="G60" i="9"/>
  <c r="F60" i="9"/>
  <c r="E60" i="9"/>
  <c r="D60" i="9"/>
  <c r="C60" i="9"/>
  <c r="B60" i="9"/>
  <c r="U59" i="9"/>
  <c r="S59" i="9"/>
  <c r="R59" i="9"/>
  <c r="Q59" i="9"/>
  <c r="P59" i="9"/>
  <c r="O59" i="9"/>
  <c r="N59" i="9"/>
  <c r="M59" i="9"/>
  <c r="L59" i="9"/>
  <c r="K59" i="9"/>
  <c r="I59" i="9"/>
  <c r="H59" i="9"/>
  <c r="G59" i="9"/>
  <c r="F59" i="9"/>
  <c r="E59" i="9"/>
  <c r="D59" i="9"/>
  <c r="C59" i="9"/>
  <c r="B59" i="9"/>
  <c r="U58" i="9"/>
  <c r="S58" i="9"/>
  <c r="R58" i="9"/>
  <c r="Q58" i="9"/>
  <c r="P58" i="9"/>
  <c r="O58" i="9"/>
  <c r="N58" i="9"/>
  <c r="M58" i="9"/>
  <c r="L58" i="9"/>
  <c r="K58" i="9"/>
  <c r="I58" i="9"/>
  <c r="H58" i="9"/>
  <c r="G58" i="9"/>
  <c r="F58" i="9"/>
  <c r="E58" i="9"/>
  <c r="D58" i="9"/>
  <c r="C58" i="9"/>
  <c r="B58" i="9"/>
  <c r="U57" i="9"/>
  <c r="S57" i="9"/>
  <c r="R57" i="9"/>
  <c r="Q57" i="9"/>
  <c r="P57" i="9"/>
  <c r="O57" i="9"/>
  <c r="N57" i="9"/>
  <c r="M57" i="9"/>
  <c r="L57" i="9"/>
  <c r="K57" i="9"/>
  <c r="I57" i="9"/>
  <c r="H57" i="9"/>
  <c r="G57" i="9"/>
  <c r="F57" i="9"/>
  <c r="E57" i="9"/>
  <c r="D57" i="9"/>
  <c r="C57" i="9"/>
  <c r="B57" i="9"/>
  <c r="U56" i="9"/>
  <c r="S56" i="9"/>
  <c r="R56" i="9"/>
  <c r="Q56" i="9"/>
  <c r="P56" i="9"/>
  <c r="O56" i="9"/>
  <c r="N56" i="9"/>
  <c r="M56" i="9"/>
  <c r="L56" i="9"/>
  <c r="K56" i="9"/>
  <c r="I56" i="9"/>
  <c r="H56" i="9"/>
  <c r="G56" i="9"/>
  <c r="F56" i="9"/>
  <c r="E56" i="9"/>
  <c r="D56" i="9"/>
  <c r="C56" i="9"/>
  <c r="B56" i="9"/>
  <c r="U55" i="9"/>
  <c r="S55" i="9"/>
  <c r="R55" i="9"/>
  <c r="Q55" i="9"/>
  <c r="P55" i="9"/>
  <c r="O55" i="9"/>
  <c r="N55" i="9"/>
  <c r="M55" i="9"/>
  <c r="L55" i="9"/>
  <c r="K55" i="9"/>
  <c r="I55" i="9"/>
  <c r="H55" i="9"/>
  <c r="G55" i="9"/>
  <c r="F55" i="9"/>
  <c r="E55" i="9"/>
  <c r="D55" i="9"/>
  <c r="C55" i="9"/>
  <c r="B55" i="9"/>
  <c r="U54" i="9"/>
  <c r="S54" i="9"/>
  <c r="R54" i="9"/>
  <c r="Q54" i="9"/>
  <c r="P54" i="9"/>
  <c r="O54" i="9"/>
  <c r="N54" i="9"/>
  <c r="M54" i="9"/>
  <c r="L54" i="9"/>
  <c r="K54" i="9"/>
  <c r="I54" i="9"/>
  <c r="H54" i="9"/>
  <c r="G54" i="9"/>
  <c r="F54" i="9"/>
  <c r="E54" i="9"/>
  <c r="D54" i="9"/>
  <c r="C54" i="9"/>
  <c r="B54" i="9"/>
  <c r="U53" i="9"/>
  <c r="S53" i="9"/>
  <c r="R53" i="9"/>
  <c r="Q53" i="9"/>
  <c r="P53" i="9"/>
  <c r="O53" i="9"/>
  <c r="N53" i="9"/>
  <c r="M53" i="9"/>
  <c r="L53" i="9"/>
  <c r="K53" i="9"/>
  <c r="I53" i="9"/>
  <c r="H53" i="9"/>
  <c r="G53" i="9"/>
  <c r="F53" i="9"/>
  <c r="E53" i="9"/>
  <c r="D53" i="9"/>
  <c r="C53" i="9"/>
  <c r="B53" i="9"/>
  <c r="U52" i="9"/>
  <c r="S52" i="9"/>
  <c r="R52" i="9"/>
  <c r="Q52" i="9"/>
  <c r="P52" i="9"/>
  <c r="O52" i="9"/>
  <c r="N52" i="9"/>
  <c r="M52" i="9"/>
  <c r="L52" i="9"/>
  <c r="K52" i="9"/>
  <c r="I52" i="9"/>
  <c r="H52" i="9"/>
  <c r="G52" i="9"/>
  <c r="F52" i="9"/>
  <c r="E52" i="9"/>
  <c r="D52" i="9"/>
  <c r="C52" i="9"/>
  <c r="B52" i="9"/>
  <c r="U51" i="9"/>
  <c r="S51" i="9"/>
  <c r="R51" i="9"/>
  <c r="Q51" i="9"/>
  <c r="P51" i="9"/>
  <c r="O51" i="9"/>
  <c r="N51" i="9"/>
  <c r="M51" i="9"/>
  <c r="L51" i="9"/>
  <c r="K51" i="9"/>
  <c r="I51" i="9"/>
  <c r="H51" i="9"/>
  <c r="G51" i="9"/>
  <c r="F51" i="9"/>
  <c r="E51" i="9"/>
  <c r="D51" i="9"/>
  <c r="C51" i="9"/>
  <c r="B51" i="9"/>
  <c r="U50" i="9"/>
  <c r="S50" i="9"/>
  <c r="R50" i="9"/>
  <c r="Q50" i="9"/>
  <c r="P50" i="9"/>
  <c r="O50" i="9"/>
  <c r="N50" i="9"/>
  <c r="M50" i="9"/>
  <c r="L50" i="9"/>
  <c r="K50" i="9"/>
  <c r="I50" i="9"/>
  <c r="H50" i="9"/>
  <c r="G50" i="9"/>
  <c r="F50" i="9"/>
  <c r="E50" i="9"/>
  <c r="D50" i="9"/>
  <c r="C50" i="9"/>
  <c r="B50" i="9"/>
  <c r="U49" i="9"/>
  <c r="S49" i="9"/>
  <c r="R49" i="9"/>
  <c r="Q49" i="9"/>
  <c r="P49" i="9"/>
  <c r="O49" i="9"/>
  <c r="N49" i="9"/>
  <c r="M49" i="9"/>
  <c r="L49" i="9"/>
  <c r="K49" i="9"/>
  <c r="I49" i="9"/>
  <c r="H49" i="9"/>
  <c r="G49" i="9"/>
  <c r="F49" i="9"/>
  <c r="E49" i="9"/>
  <c r="D49" i="9"/>
  <c r="C49" i="9"/>
  <c r="B49" i="9"/>
  <c r="U48" i="9"/>
  <c r="S48" i="9"/>
  <c r="R48" i="9"/>
  <c r="Q48" i="9"/>
  <c r="P48" i="9"/>
  <c r="O48" i="9"/>
  <c r="N48" i="9"/>
  <c r="M48" i="9"/>
  <c r="L48" i="9"/>
  <c r="K48" i="9"/>
  <c r="I48" i="9"/>
  <c r="H48" i="9"/>
  <c r="G48" i="9"/>
  <c r="F48" i="9"/>
  <c r="E48" i="9"/>
  <c r="D48" i="9"/>
  <c r="C48" i="9"/>
  <c r="B48" i="9"/>
  <c r="U47" i="9"/>
  <c r="S47" i="9"/>
  <c r="R47" i="9"/>
  <c r="Q47" i="9"/>
  <c r="P47" i="9"/>
  <c r="O47" i="9"/>
  <c r="N47" i="9"/>
  <c r="M47" i="9"/>
  <c r="L47" i="9"/>
  <c r="K47" i="9"/>
  <c r="I47" i="9"/>
  <c r="H47" i="9"/>
  <c r="G47" i="9"/>
  <c r="F47" i="9"/>
  <c r="E47" i="9"/>
  <c r="D47" i="9"/>
  <c r="C47" i="9"/>
  <c r="B47" i="9"/>
  <c r="U46" i="9"/>
  <c r="S46" i="9"/>
  <c r="R46" i="9"/>
  <c r="Q46" i="9"/>
  <c r="P46" i="9"/>
  <c r="O46" i="9"/>
  <c r="N46" i="9"/>
  <c r="M46" i="9"/>
  <c r="L46" i="9"/>
  <c r="K46" i="9"/>
  <c r="I46" i="9"/>
  <c r="H46" i="9"/>
  <c r="G46" i="9"/>
  <c r="F46" i="9"/>
  <c r="E46" i="9"/>
  <c r="D46" i="9"/>
  <c r="C46" i="9"/>
  <c r="B46" i="9"/>
  <c r="U45" i="9"/>
  <c r="S45" i="9"/>
  <c r="R45" i="9"/>
  <c r="Q45" i="9"/>
  <c r="P45" i="9"/>
  <c r="O45" i="9"/>
  <c r="N45" i="9"/>
  <c r="M45" i="9"/>
  <c r="L45" i="9"/>
  <c r="K45" i="9"/>
  <c r="I45" i="9"/>
  <c r="H45" i="9"/>
  <c r="G45" i="9"/>
  <c r="F45" i="9"/>
  <c r="E45" i="9"/>
  <c r="D45" i="9"/>
  <c r="C45" i="9"/>
  <c r="B45" i="9"/>
  <c r="U44" i="9"/>
  <c r="S44" i="9"/>
  <c r="R44" i="9"/>
  <c r="Q44" i="9"/>
  <c r="P44" i="9"/>
  <c r="O44" i="9"/>
  <c r="N44" i="9"/>
  <c r="M44" i="9"/>
  <c r="L44" i="9"/>
  <c r="K44" i="9"/>
  <c r="I44" i="9"/>
  <c r="H44" i="9"/>
  <c r="G44" i="9"/>
  <c r="F44" i="9"/>
  <c r="E44" i="9"/>
  <c r="D44" i="9"/>
  <c r="C44" i="9"/>
  <c r="B44" i="9"/>
  <c r="U43" i="9"/>
  <c r="S43" i="9"/>
  <c r="R43" i="9"/>
  <c r="Q43" i="9"/>
  <c r="P43" i="9"/>
  <c r="O43" i="9"/>
  <c r="N43" i="9"/>
  <c r="M43" i="9"/>
  <c r="L43" i="9"/>
  <c r="K43" i="9"/>
  <c r="I43" i="9"/>
  <c r="H43" i="9"/>
  <c r="G43" i="9"/>
  <c r="F43" i="9"/>
  <c r="E43" i="9"/>
  <c r="D43" i="9"/>
  <c r="C43" i="9"/>
  <c r="B43" i="9"/>
  <c r="U42" i="9"/>
  <c r="S42" i="9"/>
  <c r="R42" i="9"/>
  <c r="Q42" i="9"/>
  <c r="P42" i="9"/>
  <c r="O42" i="9"/>
  <c r="N42" i="9"/>
  <c r="M42" i="9"/>
  <c r="L42" i="9"/>
  <c r="K42" i="9"/>
  <c r="I42" i="9"/>
  <c r="H42" i="9"/>
  <c r="G42" i="9"/>
  <c r="F42" i="9"/>
  <c r="E42" i="9"/>
  <c r="D42" i="9"/>
  <c r="C42" i="9"/>
  <c r="B42" i="9"/>
  <c r="U41" i="9"/>
  <c r="S41" i="9"/>
  <c r="R41" i="9"/>
  <c r="Q41" i="9"/>
  <c r="P41" i="9"/>
  <c r="O41" i="9"/>
  <c r="N41" i="9"/>
  <c r="M41" i="9"/>
  <c r="L41" i="9"/>
  <c r="K41" i="9"/>
  <c r="I41" i="9"/>
  <c r="H41" i="9"/>
  <c r="G41" i="9"/>
  <c r="F41" i="9"/>
  <c r="E41" i="9"/>
  <c r="D41" i="9"/>
  <c r="C41" i="9"/>
  <c r="B41" i="9"/>
  <c r="U40" i="9"/>
  <c r="S40" i="9"/>
  <c r="R40" i="9"/>
  <c r="Q40" i="9"/>
  <c r="P40" i="9"/>
  <c r="O40" i="9"/>
  <c r="N40" i="9"/>
  <c r="M40" i="9"/>
  <c r="L40" i="9"/>
  <c r="K40" i="9"/>
  <c r="I40" i="9"/>
  <c r="H40" i="9"/>
  <c r="G40" i="9"/>
  <c r="F40" i="9"/>
  <c r="E40" i="9"/>
  <c r="D40" i="9"/>
  <c r="C40" i="9"/>
  <c r="B40" i="9"/>
  <c r="U39" i="9"/>
  <c r="S39" i="9"/>
  <c r="R39" i="9"/>
  <c r="Q39" i="9"/>
  <c r="P39" i="9"/>
  <c r="O39" i="9"/>
  <c r="N39" i="9"/>
  <c r="M39" i="9"/>
  <c r="L39" i="9"/>
  <c r="K39" i="9"/>
  <c r="I39" i="9"/>
  <c r="H39" i="9"/>
  <c r="G39" i="9"/>
  <c r="F39" i="9"/>
  <c r="E39" i="9"/>
  <c r="D39" i="9"/>
  <c r="C39" i="9"/>
  <c r="B39" i="9"/>
  <c r="U38" i="9"/>
  <c r="S38" i="9"/>
  <c r="R38" i="9"/>
  <c r="Q38" i="9"/>
  <c r="P38" i="9"/>
  <c r="O38" i="9"/>
  <c r="N38" i="9"/>
  <c r="M38" i="9"/>
  <c r="L38" i="9"/>
  <c r="K38" i="9"/>
  <c r="I38" i="9"/>
  <c r="H38" i="9"/>
  <c r="G38" i="9"/>
  <c r="F38" i="9"/>
  <c r="E38" i="9"/>
  <c r="D38" i="9"/>
  <c r="C38" i="9"/>
  <c r="B38" i="9"/>
  <c r="U37" i="9"/>
  <c r="S37" i="9"/>
  <c r="R37" i="9"/>
  <c r="Q37" i="9"/>
  <c r="P37" i="9"/>
  <c r="O37" i="9"/>
  <c r="N37" i="9"/>
  <c r="M37" i="9"/>
  <c r="L37" i="9"/>
  <c r="K37" i="9"/>
  <c r="I37" i="9"/>
  <c r="H37" i="9"/>
  <c r="G37" i="9"/>
  <c r="F37" i="9"/>
  <c r="E37" i="9"/>
  <c r="D37" i="9"/>
  <c r="C37" i="9"/>
  <c r="B37" i="9"/>
  <c r="U36" i="9"/>
  <c r="S36" i="9"/>
  <c r="R36" i="9"/>
  <c r="Q36" i="9"/>
  <c r="P36" i="9"/>
  <c r="O36" i="9"/>
  <c r="N36" i="9"/>
  <c r="M36" i="9"/>
  <c r="L36" i="9"/>
  <c r="K36" i="9"/>
  <c r="I36" i="9"/>
  <c r="H36" i="9"/>
  <c r="G36" i="9"/>
  <c r="F36" i="9"/>
  <c r="E36" i="9"/>
  <c r="D36" i="9"/>
  <c r="C36" i="9"/>
  <c r="B36" i="9"/>
  <c r="U35" i="9"/>
  <c r="S35" i="9"/>
  <c r="R35" i="9"/>
  <c r="Q35" i="9"/>
  <c r="P35" i="9"/>
  <c r="O35" i="9"/>
  <c r="N35" i="9"/>
  <c r="M35" i="9"/>
  <c r="L35" i="9"/>
  <c r="K35" i="9"/>
  <c r="I35" i="9"/>
  <c r="H35" i="9"/>
  <c r="G35" i="9"/>
  <c r="F35" i="9"/>
  <c r="E35" i="9"/>
  <c r="D35" i="9"/>
  <c r="C35" i="9"/>
  <c r="B35" i="9"/>
  <c r="U34" i="9"/>
  <c r="S34" i="9"/>
  <c r="R34" i="9"/>
  <c r="Q34" i="9"/>
  <c r="P34" i="9"/>
  <c r="O34" i="9"/>
  <c r="N34" i="9"/>
  <c r="M34" i="9"/>
  <c r="L34" i="9"/>
  <c r="K34" i="9"/>
  <c r="I34" i="9"/>
  <c r="H34" i="9"/>
  <c r="G34" i="9"/>
  <c r="F34" i="9"/>
  <c r="E34" i="9"/>
  <c r="D34" i="9"/>
  <c r="C34" i="9"/>
  <c r="B34" i="9"/>
  <c r="U33" i="9"/>
  <c r="S33" i="9"/>
  <c r="R33" i="9"/>
  <c r="Q33" i="9"/>
  <c r="P33" i="9"/>
  <c r="O33" i="9"/>
  <c r="N33" i="9"/>
  <c r="M33" i="9"/>
  <c r="L33" i="9"/>
  <c r="K33" i="9"/>
  <c r="I33" i="9"/>
  <c r="H33" i="9"/>
  <c r="G33" i="9"/>
  <c r="F33" i="9"/>
  <c r="E33" i="9"/>
  <c r="D33" i="9"/>
  <c r="C33" i="9"/>
  <c r="B33" i="9"/>
  <c r="U32" i="9"/>
  <c r="S32" i="9"/>
  <c r="R32" i="9"/>
  <c r="Q32" i="9"/>
  <c r="P32" i="9"/>
  <c r="O32" i="9"/>
  <c r="N32" i="9"/>
  <c r="M32" i="9"/>
  <c r="L32" i="9"/>
  <c r="K32" i="9"/>
  <c r="I32" i="9"/>
  <c r="H32" i="9"/>
  <c r="G32" i="9"/>
  <c r="F32" i="9"/>
  <c r="E32" i="9"/>
  <c r="D32" i="9"/>
  <c r="C32" i="9"/>
  <c r="B32" i="9"/>
  <c r="U31" i="9"/>
  <c r="S31" i="9"/>
  <c r="R31" i="9"/>
  <c r="Q31" i="9"/>
  <c r="P31" i="9"/>
  <c r="O31" i="9"/>
  <c r="N31" i="9"/>
  <c r="M31" i="9"/>
  <c r="L31" i="9"/>
  <c r="K31" i="9"/>
  <c r="I31" i="9"/>
  <c r="H31" i="9"/>
  <c r="G31" i="9"/>
  <c r="F31" i="9"/>
  <c r="E31" i="9"/>
  <c r="D31" i="9"/>
  <c r="C31" i="9"/>
  <c r="B31" i="9"/>
  <c r="U30" i="9"/>
  <c r="S30" i="9"/>
  <c r="R30" i="9"/>
  <c r="Q30" i="9"/>
  <c r="P30" i="9"/>
  <c r="O30" i="9"/>
  <c r="N30" i="9"/>
  <c r="M30" i="9"/>
  <c r="L30" i="9"/>
  <c r="K30" i="9"/>
  <c r="I30" i="9"/>
  <c r="H30" i="9"/>
  <c r="G30" i="9"/>
  <c r="F30" i="9"/>
  <c r="E30" i="9"/>
  <c r="D30" i="9"/>
  <c r="C30" i="9"/>
  <c r="B30" i="9"/>
  <c r="U29" i="9"/>
  <c r="S29" i="9"/>
  <c r="R29" i="9"/>
  <c r="Q29" i="9"/>
  <c r="P29" i="9"/>
  <c r="O29" i="9"/>
  <c r="N29" i="9"/>
  <c r="M29" i="9"/>
  <c r="L29" i="9"/>
  <c r="K29" i="9"/>
  <c r="I29" i="9"/>
  <c r="H29" i="9"/>
  <c r="G29" i="9"/>
  <c r="F29" i="9"/>
  <c r="E29" i="9"/>
  <c r="D29" i="9"/>
  <c r="C29" i="9"/>
  <c r="B29" i="9"/>
  <c r="U28" i="9"/>
  <c r="S28" i="9"/>
  <c r="R28" i="9"/>
  <c r="Q28" i="9"/>
  <c r="P28" i="9"/>
  <c r="O28" i="9"/>
  <c r="N28" i="9"/>
  <c r="M28" i="9"/>
  <c r="L28" i="9"/>
  <c r="K28" i="9"/>
  <c r="I28" i="9"/>
  <c r="H28" i="9"/>
  <c r="G28" i="9"/>
  <c r="F28" i="9"/>
  <c r="E28" i="9"/>
  <c r="D28" i="9"/>
  <c r="C28" i="9"/>
  <c r="B28" i="9"/>
  <c r="U27" i="9"/>
  <c r="S27" i="9"/>
  <c r="R27" i="9"/>
  <c r="Q27" i="9"/>
  <c r="P27" i="9"/>
  <c r="O27" i="9"/>
  <c r="N27" i="9"/>
  <c r="M27" i="9"/>
  <c r="L27" i="9"/>
  <c r="K27" i="9"/>
  <c r="I27" i="9"/>
  <c r="H27" i="9"/>
  <c r="G27" i="9"/>
  <c r="F27" i="9"/>
  <c r="E27" i="9"/>
  <c r="D27" i="9"/>
  <c r="C27" i="9"/>
  <c r="B27" i="9"/>
  <c r="U26" i="9"/>
  <c r="S26" i="9"/>
  <c r="R26" i="9"/>
  <c r="Q26" i="9"/>
  <c r="P26" i="9"/>
  <c r="O26" i="9"/>
  <c r="N26" i="9"/>
  <c r="M26" i="9"/>
  <c r="L26" i="9"/>
  <c r="K26" i="9"/>
  <c r="I26" i="9"/>
  <c r="H26" i="9"/>
  <c r="G26" i="9"/>
  <c r="F26" i="9"/>
  <c r="E26" i="9"/>
  <c r="D26" i="9"/>
  <c r="C26" i="9"/>
  <c r="B26" i="9"/>
  <c r="U25" i="9"/>
  <c r="S25" i="9"/>
  <c r="R25" i="9"/>
  <c r="Q25" i="9"/>
  <c r="P25" i="9"/>
  <c r="O25" i="9"/>
  <c r="N25" i="9"/>
  <c r="M25" i="9"/>
  <c r="L25" i="9"/>
  <c r="K25" i="9"/>
  <c r="I25" i="9"/>
  <c r="H25" i="9"/>
  <c r="G25" i="9"/>
  <c r="F25" i="9"/>
  <c r="E25" i="9"/>
  <c r="D25" i="9"/>
  <c r="C25" i="9"/>
  <c r="B25" i="9"/>
  <c r="U24" i="9"/>
  <c r="S24" i="9"/>
  <c r="R24" i="9"/>
  <c r="Q24" i="9"/>
  <c r="P24" i="9"/>
  <c r="O24" i="9"/>
  <c r="N24" i="9"/>
  <c r="M24" i="9"/>
  <c r="L24" i="9"/>
  <c r="K24" i="9"/>
  <c r="I24" i="9"/>
  <c r="H24" i="9"/>
  <c r="G24" i="9"/>
  <c r="F24" i="9"/>
  <c r="E24" i="9"/>
  <c r="D24" i="9"/>
  <c r="C24" i="9"/>
  <c r="B24" i="9"/>
  <c r="U23" i="9"/>
  <c r="S23" i="9"/>
  <c r="R23" i="9"/>
  <c r="Q23" i="9"/>
  <c r="P23" i="9"/>
  <c r="O23" i="9"/>
  <c r="N23" i="9"/>
  <c r="M23" i="9"/>
  <c r="L23" i="9"/>
  <c r="K23" i="9"/>
  <c r="I23" i="9"/>
  <c r="H23" i="9"/>
  <c r="G23" i="9"/>
  <c r="F23" i="9"/>
  <c r="E23" i="9"/>
  <c r="D23" i="9"/>
  <c r="C23" i="9"/>
  <c r="B23" i="9"/>
  <c r="U22" i="9"/>
  <c r="S22" i="9"/>
  <c r="R22" i="9"/>
  <c r="Q22" i="9"/>
  <c r="P22" i="9"/>
  <c r="O22" i="9"/>
  <c r="N22" i="9"/>
  <c r="M22" i="9"/>
  <c r="L22" i="9"/>
  <c r="K22" i="9"/>
  <c r="I22" i="9"/>
  <c r="H22" i="9"/>
  <c r="G22" i="9"/>
  <c r="F22" i="9"/>
  <c r="E22" i="9"/>
  <c r="D22" i="9"/>
  <c r="C22" i="9"/>
  <c r="B22" i="9"/>
  <c r="U21" i="9"/>
  <c r="S21" i="9"/>
  <c r="R21" i="9"/>
  <c r="Q21" i="9"/>
  <c r="P21" i="9"/>
  <c r="O21" i="9"/>
  <c r="N21" i="9"/>
  <c r="M21" i="9"/>
  <c r="L21" i="9"/>
  <c r="K21" i="9"/>
  <c r="I21" i="9"/>
  <c r="H21" i="9"/>
  <c r="G21" i="9"/>
  <c r="F21" i="9"/>
  <c r="E21" i="9"/>
  <c r="D21" i="9"/>
  <c r="C21" i="9"/>
  <c r="B21" i="9"/>
  <c r="U20" i="9"/>
  <c r="S20" i="9"/>
  <c r="R20" i="9"/>
  <c r="Q20" i="9"/>
  <c r="P20" i="9"/>
  <c r="O20" i="9"/>
  <c r="N20" i="9"/>
  <c r="M20" i="9"/>
  <c r="L20" i="9"/>
  <c r="K20" i="9"/>
  <c r="I20" i="9"/>
  <c r="H20" i="9"/>
  <c r="G20" i="9"/>
  <c r="F20" i="9"/>
  <c r="E20" i="9"/>
  <c r="D20" i="9"/>
  <c r="C20" i="9"/>
  <c r="B20" i="9"/>
  <c r="S19" i="9"/>
  <c r="R19" i="9"/>
  <c r="Q19" i="9"/>
  <c r="L19" i="9"/>
  <c r="I19" i="9"/>
  <c r="H19" i="9"/>
  <c r="E19" i="9"/>
  <c r="C19" i="9"/>
  <c r="B19" i="9"/>
  <c r="S18" i="9"/>
  <c r="R18" i="9"/>
  <c r="Q18" i="9"/>
  <c r="L18" i="9"/>
  <c r="I18" i="9"/>
  <c r="H18" i="9"/>
  <c r="C18" i="9"/>
  <c r="B18" i="9"/>
  <c r="S17" i="9"/>
  <c r="R17" i="9"/>
  <c r="Q17" i="9"/>
  <c r="L17" i="9"/>
  <c r="I17" i="9"/>
  <c r="H17" i="9"/>
  <c r="C17" i="9"/>
  <c r="B17" i="9"/>
  <c r="S16" i="9"/>
  <c r="R16" i="9"/>
  <c r="Q16" i="9"/>
  <c r="L16" i="9"/>
  <c r="I16" i="9"/>
  <c r="H16" i="9"/>
  <c r="C16" i="9"/>
  <c r="B16" i="9"/>
  <c r="S15" i="9"/>
  <c r="R15" i="9"/>
  <c r="Q15" i="9"/>
  <c r="L15" i="9"/>
  <c r="I15" i="9"/>
  <c r="H15" i="9"/>
  <c r="C15" i="9"/>
  <c r="B15" i="9"/>
  <c r="S14" i="9"/>
  <c r="R14" i="9"/>
  <c r="Q14" i="9"/>
  <c r="L14" i="9"/>
  <c r="I14" i="9"/>
  <c r="H14" i="9"/>
  <c r="C14" i="9"/>
  <c r="B14" i="9"/>
  <c r="S13" i="9"/>
  <c r="R13" i="9"/>
  <c r="Q13" i="9"/>
  <c r="L13" i="9"/>
  <c r="I13" i="9"/>
  <c r="H13" i="9"/>
  <c r="C13" i="9"/>
  <c r="B13" i="9"/>
  <c r="S12" i="9"/>
  <c r="R12" i="9"/>
  <c r="Q12" i="9"/>
  <c r="L12" i="9"/>
  <c r="I12" i="9"/>
  <c r="H12" i="9"/>
  <c r="C12" i="9"/>
  <c r="B12" i="9"/>
  <c r="S11" i="9"/>
  <c r="R11" i="9"/>
  <c r="Q11" i="9"/>
  <c r="L11" i="9"/>
  <c r="I11" i="9"/>
  <c r="H11" i="9"/>
  <c r="C11" i="9"/>
  <c r="B11" i="9"/>
  <c r="S10" i="9"/>
  <c r="R10" i="9"/>
  <c r="Q10" i="9"/>
  <c r="L10" i="9"/>
  <c r="I10" i="9"/>
  <c r="H10" i="9"/>
  <c r="C10" i="9"/>
  <c r="B10" i="9"/>
  <c r="S9" i="9"/>
  <c r="R9" i="9"/>
  <c r="Q9" i="9"/>
  <c r="L9" i="9"/>
  <c r="I9" i="9"/>
  <c r="H9" i="9"/>
  <c r="C9" i="9"/>
  <c r="B9" i="9"/>
  <c r="S8" i="9"/>
  <c r="R8" i="9"/>
  <c r="Q8" i="9"/>
  <c r="L8" i="9"/>
  <c r="I8" i="9"/>
  <c r="H8" i="9"/>
  <c r="C8" i="9"/>
  <c r="B8" i="9"/>
  <c r="S7" i="9"/>
  <c r="R7" i="9"/>
  <c r="Q7" i="9"/>
  <c r="L7" i="9"/>
  <c r="I7" i="9"/>
  <c r="H7" i="9"/>
  <c r="C7" i="9"/>
  <c r="G13" i="6" s="1"/>
  <c r="B7" i="9"/>
  <c r="G14" i="6" s="1"/>
  <c r="R6" i="3"/>
  <c r="Q6" i="3"/>
  <c r="H6" i="6"/>
  <c r="G6" i="6"/>
  <c r="E6" i="6"/>
  <c r="D6" i="6"/>
  <c r="G3" i="6"/>
  <c r="F8" i="9"/>
  <c r="G8" i="9"/>
  <c r="F9" i="9"/>
  <c r="G9" i="9"/>
  <c r="F10" i="9"/>
  <c r="G10" i="9"/>
  <c r="F11" i="9"/>
  <c r="G11" i="9"/>
  <c r="F12" i="9"/>
  <c r="G12" i="9"/>
  <c r="F13" i="9"/>
  <c r="G13" i="9"/>
  <c r="F14" i="9"/>
  <c r="G14" i="9"/>
  <c r="F15" i="9"/>
  <c r="G15" i="9"/>
  <c r="F16" i="9"/>
  <c r="G16" i="9"/>
  <c r="F17" i="9"/>
  <c r="G17" i="9"/>
  <c r="F18" i="9"/>
  <c r="G18" i="9"/>
  <c r="F19" i="9"/>
  <c r="G19" i="9"/>
  <c r="D8" i="9"/>
  <c r="E8" i="9"/>
  <c r="D9" i="9"/>
  <c r="E9" i="9"/>
  <c r="D10" i="9"/>
  <c r="E10" i="9"/>
  <c r="D11" i="9"/>
  <c r="E11" i="9"/>
  <c r="D12" i="9"/>
  <c r="E12" i="9"/>
  <c r="D13" i="9"/>
  <c r="E13" i="9"/>
  <c r="D14" i="9"/>
  <c r="E14" i="9"/>
  <c r="D15" i="9"/>
  <c r="E15" i="9"/>
  <c r="D16" i="9"/>
  <c r="E16" i="9"/>
  <c r="D17" i="9"/>
  <c r="E17" i="9"/>
  <c r="D18" i="9"/>
  <c r="E18" i="9"/>
  <c r="E7" i="9"/>
  <c r="D7" i="9"/>
  <c r="Q21" i="3" l="1"/>
  <c r="G18" i="6"/>
  <c r="L17" i="6"/>
  <c r="N17" i="6"/>
  <c r="J22" i="6"/>
  <c r="J17" i="6"/>
  <c r="L22" i="6"/>
  <c r="C16" i="6"/>
  <c r="C15" i="6"/>
  <c r="F7" i="9"/>
  <c r="G15" i="6"/>
  <c r="G7" i="9"/>
  <c r="K9" i="9"/>
  <c r="K13" i="9"/>
  <c r="K12" i="9"/>
  <c r="K17" i="9"/>
  <c r="K11" i="9"/>
  <c r="K14" i="9"/>
  <c r="K15" i="9"/>
  <c r="K10" i="9"/>
  <c r="K16" i="9"/>
  <c r="K8" i="9"/>
  <c r="K18" i="9"/>
  <c r="F6" i="6"/>
  <c r="P6" i="3"/>
  <c r="O6" i="3"/>
  <c r="N12" i="9" l="1"/>
  <c r="M13" i="9"/>
  <c r="P9" i="9"/>
  <c r="N17" i="9"/>
  <c r="N18" i="9"/>
  <c r="P8" i="9"/>
  <c r="N16" i="9"/>
  <c r="N10" i="9"/>
  <c r="O15" i="9"/>
  <c r="N11" i="9"/>
  <c r="P14" i="9"/>
  <c r="P17" i="9"/>
  <c r="O17" i="9"/>
  <c r="G17" i="6"/>
  <c r="N14" i="9"/>
  <c r="P12" i="9"/>
  <c r="O12" i="9"/>
  <c r="O8" i="9"/>
  <c r="M12" i="9"/>
  <c r="O10" i="9"/>
  <c r="M17" i="9"/>
  <c r="O18" i="9"/>
  <c r="M18" i="9"/>
  <c r="K7" i="9"/>
  <c r="P18" i="9"/>
  <c r="M8" i="9"/>
  <c r="N8" i="9"/>
  <c r="M16" i="9"/>
  <c r="M15" i="9"/>
  <c r="N15" i="9"/>
  <c r="O11" i="9"/>
  <c r="P10" i="9"/>
  <c r="P11" i="9"/>
  <c r="O16" i="9"/>
  <c r="M9" i="9"/>
  <c r="M14" i="9"/>
  <c r="M10" i="9"/>
  <c r="P16" i="9"/>
  <c r="N9" i="9"/>
  <c r="O9" i="9"/>
  <c r="O14" i="9"/>
  <c r="P13" i="9"/>
  <c r="M11" i="9"/>
  <c r="P15" i="9"/>
  <c r="N13" i="9"/>
  <c r="O13" i="9"/>
  <c r="Q12" i="3"/>
  <c r="O12" i="3"/>
  <c r="O9" i="3"/>
  <c r="Q9" i="3"/>
  <c r="T17" i="9" l="1"/>
  <c r="T16" i="9"/>
  <c r="T14" i="9"/>
  <c r="T8" i="9"/>
  <c r="T10" i="9"/>
  <c r="T15" i="9"/>
  <c r="T13" i="9"/>
  <c r="T9" i="9"/>
  <c r="T12" i="9"/>
  <c r="T11" i="9"/>
  <c r="T18" i="9"/>
  <c r="N7" i="9"/>
  <c r="U17" i="9"/>
  <c r="U12" i="9"/>
  <c r="U16" i="9"/>
  <c r="U18" i="9"/>
  <c r="U8" i="9"/>
  <c r="P7" i="9"/>
  <c r="O7" i="9"/>
  <c r="M7" i="9"/>
  <c r="U13" i="9"/>
  <c r="U10" i="9"/>
  <c r="U15" i="9"/>
  <c r="U14" i="9"/>
  <c r="U9" i="9"/>
  <c r="U11" i="9"/>
  <c r="T7" i="9" l="1"/>
  <c r="U7" i="9"/>
  <c r="D19" i="9" l="1"/>
  <c r="G16" i="6" s="1"/>
  <c r="K19" i="9" l="1"/>
  <c r="N19" i="9" l="1"/>
  <c r="P19" i="9"/>
  <c r="O19" i="9"/>
  <c r="M19" i="9"/>
  <c r="T19" i="9" l="1"/>
  <c r="G12" i="6" s="1"/>
  <c r="U19" i="9"/>
  <c r="G11" i="6" l="1"/>
  <c r="F11" i="6"/>
  <c r="R23" i="3"/>
  <c r="H11" i="6"/>
  <c r="E11" i="6"/>
</calcChain>
</file>

<file path=xl/sharedStrings.xml><?xml version="1.0" encoding="utf-8"?>
<sst xmlns="http://schemas.openxmlformats.org/spreadsheetml/2006/main" count="184" uniqueCount="119">
  <si>
    <t>Instituição:</t>
  </si>
  <si>
    <t>Classificação</t>
  </si>
  <si>
    <t>Ligação</t>
  </si>
  <si>
    <t>Tarifa</t>
  </si>
  <si>
    <t>Dados do contrato</t>
  </si>
  <si>
    <t>Leituras mensais</t>
  </si>
  <si>
    <t>Mês faturado</t>
  </si>
  <si>
    <t>Consumo</t>
  </si>
  <si>
    <t>Ponta</t>
  </si>
  <si>
    <t>F. Ponta</t>
  </si>
  <si>
    <t>Demanda</t>
  </si>
  <si>
    <t>Tarifas</t>
  </si>
  <si>
    <t>Comercial</t>
  </si>
  <si>
    <t>Verde</t>
  </si>
  <si>
    <t>THS-A4</t>
  </si>
  <si>
    <t>Valores apurados</t>
  </si>
  <si>
    <t>Demanda contratada</t>
  </si>
  <si>
    <t>EREX</t>
  </si>
  <si>
    <t>Ultrapassagem de demanda</t>
  </si>
  <si>
    <t>Azul</t>
  </si>
  <si>
    <t>P. Público</t>
  </si>
  <si>
    <t>Total do consumo</t>
  </si>
  <si>
    <t>Iluminação pública</t>
  </si>
  <si>
    <t>Cofins</t>
  </si>
  <si>
    <t>IR</t>
  </si>
  <si>
    <t>CSLL</t>
  </si>
  <si>
    <t>PIS</t>
  </si>
  <si>
    <t>Total da fatura</t>
  </si>
  <si>
    <t>Adicionais eventuais</t>
  </si>
  <si>
    <t>Descontos eventuais</t>
  </si>
  <si>
    <t>Iluminação Pública</t>
  </si>
  <si>
    <t>Adicionais e descontos</t>
  </si>
  <si>
    <t>Total impostos federais</t>
  </si>
  <si>
    <t>Multas e juros</t>
  </si>
  <si>
    <t>Dados para seleção</t>
  </si>
  <si>
    <t>Dados para o gráfico</t>
  </si>
  <si>
    <t>Análise da demanda</t>
  </si>
  <si>
    <t>Maior utilização [kW]</t>
  </si>
  <si>
    <t>Demanda contratada [kW]</t>
  </si>
  <si>
    <t>Painel de estatísticas</t>
  </si>
  <si>
    <t>Máximo</t>
  </si>
  <si>
    <t>Mínimo</t>
  </si>
  <si>
    <t>Média</t>
  </si>
  <si>
    <t>Desvio padrão</t>
  </si>
  <si>
    <t>Variável da estatística</t>
  </si>
  <si>
    <t>Consumo Ponta</t>
  </si>
  <si>
    <t>Consumo F. Ponta</t>
  </si>
  <si>
    <t>Demanda Ponta</t>
  </si>
  <si>
    <t>Demanda F. Ponta</t>
  </si>
  <si>
    <r>
      <t xml:space="preserve">↓ SELECIONE A VARIÁVEL </t>
    </r>
    <r>
      <rPr>
        <b/>
        <sz val="11"/>
        <color theme="9" tint="-0.249977111117893"/>
        <rFont val="Calibri"/>
        <family val="2"/>
      </rPr>
      <t>↓</t>
    </r>
  </si>
  <si>
    <t>Entrada 1</t>
  </si>
  <si>
    <t>Entrada 2</t>
  </si>
  <si>
    <t>Entrada 3</t>
  </si>
  <si>
    <t>Saída 1</t>
  </si>
  <si>
    <t>Saída 2</t>
  </si>
  <si>
    <t>Desvio</t>
  </si>
  <si>
    <t>Valor total:</t>
  </si>
  <si>
    <r>
      <t>Consumo</t>
    </r>
    <r>
      <rPr>
        <b/>
        <sz val="8"/>
        <color theme="9" tint="-0.249977111117893"/>
        <rFont val="Calibri"/>
        <family val="2"/>
        <scheme val="minor"/>
      </rPr>
      <t xml:space="preserve"> [kWh]</t>
    </r>
  </si>
  <si>
    <r>
      <t>Demanda registrada</t>
    </r>
    <r>
      <rPr>
        <b/>
        <sz val="8"/>
        <color theme="9" tint="-0.249977111117893"/>
        <rFont val="Calibri"/>
        <family val="2"/>
        <scheme val="minor"/>
      </rPr>
      <t xml:space="preserve"> [kW]</t>
    </r>
  </si>
  <si>
    <r>
      <t>EREX</t>
    </r>
    <r>
      <rPr>
        <b/>
        <sz val="8"/>
        <color theme="9" tint="-0.249977111117893"/>
        <rFont val="Calibri"/>
        <family val="2"/>
        <scheme val="minor"/>
      </rPr>
      <t xml:space="preserve"> [UFER]</t>
    </r>
  </si>
  <si>
    <r>
      <t>Consumo</t>
    </r>
    <r>
      <rPr>
        <b/>
        <sz val="8"/>
        <color theme="9" tint="-0.249977111117893"/>
        <rFont val="Calibri"/>
        <family val="2"/>
        <scheme val="minor"/>
      </rPr>
      <t xml:space="preserve"> [R$/kWh]</t>
    </r>
  </si>
  <si>
    <r>
      <t>Demanda</t>
    </r>
    <r>
      <rPr>
        <b/>
        <sz val="8"/>
        <color theme="9" tint="-0.249977111117893"/>
        <rFont val="Calibri"/>
        <family val="2"/>
        <scheme val="minor"/>
      </rPr>
      <t xml:space="preserve"> [R$/kW]</t>
    </r>
  </si>
  <si>
    <r>
      <t>EREX</t>
    </r>
    <r>
      <rPr>
        <b/>
        <sz val="8"/>
        <color theme="9" tint="-0.249977111117893"/>
        <rFont val="Calibri"/>
        <family val="2"/>
        <scheme val="minor"/>
      </rPr>
      <t xml:space="preserve"> [R$/UFER]</t>
    </r>
  </si>
  <si>
    <r>
      <t>Ultrap. de demanda</t>
    </r>
    <r>
      <rPr>
        <b/>
        <sz val="8"/>
        <color theme="9" tint="-0.249977111117893"/>
        <rFont val="Calibri"/>
        <family val="2"/>
        <scheme val="minor"/>
      </rPr>
      <t xml:space="preserve"> [kW]</t>
    </r>
  </si>
  <si>
    <r>
      <t>Ultrap. de demanda</t>
    </r>
    <r>
      <rPr>
        <b/>
        <sz val="8"/>
        <color theme="9" tint="-0.249977111117893"/>
        <rFont val="Calibri"/>
        <family val="2"/>
        <scheme val="minor"/>
      </rPr>
      <t xml:space="preserve"> [R$/kW]</t>
    </r>
  </si>
  <si>
    <t>Identificação</t>
  </si>
  <si>
    <t>Número do medidor</t>
  </si>
  <si>
    <t>↓ Classificação ↓</t>
  </si>
  <si>
    <t>↓ Ligação ↓</t>
  </si>
  <si>
    <t>Média dos últimos 12 meses</t>
  </si>
  <si>
    <t>Variável</t>
  </si>
  <si>
    <t>Faturas dos últimos 12 meses</t>
  </si>
  <si>
    <r>
      <t>Consumo F. Ponta</t>
    </r>
    <r>
      <rPr>
        <sz val="8"/>
        <color theme="9" tint="-0.249977111117893"/>
        <rFont val="Calibri"/>
        <family val="2"/>
        <scheme val="minor"/>
      </rPr>
      <t xml:space="preserve"> [kWh]</t>
    </r>
  </si>
  <si>
    <r>
      <t>Consumo Ponta</t>
    </r>
    <r>
      <rPr>
        <sz val="8"/>
        <color theme="9" tint="-0.249977111117893"/>
        <rFont val="Calibri"/>
        <family val="2"/>
        <scheme val="minor"/>
      </rPr>
      <t xml:space="preserve"> [kWh]</t>
    </r>
  </si>
  <si>
    <r>
      <t>Demanda F. Ponta</t>
    </r>
    <r>
      <rPr>
        <sz val="8"/>
        <color theme="9" tint="-0.249977111117893"/>
        <rFont val="Calibri"/>
        <family val="2"/>
        <scheme val="minor"/>
      </rPr>
      <t xml:space="preserve"> [kW]</t>
    </r>
  </si>
  <si>
    <r>
      <t>Demanda Ponta</t>
    </r>
    <r>
      <rPr>
        <sz val="8"/>
        <color theme="9" tint="-0.249977111117893"/>
        <rFont val="Calibri"/>
        <family val="2"/>
        <scheme val="minor"/>
      </rPr>
      <t xml:space="preserve"> [kW]</t>
    </r>
  </si>
  <si>
    <r>
      <t>Ultrap. Demanda F. Ponta</t>
    </r>
    <r>
      <rPr>
        <sz val="8"/>
        <color theme="9" tint="-0.249977111117893"/>
        <rFont val="Calibri"/>
        <family val="2"/>
        <scheme val="minor"/>
      </rPr>
      <t xml:space="preserve"> [kW]</t>
    </r>
  </si>
  <si>
    <r>
      <t>Ultrap. Demanda Ponta</t>
    </r>
    <r>
      <rPr>
        <sz val="8"/>
        <color theme="9" tint="-0.249977111117893"/>
        <rFont val="Calibri"/>
        <family val="2"/>
        <scheme val="minor"/>
      </rPr>
      <t xml:space="preserve"> [kW]</t>
    </r>
  </si>
  <si>
    <r>
      <t>EREX F. Ponta</t>
    </r>
    <r>
      <rPr>
        <sz val="8"/>
        <color theme="9" tint="-0.249977111117893"/>
        <rFont val="Calibri"/>
        <family val="2"/>
        <scheme val="minor"/>
      </rPr>
      <t xml:space="preserve"> [UFER]</t>
    </r>
  </si>
  <si>
    <r>
      <t>EREX Ponta</t>
    </r>
    <r>
      <rPr>
        <sz val="8"/>
        <color theme="9" tint="-0.249977111117893"/>
        <rFont val="Calibri"/>
        <family val="2"/>
        <scheme val="minor"/>
      </rPr>
      <t xml:space="preserve"> [UFER]</t>
    </r>
  </si>
  <si>
    <t>Distribuidora</t>
  </si>
  <si>
    <t>CEB</t>
  </si>
  <si>
    <t>Coeficiente de Variação</t>
  </si>
  <si>
    <t>Dados básicos do edifício</t>
  </si>
  <si>
    <t>Número de usuários</t>
  </si>
  <si>
    <t>Área construída [m²]</t>
  </si>
  <si>
    <t>Indicadores básicos</t>
  </si>
  <si>
    <t>Área útil [m²]</t>
  </si>
  <si>
    <t>Área condicionada [m²]</t>
  </si>
  <si>
    <t>Área não condicionada [m²]</t>
  </si>
  <si>
    <t>Dias úteis</t>
  </si>
  <si>
    <t>Sábados</t>
  </si>
  <si>
    <t>Domingos</t>
  </si>
  <si>
    <t>Início</t>
  </si>
  <si>
    <t>Fim</t>
  </si>
  <si>
    <t>Horários de funcionamento</t>
  </si>
  <si>
    <t>NOME</t>
  </si>
  <si>
    <r>
      <t xml:space="preserve">Planilha de Análise de Faturas
</t>
    </r>
    <r>
      <rPr>
        <b/>
        <sz val="20"/>
        <color theme="5"/>
        <rFont val="Calibri"/>
        <family val="2"/>
        <scheme val="minor"/>
      </rPr>
      <t>Dados Gerais</t>
    </r>
  </si>
  <si>
    <r>
      <t xml:space="preserve">Planilha de Análise de Faturas
</t>
    </r>
    <r>
      <rPr>
        <b/>
        <sz val="20"/>
        <color theme="5"/>
        <rFont val="Calibri"/>
        <family val="2"/>
        <scheme val="minor"/>
      </rPr>
      <t>Entrada de dados mensais</t>
    </r>
  </si>
  <si>
    <r>
      <t xml:space="preserve">Planilha de Análise de Faturas
</t>
    </r>
    <r>
      <rPr>
        <b/>
        <sz val="20"/>
        <color theme="5"/>
        <rFont val="Calibri"/>
        <family val="2"/>
        <scheme val="minor"/>
      </rPr>
      <t>Valores Apurados</t>
    </r>
  </si>
  <si>
    <r>
      <t xml:space="preserve">Planilha de Análise de Faturas
</t>
    </r>
    <r>
      <rPr>
        <b/>
        <sz val="20"/>
        <color theme="5"/>
        <rFont val="Calibri"/>
        <family val="2"/>
        <scheme val="minor"/>
      </rPr>
      <t>Gráfico de consumo e demanda dos últimos 12 meses</t>
    </r>
  </si>
  <si>
    <r>
      <t xml:space="preserve">Planilha de Análise de Faturas
</t>
    </r>
    <r>
      <rPr>
        <b/>
        <sz val="20"/>
        <color theme="5"/>
        <rFont val="Calibri"/>
        <family val="2"/>
        <scheme val="minor"/>
      </rPr>
      <t>Gráficos de gastos e tarifas dos últimos 12 meses</t>
    </r>
  </si>
  <si>
    <r>
      <t xml:space="preserve">Planilha de Análise de Faturas
</t>
    </r>
    <r>
      <rPr>
        <b/>
        <sz val="20"/>
        <color theme="5"/>
        <rFont val="Calibri"/>
        <family val="2"/>
        <scheme val="minor"/>
      </rPr>
      <t>Resumo e Indicadores Básicos</t>
    </r>
  </si>
  <si>
    <t>Se as demandas forem ajustadas para</t>
  </si>
  <si>
    <t>A diferença na fatura seria:</t>
  </si>
  <si>
    <t>Economia com relação ao gasto atual anual:</t>
  </si>
  <si>
    <t>Comparação simples em caso de reajuste *</t>
  </si>
  <si>
    <t>* Esta é uma comparação simples e contabiliza apenas a tarifa da demanda (R$/kW), não levando em consideração a cobrança de demanda excedente.</t>
  </si>
  <si>
    <t>123456-7</t>
  </si>
  <si>
    <t>P. Público Federal</t>
  </si>
  <si>
    <t>Versão da planilha:</t>
  </si>
  <si>
    <r>
      <t xml:space="preserve">Planilha de Análise de Faturas
</t>
    </r>
    <r>
      <rPr>
        <b/>
        <sz val="20"/>
        <color theme="5"/>
        <rFont val="Calibri"/>
        <family val="2"/>
        <scheme val="minor"/>
      </rPr>
      <t>Histórico de demandas contratadas</t>
    </r>
  </si>
  <si>
    <t>Mês da entrada em vigor</t>
  </si>
  <si>
    <r>
      <t>Demanda cobrada</t>
    </r>
    <r>
      <rPr>
        <b/>
        <sz val="8"/>
        <color theme="9" tint="-0.249977111117893"/>
        <rFont val="Calibri"/>
        <family val="2"/>
        <scheme val="minor"/>
      </rPr>
      <t xml:space="preserve"> [kW]</t>
    </r>
  </si>
  <si>
    <r>
      <t>Demanda contratada</t>
    </r>
    <r>
      <rPr>
        <b/>
        <sz val="8"/>
        <color theme="9" tint="-0.249977111117893"/>
        <rFont val="Calibri"/>
        <family val="2"/>
        <scheme val="minor"/>
      </rPr>
      <t xml:space="preserve"> [kW]</t>
    </r>
  </si>
  <si>
    <t>2.01</t>
  </si>
  <si>
    <t>Observações</t>
  </si>
  <si>
    <t>A título de exemplo, a planilha já se encontra preenchida com dados fictícios.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</si>
  <si>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Gontijo, no âmbito do projeto RedEE - Edifícios Públicos.
É recomendável não alterar as fórmulas. Em caso de necessidade de adaptação ou correção, entre em contato pelo e-mail 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 xml:space="preserve">.
</t>
    </r>
    <r>
      <rPr>
        <b/>
        <sz val="11"/>
        <color rgb="FFFF0000"/>
        <rFont val="Calibri"/>
        <family val="2"/>
        <scheme val="minor"/>
      </rPr>
      <t>Assista a videoaula sobre como utilizar esta planilha</t>
    </r>
    <r>
      <rPr>
        <sz val="11"/>
        <color theme="1"/>
        <rFont val="Calibri"/>
        <family val="2"/>
        <scheme val="minor"/>
      </rPr>
      <t xml:space="preserve">, disponível no Acervo Técnico da RedEE - Edifícios Públicos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</si>
</sst>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0.0%"/>
    <numFmt numFmtId="165" formatCode="0.0000000"/>
    <numFmt numFmtId="166" formatCode="[$-F400]h:mm:ss\ AM/PM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8"/>
      <color theme="9" tint="-0.249977111117893"/>
      <name val="Calibri"/>
      <family val="2"/>
      <scheme val="minor"/>
    </font>
    <font>
      <b/>
      <sz val="11"/>
      <color theme="9" tint="-0.249977111117893"/>
      <name val="Calibri"/>
      <family val="2"/>
    </font>
    <font>
      <i/>
      <sz val="9"/>
      <color theme="9" tint="-0.249977111117893"/>
      <name val="Calibri"/>
      <family val="2"/>
      <scheme val="minor"/>
    </font>
    <font>
      <sz val="10"/>
      <color theme="9" tint="-0.249977111117893"/>
      <name val="Calibri"/>
      <family val="2"/>
      <scheme val="minor"/>
    </font>
    <font>
      <i/>
      <sz val="8"/>
      <color theme="9" tint="-0.249977111117893"/>
      <name val="Calibri"/>
      <family val="2"/>
      <scheme val="minor"/>
    </font>
    <font>
      <sz val="18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sz val="16"/>
      <color theme="9" tint="-0.249977111117893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gradientFill degree="90">
        <stop position="0">
          <color theme="0"/>
        </stop>
        <stop position="1">
          <color theme="9" tint="0.80001220740379042"/>
        </stop>
      </gradientFill>
    </fill>
    <fill>
      <patternFill patternType="solid">
        <fgColor rgb="FFFFFFE6"/>
        <bgColor indexed="64"/>
      </patternFill>
    </fill>
  </fills>
  <borders count="31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 style="thin">
        <color theme="9" tint="-0.249977111117893"/>
      </right>
      <top/>
      <bottom style="thin">
        <color theme="9" tint="-0.249977111117893"/>
      </bottom>
      <diagonal/>
    </border>
    <border>
      <left/>
      <right/>
      <top style="thin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  <border>
      <left style="medium">
        <color theme="9" tint="0.59996337778862885"/>
      </left>
      <right/>
      <top style="medium">
        <color theme="9" tint="0.59996337778862885"/>
      </top>
      <bottom/>
      <diagonal/>
    </border>
    <border>
      <left/>
      <right/>
      <top style="medium">
        <color theme="9" tint="0.59996337778862885"/>
      </top>
      <bottom/>
      <diagonal/>
    </border>
    <border>
      <left/>
      <right style="medium">
        <color theme="9" tint="0.59996337778862885"/>
      </right>
      <top style="medium">
        <color theme="9" tint="0.59996337778862885"/>
      </top>
      <bottom/>
      <diagonal/>
    </border>
    <border>
      <left style="medium">
        <color theme="9" tint="0.59996337778862885"/>
      </left>
      <right/>
      <top/>
      <bottom/>
      <diagonal/>
    </border>
    <border>
      <left/>
      <right style="medium">
        <color theme="9" tint="0.59996337778862885"/>
      </right>
      <top/>
      <bottom/>
      <diagonal/>
    </border>
    <border>
      <left style="medium">
        <color theme="9" tint="0.59996337778862885"/>
      </left>
      <right/>
      <top/>
      <bottom style="medium">
        <color theme="9" tint="0.59996337778862885"/>
      </bottom>
      <diagonal/>
    </border>
    <border>
      <left/>
      <right/>
      <top/>
      <bottom style="medium">
        <color theme="9" tint="0.59996337778862885"/>
      </bottom>
      <diagonal/>
    </border>
    <border>
      <left/>
      <right style="medium">
        <color theme="9" tint="0.59996337778862885"/>
      </right>
      <top/>
      <bottom style="medium">
        <color theme="9" tint="0.59996337778862885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6">
    <xf numFmtId="0" fontId="0" fillId="0" borderId="0" xfId="0"/>
    <xf numFmtId="0" fontId="0" fillId="2" borderId="1" xfId="0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0" fillId="2" borderId="0" xfId="0" applyFill="1" applyProtection="1"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4" fontId="0" fillId="2" borderId="1" xfId="1" applyFont="1" applyFill="1" applyBorder="1" applyAlignment="1" applyProtection="1">
      <alignment horizontal="center"/>
      <protection locked="0"/>
    </xf>
    <xf numFmtId="44" fontId="0" fillId="2" borderId="0" xfId="0" applyNumberFormat="1" applyFill="1" applyProtection="1">
      <protection locked="0"/>
    </xf>
    <xf numFmtId="0" fontId="10" fillId="5" borderId="6" xfId="0" applyFont="1" applyFill="1" applyBorder="1" applyAlignment="1" applyProtection="1">
      <alignment horizontal="center"/>
      <protection locked="0"/>
    </xf>
    <xf numFmtId="17" fontId="0" fillId="2" borderId="0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6" fillId="2" borderId="0" xfId="0" applyFont="1" applyFill="1" applyAlignment="1" applyProtection="1">
      <protection locked="0"/>
    </xf>
    <xf numFmtId="0" fontId="0" fillId="2" borderId="0" xfId="0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0" fontId="4" fillId="4" borderId="7" xfId="2" applyNumberFormat="1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1" fontId="0" fillId="6" borderId="7" xfId="0" applyNumberFormat="1" applyFill="1" applyBorder="1" applyAlignment="1" applyProtection="1">
      <alignment horizontal="center"/>
    </xf>
    <xf numFmtId="1" fontId="6" fillId="6" borderId="1" xfId="0" applyNumberFormat="1" applyFont="1" applyFill="1" applyBorder="1" applyAlignment="1" applyProtection="1">
      <alignment horizontal="center" vertical="center"/>
    </xf>
    <xf numFmtId="9" fontId="6" fillId="6" borderId="1" xfId="2" applyFont="1" applyFill="1" applyBorder="1" applyAlignment="1" applyProtection="1">
      <alignment horizontal="center" vertical="center"/>
    </xf>
    <xf numFmtId="44" fontId="14" fillId="6" borderId="1" xfId="1" applyFont="1" applyFill="1" applyBorder="1" applyAlignment="1" applyProtection="1">
      <alignment vertical="center"/>
    </xf>
    <xf numFmtId="44" fontId="0" fillId="6" borderId="1" xfId="1" applyFont="1" applyFill="1" applyBorder="1" applyAlignment="1" applyProtection="1">
      <alignment horizontal="center"/>
    </xf>
    <xf numFmtId="44" fontId="0" fillId="6" borderId="7" xfId="1" applyFont="1" applyFill="1" applyBorder="1" applyAlignment="1" applyProtection="1">
      <alignment horizontal="center"/>
    </xf>
    <xf numFmtId="44" fontId="0" fillId="6" borderId="1" xfId="0" applyNumberFormat="1" applyFill="1" applyBorder="1" applyAlignment="1" applyProtection="1">
      <alignment horizontal="center"/>
    </xf>
    <xf numFmtId="44" fontId="2" fillId="6" borderId="1" xfId="0" applyNumberFormat="1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44" fontId="4" fillId="4" borderId="2" xfId="1" applyFont="1" applyFill="1" applyBorder="1" applyAlignment="1" applyProtection="1">
      <alignment horizontal="center" vertical="center"/>
      <protection locked="0"/>
    </xf>
    <xf numFmtId="44" fontId="4" fillId="4" borderId="8" xfId="1" applyFont="1" applyFill="1" applyBorder="1" applyAlignment="1" applyProtection="1">
      <alignment horizontal="center" vertical="center"/>
      <protection locked="0"/>
    </xf>
    <xf numFmtId="44" fontId="4" fillId="4" borderId="3" xfId="1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left" indent="1"/>
      <protection locked="0"/>
    </xf>
    <xf numFmtId="1" fontId="16" fillId="6" borderId="1" xfId="0" applyNumberFormat="1" applyFont="1" applyFill="1" applyBorder="1" applyAlignment="1" applyProtection="1">
      <alignment horizontal="center"/>
    </xf>
    <xf numFmtId="1" fontId="16" fillId="6" borderId="1" xfId="0" applyNumberFormat="1" applyFont="1" applyFill="1" applyBorder="1" applyAlignment="1" applyProtection="1">
      <alignment horizontal="center" vertical="center"/>
    </xf>
    <xf numFmtId="0" fontId="6" fillId="6" borderId="7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Border="1" applyAlignment="1" applyProtection="1">
      <alignment vertical="top" wrapText="1"/>
      <protection locked="0"/>
    </xf>
    <xf numFmtId="0" fontId="5" fillId="2" borderId="0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7" fontId="0" fillId="2" borderId="22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0" xfId="0" applyFill="1" applyProtection="1"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 vertical="center" indent="2"/>
      <protection locked="0"/>
    </xf>
    <xf numFmtId="166" fontId="6" fillId="2" borderId="1" xfId="0" applyNumberFormat="1" applyFont="1" applyFill="1" applyBorder="1" applyAlignment="1" applyProtection="1">
      <alignment horizontal="center" vertical="center"/>
      <protection locked="0"/>
    </xf>
    <xf numFmtId="166" fontId="6" fillId="2" borderId="12" xfId="0" applyNumberFormat="1" applyFont="1" applyFill="1" applyBorder="1" applyAlignment="1" applyProtection="1">
      <alignment horizontal="center" vertical="center"/>
      <protection locked="0"/>
    </xf>
    <xf numFmtId="166" fontId="6" fillId="2" borderId="10" xfId="0" applyNumberFormat="1" applyFont="1" applyFill="1" applyBorder="1" applyAlignment="1" applyProtection="1">
      <alignment horizontal="center" vertical="center"/>
      <protection locked="0"/>
    </xf>
    <xf numFmtId="17" fontId="0" fillId="6" borderId="1" xfId="0" applyNumberFormat="1" applyFill="1" applyBorder="1" applyAlignment="1" applyProtection="1">
      <alignment horizontal="center"/>
    </xf>
    <xf numFmtId="0" fontId="4" fillId="4" borderId="4" xfId="0" applyFont="1" applyFill="1" applyBorder="1" applyAlignment="1" applyProtection="1">
      <alignment horizontal="center" vertical="center" wrapText="1"/>
    </xf>
    <xf numFmtId="0" fontId="4" fillId="4" borderId="5" xfId="0" applyFont="1" applyFill="1" applyBorder="1" applyAlignment="1" applyProtection="1">
      <alignment horizontal="center" vertical="center" wrapText="1"/>
    </xf>
    <xf numFmtId="164" fontId="4" fillId="6" borderId="12" xfId="2" applyNumberFormat="1" applyFont="1" applyFill="1" applyBorder="1" applyAlignment="1" applyProtection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7" fontId="0" fillId="0" borderId="1" xfId="0" applyNumberFormat="1" applyBorder="1" applyAlignment="1">
      <alignment horizontal="center"/>
    </xf>
    <xf numFmtId="22" fontId="0" fillId="0" borderId="0" xfId="0" applyNumberFormat="1"/>
    <xf numFmtId="0" fontId="0" fillId="6" borderId="7" xfId="0" applyFill="1" applyBorder="1" applyAlignment="1" applyProtection="1">
      <alignment horizontal="center"/>
    </xf>
    <xf numFmtId="17" fontId="0" fillId="0" borderId="0" xfId="0" applyNumberFormat="1" applyFill="1"/>
    <xf numFmtId="0" fontId="0" fillId="0" borderId="0" xfId="0" applyFill="1"/>
    <xf numFmtId="0" fontId="6" fillId="2" borderId="1" xfId="0" quotePrefix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21" fillId="2" borderId="0" xfId="0" applyFont="1" applyFill="1" applyProtection="1">
      <protection locked="0"/>
    </xf>
    <xf numFmtId="0" fontId="0" fillId="2" borderId="24" xfId="0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vertical="top"/>
      <protection locked="0"/>
    </xf>
    <xf numFmtId="0" fontId="0" fillId="2" borderId="26" xfId="0" applyFill="1" applyBorder="1" applyAlignment="1" applyProtection="1">
      <alignment vertical="top"/>
      <protection locked="0"/>
    </xf>
    <xf numFmtId="0" fontId="0" fillId="2" borderId="27" xfId="0" applyFill="1" applyBorder="1" applyAlignment="1" applyProtection="1">
      <alignment vertical="top"/>
      <protection locked="0"/>
    </xf>
    <xf numFmtId="0" fontId="0" fillId="2" borderId="0" xfId="0" applyFill="1" applyBorder="1" applyAlignment="1" applyProtection="1">
      <alignment vertical="top"/>
      <protection locked="0"/>
    </xf>
    <xf numFmtId="0" fontId="0" fillId="2" borderId="28" xfId="0" applyFill="1" applyBorder="1" applyAlignment="1" applyProtection="1">
      <alignment vertical="top"/>
      <protection locked="0"/>
    </xf>
    <xf numFmtId="0" fontId="0" fillId="2" borderId="29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2" borderId="30" xfId="0" applyFill="1" applyBorder="1" applyAlignment="1" applyProtection="1">
      <alignment vertical="top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0" xfId="0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0" fontId="4" fillId="4" borderId="15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left" vertical="center" indent="2"/>
      <protection locked="0"/>
    </xf>
    <xf numFmtId="0" fontId="5" fillId="3" borderId="11" xfId="0" applyFont="1" applyFill="1" applyBorder="1" applyAlignment="1" applyProtection="1">
      <alignment horizontal="left" vertical="center" indent="2"/>
      <protection locked="0"/>
    </xf>
    <xf numFmtId="0" fontId="5" fillId="3" borderId="12" xfId="0" applyFont="1" applyFill="1" applyBorder="1" applyAlignment="1" applyProtection="1">
      <alignment horizontal="left" vertical="center" indent="2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center" vertical="center"/>
      <protection locked="0"/>
    </xf>
    <xf numFmtId="0" fontId="4" fillId="4" borderId="9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left" vertical="center" wrapText="1" indent="2"/>
      <protection locked="0"/>
    </xf>
    <xf numFmtId="0" fontId="3" fillId="2" borderId="17" xfId="0" applyFont="1" applyFill="1" applyBorder="1" applyAlignment="1" applyProtection="1">
      <alignment horizontal="left" vertical="center" indent="2"/>
      <protection locked="0"/>
    </xf>
    <xf numFmtId="0" fontId="5" fillId="2" borderId="13" xfId="0" applyFont="1" applyFill="1" applyBorder="1" applyAlignment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 vertical="center" wrapText="1" indent="2"/>
      <protection locked="0"/>
    </xf>
    <xf numFmtId="0" fontId="3" fillId="2" borderId="0" xfId="0" applyFont="1" applyFill="1" applyAlignment="1" applyProtection="1">
      <alignment horizontal="left" vertical="center" indent="2"/>
      <protection locked="0"/>
    </xf>
    <xf numFmtId="0" fontId="5" fillId="3" borderId="7" xfId="0" applyFont="1" applyFill="1" applyBorder="1" applyAlignment="1" applyProtection="1">
      <alignment horizontal="left" vertical="center" indent="2"/>
      <protection locked="0"/>
    </xf>
    <xf numFmtId="0" fontId="5" fillId="3" borderId="1" xfId="0" applyFont="1" applyFill="1" applyBorder="1" applyAlignment="1" applyProtection="1">
      <alignment horizontal="left" vertical="center" indent="2"/>
      <protection locked="0"/>
    </xf>
    <xf numFmtId="0" fontId="4" fillId="4" borderId="10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indent="2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/>
    <xf numFmtId="0" fontId="4" fillId="6" borderId="11" xfId="0" applyFont="1" applyFill="1" applyBorder="1" applyAlignment="1" applyProtection="1"/>
    <xf numFmtId="0" fontId="11" fillId="2" borderId="8" xfId="0" applyFont="1" applyFill="1" applyBorder="1" applyAlignment="1" applyProtection="1">
      <alignment wrapText="1"/>
    </xf>
    <xf numFmtId="0" fontId="11" fillId="2" borderId="0" xfId="0" applyFont="1" applyFill="1" applyBorder="1" applyAlignment="1" applyProtection="1">
      <alignment wrapText="1"/>
    </xf>
    <xf numFmtId="0" fontId="7" fillId="3" borderId="10" xfId="0" applyFont="1" applyFill="1" applyBorder="1" applyAlignment="1" applyProtection="1">
      <alignment horizontal="center" vertical="center"/>
    </xf>
    <xf numFmtId="0" fontId="7" fillId="3" borderId="11" xfId="0" applyFont="1" applyFill="1" applyBorder="1" applyAlignment="1" applyProtection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 wrapText="1"/>
    </xf>
    <xf numFmtId="0" fontId="4" fillId="4" borderId="3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vertical="center" wrapText="1" indent="2"/>
    </xf>
    <xf numFmtId="0" fontId="4" fillId="6" borderId="2" xfId="0" applyFont="1" applyFill="1" applyBorder="1" applyAlignment="1" applyProtection="1">
      <alignment horizontal="center" vertical="center"/>
    </xf>
    <xf numFmtId="0" fontId="4" fillId="6" borderId="8" xfId="0" applyFont="1" applyFill="1" applyBorder="1" applyAlignment="1" applyProtection="1">
      <alignment horizontal="center" vertical="center"/>
    </xf>
    <xf numFmtId="0" fontId="4" fillId="6" borderId="4" xfId="0" applyFont="1" applyFill="1" applyBorder="1" applyAlignment="1" applyProtection="1">
      <alignment horizontal="center" vertical="center"/>
    </xf>
    <xf numFmtId="0" fontId="4" fillId="6" borderId="9" xfId="0" applyFont="1" applyFill="1" applyBorder="1" applyAlignment="1" applyProtection="1">
      <alignment horizontal="center" vertical="center"/>
    </xf>
    <xf numFmtId="44" fontId="20" fillId="6" borderId="8" xfId="1" applyFont="1" applyFill="1" applyBorder="1" applyAlignment="1" applyProtection="1">
      <alignment horizontal="center" vertical="center"/>
    </xf>
    <xf numFmtId="44" fontId="20" fillId="6" borderId="3" xfId="1" applyFont="1" applyFill="1" applyBorder="1" applyAlignment="1" applyProtection="1">
      <alignment horizontal="center" vertical="center"/>
    </xf>
    <xf numFmtId="44" fontId="20" fillId="6" borderId="9" xfId="1" applyFont="1" applyFill="1" applyBorder="1" applyAlignment="1" applyProtection="1">
      <alignment horizontal="center" vertical="center"/>
    </xf>
    <xf numFmtId="44" fontId="20" fillId="6" borderId="5" xfId="1" applyFont="1" applyFill="1" applyBorder="1" applyAlignment="1" applyProtection="1">
      <alignment horizontal="center" vertical="center"/>
    </xf>
    <xf numFmtId="10" fontId="3" fillId="6" borderId="2" xfId="2" applyNumberFormat="1" applyFont="1" applyFill="1" applyBorder="1" applyAlignment="1" applyProtection="1">
      <alignment horizontal="center" vertical="center"/>
    </xf>
    <xf numFmtId="10" fontId="3" fillId="6" borderId="3" xfId="2" applyNumberFormat="1" applyFont="1" applyFill="1" applyBorder="1" applyAlignment="1" applyProtection="1">
      <alignment horizontal="center" vertical="center"/>
    </xf>
    <xf numFmtId="10" fontId="3" fillId="6" borderId="14" xfId="2" applyNumberFormat="1" applyFont="1" applyFill="1" applyBorder="1" applyAlignment="1" applyProtection="1">
      <alignment horizontal="center" vertical="center"/>
    </xf>
    <xf numFmtId="10" fontId="3" fillId="6" borderId="15" xfId="2" applyNumberFormat="1" applyFont="1" applyFill="1" applyBorder="1" applyAlignment="1" applyProtection="1">
      <alignment horizontal="center" vertical="center"/>
    </xf>
    <xf numFmtId="10" fontId="3" fillId="6" borderId="4" xfId="2" applyNumberFormat="1" applyFont="1" applyFill="1" applyBorder="1" applyAlignment="1" applyProtection="1">
      <alignment horizontal="center" vertical="center"/>
    </xf>
    <xf numFmtId="10" fontId="3" fillId="6" borderId="5" xfId="2" applyNumberFormat="1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14" xfId="0" applyFont="1" applyFill="1" applyBorder="1" applyAlignment="1" applyProtection="1">
      <alignment horizontal="center" vertical="center" wrapText="1"/>
    </xf>
    <xf numFmtId="0" fontId="7" fillId="4" borderId="15" xfId="0" applyFont="1" applyFill="1" applyBorder="1" applyAlignment="1" applyProtection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/>
      <protection locked="0"/>
    </xf>
    <xf numFmtId="0" fontId="7" fillId="3" borderId="12" xfId="0" applyFont="1" applyFill="1" applyBorder="1" applyAlignment="1" applyProtection="1">
      <alignment horizontal="center"/>
      <protection locked="0"/>
    </xf>
    <xf numFmtId="1" fontId="19" fillId="6" borderId="1" xfId="0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left" vertical="center" indent="2"/>
      <protection locked="0"/>
    </xf>
    <xf numFmtId="0" fontId="5" fillId="3" borderId="8" xfId="0" applyFont="1" applyFill="1" applyBorder="1" applyAlignment="1" applyProtection="1">
      <alignment horizontal="left" vertical="center" indent="2"/>
      <protection locked="0"/>
    </xf>
    <xf numFmtId="0" fontId="5" fillId="3" borderId="3" xfId="0" applyFont="1" applyFill="1" applyBorder="1" applyAlignment="1" applyProtection="1">
      <alignment horizontal="left" vertical="center" indent="2"/>
      <protection locked="0"/>
    </xf>
    <xf numFmtId="0" fontId="5" fillId="3" borderId="9" xfId="0" applyFont="1" applyFill="1" applyBorder="1" applyAlignment="1" applyProtection="1">
      <alignment horizontal="left" vertical="center" indent="2"/>
      <protection locked="0"/>
    </xf>
    <xf numFmtId="0" fontId="5" fillId="3" borderId="5" xfId="0" applyFont="1" applyFill="1" applyBorder="1" applyAlignment="1" applyProtection="1">
      <alignment horizontal="left" vertical="center" indent="2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44" fontId="16" fillId="6" borderId="1" xfId="1" applyFont="1" applyFill="1" applyBorder="1" applyProtection="1"/>
    <xf numFmtId="0" fontId="16" fillId="3" borderId="10" xfId="0" applyFont="1" applyFill="1" applyBorder="1" applyAlignment="1" applyProtection="1">
      <alignment horizontal="left" indent="1"/>
      <protection locked="0"/>
    </xf>
    <xf numFmtId="0" fontId="16" fillId="3" borderId="12" xfId="0" applyFont="1" applyFill="1" applyBorder="1" applyAlignment="1" applyProtection="1">
      <alignment horizontal="left" indent="1"/>
      <protection locked="0"/>
    </xf>
    <xf numFmtId="0" fontId="16" fillId="3" borderId="1" xfId="0" applyFont="1" applyFill="1" applyBorder="1" applyAlignment="1" applyProtection="1">
      <alignment horizontal="left" indent="1"/>
    </xf>
    <xf numFmtId="0" fontId="0" fillId="4" borderId="8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9" xfId="0" applyFont="1" applyFill="1" applyBorder="1" applyAlignment="1" applyProtection="1">
      <alignment horizontal="center" vertical="center"/>
      <protection locked="0"/>
    </xf>
    <xf numFmtId="0" fontId="12" fillId="3" borderId="11" xfId="0" applyFont="1" applyFill="1" applyBorder="1" applyAlignment="1" applyProtection="1">
      <alignment horizontal="right"/>
    </xf>
    <xf numFmtId="0" fontId="12" fillId="3" borderId="12" xfId="0" applyFont="1" applyFill="1" applyBorder="1" applyAlignment="1" applyProtection="1">
      <alignment horizontal="right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16" fillId="3" borderId="1" xfId="0" applyFont="1" applyFill="1" applyBorder="1" applyAlignment="1" applyProtection="1">
      <alignment horizontal="left" inden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44" fontId="13" fillId="6" borderId="1" xfId="1" applyFont="1" applyFill="1" applyBorder="1" applyAlignment="1" applyProtection="1">
      <alignment horizontal="center" vertical="center"/>
    </xf>
    <xf numFmtId="0" fontId="16" fillId="3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/>
      <protection locked="0"/>
    </xf>
    <xf numFmtId="0" fontId="16" fillId="3" borderId="1" xfId="0" applyFont="1" applyFill="1" applyBorder="1" applyAlignment="1" applyProtection="1">
      <alignment vertical="center"/>
      <protection locked="0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colors>
    <mruColors>
      <color rgb="FFFFFFE6"/>
      <color rgb="FFFFFF99"/>
      <color rgb="FFCCFFFF"/>
      <color rgb="FFFFFFCC"/>
      <color rgb="FFCC9900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accent6">
                    <a:lumMod val="75000"/>
                  </a:schemeClr>
                </a:solidFill>
              </a:rPr>
              <a:t>Consumo e Demanda - Último</a:t>
            </a:r>
            <a:r>
              <a:rPr lang="pt-BR" b="1" baseline="0">
                <a:solidFill>
                  <a:schemeClr val="accent6">
                    <a:lumMod val="75000"/>
                  </a:schemeClr>
                </a:solidFill>
              </a:rPr>
              <a:t>s 12 meses</a:t>
            </a:r>
            <a:endParaRPr lang="pt-BR" b="1">
              <a:solidFill>
                <a:schemeClr val="accent6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Consumo F. Ponta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[0]!intervalo_mes_faturado</c:f>
              <c:numCache>
                <c:formatCode>mmm\-yy</c:formatCode>
                <c:ptCount val="12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</c:numCache>
            </c:numRef>
          </c:cat>
          <c:val>
            <c:numRef>
              <c:f>[0]!intervalo_consumo_fponta</c:f>
              <c:numCache>
                <c:formatCode>General</c:formatCode>
                <c:ptCount val="12"/>
                <c:pt idx="0">
                  <c:v>168363</c:v>
                </c:pt>
                <c:pt idx="1">
                  <c:v>191061</c:v>
                </c:pt>
                <c:pt idx="2">
                  <c:v>228424</c:v>
                </c:pt>
                <c:pt idx="3">
                  <c:v>181306</c:v>
                </c:pt>
                <c:pt idx="4">
                  <c:v>209337</c:v>
                </c:pt>
                <c:pt idx="5">
                  <c:v>189441</c:v>
                </c:pt>
                <c:pt idx="6">
                  <c:v>185281</c:v>
                </c:pt>
                <c:pt idx="7">
                  <c:v>155770</c:v>
                </c:pt>
                <c:pt idx="8">
                  <c:v>158639</c:v>
                </c:pt>
                <c:pt idx="9">
                  <c:v>190245</c:v>
                </c:pt>
                <c:pt idx="10">
                  <c:v>231615</c:v>
                </c:pt>
                <c:pt idx="11">
                  <c:v>230039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0B-4FE4-91B9-566980A729E1}"/>
            </c:ext>
          </c:extLst>
        </c:ser>
        <c:ser>
          <c:idx val="1"/>
          <c:order val="1"/>
          <c:tx>
            <c:v>Consumo Ponta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[0]!intervalo_mes_faturado</c:f>
              <c:numCache>
                <c:formatCode>mmm\-yy</c:formatCode>
                <c:ptCount val="12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</c:numCache>
            </c:numRef>
          </c:cat>
          <c:val>
            <c:numRef>
              <c:f>[0]!intervalo_consumo_ponta</c:f>
              <c:numCache>
                <c:formatCode>General</c:formatCode>
                <c:ptCount val="12"/>
                <c:pt idx="0">
                  <c:v>11375</c:v>
                </c:pt>
                <c:pt idx="1">
                  <c:v>12786</c:v>
                </c:pt>
                <c:pt idx="2">
                  <c:v>13906</c:v>
                </c:pt>
                <c:pt idx="3">
                  <c:v>13707</c:v>
                </c:pt>
                <c:pt idx="4">
                  <c:v>17608</c:v>
                </c:pt>
                <c:pt idx="5">
                  <c:v>15713</c:v>
                </c:pt>
                <c:pt idx="6">
                  <c:v>15850</c:v>
                </c:pt>
                <c:pt idx="7">
                  <c:v>14438</c:v>
                </c:pt>
                <c:pt idx="8">
                  <c:v>15468</c:v>
                </c:pt>
                <c:pt idx="9">
                  <c:v>16022</c:v>
                </c:pt>
                <c:pt idx="10">
                  <c:v>18561</c:v>
                </c:pt>
                <c:pt idx="11">
                  <c:v>18267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0B-4FE4-91B9-566980A7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-1986179696"/>
        <c:axId val="-1986184592"/>
      </c:barChart>
      <c:lineChart>
        <c:grouping val="standard"/>
        <c:varyColors val="0"/>
        <c:ser>
          <c:idx val="2"/>
          <c:order val="2"/>
          <c:tx>
            <c:v>Demanda F. Ponta</c:v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[0]!intervalo_demanda_fponta</c:f>
              <c:numCache>
                <c:formatCode>General</c:formatCode>
                <c:ptCount val="12"/>
                <c:pt idx="0">
                  <c:v>801</c:v>
                </c:pt>
                <c:pt idx="1">
                  <c:v>827</c:v>
                </c:pt>
                <c:pt idx="2">
                  <c:v>966</c:v>
                </c:pt>
                <c:pt idx="3">
                  <c:v>918</c:v>
                </c:pt>
                <c:pt idx="4">
                  <c:v>877</c:v>
                </c:pt>
                <c:pt idx="5">
                  <c:v>782</c:v>
                </c:pt>
                <c:pt idx="6">
                  <c:v>741</c:v>
                </c:pt>
                <c:pt idx="7">
                  <c:v>534</c:v>
                </c:pt>
                <c:pt idx="8">
                  <c:v>540</c:v>
                </c:pt>
                <c:pt idx="9">
                  <c:v>847</c:v>
                </c:pt>
                <c:pt idx="10">
                  <c:v>916</c:v>
                </c:pt>
                <c:pt idx="11">
                  <c:v>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0B-4FE4-91B9-566980A729E1}"/>
            </c:ext>
          </c:extLst>
        </c:ser>
        <c:ser>
          <c:idx val="3"/>
          <c:order val="3"/>
          <c:tx>
            <c:v>Demanda Ponta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[0]!intervalo_demanda_ponta</c:f>
              <c:numCache>
                <c:formatCode>General</c:formatCode>
                <c:ptCount val="12"/>
                <c:pt idx="0">
                  <c:v>294</c:v>
                </c:pt>
                <c:pt idx="1">
                  <c:v>326</c:v>
                </c:pt>
                <c:pt idx="2">
                  <c:v>387</c:v>
                </c:pt>
                <c:pt idx="3">
                  <c:v>447</c:v>
                </c:pt>
                <c:pt idx="4">
                  <c:v>488</c:v>
                </c:pt>
                <c:pt idx="5">
                  <c:v>438</c:v>
                </c:pt>
                <c:pt idx="6">
                  <c:v>415</c:v>
                </c:pt>
                <c:pt idx="7">
                  <c:v>324</c:v>
                </c:pt>
                <c:pt idx="8">
                  <c:v>330</c:v>
                </c:pt>
                <c:pt idx="9">
                  <c:v>449</c:v>
                </c:pt>
                <c:pt idx="10">
                  <c:v>499</c:v>
                </c:pt>
                <c:pt idx="11">
                  <c:v>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0B-4FE4-91B9-566980A729E1}"/>
            </c:ext>
          </c:extLst>
        </c:ser>
        <c:ser>
          <c:idx val="4"/>
          <c:order val="4"/>
          <c:tx>
            <c:v>Demanda contratada Ponta</c:v>
          </c:tx>
          <c:spPr>
            <a:ln w="28575" cap="rnd">
              <a:solidFill>
                <a:srgbClr val="FFC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[0]!intervalo_demanda_contratada_ponta</c:f>
              <c:numCache>
                <c:formatCode>General</c:formatCode>
                <c:ptCount val="12"/>
                <c:pt idx="0">
                  <c:v>650</c:v>
                </c:pt>
                <c:pt idx="1">
                  <c:v>650</c:v>
                </c:pt>
                <c:pt idx="2">
                  <c:v>650</c:v>
                </c:pt>
                <c:pt idx="3">
                  <c:v>650</c:v>
                </c:pt>
                <c:pt idx="4">
                  <c:v>650</c:v>
                </c:pt>
                <c:pt idx="5">
                  <c:v>650</c:v>
                </c:pt>
                <c:pt idx="6">
                  <c:v>650</c:v>
                </c:pt>
                <c:pt idx="7">
                  <c:v>650</c:v>
                </c:pt>
                <c:pt idx="8">
                  <c:v>650</c:v>
                </c:pt>
                <c:pt idx="9">
                  <c:v>650</c:v>
                </c:pt>
                <c:pt idx="10">
                  <c:v>650</c:v>
                </c:pt>
                <c:pt idx="11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0B-4FE4-91B9-566980A729E1}"/>
            </c:ext>
          </c:extLst>
        </c:ser>
        <c:ser>
          <c:idx val="5"/>
          <c:order val="5"/>
          <c:tx>
            <c:v>Demanda contratada F. Ponta</c:v>
          </c:tx>
          <c:spPr>
            <a:ln w="28575" cap="rnd">
              <a:solidFill>
                <a:schemeClr val="accent1">
                  <a:lumMod val="5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[0]!intervalo_demanda_contratada_fponta</c:f>
              <c:numCache>
                <c:formatCode>General</c:formatCode>
                <c:ptCount val="12"/>
                <c:pt idx="0">
                  <c:v>1200</c:v>
                </c:pt>
                <c:pt idx="1">
                  <c:v>1200</c:v>
                </c:pt>
                <c:pt idx="2">
                  <c:v>1200</c:v>
                </c:pt>
                <c:pt idx="3">
                  <c:v>1200</c:v>
                </c:pt>
                <c:pt idx="4">
                  <c:v>1200</c:v>
                </c:pt>
                <c:pt idx="5">
                  <c:v>1200</c:v>
                </c:pt>
                <c:pt idx="6">
                  <c:v>1200</c:v>
                </c:pt>
                <c:pt idx="7">
                  <c:v>1200</c:v>
                </c:pt>
                <c:pt idx="8">
                  <c:v>1200</c:v>
                </c:pt>
                <c:pt idx="9">
                  <c:v>1200</c:v>
                </c:pt>
                <c:pt idx="10">
                  <c:v>1200</c:v>
                </c:pt>
                <c:pt idx="11">
                  <c:v>1200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0B-4FE4-91B9-566980A72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986186768"/>
        <c:axId val="-1986179152"/>
      </c:lineChart>
      <c:dateAx>
        <c:axId val="-198617969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84592"/>
        <c:crosses val="autoZero"/>
        <c:auto val="1"/>
        <c:lblOffset val="100"/>
        <c:baseTimeUnit val="months"/>
      </c:dateAx>
      <c:valAx>
        <c:axId val="-198618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6">
                        <a:lumMod val="75000"/>
                      </a:schemeClr>
                    </a:solidFill>
                  </a:rPr>
                  <a:t>Consumo [kWh]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79696"/>
        <c:crosses val="autoZero"/>
        <c:crossBetween val="between"/>
      </c:valAx>
      <c:valAx>
        <c:axId val="-198617915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6">
                        <a:lumMod val="75000"/>
                      </a:schemeClr>
                    </a:solidFill>
                  </a:rPr>
                  <a:t>Demanda [kW]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86768"/>
        <c:crosses val="max"/>
        <c:crossBetween val="between"/>
      </c:valAx>
      <c:catAx>
        <c:axId val="-1986186768"/>
        <c:scaling>
          <c:orientation val="minMax"/>
        </c:scaling>
        <c:delete val="1"/>
        <c:axPos val="b"/>
        <c:majorTickMark val="out"/>
        <c:minorTickMark val="none"/>
        <c:tickLblPos val="nextTo"/>
        <c:crossAx val="-1986179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accent6">
                    <a:lumMod val="75000"/>
                  </a:schemeClr>
                </a:solidFill>
              </a:rPr>
              <a:t>Tarifas de consumo - Último</a:t>
            </a:r>
            <a:r>
              <a:rPr lang="pt-BR" b="1" baseline="0">
                <a:solidFill>
                  <a:schemeClr val="accent6">
                    <a:lumMod val="75000"/>
                  </a:schemeClr>
                </a:solidFill>
              </a:rPr>
              <a:t>s 12 meses</a:t>
            </a:r>
            <a:endParaRPr lang="pt-BR" b="1">
              <a:solidFill>
                <a:schemeClr val="accent6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Consumo F. Ponta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[0]!intervalo_mes_faturado</c:f>
              <c:numCache>
                <c:formatCode>mmm\-yy</c:formatCode>
                <c:ptCount val="12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</c:numCache>
            </c:numRef>
          </c:cat>
          <c:val>
            <c:numRef>
              <c:f>[0]!intervalo_tarifa_consumo_fponta</c:f>
              <c:numCache>
                <c:formatCode>0.0000000</c:formatCode>
                <c:ptCount val="12"/>
                <c:pt idx="0">
                  <c:v>0.55290740000000005</c:v>
                </c:pt>
                <c:pt idx="1">
                  <c:v>0.54182819999999998</c:v>
                </c:pt>
                <c:pt idx="2">
                  <c:v>0.55396670000000003</c:v>
                </c:pt>
                <c:pt idx="3">
                  <c:v>0.55666740000000003</c:v>
                </c:pt>
                <c:pt idx="4">
                  <c:v>0.55579089999999998</c:v>
                </c:pt>
                <c:pt idx="5">
                  <c:v>0.55673709999999998</c:v>
                </c:pt>
                <c:pt idx="6">
                  <c:v>0.56154970000000004</c:v>
                </c:pt>
                <c:pt idx="7">
                  <c:v>0.55847170000000002</c:v>
                </c:pt>
                <c:pt idx="8">
                  <c:v>0.58033630000000003</c:v>
                </c:pt>
                <c:pt idx="9">
                  <c:v>0.60620030000000003</c:v>
                </c:pt>
                <c:pt idx="10">
                  <c:v>0.58956260000000005</c:v>
                </c:pt>
                <c:pt idx="11">
                  <c:v>0.53848669999999998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1B-4E9B-8E54-13F430A70F94}"/>
            </c:ext>
          </c:extLst>
        </c:ser>
        <c:ser>
          <c:idx val="1"/>
          <c:order val="1"/>
          <c:tx>
            <c:v>Consumo Ponta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[0]!intervalo_mes_faturado</c:f>
              <c:numCache>
                <c:formatCode>mmm\-yy</c:formatCode>
                <c:ptCount val="12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</c:numCache>
            </c:numRef>
          </c:cat>
          <c:val>
            <c:numRef>
              <c:f>[0]!intervalo_tarifa_consumo_ponta</c:f>
              <c:numCache>
                <c:formatCode>0.0000000</c:formatCode>
                <c:ptCount val="12"/>
                <c:pt idx="0">
                  <c:v>0.81125250000000004</c:v>
                </c:pt>
                <c:pt idx="1">
                  <c:v>0.79934380000000005</c:v>
                </c:pt>
                <c:pt idx="2">
                  <c:v>0.81725150000000002</c:v>
                </c:pt>
                <c:pt idx="3">
                  <c:v>0.82123579999999996</c:v>
                </c:pt>
                <c:pt idx="4">
                  <c:v>0.81994259999999997</c:v>
                </c:pt>
                <c:pt idx="5">
                  <c:v>0.81908590000000003</c:v>
                </c:pt>
                <c:pt idx="6">
                  <c:v>0.82386130000000002</c:v>
                </c:pt>
                <c:pt idx="7">
                  <c:v>0.82052250000000004</c:v>
                </c:pt>
                <c:pt idx="8">
                  <c:v>0.8406863</c:v>
                </c:pt>
                <c:pt idx="9">
                  <c:v>0.86739790000000005</c:v>
                </c:pt>
                <c:pt idx="10">
                  <c:v>0.84863299999999997</c:v>
                </c:pt>
                <c:pt idx="11">
                  <c:v>0.79031910000000005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1B-4E9B-8E54-13F430A70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86183504"/>
        <c:axId val="-1986193840"/>
      </c:lineChart>
      <c:dateAx>
        <c:axId val="-198618350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93840"/>
        <c:crosses val="autoZero"/>
        <c:auto val="1"/>
        <c:lblOffset val="100"/>
        <c:baseTimeUnit val="months"/>
      </c:dateAx>
      <c:valAx>
        <c:axId val="-1986193840"/>
        <c:scaling>
          <c:orientation val="minMax"/>
          <c:min val="0.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6">
                        <a:lumMod val="75000"/>
                      </a:schemeClr>
                    </a:solidFill>
                  </a:rPr>
                  <a:t>Consumo [R$/kWh]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83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accent6">
                    <a:lumMod val="75000"/>
                  </a:schemeClr>
                </a:solidFill>
              </a:rPr>
              <a:t>Tarifas de demanda - Último</a:t>
            </a:r>
            <a:r>
              <a:rPr lang="pt-BR" b="1" baseline="0">
                <a:solidFill>
                  <a:schemeClr val="accent6">
                    <a:lumMod val="75000"/>
                  </a:schemeClr>
                </a:solidFill>
              </a:rPr>
              <a:t>s 12 meses</a:t>
            </a:r>
            <a:endParaRPr lang="pt-BR" b="1">
              <a:solidFill>
                <a:schemeClr val="accent6">
                  <a:lumMod val="75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Demanda F. Ponta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[0]!intervalo_mes_faturado</c:f>
              <c:numCache>
                <c:formatCode>mmm\-yy</c:formatCode>
                <c:ptCount val="12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</c:numCache>
            </c:numRef>
          </c:cat>
          <c:val>
            <c:numRef>
              <c:f>[0]!intervalo_tarifa_demanda_fponta</c:f>
              <c:numCache>
                <c:formatCode>0.0000000</c:formatCode>
                <c:ptCount val="12"/>
                <c:pt idx="0">
                  <c:v>11.3973671</c:v>
                </c:pt>
                <c:pt idx="1">
                  <c:v>11.3607806</c:v>
                </c:pt>
                <c:pt idx="2">
                  <c:v>11.6152955</c:v>
                </c:pt>
                <c:pt idx="3">
                  <c:v>11.6719229</c:v>
                </c:pt>
                <c:pt idx="4">
                  <c:v>11.653542699999999</c:v>
                </c:pt>
                <c:pt idx="5">
                  <c:v>11.5740073</c:v>
                </c:pt>
                <c:pt idx="6">
                  <c:v>11.572361900000001</c:v>
                </c:pt>
                <c:pt idx="7">
                  <c:v>11.5608574</c:v>
                </c:pt>
                <c:pt idx="8">
                  <c:v>11.485818500000001</c:v>
                </c:pt>
                <c:pt idx="9">
                  <c:v>11.523215799999999</c:v>
                </c:pt>
                <c:pt idx="10">
                  <c:v>11.429372499999999</c:v>
                </c:pt>
                <c:pt idx="11">
                  <c:v>12.1248334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05-493A-BA8E-81F1846E0CA5}"/>
            </c:ext>
          </c:extLst>
        </c:ser>
        <c:ser>
          <c:idx val="3"/>
          <c:order val="1"/>
          <c:tx>
            <c:v>Demanda Ponta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[0]!intervalo_mes_faturado</c:f>
              <c:numCache>
                <c:formatCode>mmm\-yy</c:formatCode>
                <c:ptCount val="12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</c:numCache>
            </c:numRef>
          </c:cat>
          <c:val>
            <c:numRef>
              <c:f>[0]!intervalo_tarifa_demanda_ponta</c:f>
              <c:numCache>
                <c:formatCode>0.0000000</c:formatCode>
                <c:ptCount val="12"/>
                <c:pt idx="0">
                  <c:v>30.285639199999999</c:v>
                </c:pt>
                <c:pt idx="1">
                  <c:v>30.188413300000001</c:v>
                </c:pt>
                <c:pt idx="2">
                  <c:v>30.8647229</c:v>
                </c:pt>
                <c:pt idx="3">
                  <c:v>31.015195599999998</c:v>
                </c:pt>
                <c:pt idx="4">
                  <c:v>30.966355</c:v>
                </c:pt>
                <c:pt idx="5">
                  <c:v>30.755009699999999</c:v>
                </c:pt>
                <c:pt idx="6">
                  <c:v>30.750637600000001</c:v>
                </c:pt>
                <c:pt idx="7">
                  <c:v>30.720067199999999</c:v>
                </c:pt>
                <c:pt idx="8">
                  <c:v>30.520670299999999</c:v>
                </c:pt>
                <c:pt idx="9">
                  <c:v>30.6200443</c:v>
                </c:pt>
                <c:pt idx="10">
                  <c:v>30.370679200000001</c:v>
                </c:pt>
                <c:pt idx="11">
                  <c:v>31.789475400000001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05-493A-BA8E-81F1846E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986186224"/>
        <c:axId val="-1986193296"/>
      </c:lineChart>
      <c:dateAx>
        <c:axId val="-19861862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93296"/>
        <c:crosses val="autoZero"/>
        <c:auto val="1"/>
        <c:lblOffset val="100"/>
        <c:baseTimeUnit val="months"/>
      </c:dateAx>
      <c:valAx>
        <c:axId val="-1986193296"/>
        <c:scaling>
          <c:orientation val="minMax"/>
          <c:min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b="1">
                    <a:solidFill>
                      <a:schemeClr val="accent6">
                        <a:lumMod val="75000"/>
                      </a:schemeClr>
                    </a:solidFill>
                  </a:rPr>
                  <a:t>Demanda [R$/kW]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00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86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rPr>
              <a:t>Gastos com consumo e demanda - Últimos 12 meses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Consumo F. Ponta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[0]!intervalo_mes_faturado</c:f>
              <c:numCache>
                <c:formatCode>mmm\-yy</c:formatCode>
                <c:ptCount val="12"/>
                <c:pt idx="0">
                  <c:v>43435</c:v>
                </c:pt>
                <c:pt idx="1">
                  <c:v>43466</c:v>
                </c:pt>
                <c:pt idx="2">
                  <c:v>43497</c:v>
                </c:pt>
                <c:pt idx="3">
                  <c:v>43525</c:v>
                </c:pt>
                <c:pt idx="4">
                  <c:v>43556</c:v>
                </c:pt>
                <c:pt idx="5">
                  <c:v>43586</c:v>
                </c:pt>
                <c:pt idx="6">
                  <c:v>43617</c:v>
                </c:pt>
                <c:pt idx="7">
                  <c:v>43647</c:v>
                </c:pt>
                <c:pt idx="8">
                  <c:v>43678</c:v>
                </c:pt>
                <c:pt idx="9">
                  <c:v>43709</c:v>
                </c:pt>
                <c:pt idx="10">
                  <c:v>43739</c:v>
                </c:pt>
                <c:pt idx="11">
                  <c:v>43770</c:v>
                </c:pt>
              </c:numCache>
            </c:numRef>
          </c:cat>
          <c:val>
            <c:numRef>
              <c:f>[0]!intervalo_valor_consumo_fponta</c:f>
              <c:numCache>
                <c:formatCode>_("R$"* #,##0.00_);_("R$"* \(#,##0.00\);_("R$"* "-"??_);_(@_)</c:formatCode>
                <c:ptCount val="12"/>
                <c:pt idx="0">
                  <c:v>93089.14</c:v>
                </c:pt>
                <c:pt idx="1">
                  <c:v>103522.23</c:v>
                </c:pt>
                <c:pt idx="2">
                  <c:v>126539.28</c:v>
                </c:pt>
                <c:pt idx="3">
                  <c:v>100927.13</c:v>
                </c:pt>
                <c:pt idx="4">
                  <c:v>116347.59</c:v>
                </c:pt>
                <c:pt idx="5">
                  <c:v>105468.83</c:v>
                </c:pt>
                <c:pt idx="6">
                  <c:v>104044.48</c:v>
                </c:pt>
                <c:pt idx="7">
                  <c:v>86993.13</c:v>
                </c:pt>
                <c:pt idx="8">
                  <c:v>92063.97</c:v>
                </c:pt>
                <c:pt idx="9">
                  <c:v>115326.57</c:v>
                </c:pt>
                <c:pt idx="10">
                  <c:v>136551.54</c:v>
                </c:pt>
                <c:pt idx="11">
                  <c:v>123872.94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5C-4FFD-8B70-698290171B1C}"/>
            </c:ext>
          </c:extLst>
        </c:ser>
        <c:ser>
          <c:idx val="1"/>
          <c:order val="1"/>
          <c:tx>
            <c:v>Consumo Ponta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[0]!intervalo_valor_consumo_ponta</c:f>
              <c:numCache>
                <c:formatCode>_("R$"* #,##0.00_);_("R$"* \(#,##0.00\);_("R$"* "-"??_);_(@_)</c:formatCode>
                <c:ptCount val="12"/>
                <c:pt idx="0">
                  <c:v>9227.99</c:v>
                </c:pt>
                <c:pt idx="1">
                  <c:v>10220.4</c:v>
                </c:pt>
                <c:pt idx="2">
                  <c:v>11364.69</c:v>
                </c:pt>
                <c:pt idx="3">
                  <c:v>11256.67</c:v>
                </c:pt>
                <c:pt idx="4">
                  <c:v>14437.54</c:v>
                </c:pt>
                <c:pt idx="5">
                  <c:v>12870.29</c:v>
                </c:pt>
                <c:pt idx="6">
                  <c:v>13058.2</c:v>
                </c:pt>
                <c:pt idx="7">
                  <c:v>11846.7</c:v>
                </c:pt>
                <c:pt idx="8">
                  <c:v>13003.73</c:v>
                </c:pt>
                <c:pt idx="9">
                  <c:v>13897.44</c:v>
                </c:pt>
                <c:pt idx="10">
                  <c:v>15751.47</c:v>
                </c:pt>
                <c:pt idx="11">
                  <c:v>14436.75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45C-4FFD-8B70-698290171B1C}"/>
            </c:ext>
          </c:extLst>
        </c:ser>
        <c:ser>
          <c:idx val="2"/>
          <c:order val="2"/>
          <c:tx>
            <c:v>Demanda F. Ponta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[0]!intervalo_valor_demanda_fponta</c:f>
              <c:numCache>
                <c:formatCode>_("R$"* #,##0.00_);_("R$"* \(#,##0.00\);_("R$"* "-"??_);_(@_)</c:formatCode>
                <c:ptCount val="12"/>
                <c:pt idx="0">
                  <c:v>13676.84</c:v>
                </c:pt>
                <c:pt idx="1">
                  <c:v>13632.93</c:v>
                </c:pt>
                <c:pt idx="2">
                  <c:v>13938.35</c:v>
                </c:pt>
                <c:pt idx="3">
                  <c:v>14006.3</c:v>
                </c:pt>
                <c:pt idx="4">
                  <c:v>13984.25</c:v>
                </c:pt>
                <c:pt idx="5">
                  <c:v>13888.8</c:v>
                </c:pt>
                <c:pt idx="6">
                  <c:v>13886.83</c:v>
                </c:pt>
                <c:pt idx="7">
                  <c:v>13873.02</c:v>
                </c:pt>
                <c:pt idx="8">
                  <c:v>13782.98</c:v>
                </c:pt>
                <c:pt idx="9">
                  <c:v>13827.85</c:v>
                </c:pt>
                <c:pt idx="10">
                  <c:v>13715.24</c:v>
                </c:pt>
                <c:pt idx="11">
                  <c:v>14549.8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5C-4FFD-8B70-698290171B1C}"/>
            </c:ext>
          </c:extLst>
        </c:ser>
        <c:ser>
          <c:idx val="3"/>
          <c:order val="3"/>
          <c:tx>
            <c:v>Demanda Ponta</c:v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[0]!intervalo_valor_demanda_ponta</c:f>
              <c:numCache>
                <c:formatCode>_("R$"* #,##0.00_);_("R$"* \(#,##0.00\);_("R$"* "-"??_);_(@_)</c:formatCode>
                <c:ptCount val="12"/>
                <c:pt idx="0">
                  <c:v>19685.66</c:v>
                </c:pt>
                <c:pt idx="1">
                  <c:v>19622.46</c:v>
                </c:pt>
                <c:pt idx="2">
                  <c:v>20062.060000000001</c:v>
                </c:pt>
                <c:pt idx="3">
                  <c:v>20159.87</c:v>
                </c:pt>
                <c:pt idx="4">
                  <c:v>20128.13</c:v>
                </c:pt>
                <c:pt idx="5">
                  <c:v>19990.75</c:v>
                </c:pt>
                <c:pt idx="6">
                  <c:v>19987.91</c:v>
                </c:pt>
                <c:pt idx="7">
                  <c:v>19968.04</c:v>
                </c:pt>
                <c:pt idx="8">
                  <c:v>19838.43</c:v>
                </c:pt>
                <c:pt idx="9">
                  <c:v>19903.02</c:v>
                </c:pt>
                <c:pt idx="10">
                  <c:v>19740.939999999999</c:v>
                </c:pt>
                <c:pt idx="11">
                  <c:v>20663.150000000001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45C-4FFD-8B70-698290171B1C}"/>
            </c:ext>
          </c:extLst>
        </c:ser>
        <c:ser>
          <c:idx val="4"/>
          <c:order val="4"/>
          <c:tx>
            <c:v>Ultr. Demanda F. Ponta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[0]!intervalo_valor_ultdemanda_fponta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45C-4FFD-8B70-698290171B1C}"/>
            </c:ext>
          </c:extLst>
        </c:ser>
        <c:ser>
          <c:idx val="5"/>
          <c:order val="5"/>
          <c:tx>
            <c:v>Utr. Demanda Ponta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[0]!intervalo_valor_ultdemanda_ponta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45C-4FFD-8B70-698290171B1C}"/>
            </c:ext>
          </c:extLst>
        </c:ser>
        <c:ser>
          <c:idx val="6"/>
          <c:order val="6"/>
          <c:tx>
            <c:v>EREX F. Ponta</c:v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[0]!intervalo_valor_erex_fponta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0.46</c:v>
                </c:pt>
                <c:pt idx="4">
                  <c:v>0</c:v>
                </c:pt>
                <c:pt idx="5">
                  <c:v>0.45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2.71</c:v>
                </c:pt>
                <c:pt idx="11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45C-4FFD-8B70-698290171B1C}"/>
            </c:ext>
          </c:extLst>
        </c:ser>
        <c:ser>
          <c:idx val="7"/>
          <c:order val="7"/>
          <c:tx>
            <c:v>EREX Ponta</c:v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[0]!intervalo_valor_erex_ponta</c:f>
              <c:numCache>
                <c:formatCode>_("R$"* #,##0.00_);_("R$"* \(#,##0.00\);_("R$"*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45C-4FFD-8B70-698290171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-1986188400"/>
        <c:axId val="-1986187856"/>
      </c:barChart>
      <c:dateAx>
        <c:axId val="-198618840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87856"/>
        <c:crosses val="autoZero"/>
        <c:auto val="1"/>
        <c:lblOffset val="100"/>
        <c:baseTimeUnit val="months"/>
      </c:dateAx>
      <c:valAx>
        <c:axId val="-198618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pt-BR"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0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rPr>
                  <a:t>Valores [R$]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pt-BR" sz="1000" b="1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986188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BR"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400" b="1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rPr>
              <a:t>Composição do gasto - Últimos 12 meses</a:t>
            </a:r>
          </a:p>
        </c:rich>
      </c:tx>
      <c:layout>
        <c:manualLayout>
          <c:xMode val="edge"/>
          <c:yMode val="edge"/>
          <c:x val="1.9927924585343076E-2"/>
          <c:y val="3.05810397553516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BR" sz="1400" b="1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6881980510414921"/>
          <c:y val="0.284015838071699"/>
          <c:w val="0.53092039814420044"/>
          <c:h val="0.649298290773167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AB-480A-BDF6-9BDFF3C018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AB-480A-BDF6-9BDFF3C018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AB-480A-BDF6-9BDFF3C018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AB-480A-BDF6-9BDFF3C018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4AB-480A-BDF6-9BDFF3C018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4AB-480A-BDF6-9BDFF3C018A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4AB-480A-BDF6-9BDFF3C018A8}"/>
                </c:ext>
              </c:extLst>
            </c:dLbl>
            <c:dLbl>
              <c:idx val="4"/>
              <c:layout>
                <c:manualLayout>
                  <c:x val="-9.3608141340111792E-2"/>
                  <c:y val="5.083239280756293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AB-480A-BDF6-9BDFF3C018A8}"/>
                </c:ext>
              </c:extLst>
            </c:dLbl>
            <c:dLbl>
              <c:idx val="5"/>
              <c:layout>
                <c:manualLayout>
                  <c:x val="5.4034061369470691E-2"/>
                  <c:y val="-6.821946921345645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AB-480A-BDF6-9BDFF3C018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'Resumo e Indicadores'!$E$13:$E$18</c:f>
              <c:strCache>
                <c:ptCount val="6"/>
                <c:pt idx="0">
                  <c:v>Consumo F. Ponta</c:v>
                </c:pt>
                <c:pt idx="1">
                  <c:v>Consumo Ponta</c:v>
                </c:pt>
                <c:pt idx="2">
                  <c:v>Demanda F. Ponta</c:v>
                </c:pt>
                <c:pt idx="3">
                  <c:v>Demanda Ponta</c:v>
                </c:pt>
                <c:pt idx="4">
                  <c:v>Ultrapassagem de demanda</c:v>
                </c:pt>
                <c:pt idx="5">
                  <c:v>EREX</c:v>
                </c:pt>
              </c:strCache>
            </c:strRef>
          </c:cat>
          <c:val>
            <c:numRef>
              <c:f>'Resumo e Indicadores'!$G$13:$G$18</c:f>
              <c:numCache>
                <c:formatCode>_("R$"* #,##0.00_);_("R$"* \(#,##0.00\);_("R$"* "-"??_);_(@_)</c:formatCode>
                <c:ptCount val="6"/>
                <c:pt idx="0">
                  <c:v>1304746.8299999998</c:v>
                </c:pt>
                <c:pt idx="1">
                  <c:v>151371.87</c:v>
                </c:pt>
                <c:pt idx="2">
                  <c:v>166763.18999999997</c:v>
                </c:pt>
                <c:pt idx="3">
                  <c:v>239750.41999999998</c:v>
                </c:pt>
                <c:pt idx="4">
                  <c:v>0</c:v>
                </c:pt>
                <c:pt idx="5">
                  <c:v>4.0200000000000005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9-4F92-8D61-12FBA2083B8B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4AB-480A-BDF6-9BDFF3C018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4AB-480A-BDF6-9BDFF3C018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4AB-480A-BDF6-9BDFF3C018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4AB-480A-BDF6-9BDFF3C018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4AB-480A-BDF6-9BDFF3C018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4AB-480A-BDF6-9BDFF3C018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'Resumo e Indicadores'!$E$13:$E$18</c:f>
              <c:strCache>
                <c:ptCount val="6"/>
                <c:pt idx="0">
                  <c:v>Consumo F. Ponta</c:v>
                </c:pt>
                <c:pt idx="1">
                  <c:v>Consumo Ponta</c:v>
                </c:pt>
                <c:pt idx="2">
                  <c:v>Demanda F. Ponta</c:v>
                </c:pt>
                <c:pt idx="3">
                  <c:v>Demanda Ponta</c:v>
                </c:pt>
                <c:pt idx="4">
                  <c:v>Ultrapassagem de demanda</c:v>
                </c:pt>
                <c:pt idx="5">
                  <c:v>EREX</c:v>
                </c:pt>
              </c:strCache>
            </c:strRef>
          </c:cat>
          <c:val>
            <c:numRef>
              <c:f>'Resumo e Indicadores'!$H$13:$H$18</c:f>
              <c:numCache>
                <c:formatCode>_("R$"* #,##0.00_);_("R$"* \(#,##0.00\);_("R$"* "-"??_);_(@_)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EDB9-4F92-8D61-12FBA2083B8B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6">
          <a:lumMod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</xdr:colOff>
      <xdr:row>1</xdr:row>
      <xdr:rowOff>74295</xdr:rowOff>
    </xdr:from>
    <xdr:to>
      <xdr:col>3</xdr:col>
      <xdr:colOff>782514</xdr:colOff>
      <xdr:row>2</xdr:row>
      <xdr:rowOff>59055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FBBB6E5-F05F-47A8-8BEA-B7CDE4D3F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" y="274320"/>
          <a:ext cx="1609284" cy="1074420"/>
        </a:xfrm>
        <a:prstGeom prst="rect">
          <a:avLst/>
        </a:prstGeom>
      </xdr:spPr>
    </xdr:pic>
    <xdr:clientData/>
  </xdr:twoCellAnchor>
  <xdr:twoCellAnchor editAs="oneCell">
    <xdr:from>
      <xdr:col>13</xdr:col>
      <xdr:colOff>34290</xdr:colOff>
      <xdr:row>6</xdr:row>
      <xdr:rowOff>17145</xdr:rowOff>
    </xdr:from>
    <xdr:to>
      <xdr:col>18</xdr:col>
      <xdr:colOff>567690</xdr:colOff>
      <xdr:row>8</xdr:row>
      <xdr:rowOff>363915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992AE9F-85A5-416A-8C99-508747DBB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854565" y="2274570"/>
          <a:ext cx="4610100" cy="7239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1</xdr:col>
      <xdr:colOff>799659</xdr:colOff>
      <xdr:row>0</xdr:row>
      <xdr:rowOff>1082040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022537E-3756-42FA-9998-617A71136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37859" cy="10744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7620</xdr:rowOff>
    </xdr:from>
    <xdr:to>
      <xdr:col>1</xdr:col>
      <xdr:colOff>769179</xdr:colOff>
      <xdr:row>0</xdr:row>
      <xdr:rowOff>1082040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CD371CA-0581-4BB8-A997-7D3C72A7C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7620"/>
          <a:ext cx="1630239" cy="10744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12</xdr:col>
      <xdr:colOff>604800</xdr:colOff>
      <xdr:row>20</xdr:row>
      <xdr:rowOff>171000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6820959-6270-44A8-B8DC-2DCC31F48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418659</xdr:colOff>
      <xdr:row>0</xdr:row>
      <xdr:rowOff>1074420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6793016-24E0-4B9E-A2E4-52C71A73B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601980</xdr:colOff>
      <xdr:row>0</xdr:row>
      <xdr:rowOff>0</xdr:rowOff>
    </xdr:from>
    <xdr:to>
      <xdr:col>20</xdr:col>
      <xdr:colOff>45180</xdr:colOff>
      <xdr:row>8</xdr:row>
      <xdr:rowOff>60180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CE55CC1-3B7D-4601-B45A-94BF94E9A4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601980</xdr:colOff>
      <xdr:row>8</xdr:row>
      <xdr:rowOff>68580</xdr:rowOff>
    </xdr:from>
    <xdr:to>
      <xdr:col>20</xdr:col>
      <xdr:colOff>45180</xdr:colOff>
      <xdr:row>21</xdr:row>
      <xdr:rowOff>121140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33CA1CF-E8C4-4BFB-871A-876EF0DC02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</xdr:row>
      <xdr:rowOff>0</xdr:rowOff>
    </xdr:from>
    <xdr:to>
      <xdr:col>12</xdr:col>
      <xdr:colOff>604800</xdr:colOff>
      <xdr:row>21</xdr:row>
      <xdr:rowOff>125280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3D4891D-8ABB-40B3-9F8B-07B3261B51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418659</xdr:colOff>
      <xdr:row>0</xdr:row>
      <xdr:rowOff>1074420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944F47E0-3C7B-4087-8DD4-570A293AF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7859" cy="10744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</xdr:colOff>
      <xdr:row>0</xdr:row>
      <xdr:rowOff>93345</xdr:rowOff>
    </xdr:from>
    <xdr:to>
      <xdr:col>1</xdr:col>
      <xdr:colOff>902529</xdr:colOff>
      <xdr:row>1</xdr:row>
      <xdr:rowOff>81915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6FDEF36-595E-4A17-AC8D-DCCD569E0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" y="93345"/>
          <a:ext cx="1609284" cy="1074420"/>
        </a:xfrm>
        <a:prstGeom prst="rect">
          <a:avLst/>
        </a:prstGeom>
      </xdr:spPr>
    </xdr:pic>
    <xdr:clientData/>
  </xdr:twoCellAnchor>
  <xdr:twoCellAnchor>
    <xdr:from>
      <xdr:col>9</xdr:col>
      <xdr:colOff>7620</xdr:colOff>
      <xdr:row>0</xdr:row>
      <xdr:rowOff>0</xdr:rowOff>
    </xdr:from>
    <xdr:to>
      <xdr:col>15</xdr:col>
      <xdr:colOff>0</xdr:colOff>
      <xdr:row>11</xdr:row>
      <xdr:rowOff>15240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A0C14D0-A52B-465E-83FB-BEF2A61394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9</xdr:col>
      <xdr:colOff>379444</xdr:colOff>
      <xdr:row>13</xdr:row>
      <xdr:rowOff>224472</xdr:rowOff>
    </xdr:from>
    <xdr:ext cx="1030090" cy="37170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A7B6F97D-BC2D-457B-9AA3-4D24DA5DB4D4}"/>
                </a:ext>
              </a:extLst>
            </xdr:cNvPr>
            <xdr:cNvSpPr txBox="1"/>
          </xdr:nvSpPr>
          <xdr:spPr>
            <a:xfrm>
              <a:off x="8121364" y="4064952"/>
              <a:ext cx="1030090" cy="3717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𝒌𝑾𝒉</m:t>
                        </m:r>
                      </m:num>
                      <m:den>
                        <m:sSubSup>
                          <m:sSubSupPr>
                            <m:ctrlP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𝒎</m:t>
                            </m:r>
                          </m:e>
                          <m:sub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𝒄𝒐𝒏𝒔𝒕𝒓𝒖</m:t>
                            </m:r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í</m:t>
                            </m:r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𝒅𝒐</m:t>
                            </m:r>
                          </m:sub>
                          <m:sup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p>
                        </m:sSubSup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𝒂𝒏𝒐</m:t>
                        </m:r>
                      </m:den>
                    </m:f>
                  </m:oMath>
                </m:oMathPara>
              </a14:m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3" name="CaixaDeTexto 2">
              <a:extLst>
                <a:ext uri="{FF2B5EF4-FFF2-40B4-BE49-F238E27FC236}">
                  <a16:creationId xmlns:a16="http://schemas.microsoft.com/office/drawing/2014/main" id="{A7B6F97D-BC2D-457B-9AA3-4D24DA5DB4D4}"/>
                </a:ext>
              </a:extLst>
            </xdr:cNvPr>
            <xdr:cNvSpPr txBox="1"/>
          </xdr:nvSpPr>
          <xdr:spPr>
            <a:xfrm>
              <a:off x="8121364" y="4064952"/>
              <a:ext cx="1030090" cy="37170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b="1" i="0">
                  <a:solidFill>
                    <a:schemeClr val="accent6">
                      <a:lumMod val="75000"/>
                    </a:schemeClr>
                  </a:solidFill>
                  <a:latin typeface="Cambria Math" panose="02040503050406030204" pitchFamily="18" charset="0"/>
                </a:rPr>
                <a:t>𝒌𝑾𝒉/(𝒎_𝒄𝒐𝒏𝒔𝒕𝒓𝒖í𝒅𝒐^𝟐.𝒂𝒏𝒐)</a:t>
              </a:r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9</xdr:col>
      <xdr:colOff>379444</xdr:colOff>
      <xdr:row>19</xdr:row>
      <xdr:rowOff>26352</xdr:rowOff>
    </xdr:from>
    <xdr:ext cx="875689" cy="3214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BF2B3CCF-C424-48B4-A226-33C37B862C0D}"/>
                </a:ext>
              </a:extLst>
            </xdr:cNvPr>
            <xdr:cNvSpPr txBox="1"/>
          </xdr:nvSpPr>
          <xdr:spPr>
            <a:xfrm>
              <a:off x="9995884" y="3683952"/>
              <a:ext cx="875689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𝒌𝑾𝒉</m:t>
                        </m:r>
                      </m:num>
                      <m:den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𝒖𝒔𝒖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á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𝒓𝒊𝒐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𝒂𝒏𝒐</m:t>
                        </m:r>
                      </m:den>
                    </m:f>
                  </m:oMath>
                </m:oMathPara>
              </a14:m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BF2B3CCF-C424-48B4-A226-33C37B862C0D}"/>
                </a:ext>
              </a:extLst>
            </xdr:cNvPr>
            <xdr:cNvSpPr txBox="1"/>
          </xdr:nvSpPr>
          <xdr:spPr>
            <a:xfrm>
              <a:off x="9995884" y="3683952"/>
              <a:ext cx="875689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b="1" i="0">
                  <a:solidFill>
                    <a:schemeClr val="accent6">
                      <a:lumMod val="75000"/>
                    </a:schemeClr>
                  </a:solidFill>
                  <a:latin typeface="Cambria Math" panose="02040503050406030204" pitchFamily="18" charset="0"/>
                </a:rPr>
                <a:t>𝒌𝑾𝒉/(𝒖𝒔𝒖á𝒓𝒊𝒐.𝒂𝒏𝒐)</a:t>
              </a:r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11</xdr:col>
      <xdr:colOff>548640</xdr:colOff>
      <xdr:row>19</xdr:row>
      <xdr:rowOff>30480</xdr:rowOff>
    </xdr:from>
    <xdr:ext cx="678327" cy="32149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EDC36045-80D6-480D-A47E-7E773839C01F}"/>
                </a:ext>
              </a:extLst>
            </xdr:cNvPr>
            <xdr:cNvSpPr txBox="1"/>
          </xdr:nvSpPr>
          <xdr:spPr>
            <a:xfrm>
              <a:off x="11765280" y="3688080"/>
              <a:ext cx="678327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𝒌𝑾𝒉</m:t>
                        </m:r>
                      </m:num>
                      <m:den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𝒉𝒐𝒓𝒂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𝒂𝒏𝒐</m:t>
                        </m:r>
                      </m:den>
                    </m:f>
                  </m:oMath>
                </m:oMathPara>
              </a14:m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EDC36045-80D6-480D-A47E-7E773839C01F}"/>
                </a:ext>
              </a:extLst>
            </xdr:cNvPr>
            <xdr:cNvSpPr txBox="1"/>
          </xdr:nvSpPr>
          <xdr:spPr>
            <a:xfrm>
              <a:off x="11765280" y="3688080"/>
              <a:ext cx="678327" cy="32149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b="1" i="0">
                  <a:solidFill>
                    <a:schemeClr val="accent6">
                      <a:lumMod val="75000"/>
                    </a:schemeClr>
                  </a:solidFill>
                  <a:latin typeface="Cambria Math" panose="02040503050406030204" pitchFamily="18" charset="0"/>
                </a:rPr>
                <a:t>𝒌𝑾𝒉/(𝒉𝒐𝒓𝒂.𝒂𝒏𝒐)</a:t>
              </a:r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11</xdr:col>
      <xdr:colOff>531844</xdr:colOff>
      <xdr:row>13</xdr:row>
      <xdr:rowOff>224472</xdr:rowOff>
    </xdr:from>
    <xdr:ext cx="657552" cy="37164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E6B57630-338A-4276-BEC7-8698308E4B29}"/>
                </a:ext>
              </a:extLst>
            </xdr:cNvPr>
            <xdr:cNvSpPr txBox="1"/>
          </xdr:nvSpPr>
          <xdr:spPr>
            <a:xfrm>
              <a:off x="10011124" y="4064952"/>
              <a:ext cx="657552" cy="3716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𝒌𝑾𝒉</m:t>
                        </m:r>
                      </m:num>
                      <m:den>
                        <m:sSubSup>
                          <m:sSubSupPr>
                            <m:ctrlP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𝒎</m:t>
                            </m:r>
                          </m:e>
                          <m:sub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ú</m:t>
                            </m:r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𝒕𝒊𝒍</m:t>
                            </m:r>
                          </m:sub>
                          <m:sup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p>
                        </m:sSubSup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𝒂𝒏𝒐</m:t>
                        </m:r>
                      </m:den>
                    </m:f>
                  </m:oMath>
                </m:oMathPara>
              </a14:m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12" name="CaixaDeTexto 11">
              <a:extLst>
                <a:ext uri="{FF2B5EF4-FFF2-40B4-BE49-F238E27FC236}">
                  <a16:creationId xmlns:a16="http://schemas.microsoft.com/office/drawing/2014/main" id="{E6B57630-338A-4276-BEC7-8698308E4B29}"/>
                </a:ext>
              </a:extLst>
            </xdr:cNvPr>
            <xdr:cNvSpPr txBox="1"/>
          </xdr:nvSpPr>
          <xdr:spPr>
            <a:xfrm>
              <a:off x="10011124" y="4064952"/>
              <a:ext cx="657552" cy="3716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b="1" i="0">
                  <a:solidFill>
                    <a:schemeClr val="accent6">
                      <a:lumMod val="75000"/>
                    </a:schemeClr>
                  </a:solidFill>
                  <a:latin typeface="Cambria Math" panose="02040503050406030204" pitchFamily="18" charset="0"/>
                </a:rPr>
                <a:t>𝒌𝑾𝒉/(𝒎_ú𝒕𝒊𝒍^𝟐.𝒂𝒏𝒐)</a:t>
              </a:r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  <xdr:oneCellAnchor>
    <xdr:from>
      <xdr:col>13</xdr:col>
      <xdr:colOff>272764</xdr:colOff>
      <xdr:row>13</xdr:row>
      <xdr:rowOff>224472</xdr:rowOff>
    </xdr:from>
    <xdr:ext cx="1169487" cy="37119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2FC65B1B-4B95-45BA-9FE7-927C3430894C}"/>
                </a:ext>
              </a:extLst>
            </xdr:cNvPr>
            <xdr:cNvSpPr txBox="1"/>
          </xdr:nvSpPr>
          <xdr:spPr>
            <a:xfrm>
              <a:off x="11489404" y="4064952"/>
              <a:ext cx="1169487" cy="371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>
                      <m:fPr>
                        <m:ctrlP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𝒌𝑾𝒉</m:t>
                        </m:r>
                      </m:num>
                      <m:den>
                        <m:sSubSup>
                          <m:sSubSupPr>
                            <m:ctrlP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sSubSupPr>
                          <m:e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𝒎</m:t>
                            </m:r>
                          </m:e>
                          <m:sub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𝒄𝒐𝒏𝒅𝒊𝒄𝒊𝒐𝒏𝒂𝒅𝒐</m:t>
                            </m:r>
                          </m:sub>
                          <m:sup>
                            <m:r>
                              <a:rPr lang="pt-BR" sz="1100" b="1" i="1">
                                <a:solidFill>
                                  <a:schemeClr val="accent6">
                                    <a:lumMod val="75000"/>
                                  </a:schemeClr>
                                </a:solidFill>
                                <a:latin typeface="Cambria Math" panose="02040503050406030204" pitchFamily="18" charset="0"/>
                              </a:rPr>
                              <m:t>𝟐</m:t>
                            </m:r>
                          </m:sup>
                        </m:sSubSup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.</m:t>
                        </m:r>
                        <m:r>
                          <a:rPr lang="pt-BR" sz="1100" b="1" i="1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Cambria Math" panose="02040503050406030204" pitchFamily="18" charset="0"/>
                          </a:rPr>
                          <m:t>𝒂𝒏𝒐</m:t>
                        </m:r>
                      </m:den>
                    </m:f>
                  </m:oMath>
                </m:oMathPara>
              </a14:m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Choice>
      <mc:Fallback xmlns="">
        <xdr:sp macro="" textlink="">
          <xdr:nvSpPr>
            <xdr:cNvPr id="13" name="CaixaDeTexto 12">
              <a:extLst>
                <a:ext uri="{FF2B5EF4-FFF2-40B4-BE49-F238E27FC236}">
                  <a16:creationId xmlns:a16="http://schemas.microsoft.com/office/drawing/2014/main" id="{2FC65B1B-4B95-45BA-9FE7-927C3430894C}"/>
                </a:ext>
              </a:extLst>
            </xdr:cNvPr>
            <xdr:cNvSpPr txBox="1"/>
          </xdr:nvSpPr>
          <xdr:spPr>
            <a:xfrm>
              <a:off x="11489404" y="4064952"/>
              <a:ext cx="1169487" cy="3711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t-BR" sz="1100" b="1" i="0">
                  <a:solidFill>
                    <a:schemeClr val="accent6">
                      <a:lumMod val="75000"/>
                    </a:schemeClr>
                  </a:solidFill>
                  <a:latin typeface="Cambria Math" panose="02040503050406030204" pitchFamily="18" charset="0"/>
                </a:rPr>
                <a:t>𝒌𝑾𝒉/(𝒎_𝒄𝒐𝒏𝒅𝒊𝒄𝒊𝒐𝒏𝒂𝒅𝒐^𝟐.𝒂𝒏𝒐)</a:t>
              </a:r>
              <a:endParaRPr lang="pt-BR" sz="1100" b="1">
                <a:solidFill>
                  <a:schemeClr val="accent6">
                    <a:lumMod val="75000"/>
                  </a:schemeClr>
                </a:solidFill>
              </a:endParaRPr>
            </a:p>
          </xdr:txBody>
        </xdr:sp>
      </mc:Fallback>
    </mc:AlternateContent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1</xdr:col>
      <xdr:colOff>799659</xdr:colOff>
      <xdr:row>0</xdr:row>
      <xdr:rowOff>1082040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8BDC62F-3306-4F7E-9EA6-983E4AB45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37859" cy="107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26"/>
  <sheetViews>
    <sheetView tabSelected="1" zoomScaleNormal="100" workbookViewId="0">
      <selection activeCell="N15" sqref="N15"/>
    </sheetView>
  </sheetViews>
  <sheetFormatPr defaultColWidth="8.88671875" defaultRowHeight="14.4" x14ac:dyDescent="0.3"/>
  <cols>
    <col min="1" max="2" width="2.6640625" style="5" customWidth="1"/>
    <col min="3" max="7" width="12.6640625" style="5" customWidth="1"/>
    <col min="8" max="8" width="12.6640625" style="62" customWidth="1"/>
    <col min="9" max="10" width="12.6640625" style="5" customWidth="1"/>
    <col min="11" max="11" width="2.6640625" style="5" customWidth="1"/>
    <col min="12" max="12" width="8.88671875" style="5"/>
    <col min="13" max="17" width="12.6640625" style="5" customWidth="1"/>
    <col min="18" max="16384" width="8.88671875" style="5"/>
  </cols>
  <sheetData>
    <row r="1" spans="2:19" ht="15" thickBot="1" x14ac:dyDescent="0.35"/>
    <row r="2" spans="2:19" ht="85.95" customHeight="1" x14ac:dyDescent="0.3">
      <c r="B2" s="54"/>
      <c r="C2" s="127"/>
      <c r="D2" s="127"/>
      <c r="E2" s="128" t="s">
        <v>97</v>
      </c>
      <c r="F2" s="129"/>
      <c r="G2" s="129"/>
      <c r="H2" s="129"/>
      <c r="I2" s="129"/>
      <c r="J2" s="129"/>
      <c r="K2" s="55"/>
      <c r="N2" s="87" t="s">
        <v>118</v>
      </c>
      <c r="O2" s="88"/>
      <c r="P2" s="88"/>
      <c r="Q2" s="88"/>
      <c r="R2" s="88"/>
      <c r="S2" s="89"/>
    </row>
    <row r="3" spans="2:19" x14ac:dyDescent="0.3">
      <c r="B3" s="56"/>
      <c r="C3" s="17"/>
      <c r="D3" s="17"/>
      <c r="E3" s="17"/>
      <c r="F3" s="17"/>
      <c r="G3" s="17"/>
      <c r="H3" s="17"/>
      <c r="I3" s="17"/>
      <c r="J3" s="17"/>
      <c r="K3" s="57"/>
      <c r="N3" s="90"/>
      <c r="O3" s="91"/>
      <c r="P3" s="91"/>
      <c r="Q3" s="91"/>
      <c r="R3" s="91"/>
      <c r="S3" s="92"/>
    </row>
    <row r="4" spans="2:19" ht="18.600000000000001" thickBot="1" x14ac:dyDescent="0.4">
      <c r="B4" s="56"/>
      <c r="C4" s="53" t="s">
        <v>0</v>
      </c>
      <c r="D4" s="130" t="s">
        <v>96</v>
      </c>
      <c r="E4" s="130"/>
      <c r="F4" s="130"/>
      <c r="G4" s="130"/>
      <c r="H4" s="130"/>
      <c r="I4" s="130"/>
      <c r="J4" s="130"/>
      <c r="K4" s="57"/>
      <c r="N4" s="90"/>
      <c r="O4" s="91"/>
      <c r="P4" s="91"/>
      <c r="Q4" s="91"/>
      <c r="R4" s="91"/>
      <c r="S4" s="92"/>
    </row>
    <row r="5" spans="2:19" x14ac:dyDescent="0.3">
      <c r="B5" s="56"/>
      <c r="C5" s="17"/>
      <c r="D5" s="17"/>
      <c r="E5" s="17"/>
      <c r="F5" s="17"/>
      <c r="G5" s="17"/>
      <c r="H5" s="17"/>
      <c r="I5" s="17"/>
      <c r="J5" s="17"/>
      <c r="K5" s="57"/>
      <c r="N5" s="90"/>
      <c r="O5" s="91"/>
      <c r="P5" s="91"/>
      <c r="Q5" s="91"/>
      <c r="R5" s="91"/>
      <c r="S5" s="92"/>
    </row>
    <row r="6" spans="2:19" ht="30" customHeight="1" thickBot="1" x14ac:dyDescent="0.35">
      <c r="B6" s="56"/>
      <c r="C6" s="120" t="s">
        <v>4</v>
      </c>
      <c r="D6" s="121"/>
      <c r="E6" s="121"/>
      <c r="F6" s="121"/>
      <c r="G6" s="121"/>
      <c r="H6" s="121"/>
      <c r="I6" s="121"/>
      <c r="J6" s="122"/>
      <c r="K6" s="57"/>
      <c r="N6" s="93"/>
      <c r="O6" s="94"/>
      <c r="P6" s="94"/>
      <c r="Q6" s="94"/>
      <c r="R6" s="94"/>
      <c r="S6" s="95"/>
    </row>
    <row r="7" spans="2:19" ht="15" customHeight="1" x14ac:dyDescent="0.3">
      <c r="B7" s="56"/>
      <c r="C7" s="107" t="s">
        <v>67</v>
      </c>
      <c r="D7" s="107"/>
      <c r="E7" s="107" t="s">
        <v>68</v>
      </c>
      <c r="F7" s="107"/>
      <c r="G7" s="108" t="s">
        <v>3</v>
      </c>
      <c r="H7" s="109"/>
      <c r="I7" s="107" t="s">
        <v>38</v>
      </c>
      <c r="J7" s="107"/>
      <c r="K7" s="57"/>
      <c r="N7" s="96"/>
      <c r="O7" s="97"/>
      <c r="P7" s="97"/>
      <c r="Q7" s="97"/>
      <c r="R7" s="97"/>
      <c r="S7" s="98"/>
    </row>
    <row r="8" spans="2:19" ht="15" customHeight="1" x14ac:dyDescent="0.3">
      <c r="B8" s="56"/>
      <c r="C8" s="107"/>
      <c r="D8" s="107"/>
      <c r="E8" s="107"/>
      <c r="F8" s="107"/>
      <c r="G8" s="110"/>
      <c r="H8" s="111"/>
      <c r="I8" s="40" t="s">
        <v>8</v>
      </c>
      <c r="J8" s="40" t="s">
        <v>9</v>
      </c>
      <c r="K8" s="57"/>
      <c r="N8" s="99"/>
      <c r="O8" s="100"/>
      <c r="P8" s="100"/>
      <c r="Q8" s="100"/>
      <c r="R8" s="100"/>
      <c r="S8" s="101"/>
    </row>
    <row r="9" spans="2:19" ht="30" customHeight="1" thickBot="1" x14ac:dyDescent="0.35">
      <c r="B9" s="56"/>
      <c r="C9" s="123" t="s">
        <v>109</v>
      </c>
      <c r="D9" s="123"/>
      <c r="E9" s="123" t="s">
        <v>19</v>
      </c>
      <c r="F9" s="123"/>
      <c r="G9" s="105" t="s">
        <v>14</v>
      </c>
      <c r="H9" s="106"/>
      <c r="I9" s="84">
        <f ca="1">VLOOKUP(TODAY(),'Demandas Contratadas'!$A$6:$C$25,2)</f>
        <v>650</v>
      </c>
      <c r="J9" s="85">
        <f ca="1">VLOOKUP(TODAY(),'Demandas Contratadas'!$A$6:$C$25,3)</f>
        <v>1200</v>
      </c>
      <c r="K9" s="57"/>
      <c r="N9" s="102"/>
      <c r="O9" s="103"/>
      <c r="P9" s="103"/>
      <c r="Q9" s="103"/>
      <c r="R9" s="103"/>
      <c r="S9" s="104"/>
    </row>
    <row r="10" spans="2:19" x14ac:dyDescent="0.3">
      <c r="B10" s="56"/>
      <c r="C10" s="17"/>
      <c r="D10" s="17"/>
      <c r="E10" s="17"/>
      <c r="F10" s="17"/>
      <c r="G10" s="17"/>
      <c r="H10" s="17"/>
      <c r="I10" s="17"/>
      <c r="J10" s="17"/>
      <c r="K10" s="57"/>
      <c r="N10" s="62"/>
    </row>
    <row r="11" spans="2:19" x14ac:dyDescent="0.3">
      <c r="B11" s="56"/>
      <c r="C11" s="107" t="s">
        <v>80</v>
      </c>
      <c r="D11" s="107"/>
      <c r="E11" s="107" t="s">
        <v>65</v>
      </c>
      <c r="F11" s="107"/>
      <c r="G11" s="108" t="s">
        <v>66</v>
      </c>
      <c r="H11" s="124"/>
      <c r="I11" s="124"/>
      <c r="J11" s="109"/>
      <c r="K11" s="57"/>
      <c r="N11" s="62"/>
    </row>
    <row r="12" spans="2:19" x14ac:dyDescent="0.3">
      <c r="B12" s="56"/>
      <c r="C12" s="107"/>
      <c r="D12" s="107"/>
      <c r="E12" s="107"/>
      <c r="F12" s="107"/>
      <c r="G12" s="110"/>
      <c r="H12" s="125"/>
      <c r="I12" s="125"/>
      <c r="J12" s="111"/>
      <c r="K12" s="57"/>
      <c r="N12" s="86" t="s">
        <v>116</v>
      </c>
    </row>
    <row r="13" spans="2:19" ht="18" x14ac:dyDescent="0.3">
      <c r="B13" s="56"/>
      <c r="C13" s="123" t="s">
        <v>81</v>
      </c>
      <c r="D13" s="123"/>
      <c r="E13" s="123" t="s">
        <v>108</v>
      </c>
      <c r="F13" s="123"/>
      <c r="G13" s="105">
        <v>12345678</v>
      </c>
      <c r="H13" s="126"/>
      <c r="I13" s="126"/>
      <c r="J13" s="106"/>
      <c r="K13" s="57"/>
      <c r="N13" s="62" t="s">
        <v>117</v>
      </c>
    </row>
    <row r="14" spans="2:19" x14ac:dyDescent="0.3">
      <c r="B14" s="56"/>
      <c r="C14" s="14"/>
      <c r="D14" s="17"/>
      <c r="E14" s="17"/>
      <c r="F14" s="17"/>
      <c r="G14" s="17"/>
      <c r="H14" s="17"/>
      <c r="I14" s="17"/>
      <c r="J14" s="17"/>
      <c r="K14" s="57"/>
      <c r="L14" s="17"/>
    </row>
    <row r="15" spans="2:19" ht="30" customHeight="1" x14ac:dyDescent="0.3">
      <c r="B15" s="56"/>
      <c r="C15" s="120" t="s">
        <v>83</v>
      </c>
      <c r="D15" s="121"/>
      <c r="E15" s="121"/>
      <c r="F15" s="121"/>
      <c r="G15" s="121"/>
      <c r="H15" s="121"/>
      <c r="I15" s="121"/>
      <c r="J15" s="122"/>
      <c r="K15" s="57"/>
    </row>
    <row r="16" spans="2:19" ht="14.4" customHeight="1" x14ac:dyDescent="0.3">
      <c r="B16" s="56"/>
      <c r="C16" s="107" t="s">
        <v>85</v>
      </c>
      <c r="D16" s="107"/>
      <c r="E16" s="108" t="s">
        <v>87</v>
      </c>
      <c r="F16" s="109"/>
      <c r="G16" s="112" t="s">
        <v>88</v>
      </c>
      <c r="H16" s="113"/>
      <c r="I16" s="112" t="s">
        <v>89</v>
      </c>
      <c r="J16" s="113"/>
      <c r="K16" s="57"/>
    </row>
    <row r="17" spans="2:11" x14ac:dyDescent="0.3">
      <c r="B17" s="56"/>
      <c r="C17" s="107"/>
      <c r="D17" s="107"/>
      <c r="E17" s="110"/>
      <c r="F17" s="111"/>
      <c r="G17" s="114"/>
      <c r="H17" s="115"/>
      <c r="I17" s="114"/>
      <c r="J17" s="115"/>
      <c r="K17" s="57"/>
    </row>
    <row r="18" spans="2:11" ht="30" customHeight="1" x14ac:dyDescent="0.3">
      <c r="B18" s="56"/>
      <c r="C18" s="105">
        <v>1000</v>
      </c>
      <c r="D18" s="106"/>
      <c r="E18" s="105">
        <v>1000</v>
      </c>
      <c r="F18" s="106"/>
      <c r="G18" s="105">
        <v>1000</v>
      </c>
      <c r="H18" s="106"/>
      <c r="I18" s="105">
        <v>1000</v>
      </c>
      <c r="J18" s="106"/>
      <c r="K18" s="57"/>
    </row>
    <row r="19" spans="2:11" x14ac:dyDescent="0.3">
      <c r="B19" s="56"/>
      <c r="C19" s="14"/>
      <c r="D19" s="17"/>
      <c r="E19" s="17"/>
      <c r="F19" s="17"/>
      <c r="G19" s="17"/>
      <c r="H19" s="17"/>
      <c r="I19" s="17"/>
      <c r="J19" s="17"/>
      <c r="K19" s="57"/>
    </row>
    <row r="20" spans="2:11" ht="14.4" customHeight="1" x14ac:dyDescent="0.3">
      <c r="B20" s="56"/>
      <c r="C20" s="108" t="s">
        <v>84</v>
      </c>
      <c r="D20" s="109"/>
      <c r="E20" s="112" t="s">
        <v>95</v>
      </c>
      <c r="F20" s="116"/>
      <c r="G20" s="116"/>
      <c r="H20" s="116"/>
      <c r="I20" s="116"/>
      <c r="J20" s="113"/>
      <c r="K20" s="57"/>
    </row>
    <row r="21" spans="2:11" x14ac:dyDescent="0.3">
      <c r="B21" s="56"/>
      <c r="C21" s="118"/>
      <c r="D21" s="119"/>
      <c r="E21" s="114" t="s">
        <v>90</v>
      </c>
      <c r="F21" s="117"/>
      <c r="G21" s="117" t="s">
        <v>91</v>
      </c>
      <c r="H21" s="117"/>
      <c r="I21" s="117" t="s">
        <v>92</v>
      </c>
      <c r="J21" s="115"/>
      <c r="K21" s="57"/>
    </row>
    <row r="22" spans="2:11" s="62" customFormat="1" x14ac:dyDescent="0.3">
      <c r="B22" s="56"/>
      <c r="C22" s="110"/>
      <c r="D22" s="111"/>
      <c r="E22" s="63" t="s">
        <v>93</v>
      </c>
      <c r="F22" s="64" t="s">
        <v>94</v>
      </c>
      <c r="G22" s="63" t="s">
        <v>93</v>
      </c>
      <c r="H22" s="64" t="s">
        <v>94</v>
      </c>
      <c r="I22" s="63" t="s">
        <v>93</v>
      </c>
      <c r="J22" s="64" t="s">
        <v>94</v>
      </c>
      <c r="K22" s="57"/>
    </row>
    <row r="23" spans="2:11" ht="30" customHeight="1" x14ac:dyDescent="0.3">
      <c r="B23" s="56"/>
      <c r="C23" s="105">
        <v>100</v>
      </c>
      <c r="D23" s="106"/>
      <c r="E23" s="69">
        <v>0.33333333333333331</v>
      </c>
      <c r="F23" s="67">
        <v>0.75</v>
      </c>
      <c r="G23" s="67">
        <v>0.33333333333333331</v>
      </c>
      <c r="H23" s="68">
        <v>0.75</v>
      </c>
      <c r="I23" s="69">
        <v>0.33333333333333331</v>
      </c>
      <c r="J23" s="67">
        <v>0.75</v>
      </c>
      <c r="K23" s="57"/>
    </row>
    <row r="24" spans="2:11" ht="15" thickBot="1" x14ac:dyDescent="0.35">
      <c r="B24" s="58"/>
      <c r="C24" s="59"/>
      <c r="D24" s="60"/>
      <c r="E24" s="60"/>
      <c r="F24" s="60"/>
      <c r="G24" s="60"/>
      <c r="H24" s="60"/>
      <c r="I24" s="60"/>
      <c r="J24" s="60"/>
      <c r="K24" s="61"/>
    </row>
    <row r="26" spans="2:11" x14ac:dyDescent="0.3">
      <c r="C26" s="62"/>
    </row>
  </sheetData>
  <sheetProtection sheet="1" objects="1" scenarios="1"/>
  <mergeCells count="34">
    <mergeCell ref="C6:J6"/>
    <mergeCell ref="C2:D2"/>
    <mergeCell ref="E2:J2"/>
    <mergeCell ref="C9:D9"/>
    <mergeCell ref="E9:F9"/>
    <mergeCell ref="D4:J4"/>
    <mergeCell ref="C15:J15"/>
    <mergeCell ref="E13:F13"/>
    <mergeCell ref="C11:D12"/>
    <mergeCell ref="C13:D13"/>
    <mergeCell ref="C7:D8"/>
    <mergeCell ref="E7:F8"/>
    <mergeCell ref="I7:J7"/>
    <mergeCell ref="E11:F12"/>
    <mergeCell ref="G7:H8"/>
    <mergeCell ref="G9:H9"/>
    <mergeCell ref="G11:J12"/>
    <mergeCell ref="G13:J13"/>
    <mergeCell ref="N2:S6"/>
    <mergeCell ref="N7:S9"/>
    <mergeCell ref="C23:D23"/>
    <mergeCell ref="C16:D17"/>
    <mergeCell ref="E16:F17"/>
    <mergeCell ref="G16:H17"/>
    <mergeCell ref="E18:F18"/>
    <mergeCell ref="C18:D18"/>
    <mergeCell ref="E20:J20"/>
    <mergeCell ref="E21:F21"/>
    <mergeCell ref="G21:H21"/>
    <mergeCell ref="I21:J21"/>
    <mergeCell ref="C20:D22"/>
    <mergeCell ref="I16:J17"/>
    <mergeCell ref="I18:J18"/>
    <mergeCell ref="G18:H18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Dados!$B$3:$B$4</xm:f>
          </x14:formula1>
          <xm:sqref>E9</xm:sqref>
        </x14:dataValidation>
        <x14:dataValidation type="list" allowBlank="1" showInputMessage="1" showErrorMessage="1" xr:uid="{D50B13CF-8C73-426C-9048-7CD08577E100}">
          <x14:formula1>
            <xm:f>Dados!$A$3:$A$5</xm:f>
          </x14:formula1>
          <xm:sqref>C9:D9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1"/>
  <dimension ref="A1:AA102"/>
  <sheetViews>
    <sheetView zoomScaleNormal="100" workbookViewId="0">
      <selection activeCell="J10" sqref="J10"/>
    </sheetView>
  </sheetViews>
  <sheetFormatPr defaultColWidth="8.88671875" defaultRowHeight="14.4" x14ac:dyDescent="0.3"/>
  <cols>
    <col min="1" max="5" width="12.6640625" style="5" customWidth="1"/>
    <col min="6" max="7" width="12.6640625" style="62" customWidth="1"/>
    <col min="8" max="13" width="12.6640625" style="5" customWidth="1"/>
    <col min="14" max="14" width="3.6640625" style="5" customWidth="1"/>
    <col min="15" max="22" width="12.6640625" style="5" customWidth="1"/>
    <col min="23" max="23" width="3.6640625" style="5" customWidth="1"/>
    <col min="24" max="27" width="12.6640625" style="5" customWidth="1"/>
    <col min="28" max="16384" width="8.88671875" style="5"/>
  </cols>
  <sheetData>
    <row r="1" spans="1:27" ht="85.95" customHeight="1" x14ac:dyDescent="0.3">
      <c r="A1" s="131"/>
      <c r="B1" s="131"/>
      <c r="C1" s="132" t="s">
        <v>98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31"/>
    </row>
    <row r="3" spans="1:27" x14ac:dyDescent="0.3">
      <c r="A3" s="13" t="s">
        <v>50</v>
      </c>
      <c r="O3" s="13" t="s">
        <v>51</v>
      </c>
      <c r="X3" s="13" t="s">
        <v>52</v>
      </c>
    </row>
    <row r="4" spans="1:27" ht="30" customHeight="1" x14ac:dyDescent="0.3">
      <c r="A4" s="137" t="s">
        <v>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2"/>
      <c r="N4" s="23"/>
      <c r="O4" s="134" t="s">
        <v>11</v>
      </c>
      <c r="P4" s="135"/>
      <c r="Q4" s="135"/>
      <c r="R4" s="135"/>
      <c r="S4" s="135"/>
      <c r="T4" s="135"/>
      <c r="U4" s="135"/>
      <c r="V4" s="135"/>
      <c r="X4" s="134" t="s">
        <v>31</v>
      </c>
      <c r="Y4" s="135"/>
      <c r="Z4" s="135"/>
      <c r="AA4" s="135"/>
    </row>
    <row r="5" spans="1:27" s="27" customFormat="1" ht="14.4" customHeight="1" x14ac:dyDescent="0.3">
      <c r="A5" s="136" t="s">
        <v>6</v>
      </c>
      <c r="B5" s="112" t="s">
        <v>57</v>
      </c>
      <c r="C5" s="113"/>
      <c r="D5" s="124" t="s">
        <v>58</v>
      </c>
      <c r="E5" s="109"/>
      <c r="F5" s="108" t="s">
        <v>114</v>
      </c>
      <c r="G5" s="109"/>
      <c r="H5" s="108" t="s">
        <v>113</v>
      </c>
      <c r="I5" s="124"/>
      <c r="J5" s="112" t="s">
        <v>63</v>
      </c>
      <c r="K5" s="113"/>
      <c r="L5" s="112" t="s">
        <v>59</v>
      </c>
      <c r="M5" s="113"/>
      <c r="N5" s="26"/>
      <c r="O5" s="112" t="s">
        <v>60</v>
      </c>
      <c r="P5" s="113"/>
      <c r="Q5" s="112" t="s">
        <v>61</v>
      </c>
      <c r="R5" s="113"/>
      <c r="S5" s="112" t="s">
        <v>64</v>
      </c>
      <c r="T5" s="113"/>
      <c r="U5" s="112" t="s">
        <v>62</v>
      </c>
      <c r="V5" s="113"/>
      <c r="X5" s="138" t="s">
        <v>30</v>
      </c>
      <c r="Y5" s="138" t="s">
        <v>28</v>
      </c>
      <c r="Z5" s="138" t="s">
        <v>29</v>
      </c>
      <c r="AA5" s="138" t="s">
        <v>33</v>
      </c>
    </row>
    <row r="6" spans="1:27" s="27" customFormat="1" ht="25.2" customHeight="1" x14ac:dyDescent="0.3">
      <c r="A6" s="136"/>
      <c r="B6" s="20" t="s">
        <v>8</v>
      </c>
      <c r="C6" s="19" t="s">
        <v>9</v>
      </c>
      <c r="D6" s="18" t="s">
        <v>8</v>
      </c>
      <c r="E6" s="19" t="s">
        <v>9</v>
      </c>
      <c r="F6" s="76" t="s">
        <v>8</v>
      </c>
      <c r="G6" s="76" t="s">
        <v>9</v>
      </c>
      <c r="H6" s="20" t="s">
        <v>8</v>
      </c>
      <c r="I6" s="18" t="s">
        <v>9</v>
      </c>
      <c r="J6" s="20" t="s">
        <v>8</v>
      </c>
      <c r="K6" s="19" t="s">
        <v>9</v>
      </c>
      <c r="L6" s="6" t="s">
        <v>8</v>
      </c>
      <c r="M6" s="7" t="s">
        <v>9</v>
      </c>
      <c r="N6" s="28"/>
      <c r="O6" s="6" t="s">
        <v>8</v>
      </c>
      <c r="P6" s="7" t="s">
        <v>9</v>
      </c>
      <c r="Q6" s="20" t="s">
        <v>8</v>
      </c>
      <c r="R6" s="7" t="s">
        <v>9</v>
      </c>
      <c r="S6" s="6" t="s">
        <v>8</v>
      </c>
      <c r="T6" s="7" t="s">
        <v>9</v>
      </c>
      <c r="U6" s="6" t="s">
        <v>8</v>
      </c>
      <c r="V6" s="7" t="s">
        <v>9</v>
      </c>
      <c r="X6" s="138"/>
      <c r="Y6" s="138"/>
      <c r="Z6" s="138"/>
      <c r="AA6" s="138"/>
    </row>
    <row r="7" spans="1:27" s="22" customFormat="1" x14ac:dyDescent="0.3">
      <c r="A7" s="8">
        <v>43435</v>
      </c>
      <c r="B7" s="10">
        <v>11375</v>
      </c>
      <c r="C7" s="10">
        <v>168363</v>
      </c>
      <c r="D7" s="9">
        <v>294</v>
      </c>
      <c r="E7" s="9">
        <v>801</v>
      </c>
      <c r="F7" s="81">
        <f>IF(A7&lt;&gt;"",VLOOKUP(A7,'Demandas Contratadas'!$A$6:$C$25,2),"")</f>
        <v>650</v>
      </c>
      <c r="G7" s="81">
        <f>IF(A7&lt;&gt;"",VLOOKUP(A7,'Demandas Contratadas'!$A$6:$C$25,3),"")</f>
        <v>1200</v>
      </c>
      <c r="H7" s="32">
        <f t="shared" ref="H7:H38" si="0">IF(A7&lt;&gt;"",IF(ligacao="Azul",IF(D7&gt;F7,D7,F7),""),"")</f>
        <v>650</v>
      </c>
      <c r="I7" s="32">
        <f>IF(A7&lt;&gt;"",IF(E7&gt;G7,E7,G7),"")</f>
        <v>1200</v>
      </c>
      <c r="J7" s="32">
        <f t="shared" ref="J7:J38" si="1">IF(A7&lt;&gt;"",IF(ligacao="Azul",IF(D7 &gt;F7*1.05,D7-F7, 0),""),"")</f>
        <v>0</v>
      </c>
      <c r="K7" s="32">
        <f>IF(A7&lt;&gt;"",IF(E7 &gt;G7*1.05,E7-G7, 0),"")</f>
        <v>0</v>
      </c>
      <c r="L7" s="29"/>
      <c r="M7" s="29"/>
      <c r="N7" s="24"/>
      <c r="O7" s="30">
        <v>0.81125250000000004</v>
      </c>
      <c r="P7" s="30">
        <v>0.55290740000000005</v>
      </c>
      <c r="Q7" s="30">
        <v>30.285639199999999</v>
      </c>
      <c r="R7" s="30">
        <v>11.3973671</v>
      </c>
      <c r="S7" s="30"/>
      <c r="T7" s="30"/>
      <c r="U7" s="30"/>
      <c r="V7" s="30"/>
      <c r="X7" s="11">
        <v>716.25</v>
      </c>
      <c r="Y7" s="11"/>
      <c r="Z7" s="11">
        <v>83.67</v>
      </c>
      <c r="AA7" s="11"/>
    </row>
    <row r="8" spans="1:27" x14ac:dyDescent="0.3">
      <c r="A8" s="8">
        <v>43466</v>
      </c>
      <c r="B8" s="10">
        <v>12786</v>
      </c>
      <c r="C8" s="10">
        <v>191061</v>
      </c>
      <c r="D8" s="10">
        <v>326</v>
      </c>
      <c r="E8" s="10">
        <v>827</v>
      </c>
      <c r="F8" s="81">
        <f>IF(A8&lt;&gt;"",VLOOKUP(A8,'Demandas Contratadas'!$A$6:$C$25,2),"")</f>
        <v>650</v>
      </c>
      <c r="G8" s="81">
        <f>IF(A8&lt;&gt;"",VLOOKUP(A8,'Demandas Contratadas'!$A$6:$C$25,3),"")</f>
        <v>1200</v>
      </c>
      <c r="H8" s="32">
        <f t="shared" si="0"/>
        <v>650</v>
      </c>
      <c r="I8" s="32">
        <f t="shared" ref="I8:I66" si="2">IF(A8&lt;&gt;"",IF(E8&gt;G8,E8,G8),"")</f>
        <v>1200</v>
      </c>
      <c r="J8" s="32">
        <f t="shared" si="1"/>
        <v>0</v>
      </c>
      <c r="K8" s="32">
        <f t="shared" ref="K8:K66" si="3">IF(A8&lt;&gt;"",IF(E8 &gt;G8*1.05,E8-G8, 0),"")</f>
        <v>0</v>
      </c>
      <c r="L8" s="29"/>
      <c r="M8" s="29"/>
      <c r="N8" s="24"/>
      <c r="O8" s="30">
        <v>0.79934380000000005</v>
      </c>
      <c r="P8" s="30">
        <v>0.54182819999999998</v>
      </c>
      <c r="Q8" s="30">
        <v>30.188413300000001</v>
      </c>
      <c r="R8" s="30">
        <v>11.3607806</v>
      </c>
      <c r="S8" s="30"/>
      <c r="T8" s="30"/>
      <c r="U8" s="30"/>
      <c r="V8" s="30"/>
      <c r="X8" s="11">
        <v>716.25</v>
      </c>
      <c r="Y8" s="11"/>
      <c r="Z8" s="11"/>
      <c r="AA8" s="11"/>
    </row>
    <row r="9" spans="1:27" x14ac:dyDescent="0.3">
      <c r="A9" s="8">
        <v>43497</v>
      </c>
      <c r="B9" s="10">
        <v>13906</v>
      </c>
      <c r="C9" s="10">
        <v>228424</v>
      </c>
      <c r="D9" s="10">
        <v>387</v>
      </c>
      <c r="E9" s="10">
        <v>966</v>
      </c>
      <c r="F9" s="81">
        <f>IF(A9&lt;&gt;"",VLOOKUP(A9,'Demandas Contratadas'!$A$6:$C$25,2),"")</f>
        <v>650</v>
      </c>
      <c r="G9" s="81">
        <f>IF(A9&lt;&gt;"",VLOOKUP(A9,'Demandas Contratadas'!$A$6:$C$25,3),"")</f>
        <v>1200</v>
      </c>
      <c r="H9" s="32">
        <f t="shared" si="0"/>
        <v>650</v>
      </c>
      <c r="I9" s="32">
        <f t="shared" si="2"/>
        <v>1200</v>
      </c>
      <c r="J9" s="32">
        <f t="shared" si="1"/>
        <v>0</v>
      </c>
      <c r="K9" s="32">
        <f t="shared" si="3"/>
        <v>0</v>
      </c>
      <c r="L9" s="29"/>
      <c r="M9" s="29"/>
      <c r="N9" s="24"/>
      <c r="O9" s="30">
        <v>0.81725150000000002</v>
      </c>
      <c r="P9" s="30">
        <v>0.55396670000000003</v>
      </c>
      <c r="Q9" s="30">
        <v>30.8647229</v>
      </c>
      <c r="R9" s="30">
        <v>11.6152955</v>
      </c>
      <c r="S9" s="30"/>
      <c r="T9" s="30"/>
      <c r="U9" s="30"/>
      <c r="V9" s="30"/>
      <c r="X9" s="11">
        <v>741.75</v>
      </c>
      <c r="Y9" s="11"/>
      <c r="Z9" s="11"/>
      <c r="AA9" s="11"/>
    </row>
    <row r="10" spans="1:27" x14ac:dyDescent="0.3">
      <c r="A10" s="8">
        <v>43525</v>
      </c>
      <c r="B10" s="10">
        <v>13707</v>
      </c>
      <c r="C10" s="10">
        <v>181306</v>
      </c>
      <c r="D10" s="10">
        <v>447</v>
      </c>
      <c r="E10" s="10">
        <v>918</v>
      </c>
      <c r="F10" s="81">
        <f>IF(A10&lt;&gt;"",VLOOKUP(A10,'Demandas Contratadas'!$A$6:$C$25,2),"")</f>
        <v>650</v>
      </c>
      <c r="G10" s="81">
        <f>IF(A10&lt;&gt;"",VLOOKUP(A10,'Demandas Contratadas'!$A$6:$C$25,3),"")</f>
        <v>1200</v>
      </c>
      <c r="H10" s="32">
        <f t="shared" si="0"/>
        <v>650</v>
      </c>
      <c r="I10" s="32">
        <f t="shared" si="2"/>
        <v>1200</v>
      </c>
      <c r="J10" s="32">
        <f t="shared" si="1"/>
        <v>0</v>
      </c>
      <c r="K10" s="32">
        <f t="shared" si="3"/>
        <v>0</v>
      </c>
      <c r="L10" s="29"/>
      <c r="M10" s="29">
        <v>1</v>
      </c>
      <c r="N10" s="24"/>
      <c r="O10" s="30">
        <v>0.82123579999999996</v>
      </c>
      <c r="P10" s="30">
        <v>0.55666740000000003</v>
      </c>
      <c r="Q10" s="30">
        <v>31.015195599999998</v>
      </c>
      <c r="R10" s="30">
        <v>11.6719229</v>
      </c>
      <c r="S10" s="30"/>
      <c r="T10" s="30"/>
      <c r="U10" s="30"/>
      <c r="V10" s="30">
        <v>0.46144230000000003</v>
      </c>
      <c r="X10" s="11">
        <v>741.75</v>
      </c>
      <c r="Y10" s="11"/>
      <c r="Z10" s="11"/>
      <c r="AA10" s="11"/>
    </row>
    <row r="11" spans="1:27" x14ac:dyDescent="0.3">
      <c r="A11" s="8">
        <v>43556</v>
      </c>
      <c r="B11" s="10">
        <v>17608</v>
      </c>
      <c r="C11" s="10">
        <v>209337</v>
      </c>
      <c r="D11" s="10">
        <v>488</v>
      </c>
      <c r="E11" s="10">
        <v>877</v>
      </c>
      <c r="F11" s="81">
        <f>IF(A11&lt;&gt;"",VLOOKUP(A11,'Demandas Contratadas'!$A$6:$C$25,2),"")</f>
        <v>650</v>
      </c>
      <c r="G11" s="81">
        <f>IF(A11&lt;&gt;"",VLOOKUP(A11,'Demandas Contratadas'!$A$6:$C$25,3),"")</f>
        <v>1200</v>
      </c>
      <c r="H11" s="32">
        <f t="shared" si="0"/>
        <v>650</v>
      </c>
      <c r="I11" s="32">
        <f t="shared" si="2"/>
        <v>1200</v>
      </c>
      <c r="J11" s="32">
        <f t="shared" si="1"/>
        <v>0</v>
      </c>
      <c r="K11" s="32">
        <f t="shared" si="3"/>
        <v>0</v>
      </c>
      <c r="L11" s="29"/>
      <c r="M11" s="29"/>
      <c r="N11" s="24"/>
      <c r="O11" s="30">
        <v>0.81994259999999997</v>
      </c>
      <c r="P11" s="30">
        <v>0.55579089999999998</v>
      </c>
      <c r="Q11" s="30">
        <v>30.966355</v>
      </c>
      <c r="R11" s="30">
        <v>11.653542699999999</v>
      </c>
      <c r="S11" s="30"/>
      <c r="T11" s="30"/>
      <c r="U11" s="30"/>
      <c r="V11" s="30"/>
      <c r="X11" s="11">
        <v>741.75</v>
      </c>
      <c r="Y11" s="11"/>
      <c r="Z11" s="11">
        <v>2678.5</v>
      </c>
      <c r="AA11" s="11"/>
    </row>
    <row r="12" spans="1:27" x14ac:dyDescent="0.3">
      <c r="A12" s="8">
        <v>43586</v>
      </c>
      <c r="B12" s="10">
        <v>15713</v>
      </c>
      <c r="C12" s="10">
        <v>189441</v>
      </c>
      <c r="D12" s="10">
        <v>438</v>
      </c>
      <c r="E12" s="10">
        <v>782</v>
      </c>
      <c r="F12" s="81">
        <f>IF(A12&lt;&gt;"",VLOOKUP(A12,'Demandas Contratadas'!$A$6:$C$25,2),"")</f>
        <v>650</v>
      </c>
      <c r="G12" s="81">
        <f>IF(A12&lt;&gt;"",VLOOKUP(A12,'Demandas Contratadas'!$A$6:$C$25,3),"")</f>
        <v>1200</v>
      </c>
      <c r="H12" s="32">
        <f t="shared" si="0"/>
        <v>650</v>
      </c>
      <c r="I12" s="32">
        <f t="shared" si="2"/>
        <v>1200</v>
      </c>
      <c r="J12" s="32">
        <f t="shared" si="1"/>
        <v>0</v>
      </c>
      <c r="K12" s="32">
        <f t="shared" si="3"/>
        <v>0</v>
      </c>
      <c r="L12" s="29"/>
      <c r="M12" s="29">
        <v>1</v>
      </c>
      <c r="N12" s="24"/>
      <c r="O12" s="30">
        <v>0.81908590000000003</v>
      </c>
      <c r="P12" s="30">
        <v>0.55673709999999998</v>
      </c>
      <c r="Q12" s="30">
        <v>30.755009699999999</v>
      </c>
      <c r="R12" s="30">
        <v>11.5740073</v>
      </c>
      <c r="S12" s="30"/>
      <c r="T12" s="30"/>
      <c r="U12" s="30"/>
      <c r="V12" s="30">
        <v>0.45757130000000001</v>
      </c>
      <c r="X12" s="11">
        <v>741.75</v>
      </c>
      <c r="Y12" s="11"/>
      <c r="Z12" s="11"/>
      <c r="AA12" s="11"/>
    </row>
    <row r="13" spans="1:27" x14ac:dyDescent="0.3">
      <c r="A13" s="8">
        <v>43617</v>
      </c>
      <c r="B13" s="10">
        <v>15850</v>
      </c>
      <c r="C13" s="10">
        <v>185281</v>
      </c>
      <c r="D13" s="10">
        <v>415</v>
      </c>
      <c r="E13" s="10">
        <v>741</v>
      </c>
      <c r="F13" s="81">
        <f>IF(A13&lt;&gt;"",VLOOKUP(A13,'Demandas Contratadas'!$A$6:$C$25,2),"")</f>
        <v>650</v>
      </c>
      <c r="G13" s="81">
        <f>IF(A13&lt;&gt;"",VLOOKUP(A13,'Demandas Contratadas'!$A$6:$C$25,3),"")</f>
        <v>1200</v>
      </c>
      <c r="H13" s="32">
        <f t="shared" si="0"/>
        <v>650</v>
      </c>
      <c r="I13" s="32">
        <f t="shared" si="2"/>
        <v>1200</v>
      </c>
      <c r="J13" s="32">
        <f t="shared" si="1"/>
        <v>0</v>
      </c>
      <c r="K13" s="32">
        <f t="shared" si="3"/>
        <v>0</v>
      </c>
      <c r="L13" s="29"/>
      <c r="M13" s="29"/>
      <c r="N13" s="24"/>
      <c r="O13" s="30">
        <v>0.82386130000000002</v>
      </c>
      <c r="P13" s="30">
        <v>0.56154970000000004</v>
      </c>
      <c r="Q13" s="30">
        <v>30.750637600000001</v>
      </c>
      <c r="R13" s="30">
        <v>11.572361900000001</v>
      </c>
      <c r="S13" s="30"/>
      <c r="T13" s="30"/>
      <c r="U13" s="30"/>
      <c r="V13" s="30"/>
      <c r="X13" s="11">
        <v>741.75</v>
      </c>
      <c r="Y13" s="11"/>
      <c r="Z13" s="11"/>
      <c r="AA13" s="11"/>
    </row>
    <row r="14" spans="1:27" x14ac:dyDescent="0.3">
      <c r="A14" s="8">
        <v>43647</v>
      </c>
      <c r="B14" s="10">
        <v>14438</v>
      </c>
      <c r="C14" s="10">
        <v>155770</v>
      </c>
      <c r="D14" s="10">
        <v>324</v>
      </c>
      <c r="E14" s="10">
        <v>534</v>
      </c>
      <c r="F14" s="81">
        <f>IF(A14&lt;&gt;"",VLOOKUP(A14,'Demandas Contratadas'!$A$6:$C$25,2),"")</f>
        <v>650</v>
      </c>
      <c r="G14" s="81">
        <f>IF(A14&lt;&gt;"",VLOOKUP(A14,'Demandas Contratadas'!$A$6:$C$25,3),"")</f>
        <v>1200</v>
      </c>
      <c r="H14" s="32">
        <f t="shared" si="0"/>
        <v>650</v>
      </c>
      <c r="I14" s="32">
        <f t="shared" si="2"/>
        <v>1200</v>
      </c>
      <c r="J14" s="32">
        <f t="shared" si="1"/>
        <v>0</v>
      </c>
      <c r="K14" s="32">
        <f t="shared" si="3"/>
        <v>0</v>
      </c>
      <c r="L14" s="29"/>
      <c r="M14" s="29"/>
      <c r="N14" s="24"/>
      <c r="O14" s="30">
        <v>0.82052250000000004</v>
      </c>
      <c r="P14" s="30">
        <v>0.55847170000000002</v>
      </c>
      <c r="Q14" s="30">
        <v>30.720067199999999</v>
      </c>
      <c r="R14" s="30">
        <v>11.5608574</v>
      </c>
      <c r="S14" s="30"/>
      <c r="T14" s="30"/>
      <c r="U14" s="30"/>
      <c r="V14" s="30"/>
      <c r="X14" s="11">
        <v>741.75</v>
      </c>
      <c r="Y14" s="11"/>
      <c r="Z14" s="11"/>
      <c r="AA14" s="11"/>
    </row>
    <row r="15" spans="1:27" x14ac:dyDescent="0.3">
      <c r="A15" s="8">
        <v>43678</v>
      </c>
      <c r="B15" s="10">
        <v>15468</v>
      </c>
      <c r="C15" s="10">
        <v>158639</v>
      </c>
      <c r="D15" s="10">
        <v>330</v>
      </c>
      <c r="E15" s="10">
        <v>540</v>
      </c>
      <c r="F15" s="81">
        <f>IF(A15&lt;&gt;"",VLOOKUP(A15,'Demandas Contratadas'!$A$6:$C$25,2),"")</f>
        <v>650</v>
      </c>
      <c r="G15" s="81">
        <f>IF(A15&lt;&gt;"",VLOOKUP(A15,'Demandas Contratadas'!$A$6:$C$25,3),"")</f>
        <v>1200</v>
      </c>
      <c r="H15" s="32">
        <f t="shared" si="0"/>
        <v>650</v>
      </c>
      <c r="I15" s="32">
        <f t="shared" si="2"/>
        <v>1200</v>
      </c>
      <c r="J15" s="32">
        <f t="shared" si="1"/>
        <v>0</v>
      </c>
      <c r="K15" s="32">
        <f t="shared" si="3"/>
        <v>0</v>
      </c>
      <c r="L15" s="29"/>
      <c r="M15" s="29"/>
      <c r="N15" s="24"/>
      <c r="O15" s="30">
        <v>0.8406863</v>
      </c>
      <c r="P15" s="30">
        <v>0.58033630000000003</v>
      </c>
      <c r="Q15" s="30">
        <v>30.520670299999999</v>
      </c>
      <c r="R15" s="30">
        <v>11.485818500000001</v>
      </c>
      <c r="S15" s="30"/>
      <c r="T15" s="30"/>
      <c r="U15" s="30"/>
      <c r="V15" s="30"/>
      <c r="X15" s="11">
        <v>741.75</v>
      </c>
      <c r="Y15" s="11"/>
      <c r="Z15" s="11"/>
      <c r="AA15" s="11"/>
    </row>
    <row r="16" spans="1:27" x14ac:dyDescent="0.3">
      <c r="A16" s="8">
        <v>43709</v>
      </c>
      <c r="B16" s="10">
        <v>16022</v>
      </c>
      <c r="C16" s="10">
        <v>190245</v>
      </c>
      <c r="D16" s="10">
        <v>449</v>
      </c>
      <c r="E16" s="10">
        <v>847</v>
      </c>
      <c r="F16" s="81">
        <f>IF(A16&lt;&gt;"",VLOOKUP(A16,'Demandas Contratadas'!$A$6:$C$25,2),"")</f>
        <v>650</v>
      </c>
      <c r="G16" s="81">
        <f>IF(A16&lt;&gt;"",VLOOKUP(A16,'Demandas Contratadas'!$A$6:$C$25,3),"")</f>
        <v>1200</v>
      </c>
      <c r="H16" s="32">
        <f t="shared" si="0"/>
        <v>650</v>
      </c>
      <c r="I16" s="32">
        <f t="shared" si="2"/>
        <v>1200</v>
      </c>
      <c r="J16" s="32">
        <f t="shared" si="1"/>
        <v>0</v>
      </c>
      <c r="K16" s="32">
        <f t="shared" si="3"/>
        <v>0</v>
      </c>
      <c r="L16" s="29"/>
      <c r="M16" s="29"/>
      <c r="N16" s="24"/>
      <c r="O16" s="30">
        <v>0.86739790000000005</v>
      </c>
      <c r="P16" s="30">
        <v>0.60620030000000003</v>
      </c>
      <c r="Q16" s="30">
        <v>30.6200443</v>
      </c>
      <c r="R16" s="30">
        <v>11.523215799999999</v>
      </c>
      <c r="S16" s="30"/>
      <c r="T16" s="30"/>
      <c r="U16" s="30"/>
      <c r="V16" s="30"/>
      <c r="X16" s="11">
        <v>741.75</v>
      </c>
      <c r="Y16" s="11"/>
      <c r="Z16" s="11"/>
      <c r="AA16" s="11"/>
    </row>
    <row r="17" spans="1:27" x14ac:dyDescent="0.3">
      <c r="A17" s="8">
        <v>43739</v>
      </c>
      <c r="B17" s="10">
        <v>18561</v>
      </c>
      <c r="C17" s="10">
        <v>231615</v>
      </c>
      <c r="D17" s="10">
        <v>499</v>
      </c>
      <c r="E17" s="10">
        <v>916</v>
      </c>
      <c r="F17" s="81">
        <f>IF(A17&lt;&gt;"",VLOOKUP(A17,'Demandas Contratadas'!$A$6:$C$25,2),"")</f>
        <v>650</v>
      </c>
      <c r="G17" s="81">
        <f>IF(A17&lt;&gt;"",VLOOKUP(A17,'Demandas Contratadas'!$A$6:$C$25,3),"")</f>
        <v>1200</v>
      </c>
      <c r="H17" s="32">
        <f t="shared" si="0"/>
        <v>650</v>
      </c>
      <c r="I17" s="32">
        <f t="shared" si="2"/>
        <v>1200</v>
      </c>
      <c r="J17" s="32">
        <f t="shared" si="1"/>
        <v>0</v>
      </c>
      <c r="K17" s="32">
        <f t="shared" si="3"/>
        <v>0</v>
      </c>
      <c r="L17" s="29"/>
      <c r="M17" s="29">
        <v>6</v>
      </c>
      <c r="N17" s="24"/>
      <c r="O17" s="30">
        <v>0.84863299999999997</v>
      </c>
      <c r="P17" s="30">
        <v>0.58956260000000005</v>
      </c>
      <c r="Q17" s="30">
        <v>30.370679200000001</v>
      </c>
      <c r="R17" s="30">
        <v>11.429372499999999</v>
      </c>
      <c r="S17" s="30"/>
      <c r="T17" s="30"/>
      <c r="U17" s="30"/>
      <c r="V17" s="30">
        <v>0.45185330000000001</v>
      </c>
      <c r="X17" s="11">
        <v>741.75</v>
      </c>
      <c r="Y17" s="11"/>
      <c r="Z17" s="11"/>
      <c r="AA17" s="11"/>
    </row>
    <row r="18" spans="1:27" x14ac:dyDescent="0.3">
      <c r="A18" s="8">
        <v>43770</v>
      </c>
      <c r="B18" s="10">
        <v>18267</v>
      </c>
      <c r="C18" s="10">
        <v>230039</v>
      </c>
      <c r="D18" s="10">
        <v>546</v>
      </c>
      <c r="E18" s="10">
        <v>966</v>
      </c>
      <c r="F18" s="81">
        <f>IF(A18&lt;&gt;"",VLOOKUP(A18,'Demandas Contratadas'!$A$6:$C$25,2),"")</f>
        <v>650</v>
      </c>
      <c r="G18" s="81">
        <f>IF(A18&lt;&gt;"",VLOOKUP(A18,'Demandas Contratadas'!$A$6:$C$25,3),"")</f>
        <v>1200</v>
      </c>
      <c r="H18" s="32">
        <f t="shared" si="0"/>
        <v>650</v>
      </c>
      <c r="I18" s="32">
        <f t="shared" si="2"/>
        <v>1200</v>
      </c>
      <c r="J18" s="32">
        <f t="shared" si="1"/>
        <v>0</v>
      </c>
      <c r="K18" s="32">
        <f t="shared" si="3"/>
        <v>0</v>
      </c>
      <c r="L18" s="29"/>
      <c r="M18" s="29">
        <v>1</v>
      </c>
      <c r="N18" s="24"/>
      <c r="O18" s="30">
        <v>0.79031910000000005</v>
      </c>
      <c r="P18" s="30">
        <v>0.53848669999999998</v>
      </c>
      <c r="Q18" s="30">
        <v>31.789475400000001</v>
      </c>
      <c r="R18" s="30">
        <v>12.1248334</v>
      </c>
      <c r="S18" s="30"/>
      <c r="T18" s="30"/>
      <c r="U18" s="30"/>
      <c r="V18" s="30">
        <v>0.40873779999999998</v>
      </c>
      <c r="X18" s="11">
        <v>741.75</v>
      </c>
      <c r="Y18" s="11"/>
      <c r="Z18" s="11"/>
      <c r="AA18" s="11"/>
    </row>
    <row r="19" spans="1:27" x14ac:dyDescent="0.3">
      <c r="A19" s="8"/>
      <c r="B19" s="10"/>
      <c r="C19" s="10"/>
      <c r="D19" s="10"/>
      <c r="E19" s="10"/>
      <c r="F19" s="81" t="str">
        <f>IF(A19&lt;&gt;"",VLOOKUP(A19,'Demandas Contratadas'!$A$6:$C$25,2),"")</f>
        <v/>
      </c>
      <c r="G19" s="81" t="str">
        <f>IF(A19&lt;&gt;"",VLOOKUP(A19,'Demandas Contratadas'!$A$6:$C$25,3),"")</f>
        <v/>
      </c>
      <c r="H19" s="32" t="str">
        <f t="shared" si="0"/>
        <v/>
      </c>
      <c r="I19" s="32" t="str">
        <f t="shared" si="2"/>
        <v/>
      </c>
      <c r="J19" s="32" t="str">
        <f t="shared" si="1"/>
        <v/>
      </c>
      <c r="K19" s="32" t="str">
        <f t="shared" si="3"/>
        <v/>
      </c>
      <c r="L19" s="29"/>
      <c r="M19" s="29"/>
      <c r="N19" s="24"/>
      <c r="O19" s="30"/>
      <c r="P19" s="30"/>
      <c r="Q19" s="30"/>
      <c r="R19" s="30"/>
      <c r="S19" s="30"/>
      <c r="T19" s="30"/>
      <c r="U19" s="30"/>
      <c r="V19" s="30"/>
      <c r="X19" s="11"/>
      <c r="Y19" s="11"/>
      <c r="Z19" s="11"/>
      <c r="AA19" s="11"/>
    </row>
    <row r="20" spans="1:27" x14ac:dyDescent="0.3">
      <c r="A20" s="8"/>
      <c r="B20" s="10"/>
      <c r="C20" s="10"/>
      <c r="D20" s="10"/>
      <c r="E20" s="10"/>
      <c r="F20" s="81" t="str">
        <f>IF(A20&lt;&gt;"",VLOOKUP(A20,'Demandas Contratadas'!$A$6:$C$25,2),"")</f>
        <v/>
      </c>
      <c r="G20" s="81" t="str">
        <f>IF(A20&lt;&gt;"",VLOOKUP(A20,'Demandas Contratadas'!$A$6:$C$25,3),"")</f>
        <v/>
      </c>
      <c r="H20" s="32" t="str">
        <f t="shared" si="0"/>
        <v/>
      </c>
      <c r="I20" s="32" t="str">
        <f t="shared" si="2"/>
        <v/>
      </c>
      <c r="J20" s="32" t="str">
        <f t="shared" si="1"/>
        <v/>
      </c>
      <c r="K20" s="32" t="str">
        <f t="shared" si="3"/>
        <v/>
      </c>
      <c r="L20" s="29"/>
      <c r="M20" s="29"/>
      <c r="N20" s="24"/>
      <c r="O20" s="30"/>
      <c r="P20" s="30"/>
      <c r="Q20" s="30"/>
      <c r="R20" s="30"/>
      <c r="S20" s="30"/>
      <c r="T20" s="30"/>
      <c r="U20" s="30"/>
      <c r="V20" s="30"/>
      <c r="X20" s="11"/>
      <c r="Y20" s="11"/>
      <c r="Z20" s="11"/>
      <c r="AA20" s="11"/>
    </row>
    <row r="21" spans="1:27" x14ac:dyDescent="0.3">
      <c r="A21" s="8"/>
      <c r="B21" s="10"/>
      <c r="C21" s="10"/>
      <c r="D21" s="10"/>
      <c r="E21" s="10"/>
      <c r="F21" s="81" t="str">
        <f>IF(A21&lt;&gt;"",VLOOKUP(A21,'Demandas Contratadas'!$A$6:$C$25,2),"")</f>
        <v/>
      </c>
      <c r="G21" s="81" t="str">
        <f>IF(A21&lt;&gt;"",VLOOKUP(A21,'Demandas Contratadas'!$A$6:$C$25,3),"")</f>
        <v/>
      </c>
      <c r="H21" s="32" t="str">
        <f t="shared" si="0"/>
        <v/>
      </c>
      <c r="I21" s="32" t="str">
        <f t="shared" si="2"/>
        <v/>
      </c>
      <c r="J21" s="32" t="str">
        <f t="shared" si="1"/>
        <v/>
      </c>
      <c r="K21" s="32" t="str">
        <f t="shared" si="3"/>
        <v/>
      </c>
      <c r="L21" s="29"/>
      <c r="M21" s="29"/>
      <c r="N21" s="24"/>
      <c r="O21" s="30"/>
      <c r="P21" s="30"/>
      <c r="Q21" s="30"/>
      <c r="R21" s="30"/>
      <c r="S21" s="30"/>
      <c r="T21" s="30"/>
      <c r="U21" s="30"/>
      <c r="V21" s="30"/>
      <c r="X21" s="11"/>
      <c r="Y21" s="11"/>
      <c r="Z21" s="11"/>
      <c r="AA21" s="11"/>
    </row>
    <row r="22" spans="1:27" x14ac:dyDescent="0.3">
      <c r="A22" s="8"/>
      <c r="B22" s="10"/>
      <c r="C22" s="10"/>
      <c r="D22" s="10"/>
      <c r="E22" s="10"/>
      <c r="F22" s="81" t="str">
        <f>IF(A22&lt;&gt;"",VLOOKUP(A22,'Demandas Contratadas'!$A$6:$C$25,2),"")</f>
        <v/>
      </c>
      <c r="G22" s="81" t="str">
        <f>IF(A22&lt;&gt;"",VLOOKUP(A22,'Demandas Contratadas'!$A$6:$C$25,3),"")</f>
        <v/>
      </c>
      <c r="H22" s="32" t="str">
        <f t="shared" si="0"/>
        <v/>
      </c>
      <c r="I22" s="32" t="str">
        <f t="shared" si="2"/>
        <v/>
      </c>
      <c r="J22" s="32" t="str">
        <f t="shared" si="1"/>
        <v/>
      </c>
      <c r="K22" s="32" t="str">
        <f t="shared" si="3"/>
        <v/>
      </c>
      <c r="L22" s="29"/>
      <c r="M22" s="29"/>
      <c r="N22" s="24"/>
      <c r="O22" s="30"/>
      <c r="P22" s="30"/>
      <c r="Q22" s="30"/>
      <c r="R22" s="30"/>
      <c r="S22" s="30"/>
      <c r="T22" s="30"/>
      <c r="U22" s="30"/>
      <c r="V22" s="30"/>
      <c r="X22" s="11"/>
      <c r="Y22" s="11"/>
      <c r="Z22" s="11"/>
      <c r="AA22" s="11"/>
    </row>
    <row r="23" spans="1:27" x14ac:dyDescent="0.3">
      <c r="A23" s="8"/>
      <c r="B23" s="10"/>
      <c r="C23" s="10"/>
      <c r="D23" s="10"/>
      <c r="E23" s="10"/>
      <c r="F23" s="81" t="str">
        <f>IF(A23&lt;&gt;"",VLOOKUP(A23,'Demandas Contratadas'!$A$6:$C$25,2),"")</f>
        <v/>
      </c>
      <c r="G23" s="81" t="str">
        <f>IF(A23&lt;&gt;"",VLOOKUP(A23,'Demandas Contratadas'!$A$6:$C$25,3),"")</f>
        <v/>
      </c>
      <c r="H23" s="32" t="str">
        <f t="shared" si="0"/>
        <v/>
      </c>
      <c r="I23" s="32" t="str">
        <f t="shared" si="2"/>
        <v/>
      </c>
      <c r="J23" s="32" t="str">
        <f t="shared" si="1"/>
        <v/>
      </c>
      <c r="K23" s="32" t="str">
        <f t="shared" si="3"/>
        <v/>
      </c>
      <c r="L23" s="29"/>
      <c r="M23" s="29"/>
      <c r="N23" s="24"/>
      <c r="O23" s="30"/>
      <c r="P23" s="30"/>
      <c r="Q23" s="30"/>
      <c r="R23" s="30"/>
      <c r="S23" s="30"/>
      <c r="T23" s="30"/>
      <c r="U23" s="30"/>
      <c r="V23" s="30"/>
      <c r="X23" s="11"/>
      <c r="Y23" s="11"/>
      <c r="Z23" s="11"/>
      <c r="AA23" s="11"/>
    </row>
    <row r="24" spans="1:27" x14ac:dyDescent="0.3">
      <c r="A24" s="8"/>
      <c r="B24" s="10"/>
      <c r="C24" s="10"/>
      <c r="D24" s="10"/>
      <c r="E24" s="10"/>
      <c r="F24" s="81" t="str">
        <f>IF(A24&lt;&gt;"",VLOOKUP(A24,'Demandas Contratadas'!$A$6:$C$25,2),"")</f>
        <v/>
      </c>
      <c r="G24" s="81" t="str">
        <f>IF(A24&lt;&gt;"",VLOOKUP(A24,'Demandas Contratadas'!$A$6:$C$25,3),"")</f>
        <v/>
      </c>
      <c r="H24" s="32" t="str">
        <f t="shared" si="0"/>
        <v/>
      </c>
      <c r="I24" s="32" t="str">
        <f t="shared" si="2"/>
        <v/>
      </c>
      <c r="J24" s="32" t="str">
        <f t="shared" si="1"/>
        <v/>
      </c>
      <c r="K24" s="32" t="str">
        <f t="shared" si="3"/>
        <v/>
      </c>
      <c r="L24" s="29"/>
      <c r="M24" s="29"/>
      <c r="N24" s="24"/>
      <c r="O24" s="30"/>
      <c r="P24" s="30"/>
      <c r="Q24" s="30"/>
      <c r="R24" s="30"/>
      <c r="S24" s="30"/>
      <c r="T24" s="30"/>
      <c r="U24" s="30"/>
      <c r="V24" s="30"/>
      <c r="X24" s="11"/>
      <c r="Y24" s="11"/>
      <c r="Z24" s="11"/>
      <c r="AA24" s="11"/>
    </row>
    <row r="25" spans="1:27" x14ac:dyDescent="0.3">
      <c r="A25" s="8"/>
      <c r="B25" s="10"/>
      <c r="C25" s="10"/>
      <c r="D25" s="10"/>
      <c r="E25" s="10"/>
      <c r="F25" s="81" t="str">
        <f>IF(A25&lt;&gt;"",VLOOKUP(A25,'Demandas Contratadas'!$A$6:$C$25,2),"")</f>
        <v/>
      </c>
      <c r="G25" s="81" t="str">
        <f>IF(A25&lt;&gt;"",VLOOKUP(A25,'Demandas Contratadas'!$A$6:$C$25,3),"")</f>
        <v/>
      </c>
      <c r="H25" s="32" t="str">
        <f t="shared" si="0"/>
        <v/>
      </c>
      <c r="I25" s="32" t="str">
        <f t="shared" si="2"/>
        <v/>
      </c>
      <c r="J25" s="32" t="str">
        <f t="shared" si="1"/>
        <v/>
      </c>
      <c r="K25" s="32" t="str">
        <f t="shared" si="3"/>
        <v/>
      </c>
      <c r="L25" s="29"/>
      <c r="M25" s="29"/>
      <c r="N25" s="24"/>
      <c r="O25" s="30"/>
      <c r="P25" s="30"/>
      <c r="Q25" s="30"/>
      <c r="R25" s="30"/>
      <c r="S25" s="30"/>
      <c r="T25" s="30"/>
      <c r="U25" s="30"/>
      <c r="V25" s="30"/>
      <c r="X25" s="11"/>
      <c r="Y25" s="11"/>
      <c r="Z25" s="11"/>
      <c r="AA25" s="11"/>
    </row>
    <row r="26" spans="1:27" x14ac:dyDescent="0.3">
      <c r="A26" s="8"/>
      <c r="B26" s="10"/>
      <c r="C26" s="10"/>
      <c r="D26" s="10"/>
      <c r="E26" s="10"/>
      <c r="F26" s="81" t="str">
        <f>IF(A26&lt;&gt;"",VLOOKUP(A26,'Demandas Contratadas'!$A$6:$C$25,2),"")</f>
        <v/>
      </c>
      <c r="G26" s="81" t="str">
        <f>IF(A26&lt;&gt;"",VLOOKUP(A26,'Demandas Contratadas'!$A$6:$C$25,3),"")</f>
        <v/>
      </c>
      <c r="H26" s="32" t="str">
        <f t="shared" si="0"/>
        <v/>
      </c>
      <c r="I26" s="32" t="str">
        <f t="shared" si="2"/>
        <v/>
      </c>
      <c r="J26" s="32" t="str">
        <f t="shared" si="1"/>
        <v/>
      </c>
      <c r="K26" s="32" t="str">
        <f t="shared" si="3"/>
        <v/>
      </c>
      <c r="L26" s="29"/>
      <c r="M26" s="29"/>
      <c r="N26" s="24"/>
      <c r="O26" s="30"/>
      <c r="P26" s="30"/>
      <c r="Q26" s="30"/>
      <c r="R26" s="30"/>
      <c r="S26" s="30"/>
      <c r="T26" s="30"/>
      <c r="U26" s="30"/>
      <c r="V26" s="30"/>
      <c r="X26" s="11"/>
      <c r="Y26" s="11"/>
      <c r="Z26" s="11"/>
      <c r="AA26" s="11"/>
    </row>
    <row r="27" spans="1:27" x14ac:dyDescent="0.3">
      <c r="A27" s="8"/>
      <c r="B27" s="10"/>
      <c r="C27" s="10"/>
      <c r="D27" s="10"/>
      <c r="E27" s="10"/>
      <c r="F27" s="81" t="str">
        <f>IF(A27&lt;&gt;"",VLOOKUP(A27,'Demandas Contratadas'!$A$6:$C$25,2),"")</f>
        <v/>
      </c>
      <c r="G27" s="81" t="str">
        <f>IF(A27&lt;&gt;"",VLOOKUP(A27,'Demandas Contratadas'!$A$6:$C$25,3),"")</f>
        <v/>
      </c>
      <c r="H27" s="32" t="str">
        <f t="shared" si="0"/>
        <v/>
      </c>
      <c r="I27" s="32" t="str">
        <f t="shared" si="2"/>
        <v/>
      </c>
      <c r="J27" s="32" t="str">
        <f t="shared" si="1"/>
        <v/>
      </c>
      <c r="K27" s="32" t="str">
        <f t="shared" si="3"/>
        <v/>
      </c>
      <c r="L27" s="29"/>
      <c r="M27" s="29"/>
      <c r="N27" s="24"/>
      <c r="O27" s="30"/>
      <c r="P27" s="30"/>
      <c r="Q27" s="30"/>
      <c r="R27" s="30"/>
      <c r="S27" s="30"/>
      <c r="T27" s="30"/>
      <c r="U27" s="30"/>
      <c r="V27" s="30"/>
      <c r="X27" s="11"/>
      <c r="Y27" s="11"/>
      <c r="Z27" s="11"/>
      <c r="AA27" s="11"/>
    </row>
    <row r="28" spans="1:27" x14ac:dyDescent="0.3">
      <c r="A28" s="8"/>
      <c r="B28" s="10"/>
      <c r="C28" s="10"/>
      <c r="D28" s="10"/>
      <c r="E28" s="10"/>
      <c r="F28" s="81" t="str">
        <f>IF(A28&lt;&gt;"",VLOOKUP(A28,'Demandas Contratadas'!$A$6:$C$25,2),"")</f>
        <v/>
      </c>
      <c r="G28" s="81" t="str">
        <f>IF(A28&lt;&gt;"",VLOOKUP(A28,'Demandas Contratadas'!$A$6:$C$25,3),"")</f>
        <v/>
      </c>
      <c r="H28" s="32" t="str">
        <f t="shared" si="0"/>
        <v/>
      </c>
      <c r="I28" s="32" t="str">
        <f t="shared" si="2"/>
        <v/>
      </c>
      <c r="J28" s="32" t="str">
        <f t="shared" si="1"/>
        <v/>
      </c>
      <c r="K28" s="32" t="str">
        <f t="shared" si="3"/>
        <v/>
      </c>
      <c r="L28" s="29"/>
      <c r="M28" s="29"/>
      <c r="N28" s="24"/>
      <c r="O28" s="30"/>
      <c r="P28" s="30"/>
      <c r="Q28" s="30"/>
      <c r="R28" s="30"/>
      <c r="S28" s="30"/>
      <c r="T28" s="30"/>
      <c r="U28" s="30"/>
      <c r="V28" s="30"/>
      <c r="X28" s="11"/>
      <c r="Y28" s="11"/>
      <c r="Z28" s="11"/>
      <c r="AA28" s="11"/>
    </row>
    <row r="29" spans="1:27" x14ac:dyDescent="0.3">
      <c r="A29" s="8"/>
      <c r="B29" s="10"/>
      <c r="C29" s="10"/>
      <c r="D29" s="10"/>
      <c r="E29" s="10"/>
      <c r="F29" s="81" t="str">
        <f>IF(A29&lt;&gt;"",VLOOKUP(A29,'Demandas Contratadas'!$A$6:$C$25,2),"")</f>
        <v/>
      </c>
      <c r="G29" s="81" t="str">
        <f>IF(A29&lt;&gt;"",VLOOKUP(A29,'Demandas Contratadas'!$A$6:$C$25,3),"")</f>
        <v/>
      </c>
      <c r="H29" s="32" t="str">
        <f t="shared" si="0"/>
        <v/>
      </c>
      <c r="I29" s="32" t="str">
        <f t="shared" si="2"/>
        <v/>
      </c>
      <c r="J29" s="32" t="str">
        <f t="shared" si="1"/>
        <v/>
      </c>
      <c r="K29" s="32" t="str">
        <f t="shared" si="3"/>
        <v/>
      </c>
      <c r="L29" s="29"/>
      <c r="M29" s="29"/>
      <c r="N29" s="24"/>
      <c r="O29" s="30"/>
      <c r="P29" s="30"/>
      <c r="Q29" s="30"/>
      <c r="R29" s="30"/>
      <c r="S29" s="30"/>
      <c r="T29" s="30"/>
      <c r="U29" s="30"/>
      <c r="V29" s="30"/>
      <c r="X29" s="11"/>
      <c r="Y29" s="11"/>
      <c r="Z29" s="11"/>
      <c r="AA29" s="11"/>
    </row>
    <row r="30" spans="1:27" x14ac:dyDescent="0.3">
      <c r="A30" s="8"/>
      <c r="B30" s="10"/>
      <c r="C30" s="10"/>
      <c r="D30" s="10"/>
      <c r="E30" s="10"/>
      <c r="F30" s="81" t="str">
        <f>IF(A30&lt;&gt;"",VLOOKUP(A30,'Demandas Contratadas'!$A$6:$C$25,2),"")</f>
        <v/>
      </c>
      <c r="G30" s="81" t="str">
        <f>IF(A30&lt;&gt;"",VLOOKUP(A30,'Demandas Contratadas'!$A$6:$C$25,3),"")</f>
        <v/>
      </c>
      <c r="H30" s="32" t="str">
        <f t="shared" si="0"/>
        <v/>
      </c>
      <c r="I30" s="32" t="str">
        <f t="shared" si="2"/>
        <v/>
      </c>
      <c r="J30" s="32" t="str">
        <f t="shared" si="1"/>
        <v/>
      </c>
      <c r="K30" s="32" t="str">
        <f t="shared" si="3"/>
        <v/>
      </c>
      <c r="L30" s="29"/>
      <c r="M30" s="29"/>
      <c r="N30" s="24"/>
      <c r="O30" s="30"/>
      <c r="P30" s="30"/>
      <c r="Q30" s="30"/>
      <c r="R30" s="30"/>
      <c r="S30" s="30"/>
      <c r="T30" s="30"/>
      <c r="U30" s="30"/>
      <c r="V30" s="30"/>
      <c r="X30" s="11"/>
      <c r="Y30" s="11"/>
      <c r="Z30" s="11"/>
      <c r="AA30" s="11"/>
    </row>
    <row r="31" spans="1:27" x14ac:dyDescent="0.3">
      <c r="A31" s="8"/>
      <c r="B31" s="10"/>
      <c r="C31" s="10"/>
      <c r="D31" s="10"/>
      <c r="E31" s="10"/>
      <c r="F31" s="81" t="str">
        <f>IF(A31&lt;&gt;"",VLOOKUP(A31,'Demandas Contratadas'!$A$6:$C$25,2),"")</f>
        <v/>
      </c>
      <c r="G31" s="81" t="str">
        <f>IF(A31&lt;&gt;"",VLOOKUP(A31,'Demandas Contratadas'!$A$6:$C$25,3),"")</f>
        <v/>
      </c>
      <c r="H31" s="32" t="str">
        <f t="shared" si="0"/>
        <v/>
      </c>
      <c r="I31" s="32" t="str">
        <f t="shared" si="2"/>
        <v/>
      </c>
      <c r="J31" s="32" t="str">
        <f t="shared" si="1"/>
        <v/>
      </c>
      <c r="K31" s="32" t="str">
        <f t="shared" si="3"/>
        <v/>
      </c>
      <c r="L31" s="29"/>
      <c r="M31" s="29"/>
      <c r="N31" s="24"/>
      <c r="O31" s="30"/>
      <c r="P31" s="30"/>
      <c r="Q31" s="30"/>
      <c r="R31" s="30"/>
      <c r="S31" s="30"/>
      <c r="T31" s="30"/>
      <c r="U31" s="30"/>
      <c r="V31" s="30"/>
      <c r="X31" s="11"/>
      <c r="Y31" s="11"/>
      <c r="Z31" s="11"/>
      <c r="AA31" s="11"/>
    </row>
    <row r="32" spans="1:27" x14ac:dyDescent="0.3">
      <c r="A32" s="8"/>
      <c r="B32" s="10"/>
      <c r="C32" s="10"/>
      <c r="D32" s="10"/>
      <c r="E32" s="10"/>
      <c r="F32" s="81" t="str">
        <f>IF(A32&lt;&gt;"",VLOOKUP(A32,'Demandas Contratadas'!$A$6:$C$25,2),"")</f>
        <v/>
      </c>
      <c r="G32" s="81" t="str">
        <f>IF(A32&lt;&gt;"",VLOOKUP(A32,'Demandas Contratadas'!$A$6:$C$25,3),"")</f>
        <v/>
      </c>
      <c r="H32" s="32" t="str">
        <f t="shared" si="0"/>
        <v/>
      </c>
      <c r="I32" s="32" t="str">
        <f t="shared" si="2"/>
        <v/>
      </c>
      <c r="J32" s="32" t="str">
        <f t="shared" si="1"/>
        <v/>
      </c>
      <c r="K32" s="32" t="str">
        <f t="shared" si="3"/>
        <v/>
      </c>
      <c r="L32" s="29"/>
      <c r="M32" s="29"/>
      <c r="N32" s="24"/>
      <c r="O32" s="30"/>
      <c r="P32" s="30"/>
      <c r="Q32" s="30"/>
      <c r="R32" s="30"/>
      <c r="S32" s="30"/>
      <c r="T32" s="30"/>
      <c r="U32" s="30"/>
      <c r="V32" s="30"/>
      <c r="X32" s="11"/>
      <c r="Y32" s="11"/>
      <c r="Z32" s="11"/>
      <c r="AA32" s="11"/>
    </row>
    <row r="33" spans="1:27" x14ac:dyDescent="0.3">
      <c r="A33" s="8"/>
      <c r="B33" s="10"/>
      <c r="C33" s="10"/>
      <c r="D33" s="10"/>
      <c r="E33" s="10"/>
      <c r="F33" s="81" t="str">
        <f>IF(A33&lt;&gt;"",VLOOKUP(A33,'Demandas Contratadas'!$A$6:$C$25,2),"")</f>
        <v/>
      </c>
      <c r="G33" s="81" t="str">
        <f>IF(A33&lt;&gt;"",VLOOKUP(A33,'Demandas Contratadas'!$A$6:$C$25,3),"")</f>
        <v/>
      </c>
      <c r="H33" s="32" t="str">
        <f t="shared" si="0"/>
        <v/>
      </c>
      <c r="I33" s="32" t="str">
        <f t="shared" si="2"/>
        <v/>
      </c>
      <c r="J33" s="32" t="str">
        <f t="shared" si="1"/>
        <v/>
      </c>
      <c r="K33" s="32" t="str">
        <f t="shared" si="3"/>
        <v/>
      </c>
      <c r="L33" s="29"/>
      <c r="M33" s="29"/>
      <c r="N33" s="24"/>
      <c r="O33" s="30"/>
      <c r="P33" s="30"/>
      <c r="Q33" s="30"/>
      <c r="R33" s="30"/>
      <c r="S33" s="30"/>
      <c r="T33" s="30"/>
      <c r="U33" s="30"/>
      <c r="V33" s="30"/>
      <c r="X33" s="11"/>
      <c r="Y33" s="11"/>
      <c r="Z33" s="11"/>
      <c r="AA33" s="11"/>
    </row>
    <row r="34" spans="1:27" x14ac:dyDescent="0.3">
      <c r="A34" s="8"/>
      <c r="B34" s="10"/>
      <c r="C34" s="10"/>
      <c r="D34" s="10"/>
      <c r="E34" s="10"/>
      <c r="F34" s="81" t="str">
        <f>IF(A34&lt;&gt;"",VLOOKUP(A34,'Demandas Contratadas'!$A$6:$C$25,2),"")</f>
        <v/>
      </c>
      <c r="G34" s="81" t="str">
        <f>IF(A34&lt;&gt;"",VLOOKUP(A34,'Demandas Contratadas'!$A$6:$C$25,3),"")</f>
        <v/>
      </c>
      <c r="H34" s="32" t="str">
        <f t="shared" si="0"/>
        <v/>
      </c>
      <c r="I34" s="32" t="str">
        <f t="shared" si="2"/>
        <v/>
      </c>
      <c r="J34" s="32" t="str">
        <f t="shared" si="1"/>
        <v/>
      </c>
      <c r="K34" s="32" t="str">
        <f t="shared" si="3"/>
        <v/>
      </c>
      <c r="L34" s="29"/>
      <c r="M34" s="29"/>
      <c r="N34" s="24"/>
      <c r="O34" s="30"/>
      <c r="P34" s="30"/>
      <c r="Q34" s="30"/>
      <c r="R34" s="30"/>
      <c r="S34" s="30"/>
      <c r="T34" s="30"/>
      <c r="U34" s="30"/>
      <c r="V34" s="30"/>
      <c r="X34" s="11"/>
      <c r="Y34" s="11"/>
      <c r="Z34" s="11"/>
      <c r="AA34" s="11"/>
    </row>
    <row r="35" spans="1:27" x14ac:dyDescent="0.3">
      <c r="A35" s="8"/>
      <c r="B35" s="10"/>
      <c r="C35" s="10"/>
      <c r="D35" s="10"/>
      <c r="E35" s="10"/>
      <c r="F35" s="81" t="str">
        <f>IF(A35&lt;&gt;"",VLOOKUP(A35,'Demandas Contratadas'!$A$6:$C$25,2),"")</f>
        <v/>
      </c>
      <c r="G35" s="81" t="str">
        <f>IF(A35&lt;&gt;"",VLOOKUP(A35,'Demandas Contratadas'!$A$6:$C$25,3),"")</f>
        <v/>
      </c>
      <c r="H35" s="32" t="str">
        <f t="shared" si="0"/>
        <v/>
      </c>
      <c r="I35" s="32" t="str">
        <f t="shared" si="2"/>
        <v/>
      </c>
      <c r="J35" s="32" t="str">
        <f t="shared" si="1"/>
        <v/>
      </c>
      <c r="K35" s="32" t="str">
        <f t="shared" si="3"/>
        <v/>
      </c>
      <c r="L35" s="29"/>
      <c r="M35" s="29"/>
      <c r="N35" s="24"/>
      <c r="O35" s="30"/>
      <c r="P35" s="30"/>
      <c r="Q35" s="30"/>
      <c r="R35" s="30"/>
      <c r="S35" s="30"/>
      <c r="T35" s="30"/>
      <c r="U35" s="30"/>
      <c r="V35" s="30"/>
      <c r="X35" s="11"/>
      <c r="Y35" s="11"/>
      <c r="Z35" s="11"/>
      <c r="AA35" s="11"/>
    </row>
    <row r="36" spans="1:27" x14ac:dyDescent="0.3">
      <c r="A36" s="8"/>
      <c r="B36" s="10"/>
      <c r="C36" s="10"/>
      <c r="D36" s="10"/>
      <c r="E36" s="10"/>
      <c r="F36" s="81" t="str">
        <f>IF(A36&lt;&gt;"",VLOOKUP(A36,'Demandas Contratadas'!$A$6:$C$25,2),"")</f>
        <v/>
      </c>
      <c r="G36" s="81" t="str">
        <f>IF(A36&lt;&gt;"",VLOOKUP(A36,'Demandas Contratadas'!$A$6:$C$25,3),"")</f>
        <v/>
      </c>
      <c r="H36" s="32" t="str">
        <f t="shared" si="0"/>
        <v/>
      </c>
      <c r="I36" s="32" t="str">
        <f t="shared" si="2"/>
        <v/>
      </c>
      <c r="J36" s="32" t="str">
        <f t="shared" si="1"/>
        <v/>
      </c>
      <c r="K36" s="32" t="str">
        <f t="shared" si="3"/>
        <v/>
      </c>
      <c r="L36" s="29"/>
      <c r="M36" s="29"/>
      <c r="N36" s="24"/>
      <c r="O36" s="30"/>
      <c r="P36" s="30"/>
      <c r="Q36" s="30"/>
      <c r="R36" s="30"/>
      <c r="S36" s="30"/>
      <c r="T36" s="30"/>
      <c r="U36" s="30"/>
      <c r="V36" s="30"/>
      <c r="X36" s="11"/>
      <c r="Y36" s="11"/>
      <c r="Z36" s="11"/>
      <c r="AA36" s="11"/>
    </row>
    <row r="37" spans="1:27" x14ac:dyDescent="0.3">
      <c r="A37" s="8"/>
      <c r="B37" s="10"/>
      <c r="C37" s="10"/>
      <c r="D37" s="10"/>
      <c r="E37" s="10"/>
      <c r="F37" s="81" t="str">
        <f>IF(A37&lt;&gt;"",VLOOKUP(A37,'Demandas Contratadas'!$A$6:$C$25,2),"")</f>
        <v/>
      </c>
      <c r="G37" s="81" t="str">
        <f>IF(A37&lt;&gt;"",VLOOKUP(A37,'Demandas Contratadas'!$A$6:$C$25,3),"")</f>
        <v/>
      </c>
      <c r="H37" s="32" t="str">
        <f t="shared" si="0"/>
        <v/>
      </c>
      <c r="I37" s="32" t="str">
        <f t="shared" si="2"/>
        <v/>
      </c>
      <c r="J37" s="32" t="str">
        <f t="shared" si="1"/>
        <v/>
      </c>
      <c r="K37" s="32" t="str">
        <f t="shared" si="3"/>
        <v/>
      </c>
      <c r="L37" s="29"/>
      <c r="M37" s="29"/>
      <c r="N37" s="24"/>
      <c r="O37" s="30"/>
      <c r="P37" s="30"/>
      <c r="Q37" s="30"/>
      <c r="R37" s="30"/>
      <c r="S37" s="30"/>
      <c r="T37" s="30"/>
      <c r="U37" s="30"/>
      <c r="V37" s="30"/>
      <c r="X37" s="11"/>
      <c r="Y37" s="11"/>
      <c r="Z37" s="11"/>
      <c r="AA37" s="11"/>
    </row>
    <row r="38" spans="1:27" x14ac:dyDescent="0.3">
      <c r="A38" s="8"/>
      <c r="B38" s="10"/>
      <c r="C38" s="10"/>
      <c r="D38" s="10"/>
      <c r="E38" s="10"/>
      <c r="F38" s="81" t="str">
        <f>IF(A38&lt;&gt;"",VLOOKUP(A38,'Demandas Contratadas'!$A$6:$C$25,2),"")</f>
        <v/>
      </c>
      <c r="G38" s="81" t="str">
        <f>IF(A38&lt;&gt;"",VLOOKUP(A38,'Demandas Contratadas'!$A$6:$C$25,3),"")</f>
        <v/>
      </c>
      <c r="H38" s="32" t="str">
        <f t="shared" si="0"/>
        <v/>
      </c>
      <c r="I38" s="32" t="str">
        <f t="shared" si="2"/>
        <v/>
      </c>
      <c r="J38" s="32" t="str">
        <f t="shared" si="1"/>
        <v/>
      </c>
      <c r="K38" s="32" t="str">
        <f t="shared" si="3"/>
        <v/>
      </c>
      <c r="L38" s="29"/>
      <c r="M38" s="29"/>
      <c r="N38" s="24"/>
      <c r="O38" s="30"/>
      <c r="P38" s="30"/>
      <c r="Q38" s="30"/>
      <c r="R38" s="30"/>
      <c r="S38" s="30"/>
      <c r="T38" s="30"/>
      <c r="U38" s="30"/>
      <c r="V38" s="30"/>
      <c r="X38" s="11"/>
      <c r="Y38" s="11"/>
      <c r="Z38" s="11"/>
      <c r="AA38" s="11"/>
    </row>
    <row r="39" spans="1:27" x14ac:dyDescent="0.3">
      <c r="A39" s="8"/>
      <c r="B39" s="10"/>
      <c r="C39" s="10"/>
      <c r="D39" s="10"/>
      <c r="E39" s="10"/>
      <c r="F39" s="81" t="str">
        <f>IF(A39&lt;&gt;"",VLOOKUP(A39,'Demandas Contratadas'!$A$6:$C$25,2),"")</f>
        <v/>
      </c>
      <c r="G39" s="81" t="str">
        <f>IF(A39&lt;&gt;"",VLOOKUP(A39,'Demandas Contratadas'!$A$6:$C$25,3),"")</f>
        <v/>
      </c>
      <c r="H39" s="32" t="str">
        <f t="shared" ref="H39:H66" si="4">IF(A39&lt;&gt;"",IF(ligacao="Azul",IF(D39&gt;F39,D39,F39),""),"")</f>
        <v/>
      </c>
      <c r="I39" s="32" t="str">
        <f t="shared" si="2"/>
        <v/>
      </c>
      <c r="J39" s="32" t="str">
        <f t="shared" ref="J39:J66" si="5">IF(A39&lt;&gt;"",IF(ligacao="Azul",IF(D39 &gt;F39*1.05,D39-F39, 0),""),"")</f>
        <v/>
      </c>
      <c r="K39" s="32" t="str">
        <f t="shared" si="3"/>
        <v/>
      </c>
      <c r="L39" s="29"/>
      <c r="M39" s="29"/>
      <c r="N39" s="24"/>
      <c r="O39" s="30"/>
      <c r="P39" s="30"/>
      <c r="Q39" s="30"/>
      <c r="R39" s="30"/>
      <c r="S39" s="30"/>
      <c r="T39" s="30"/>
      <c r="U39" s="30"/>
      <c r="V39" s="30"/>
      <c r="X39" s="11"/>
      <c r="Y39" s="11"/>
      <c r="Z39" s="11"/>
      <c r="AA39" s="11"/>
    </row>
    <row r="40" spans="1:27" x14ac:dyDescent="0.3">
      <c r="A40" s="8"/>
      <c r="B40" s="10"/>
      <c r="C40" s="10"/>
      <c r="D40" s="10"/>
      <c r="E40" s="10"/>
      <c r="F40" s="81" t="str">
        <f>IF(A40&lt;&gt;"",VLOOKUP(A40,'Demandas Contratadas'!$A$6:$C$25,2),"")</f>
        <v/>
      </c>
      <c r="G40" s="81" t="str">
        <f>IF(A40&lt;&gt;"",VLOOKUP(A40,'Demandas Contratadas'!$A$6:$C$25,3),"")</f>
        <v/>
      </c>
      <c r="H40" s="32" t="str">
        <f t="shared" si="4"/>
        <v/>
      </c>
      <c r="I40" s="32" t="str">
        <f t="shared" si="2"/>
        <v/>
      </c>
      <c r="J40" s="32" t="str">
        <f t="shared" si="5"/>
        <v/>
      </c>
      <c r="K40" s="32" t="str">
        <f t="shared" si="3"/>
        <v/>
      </c>
      <c r="L40" s="29"/>
      <c r="M40" s="29"/>
      <c r="N40" s="24"/>
      <c r="O40" s="30"/>
      <c r="P40" s="30"/>
      <c r="Q40" s="30"/>
      <c r="R40" s="30"/>
      <c r="S40" s="30"/>
      <c r="T40" s="30"/>
      <c r="U40" s="30"/>
      <c r="V40" s="30"/>
      <c r="X40" s="11"/>
      <c r="Y40" s="11"/>
      <c r="Z40" s="11"/>
      <c r="AA40" s="11"/>
    </row>
    <row r="41" spans="1:27" x14ac:dyDescent="0.3">
      <c r="A41" s="8"/>
      <c r="B41" s="10"/>
      <c r="C41" s="10"/>
      <c r="D41" s="10"/>
      <c r="E41" s="10"/>
      <c r="F41" s="81" t="str">
        <f>IF(A41&lt;&gt;"",VLOOKUP(A41,'Demandas Contratadas'!$A$6:$C$25,2),"")</f>
        <v/>
      </c>
      <c r="G41" s="81" t="str">
        <f>IF(A41&lt;&gt;"",VLOOKUP(A41,'Demandas Contratadas'!$A$6:$C$25,3),"")</f>
        <v/>
      </c>
      <c r="H41" s="32" t="str">
        <f t="shared" si="4"/>
        <v/>
      </c>
      <c r="I41" s="32" t="str">
        <f t="shared" si="2"/>
        <v/>
      </c>
      <c r="J41" s="32" t="str">
        <f t="shared" si="5"/>
        <v/>
      </c>
      <c r="K41" s="32" t="str">
        <f t="shared" si="3"/>
        <v/>
      </c>
      <c r="L41" s="29"/>
      <c r="M41" s="29"/>
      <c r="N41" s="24"/>
      <c r="O41" s="30"/>
      <c r="P41" s="30"/>
      <c r="Q41" s="30"/>
      <c r="R41" s="30"/>
      <c r="S41" s="30"/>
      <c r="T41" s="30"/>
      <c r="U41" s="30"/>
      <c r="V41" s="30"/>
      <c r="X41" s="11"/>
      <c r="Y41" s="11"/>
      <c r="Z41" s="11"/>
      <c r="AA41" s="11"/>
    </row>
    <row r="42" spans="1:27" x14ac:dyDescent="0.3">
      <c r="A42" s="8"/>
      <c r="B42" s="10"/>
      <c r="C42" s="10"/>
      <c r="D42" s="10"/>
      <c r="E42" s="10"/>
      <c r="F42" s="81" t="str">
        <f>IF(A42&lt;&gt;"",VLOOKUP(A42,'Demandas Contratadas'!$A$6:$C$25,2),"")</f>
        <v/>
      </c>
      <c r="G42" s="81" t="str">
        <f>IF(A42&lt;&gt;"",VLOOKUP(A42,'Demandas Contratadas'!$A$6:$C$25,3),"")</f>
        <v/>
      </c>
      <c r="H42" s="32" t="str">
        <f t="shared" si="4"/>
        <v/>
      </c>
      <c r="I42" s="32" t="str">
        <f t="shared" si="2"/>
        <v/>
      </c>
      <c r="J42" s="32" t="str">
        <f t="shared" si="5"/>
        <v/>
      </c>
      <c r="K42" s="32" t="str">
        <f t="shared" si="3"/>
        <v/>
      </c>
      <c r="L42" s="29"/>
      <c r="M42" s="29"/>
      <c r="N42" s="24"/>
      <c r="O42" s="30"/>
      <c r="P42" s="30"/>
      <c r="Q42" s="30"/>
      <c r="R42" s="30"/>
      <c r="S42" s="30"/>
      <c r="T42" s="30"/>
      <c r="U42" s="30"/>
      <c r="V42" s="30"/>
      <c r="X42" s="11"/>
      <c r="Y42" s="11"/>
      <c r="Z42" s="11"/>
      <c r="AA42" s="11"/>
    </row>
    <row r="43" spans="1:27" x14ac:dyDescent="0.3">
      <c r="A43" s="8"/>
      <c r="B43" s="10"/>
      <c r="C43" s="10"/>
      <c r="D43" s="10"/>
      <c r="E43" s="10"/>
      <c r="F43" s="81" t="str">
        <f>IF(A43&lt;&gt;"",VLOOKUP(A43,'Demandas Contratadas'!$A$6:$C$25,2),"")</f>
        <v/>
      </c>
      <c r="G43" s="81" t="str">
        <f>IF(A43&lt;&gt;"",VLOOKUP(A43,'Demandas Contratadas'!$A$6:$C$25,3),"")</f>
        <v/>
      </c>
      <c r="H43" s="32" t="str">
        <f t="shared" si="4"/>
        <v/>
      </c>
      <c r="I43" s="32" t="str">
        <f t="shared" si="2"/>
        <v/>
      </c>
      <c r="J43" s="32" t="str">
        <f t="shared" si="5"/>
        <v/>
      </c>
      <c r="K43" s="32" t="str">
        <f t="shared" si="3"/>
        <v/>
      </c>
      <c r="L43" s="29"/>
      <c r="M43" s="29"/>
      <c r="N43" s="24"/>
      <c r="O43" s="30"/>
      <c r="P43" s="30"/>
      <c r="Q43" s="30"/>
      <c r="R43" s="30"/>
      <c r="S43" s="30"/>
      <c r="T43" s="30"/>
      <c r="U43" s="30"/>
      <c r="V43" s="30"/>
      <c r="X43" s="11"/>
      <c r="Y43" s="11"/>
      <c r="Z43" s="11"/>
      <c r="AA43" s="11"/>
    </row>
    <row r="44" spans="1:27" x14ac:dyDescent="0.3">
      <c r="A44" s="8"/>
      <c r="B44" s="10"/>
      <c r="C44" s="10"/>
      <c r="D44" s="10"/>
      <c r="E44" s="10"/>
      <c r="F44" s="81" t="str">
        <f>IF(A44&lt;&gt;"",VLOOKUP(A44,'Demandas Contratadas'!$A$6:$C$25,2),"")</f>
        <v/>
      </c>
      <c r="G44" s="81" t="str">
        <f>IF(A44&lt;&gt;"",VLOOKUP(A44,'Demandas Contratadas'!$A$6:$C$25,3),"")</f>
        <v/>
      </c>
      <c r="H44" s="32" t="str">
        <f t="shared" si="4"/>
        <v/>
      </c>
      <c r="I44" s="32" t="str">
        <f t="shared" si="2"/>
        <v/>
      </c>
      <c r="J44" s="32" t="str">
        <f t="shared" si="5"/>
        <v/>
      </c>
      <c r="K44" s="32" t="str">
        <f t="shared" si="3"/>
        <v/>
      </c>
      <c r="L44" s="29"/>
      <c r="M44" s="29"/>
      <c r="N44" s="24"/>
      <c r="O44" s="30"/>
      <c r="P44" s="30"/>
      <c r="Q44" s="30"/>
      <c r="R44" s="30"/>
      <c r="S44" s="30"/>
      <c r="T44" s="30"/>
      <c r="U44" s="30"/>
      <c r="V44" s="30"/>
      <c r="X44" s="11"/>
      <c r="Y44" s="11"/>
      <c r="Z44" s="11"/>
      <c r="AA44" s="11"/>
    </row>
    <row r="45" spans="1:27" x14ac:dyDescent="0.3">
      <c r="A45" s="8"/>
      <c r="B45" s="10"/>
      <c r="C45" s="10"/>
      <c r="D45" s="10"/>
      <c r="E45" s="10"/>
      <c r="F45" s="81" t="str">
        <f>IF(A45&lt;&gt;"",VLOOKUP(A45,'Demandas Contratadas'!$A$6:$C$25,2),"")</f>
        <v/>
      </c>
      <c r="G45" s="81" t="str">
        <f>IF(A45&lt;&gt;"",VLOOKUP(A45,'Demandas Contratadas'!$A$6:$C$25,3),"")</f>
        <v/>
      </c>
      <c r="H45" s="32" t="str">
        <f t="shared" si="4"/>
        <v/>
      </c>
      <c r="I45" s="32" t="str">
        <f t="shared" si="2"/>
        <v/>
      </c>
      <c r="J45" s="32" t="str">
        <f t="shared" si="5"/>
        <v/>
      </c>
      <c r="K45" s="32" t="str">
        <f t="shared" si="3"/>
        <v/>
      </c>
      <c r="L45" s="29"/>
      <c r="M45" s="29"/>
      <c r="N45" s="24"/>
      <c r="O45" s="30"/>
      <c r="P45" s="30"/>
      <c r="Q45" s="30"/>
      <c r="R45" s="30"/>
      <c r="S45" s="30"/>
      <c r="T45" s="30"/>
      <c r="U45" s="30"/>
      <c r="V45" s="30"/>
      <c r="X45" s="11"/>
      <c r="Y45" s="11"/>
      <c r="Z45" s="11"/>
      <c r="AA45" s="11"/>
    </row>
    <row r="46" spans="1:27" x14ac:dyDescent="0.3">
      <c r="A46" s="8"/>
      <c r="B46" s="10"/>
      <c r="C46" s="10"/>
      <c r="D46" s="10"/>
      <c r="E46" s="10"/>
      <c r="F46" s="81" t="str">
        <f>IF(A46&lt;&gt;"",VLOOKUP(A46,'Demandas Contratadas'!$A$6:$C$25,2),"")</f>
        <v/>
      </c>
      <c r="G46" s="81" t="str">
        <f>IF(A46&lt;&gt;"",VLOOKUP(A46,'Demandas Contratadas'!$A$6:$C$25,3),"")</f>
        <v/>
      </c>
      <c r="H46" s="32" t="str">
        <f t="shared" si="4"/>
        <v/>
      </c>
      <c r="I46" s="32" t="str">
        <f t="shared" si="2"/>
        <v/>
      </c>
      <c r="J46" s="32" t="str">
        <f t="shared" si="5"/>
        <v/>
      </c>
      <c r="K46" s="32" t="str">
        <f t="shared" si="3"/>
        <v/>
      </c>
      <c r="L46" s="29"/>
      <c r="M46" s="29"/>
      <c r="N46" s="24"/>
      <c r="O46" s="30"/>
      <c r="P46" s="30"/>
      <c r="Q46" s="30"/>
      <c r="R46" s="30"/>
      <c r="S46" s="30"/>
      <c r="T46" s="30"/>
      <c r="U46" s="30"/>
      <c r="V46" s="30"/>
      <c r="X46" s="11"/>
      <c r="Y46" s="11"/>
      <c r="Z46" s="11"/>
      <c r="AA46" s="11"/>
    </row>
    <row r="47" spans="1:27" x14ac:dyDescent="0.3">
      <c r="A47" s="8"/>
      <c r="B47" s="10"/>
      <c r="C47" s="10"/>
      <c r="D47" s="10"/>
      <c r="E47" s="10"/>
      <c r="F47" s="81" t="str">
        <f>IF(A47&lt;&gt;"",VLOOKUP(A47,'Demandas Contratadas'!$A$6:$C$25,2),"")</f>
        <v/>
      </c>
      <c r="G47" s="81" t="str">
        <f>IF(A47&lt;&gt;"",VLOOKUP(A47,'Demandas Contratadas'!$A$6:$C$25,3),"")</f>
        <v/>
      </c>
      <c r="H47" s="32" t="str">
        <f t="shared" si="4"/>
        <v/>
      </c>
      <c r="I47" s="32" t="str">
        <f t="shared" si="2"/>
        <v/>
      </c>
      <c r="J47" s="32" t="str">
        <f t="shared" si="5"/>
        <v/>
      </c>
      <c r="K47" s="32" t="str">
        <f t="shared" si="3"/>
        <v/>
      </c>
      <c r="L47" s="29"/>
      <c r="M47" s="29"/>
      <c r="N47" s="24"/>
      <c r="O47" s="30"/>
      <c r="P47" s="30"/>
      <c r="Q47" s="30"/>
      <c r="R47" s="30"/>
      <c r="S47" s="30"/>
      <c r="T47" s="30"/>
      <c r="U47" s="30"/>
      <c r="V47" s="30"/>
      <c r="X47" s="11"/>
      <c r="Y47" s="11"/>
      <c r="Z47" s="11"/>
      <c r="AA47" s="11"/>
    </row>
    <row r="48" spans="1:27" x14ac:dyDescent="0.3">
      <c r="A48" s="8"/>
      <c r="B48" s="10"/>
      <c r="C48" s="10"/>
      <c r="D48" s="10"/>
      <c r="E48" s="10"/>
      <c r="F48" s="81" t="str">
        <f>IF(A48&lt;&gt;"",VLOOKUP(A48,'Demandas Contratadas'!$A$6:$C$25,2),"")</f>
        <v/>
      </c>
      <c r="G48" s="81" t="str">
        <f>IF(A48&lt;&gt;"",VLOOKUP(A48,'Demandas Contratadas'!$A$6:$C$25,3),"")</f>
        <v/>
      </c>
      <c r="H48" s="32" t="str">
        <f t="shared" si="4"/>
        <v/>
      </c>
      <c r="I48" s="32" t="str">
        <f t="shared" si="2"/>
        <v/>
      </c>
      <c r="J48" s="32" t="str">
        <f t="shared" si="5"/>
        <v/>
      </c>
      <c r="K48" s="32" t="str">
        <f t="shared" si="3"/>
        <v/>
      </c>
      <c r="L48" s="29"/>
      <c r="M48" s="29"/>
      <c r="N48" s="24"/>
      <c r="O48" s="30"/>
      <c r="P48" s="30"/>
      <c r="Q48" s="30"/>
      <c r="R48" s="30"/>
      <c r="S48" s="30"/>
      <c r="T48" s="30"/>
      <c r="U48" s="30"/>
      <c r="V48" s="30"/>
      <c r="X48" s="11"/>
      <c r="Y48" s="11"/>
      <c r="Z48" s="11"/>
      <c r="AA48" s="11"/>
    </row>
    <row r="49" spans="1:27" x14ac:dyDescent="0.3">
      <c r="A49" s="8"/>
      <c r="B49" s="10"/>
      <c r="C49" s="10"/>
      <c r="D49" s="10"/>
      <c r="E49" s="10"/>
      <c r="F49" s="81" t="str">
        <f>IF(A49&lt;&gt;"",VLOOKUP(A49,'Demandas Contratadas'!$A$6:$C$25,2),"")</f>
        <v/>
      </c>
      <c r="G49" s="81" t="str">
        <f>IF(A49&lt;&gt;"",VLOOKUP(A49,'Demandas Contratadas'!$A$6:$C$25,3),"")</f>
        <v/>
      </c>
      <c r="H49" s="32" t="str">
        <f t="shared" si="4"/>
        <v/>
      </c>
      <c r="I49" s="32" t="str">
        <f t="shared" si="2"/>
        <v/>
      </c>
      <c r="J49" s="32" t="str">
        <f t="shared" si="5"/>
        <v/>
      </c>
      <c r="K49" s="32" t="str">
        <f t="shared" si="3"/>
        <v/>
      </c>
      <c r="L49" s="29"/>
      <c r="M49" s="29"/>
      <c r="N49" s="24"/>
      <c r="O49" s="30"/>
      <c r="P49" s="30"/>
      <c r="Q49" s="30"/>
      <c r="R49" s="30"/>
      <c r="S49" s="30"/>
      <c r="T49" s="30"/>
      <c r="U49" s="30"/>
      <c r="V49" s="30"/>
      <c r="X49" s="11"/>
      <c r="Y49" s="11"/>
      <c r="Z49" s="11"/>
      <c r="AA49" s="11"/>
    </row>
    <row r="50" spans="1:27" x14ac:dyDescent="0.3">
      <c r="A50" s="8"/>
      <c r="B50" s="10"/>
      <c r="C50" s="10"/>
      <c r="D50" s="10"/>
      <c r="E50" s="10"/>
      <c r="F50" s="81" t="str">
        <f>IF(A50&lt;&gt;"",VLOOKUP(A50,'Demandas Contratadas'!$A$6:$C$25,2),"")</f>
        <v/>
      </c>
      <c r="G50" s="81" t="str">
        <f>IF(A50&lt;&gt;"",VLOOKUP(A50,'Demandas Contratadas'!$A$6:$C$25,3),"")</f>
        <v/>
      </c>
      <c r="H50" s="32" t="str">
        <f t="shared" si="4"/>
        <v/>
      </c>
      <c r="I50" s="32" t="str">
        <f t="shared" si="2"/>
        <v/>
      </c>
      <c r="J50" s="32" t="str">
        <f t="shared" si="5"/>
        <v/>
      </c>
      <c r="K50" s="32" t="str">
        <f t="shared" si="3"/>
        <v/>
      </c>
      <c r="L50" s="29"/>
      <c r="M50" s="29"/>
      <c r="N50" s="24"/>
      <c r="O50" s="30"/>
      <c r="P50" s="30"/>
      <c r="Q50" s="30"/>
      <c r="R50" s="30"/>
      <c r="S50" s="30"/>
      <c r="T50" s="30"/>
      <c r="U50" s="30"/>
      <c r="V50" s="30"/>
      <c r="X50" s="11"/>
      <c r="Y50" s="11"/>
      <c r="Z50" s="11"/>
      <c r="AA50" s="11"/>
    </row>
    <row r="51" spans="1:27" x14ac:dyDescent="0.3">
      <c r="A51" s="8"/>
      <c r="B51" s="10"/>
      <c r="C51" s="10"/>
      <c r="D51" s="10"/>
      <c r="E51" s="10"/>
      <c r="F51" s="81" t="str">
        <f>IF(A51&lt;&gt;"",VLOOKUP(A51,'Demandas Contratadas'!$A$6:$C$25,2),"")</f>
        <v/>
      </c>
      <c r="G51" s="81" t="str">
        <f>IF(A51&lt;&gt;"",VLOOKUP(A51,'Demandas Contratadas'!$A$6:$C$25,3),"")</f>
        <v/>
      </c>
      <c r="H51" s="32" t="str">
        <f t="shared" si="4"/>
        <v/>
      </c>
      <c r="I51" s="32" t="str">
        <f t="shared" si="2"/>
        <v/>
      </c>
      <c r="J51" s="32" t="str">
        <f t="shared" si="5"/>
        <v/>
      </c>
      <c r="K51" s="32" t="str">
        <f t="shared" si="3"/>
        <v/>
      </c>
      <c r="L51" s="29"/>
      <c r="M51" s="29"/>
      <c r="N51" s="24"/>
      <c r="O51" s="30"/>
      <c r="P51" s="30"/>
      <c r="Q51" s="30"/>
      <c r="R51" s="30"/>
      <c r="S51" s="30"/>
      <c r="T51" s="30"/>
      <c r="U51" s="30"/>
      <c r="V51" s="30"/>
      <c r="X51" s="11"/>
      <c r="Y51" s="11"/>
      <c r="Z51" s="11"/>
      <c r="AA51" s="11"/>
    </row>
    <row r="52" spans="1:27" x14ac:dyDescent="0.3">
      <c r="A52" s="8"/>
      <c r="B52" s="10"/>
      <c r="C52" s="10"/>
      <c r="D52" s="10"/>
      <c r="E52" s="10"/>
      <c r="F52" s="81" t="str">
        <f>IF(A52&lt;&gt;"",VLOOKUP(A52,'Demandas Contratadas'!$A$6:$C$25,2),"")</f>
        <v/>
      </c>
      <c r="G52" s="81" t="str">
        <f>IF(A52&lt;&gt;"",VLOOKUP(A52,'Demandas Contratadas'!$A$6:$C$25,3),"")</f>
        <v/>
      </c>
      <c r="H52" s="32" t="str">
        <f t="shared" si="4"/>
        <v/>
      </c>
      <c r="I52" s="32" t="str">
        <f t="shared" si="2"/>
        <v/>
      </c>
      <c r="J52" s="32" t="str">
        <f t="shared" si="5"/>
        <v/>
      </c>
      <c r="K52" s="32" t="str">
        <f t="shared" si="3"/>
        <v/>
      </c>
      <c r="L52" s="29"/>
      <c r="M52" s="29"/>
      <c r="N52" s="24"/>
      <c r="O52" s="30"/>
      <c r="P52" s="30"/>
      <c r="Q52" s="30"/>
      <c r="R52" s="30"/>
      <c r="S52" s="30"/>
      <c r="T52" s="30"/>
      <c r="U52" s="30"/>
      <c r="V52" s="30"/>
      <c r="X52" s="11"/>
      <c r="Y52" s="11"/>
      <c r="Z52" s="11"/>
      <c r="AA52" s="11"/>
    </row>
    <row r="53" spans="1:27" x14ac:dyDescent="0.3">
      <c r="A53" s="8"/>
      <c r="B53" s="10"/>
      <c r="C53" s="10"/>
      <c r="D53" s="10"/>
      <c r="E53" s="10"/>
      <c r="F53" s="81" t="str">
        <f>IF(A53&lt;&gt;"",VLOOKUP(A53,'Demandas Contratadas'!$A$6:$C$25,2),"")</f>
        <v/>
      </c>
      <c r="G53" s="81" t="str">
        <f>IF(A53&lt;&gt;"",VLOOKUP(A53,'Demandas Contratadas'!$A$6:$C$25,3),"")</f>
        <v/>
      </c>
      <c r="H53" s="32" t="str">
        <f t="shared" si="4"/>
        <v/>
      </c>
      <c r="I53" s="32" t="str">
        <f t="shared" si="2"/>
        <v/>
      </c>
      <c r="J53" s="32" t="str">
        <f t="shared" si="5"/>
        <v/>
      </c>
      <c r="K53" s="32" t="str">
        <f t="shared" si="3"/>
        <v/>
      </c>
      <c r="L53" s="29"/>
      <c r="M53" s="29"/>
      <c r="N53" s="24"/>
      <c r="O53" s="30"/>
      <c r="P53" s="30"/>
      <c r="Q53" s="30"/>
      <c r="R53" s="30"/>
      <c r="S53" s="30"/>
      <c r="T53" s="30"/>
      <c r="U53" s="30"/>
      <c r="V53" s="30"/>
      <c r="X53" s="11"/>
      <c r="Y53" s="11"/>
      <c r="Z53" s="11"/>
      <c r="AA53" s="11"/>
    </row>
    <row r="54" spans="1:27" x14ac:dyDescent="0.3">
      <c r="A54" s="8"/>
      <c r="B54" s="10"/>
      <c r="C54" s="10"/>
      <c r="D54" s="10"/>
      <c r="E54" s="10"/>
      <c r="F54" s="81" t="str">
        <f>IF(A54&lt;&gt;"",VLOOKUP(A54,'Demandas Contratadas'!$A$6:$C$25,2),"")</f>
        <v/>
      </c>
      <c r="G54" s="81" t="str">
        <f>IF(A54&lt;&gt;"",VLOOKUP(A54,'Demandas Contratadas'!$A$6:$C$25,3),"")</f>
        <v/>
      </c>
      <c r="H54" s="32" t="str">
        <f t="shared" si="4"/>
        <v/>
      </c>
      <c r="I54" s="32" t="str">
        <f t="shared" si="2"/>
        <v/>
      </c>
      <c r="J54" s="32" t="str">
        <f t="shared" si="5"/>
        <v/>
      </c>
      <c r="K54" s="32" t="str">
        <f t="shared" si="3"/>
        <v/>
      </c>
      <c r="L54" s="29"/>
      <c r="M54" s="29"/>
      <c r="N54" s="24"/>
      <c r="O54" s="30"/>
      <c r="P54" s="30"/>
      <c r="Q54" s="30"/>
      <c r="R54" s="30"/>
      <c r="S54" s="30"/>
      <c r="T54" s="30"/>
      <c r="U54" s="30"/>
      <c r="V54" s="30"/>
      <c r="X54" s="11"/>
      <c r="Y54" s="11"/>
      <c r="Z54" s="11"/>
      <c r="AA54" s="11"/>
    </row>
    <row r="55" spans="1:27" x14ac:dyDescent="0.3">
      <c r="A55" s="8"/>
      <c r="B55" s="10"/>
      <c r="C55" s="10"/>
      <c r="D55" s="10"/>
      <c r="E55" s="10"/>
      <c r="F55" s="81" t="str">
        <f>IF(A55&lt;&gt;"",VLOOKUP(A55,'Demandas Contratadas'!$A$6:$C$25,2),"")</f>
        <v/>
      </c>
      <c r="G55" s="81" t="str">
        <f>IF(A55&lt;&gt;"",VLOOKUP(A55,'Demandas Contratadas'!$A$6:$C$25,3),"")</f>
        <v/>
      </c>
      <c r="H55" s="32" t="str">
        <f t="shared" si="4"/>
        <v/>
      </c>
      <c r="I55" s="32" t="str">
        <f t="shared" si="2"/>
        <v/>
      </c>
      <c r="J55" s="32" t="str">
        <f t="shared" si="5"/>
        <v/>
      </c>
      <c r="K55" s="32" t="str">
        <f t="shared" si="3"/>
        <v/>
      </c>
      <c r="L55" s="29"/>
      <c r="M55" s="29"/>
      <c r="N55" s="24"/>
      <c r="O55" s="30"/>
      <c r="P55" s="30"/>
      <c r="Q55" s="30"/>
      <c r="R55" s="30"/>
      <c r="S55" s="30"/>
      <c r="T55" s="30"/>
      <c r="U55" s="30"/>
      <c r="V55" s="30"/>
      <c r="X55" s="11"/>
      <c r="Y55" s="11"/>
      <c r="Z55" s="11"/>
      <c r="AA55" s="11"/>
    </row>
    <row r="56" spans="1:27" x14ac:dyDescent="0.3">
      <c r="A56" s="8"/>
      <c r="B56" s="10"/>
      <c r="C56" s="10"/>
      <c r="D56" s="10"/>
      <c r="E56" s="10"/>
      <c r="F56" s="81" t="str">
        <f>IF(A56&lt;&gt;"",VLOOKUP(A56,'Demandas Contratadas'!$A$6:$C$25,2),"")</f>
        <v/>
      </c>
      <c r="G56" s="81" t="str">
        <f>IF(A56&lt;&gt;"",VLOOKUP(A56,'Demandas Contratadas'!$A$6:$C$25,3),"")</f>
        <v/>
      </c>
      <c r="H56" s="32" t="str">
        <f t="shared" si="4"/>
        <v/>
      </c>
      <c r="I56" s="32" t="str">
        <f t="shared" si="2"/>
        <v/>
      </c>
      <c r="J56" s="32" t="str">
        <f t="shared" si="5"/>
        <v/>
      </c>
      <c r="K56" s="32" t="str">
        <f t="shared" si="3"/>
        <v/>
      </c>
      <c r="L56" s="29"/>
      <c r="M56" s="29"/>
      <c r="N56" s="24"/>
      <c r="O56" s="30"/>
      <c r="P56" s="30"/>
      <c r="Q56" s="30"/>
      <c r="R56" s="30"/>
      <c r="S56" s="30"/>
      <c r="T56" s="30"/>
      <c r="U56" s="30"/>
      <c r="V56" s="30"/>
      <c r="X56" s="11"/>
      <c r="Y56" s="11"/>
      <c r="Z56" s="11"/>
      <c r="AA56" s="11"/>
    </row>
    <row r="57" spans="1:27" x14ac:dyDescent="0.3">
      <c r="A57" s="8"/>
      <c r="B57" s="10"/>
      <c r="C57" s="10"/>
      <c r="D57" s="10"/>
      <c r="E57" s="10"/>
      <c r="F57" s="81" t="str">
        <f>IF(A57&lt;&gt;"",VLOOKUP(A57,'Demandas Contratadas'!$A$6:$C$25,2),"")</f>
        <v/>
      </c>
      <c r="G57" s="81" t="str">
        <f>IF(A57&lt;&gt;"",VLOOKUP(A57,'Demandas Contratadas'!$A$6:$C$25,3),"")</f>
        <v/>
      </c>
      <c r="H57" s="32" t="str">
        <f t="shared" si="4"/>
        <v/>
      </c>
      <c r="I57" s="32" t="str">
        <f t="shared" si="2"/>
        <v/>
      </c>
      <c r="J57" s="32" t="str">
        <f t="shared" si="5"/>
        <v/>
      </c>
      <c r="K57" s="32" t="str">
        <f t="shared" si="3"/>
        <v/>
      </c>
      <c r="L57" s="29"/>
      <c r="M57" s="29"/>
      <c r="N57" s="24"/>
      <c r="O57" s="30"/>
      <c r="P57" s="30"/>
      <c r="Q57" s="30"/>
      <c r="R57" s="30"/>
      <c r="S57" s="30"/>
      <c r="T57" s="30"/>
      <c r="U57" s="30"/>
      <c r="V57" s="30"/>
      <c r="X57" s="11"/>
      <c r="Y57" s="11"/>
      <c r="Z57" s="11"/>
      <c r="AA57" s="11"/>
    </row>
    <row r="58" spans="1:27" x14ac:dyDescent="0.3">
      <c r="A58" s="8"/>
      <c r="B58" s="10"/>
      <c r="C58" s="10"/>
      <c r="D58" s="10"/>
      <c r="E58" s="10"/>
      <c r="F58" s="81" t="str">
        <f>IF(A58&lt;&gt;"",VLOOKUP(A58,'Demandas Contratadas'!$A$6:$C$25,2),"")</f>
        <v/>
      </c>
      <c r="G58" s="81" t="str">
        <f>IF(A58&lt;&gt;"",VLOOKUP(A58,'Demandas Contratadas'!$A$6:$C$25,3),"")</f>
        <v/>
      </c>
      <c r="H58" s="32" t="str">
        <f t="shared" si="4"/>
        <v/>
      </c>
      <c r="I58" s="32" t="str">
        <f t="shared" si="2"/>
        <v/>
      </c>
      <c r="J58" s="32" t="str">
        <f t="shared" si="5"/>
        <v/>
      </c>
      <c r="K58" s="32" t="str">
        <f t="shared" si="3"/>
        <v/>
      </c>
      <c r="L58" s="29"/>
      <c r="M58" s="29"/>
      <c r="N58" s="24"/>
      <c r="O58" s="30"/>
      <c r="P58" s="30"/>
      <c r="Q58" s="30"/>
      <c r="R58" s="30"/>
      <c r="S58" s="30"/>
      <c r="T58" s="30"/>
      <c r="U58" s="30"/>
      <c r="V58" s="30"/>
      <c r="X58" s="11"/>
      <c r="Y58" s="11"/>
      <c r="Z58" s="11"/>
      <c r="AA58" s="11"/>
    </row>
    <row r="59" spans="1:27" x14ac:dyDescent="0.3">
      <c r="A59" s="8"/>
      <c r="B59" s="10"/>
      <c r="C59" s="10"/>
      <c r="D59" s="10"/>
      <c r="E59" s="10"/>
      <c r="F59" s="81" t="str">
        <f>IF(A59&lt;&gt;"",VLOOKUP(A59,'Demandas Contratadas'!$A$6:$C$25,2),"")</f>
        <v/>
      </c>
      <c r="G59" s="81" t="str">
        <f>IF(A59&lt;&gt;"",VLOOKUP(A59,'Demandas Contratadas'!$A$6:$C$25,3),"")</f>
        <v/>
      </c>
      <c r="H59" s="32" t="str">
        <f t="shared" si="4"/>
        <v/>
      </c>
      <c r="I59" s="32" t="str">
        <f t="shared" si="2"/>
        <v/>
      </c>
      <c r="J59" s="32" t="str">
        <f t="shared" si="5"/>
        <v/>
      </c>
      <c r="K59" s="32" t="str">
        <f t="shared" si="3"/>
        <v/>
      </c>
      <c r="L59" s="29"/>
      <c r="M59" s="29"/>
      <c r="N59" s="24"/>
      <c r="O59" s="30"/>
      <c r="P59" s="30"/>
      <c r="Q59" s="30"/>
      <c r="R59" s="30"/>
      <c r="S59" s="30"/>
      <c r="T59" s="30"/>
      <c r="U59" s="30"/>
      <c r="V59" s="30"/>
      <c r="X59" s="11"/>
      <c r="Y59" s="11"/>
      <c r="Z59" s="11"/>
      <c r="AA59" s="11"/>
    </row>
    <row r="60" spans="1:27" x14ac:dyDescent="0.3">
      <c r="A60" s="8"/>
      <c r="B60" s="10"/>
      <c r="C60" s="10"/>
      <c r="D60" s="10"/>
      <c r="E60" s="10"/>
      <c r="F60" s="81" t="str">
        <f>IF(A60&lt;&gt;"",VLOOKUP(A60,'Demandas Contratadas'!$A$6:$C$25,2),"")</f>
        <v/>
      </c>
      <c r="G60" s="81" t="str">
        <f>IF(A60&lt;&gt;"",VLOOKUP(A60,'Demandas Contratadas'!$A$6:$C$25,3),"")</f>
        <v/>
      </c>
      <c r="H60" s="32" t="str">
        <f t="shared" si="4"/>
        <v/>
      </c>
      <c r="I60" s="32" t="str">
        <f t="shared" si="2"/>
        <v/>
      </c>
      <c r="J60" s="32" t="str">
        <f t="shared" si="5"/>
        <v/>
      </c>
      <c r="K60" s="32" t="str">
        <f t="shared" si="3"/>
        <v/>
      </c>
      <c r="L60" s="29"/>
      <c r="M60" s="29"/>
      <c r="N60" s="24"/>
      <c r="O60" s="30"/>
      <c r="P60" s="30"/>
      <c r="Q60" s="30"/>
      <c r="R60" s="30"/>
      <c r="S60" s="30"/>
      <c r="T60" s="30"/>
      <c r="U60" s="30"/>
      <c r="V60" s="30"/>
      <c r="X60" s="11"/>
      <c r="Y60" s="11"/>
      <c r="Z60" s="11"/>
      <c r="AA60" s="11"/>
    </row>
    <row r="61" spans="1:27" x14ac:dyDescent="0.3">
      <c r="A61" s="8"/>
      <c r="B61" s="10"/>
      <c r="C61" s="10"/>
      <c r="D61" s="10"/>
      <c r="E61" s="10"/>
      <c r="F61" s="81" t="str">
        <f>IF(A61&lt;&gt;"",VLOOKUP(A61,'Demandas Contratadas'!$A$6:$C$25,2),"")</f>
        <v/>
      </c>
      <c r="G61" s="81" t="str">
        <f>IF(A61&lt;&gt;"",VLOOKUP(A61,'Demandas Contratadas'!$A$6:$C$25,3),"")</f>
        <v/>
      </c>
      <c r="H61" s="32" t="str">
        <f t="shared" si="4"/>
        <v/>
      </c>
      <c r="I61" s="32" t="str">
        <f t="shared" si="2"/>
        <v/>
      </c>
      <c r="J61" s="32" t="str">
        <f t="shared" si="5"/>
        <v/>
      </c>
      <c r="K61" s="32" t="str">
        <f t="shared" si="3"/>
        <v/>
      </c>
      <c r="L61" s="29"/>
      <c r="M61" s="29"/>
      <c r="N61" s="24"/>
      <c r="O61" s="30"/>
      <c r="P61" s="30"/>
      <c r="Q61" s="30"/>
      <c r="R61" s="30"/>
      <c r="S61" s="30"/>
      <c r="T61" s="30"/>
      <c r="U61" s="30"/>
      <c r="V61" s="30"/>
      <c r="X61" s="11"/>
      <c r="Y61" s="11"/>
      <c r="Z61" s="11"/>
      <c r="AA61" s="11"/>
    </row>
    <row r="62" spans="1:27" x14ac:dyDescent="0.3">
      <c r="A62" s="8"/>
      <c r="B62" s="10"/>
      <c r="C62" s="10"/>
      <c r="D62" s="10"/>
      <c r="E62" s="10"/>
      <c r="F62" s="81" t="str">
        <f>IF(A62&lt;&gt;"",VLOOKUP(A62,'Demandas Contratadas'!$A$6:$C$25,2),"")</f>
        <v/>
      </c>
      <c r="G62" s="81" t="str">
        <f>IF(A62&lt;&gt;"",VLOOKUP(A62,'Demandas Contratadas'!$A$6:$C$25,3),"")</f>
        <v/>
      </c>
      <c r="H62" s="32" t="str">
        <f t="shared" si="4"/>
        <v/>
      </c>
      <c r="I62" s="32" t="str">
        <f t="shared" si="2"/>
        <v/>
      </c>
      <c r="J62" s="32" t="str">
        <f t="shared" si="5"/>
        <v/>
      </c>
      <c r="K62" s="32" t="str">
        <f t="shared" si="3"/>
        <v/>
      </c>
      <c r="L62" s="29"/>
      <c r="M62" s="29"/>
      <c r="N62" s="24"/>
      <c r="O62" s="30"/>
      <c r="P62" s="30"/>
      <c r="Q62" s="30"/>
      <c r="R62" s="30"/>
      <c r="S62" s="30"/>
      <c r="T62" s="30"/>
      <c r="U62" s="30"/>
      <c r="V62" s="30"/>
      <c r="X62" s="11"/>
      <c r="Y62" s="11"/>
      <c r="Z62" s="11"/>
      <c r="AA62" s="11"/>
    </row>
    <row r="63" spans="1:27" x14ac:dyDescent="0.3">
      <c r="A63" s="8"/>
      <c r="B63" s="10"/>
      <c r="C63" s="10"/>
      <c r="D63" s="10"/>
      <c r="E63" s="10"/>
      <c r="F63" s="81" t="str">
        <f>IF(A63&lt;&gt;"",VLOOKUP(A63,'Demandas Contratadas'!$A$6:$C$25,2),"")</f>
        <v/>
      </c>
      <c r="G63" s="81" t="str">
        <f>IF(A63&lt;&gt;"",VLOOKUP(A63,'Demandas Contratadas'!$A$6:$C$25,3),"")</f>
        <v/>
      </c>
      <c r="H63" s="32" t="str">
        <f t="shared" si="4"/>
        <v/>
      </c>
      <c r="I63" s="32" t="str">
        <f t="shared" si="2"/>
        <v/>
      </c>
      <c r="J63" s="32" t="str">
        <f t="shared" si="5"/>
        <v/>
      </c>
      <c r="K63" s="32" t="str">
        <f t="shared" si="3"/>
        <v/>
      </c>
      <c r="L63" s="29"/>
      <c r="M63" s="29"/>
      <c r="N63" s="24"/>
      <c r="O63" s="30"/>
      <c r="P63" s="30"/>
      <c r="Q63" s="30"/>
      <c r="R63" s="30"/>
      <c r="S63" s="30"/>
      <c r="T63" s="30"/>
      <c r="U63" s="30"/>
      <c r="V63" s="30"/>
      <c r="X63" s="11"/>
      <c r="Y63" s="11"/>
      <c r="Z63" s="11"/>
      <c r="AA63" s="11"/>
    </row>
    <row r="64" spans="1:27" x14ac:dyDescent="0.3">
      <c r="A64" s="8"/>
      <c r="B64" s="10"/>
      <c r="C64" s="10"/>
      <c r="D64" s="10"/>
      <c r="E64" s="10"/>
      <c r="F64" s="81" t="str">
        <f>IF(A64&lt;&gt;"",VLOOKUP(A64,'Demandas Contratadas'!$A$6:$C$25,2),"")</f>
        <v/>
      </c>
      <c r="G64" s="81" t="str">
        <f>IF(A64&lt;&gt;"",VLOOKUP(A64,'Demandas Contratadas'!$A$6:$C$25,3),"")</f>
        <v/>
      </c>
      <c r="H64" s="32" t="str">
        <f t="shared" si="4"/>
        <v/>
      </c>
      <c r="I64" s="32" t="str">
        <f t="shared" si="2"/>
        <v/>
      </c>
      <c r="J64" s="32" t="str">
        <f t="shared" si="5"/>
        <v/>
      </c>
      <c r="K64" s="32" t="str">
        <f t="shared" si="3"/>
        <v/>
      </c>
      <c r="L64" s="29"/>
      <c r="M64" s="29"/>
      <c r="N64" s="24"/>
      <c r="O64" s="30"/>
      <c r="P64" s="30"/>
      <c r="Q64" s="30"/>
      <c r="R64" s="30"/>
      <c r="S64" s="30"/>
      <c r="T64" s="30"/>
      <c r="U64" s="30"/>
      <c r="V64" s="30"/>
      <c r="X64" s="11"/>
      <c r="Y64" s="11"/>
      <c r="Z64" s="11"/>
      <c r="AA64" s="11"/>
    </row>
    <row r="65" spans="1:27" x14ac:dyDescent="0.3">
      <c r="A65" s="8"/>
      <c r="B65" s="10"/>
      <c r="C65" s="10"/>
      <c r="D65" s="10"/>
      <c r="E65" s="10"/>
      <c r="F65" s="81" t="str">
        <f>IF(A65&lt;&gt;"",VLOOKUP(A65,'Demandas Contratadas'!$A$6:$C$25,2),"")</f>
        <v/>
      </c>
      <c r="G65" s="81" t="str">
        <f>IF(A65&lt;&gt;"",VLOOKUP(A65,'Demandas Contratadas'!$A$6:$C$25,3),"")</f>
        <v/>
      </c>
      <c r="H65" s="32" t="str">
        <f t="shared" si="4"/>
        <v/>
      </c>
      <c r="I65" s="32" t="str">
        <f t="shared" si="2"/>
        <v/>
      </c>
      <c r="J65" s="32" t="str">
        <f t="shared" si="5"/>
        <v/>
      </c>
      <c r="K65" s="32" t="str">
        <f t="shared" si="3"/>
        <v/>
      </c>
      <c r="L65" s="29"/>
      <c r="M65" s="29"/>
      <c r="N65" s="24"/>
      <c r="O65" s="30"/>
      <c r="P65" s="30"/>
      <c r="Q65" s="30"/>
      <c r="R65" s="30"/>
      <c r="S65" s="30"/>
      <c r="T65" s="30"/>
      <c r="U65" s="30"/>
      <c r="V65" s="30"/>
      <c r="X65" s="11"/>
      <c r="Y65" s="11"/>
      <c r="Z65" s="11"/>
      <c r="AA65" s="11"/>
    </row>
    <row r="66" spans="1:27" x14ac:dyDescent="0.3">
      <c r="A66" s="8"/>
      <c r="B66" s="10"/>
      <c r="C66" s="10"/>
      <c r="D66" s="10"/>
      <c r="E66" s="10"/>
      <c r="F66" s="81" t="str">
        <f>IF(A66&lt;&gt;"",VLOOKUP(A66,'Demandas Contratadas'!$A$6:$C$25,2),"")</f>
        <v/>
      </c>
      <c r="G66" s="81" t="str">
        <f>IF(A66&lt;&gt;"",VLOOKUP(A66,'Demandas Contratadas'!$A$6:$C$25,3),"")</f>
        <v/>
      </c>
      <c r="H66" s="32" t="str">
        <f t="shared" si="4"/>
        <v/>
      </c>
      <c r="I66" s="32" t="str">
        <f t="shared" si="2"/>
        <v/>
      </c>
      <c r="J66" s="32" t="str">
        <f t="shared" si="5"/>
        <v/>
      </c>
      <c r="K66" s="32" t="str">
        <f t="shared" si="3"/>
        <v/>
      </c>
      <c r="L66" s="29"/>
      <c r="M66" s="29"/>
      <c r="N66" s="24"/>
      <c r="O66" s="30"/>
      <c r="P66" s="30"/>
      <c r="Q66" s="30"/>
      <c r="R66" s="30"/>
      <c r="S66" s="30"/>
      <c r="T66" s="30"/>
      <c r="U66" s="30"/>
      <c r="V66" s="30"/>
      <c r="X66" s="11"/>
      <c r="Y66" s="11"/>
      <c r="Z66" s="11"/>
      <c r="AA66" s="11"/>
    </row>
    <row r="67" spans="1:27" x14ac:dyDescent="0.3">
      <c r="A67" s="14"/>
    </row>
    <row r="68" spans="1:27" x14ac:dyDescent="0.3">
      <c r="A68" s="14"/>
    </row>
    <row r="69" spans="1:27" x14ac:dyDescent="0.3">
      <c r="A69" s="14"/>
    </row>
    <row r="70" spans="1:27" x14ac:dyDescent="0.3">
      <c r="A70" s="14"/>
    </row>
    <row r="71" spans="1:27" x14ac:dyDescent="0.3">
      <c r="A71" s="14"/>
    </row>
    <row r="72" spans="1:27" x14ac:dyDescent="0.3">
      <c r="A72" s="14"/>
    </row>
    <row r="73" spans="1:27" x14ac:dyDescent="0.3">
      <c r="A73" s="14"/>
    </row>
    <row r="74" spans="1:27" x14ac:dyDescent="0.3">
      <c r="A74" s="14"/>
    </row>
    <row r="75" spans="1:27" x14ac:dyDescent="0.3">
      <c r="A75" s="14"/>
    </row>
    <row r="76" spans="1:27" x14ac:dyDescent="0.3">
      <c r="A76" s="14"/>
    </row>
    <row r="77" spans="1:27" x14ac:dyDescent="0.3">
      <c r="A77" s="14"/>
    </row>
    <row r="78" spans="1:27" x14ac:dyDescent="0.3">
      <c r="A78" s="14"/>
    </row>
    <row r="79" spans="1:27" x14ac:dyDescent="0.3">
      <c r="A79" s="14"/>
    </row>
    <row r="80" spans="1:27" x14ac:dyDescent="0.3">
      <c r="A80" s="14"/>
    </row>
    <row r="81" spans="1:1" x14ac:dyDescent="0.3">
      <c r="A81" s="14"/>
    </row>
    <row r="82" spans="1:1" x14ac:dyDescent="0.3">
      <c r="A82" s="14"/>
    </row>
    <row r="83" spans="1:1" x14ac:dyDescent="0.3">
      <c r="A83" s="14"/>
    </row>
    <row r="84" spans="1:1" x14ac:dyDescent="0.3">
      <c r="A84" s="14"/>
    </row>
    <row r="85" spans="1:1" x14ac:dyDescent="0.3">
      <c r="A85" s="14"/>
    </row>
    <row r="86" spans="1:1" x14ac:dyDescent="0.3">
      <c r="A86" s="14"/>
    </row>
    <row r="87" spans="1:1" x14ac:dyDescent="0.3">
      <c r="A87" s="14"/>
    </row>
    <row r="88" spans="1:1" x14ac:dyDescent="0.3">
      <c r="A88" s="14"/>
    </row>
    <row r="89" spans="1:1" x14ac:dyDescent="0.3">
      <c r="A89" s="14"/>
    </row>
    <row r="90" spans="1:1" x14ac:dyDescent="0.3">
      <c r="A90" s="14"/>
    </row>
    <row r="91" spans="1:1" x14ac:dyDescent="0.3">
      <c r="A91" s="14"/>
    </row>
    <row r="92" spans="1:1" x14ac:dyDescent="0.3">
      <c r="A92" s="14"/>
    </row>
    <row r="93" spans="1:1" x14ac:dyDescent="0.3">
      <c r="A93" s="14"/>
    </row>
    <row r="94" spans="1:1" x14ac:dyDescent="0.3">
      <c r="A94" s="14"/>
    </row>
    <row r="95" spans="1:1" x14ac:dyDescent="0.3">
      <c r="A95" s="14"/>
    </row>
    <row r="96" spans="1:1" x14ac:dyDescent="0.3">
      <c r="A96" s="14"/>
    </row>
    <row r="97" spans="1:1" x14ac:dyDescent="0.3">
      <c r="A97" s="14"/>
    </row>
    <row r="98" spans="1:1" x14ac:dyDescent="0.3">
      <c r="A98" s="14"/>
    </row>
    <row r="99" spans="1:1" x14ac:dyDescent="0.3">
      <c r="A99" s="14"/>
    </row>
    <row r="100" spans="1:1" x14ac:dyDescent="0.3">
      <c r="A100" s="14"/>
    </row>
    <row r="101" spans="1:1" x14ac:dyDescent="0.3">
      <c r="A101" s="14"/>
    </row>
    <row r="102" spans="1:1" x14ac:dyDescent="0.3">
      <c r="A102" s="14"/>
    </row>
  </sheetData>
  <mergeCells count="20">
    <mergeCell ref="Z5:Z6"/>
    <mergeCell ref="X5:X6"/>
    <mergeCell ref="Y5:Y6"/>
    <mergeCell ref="X4:AA4"/>
    <mergeCell ref="AA5:AA6"/>
    <mergeCell ref="A1:B1"/>
    <mergeCell ref="C1:M1"/>
    <mergeCell ref="O4:V4"/>
    <mergeCell ref="A5:A6"/>
    <mergeCell ref="D5:E5"/>
    <mergeCell ref="H5:I5"/>
    <mergeCell ref="A4:M4"/>
    <mergeCell ref="O5:P5"/>
    <mergeCell ref="Q5:R5"/>
    <mergeCell ref="S5:T5"/>
    <mergeCell ref="U5:V5"/>
    <mergeCell ref="B5:C5"/>
    <mergeCell ref="J5:K5"/>
    <mergeCell ref="L5:M5"/>
    <mergeCell ref="F5:G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2"/>
  <sheetViews>
    <sheetView workbookViewId="0">
      <selection activeCell="A19" sqref="A19"/>
    </sheetView>
  </sheetViews>
  <sheetFormatPr defaultColWidth="8.88671875" defaultRowHeight="14.4" x14ac:dyDescent="0.3"/>
  <cols>
    <col min="1" max="1" width="12.6640625" style="62" customWidth="1"/>
    <col min="2" max="2" width="13.6640625" style="5" customWidth="1"/>
    <col min="3" max="3" width="16" style="5" customWidth="1"/>
    <col min="4" max="9" width="13.6640625" style="5" customWidth="1"/>
    <col min="10" max="10" width="3.6640625" style="5" customWidth="1"/>
    <col min="11" max="11" width="17.33203125" style="5" customWidth="1"/>
    <col min="12" max="12" width="13.6640625" style="5" customWidth="1"/>
    <col min="13" max="16" width="13.6640625" style="5" hidden="1" customWidth="1"/>
    <col min="17" max="19" width="13.6640625" style="5" customWidth="1"/>
    <col min="20" max="20" width="15" style="5" customWidth="1"/>
    <col min="21" max="21" width="15.109375" style="5" customWidth="1"/>
    <col min="22" max="16384" width="8.88671875" style="5"/>
  </cols>
  <sheetData>
    <row r="1" spans="1:21" ht="85.95" customHeight="1" x14ac:dyDescent="0.3">
      <c r="A1" s="131"/>
      <c r="B1" s="131"/>
      <c r="C1" s="132" t="s">
        <v>99</v>
      </c>
      <c r="D1" s="132"/>
      <c r="E1" s="132"/>
      <c r="F1" s="132"/>
      <c r="G1" s="132"/>
      <c r="H1" s="66"/>
      <c r="I1" s="31"/>
      <c r="J1" s="31"/>
      <c r="K1" s="31"/>
      <c r="L1" s="31"/>
      <c r="M1" s="31"/>
    </row>
    <row r="3" spans="1:21" x14ac:dyDescent="0.3">
      <c r="A3" s="13" t="s">
        <v>53</v>
      </c>
      <c r="K3" s="13" t="s">
        <v>54</v>
      </c>
    </row>
    <row r="4" spans="1:21" ht="30" customHeight="1" x14ac:dyDescent="0.3">
      <c r="A4" s="137" t="s">
        <v>15</v>
      </c>
      <c r="B4" s="121"/>
      <c r="C4" s="121"/>
      <c r="D4" s="121"/>
      <c r="E4" s="121"/>
      <c r="F4" s="121"/>
      <c r="G4" s="121"/>
      <c r="H4" s="121"/>
      <c r="I4" s="122"/>
      <c r="K4" s="134" t="s">
        <v>27</v>
      </c>
      <c r="L4" s="135"/>
      <c r="M4" s="135"/>
      <c r="N4" s="135"/>
      <c r="O4" s="135"/>
      <c r="P4" s="135"/>
      <c r="Q4" s="135"/>
      <c r="R4" s="135"/>
      <c r="S4" s="135"/>
      <c r="T4" s="135"/>
      <c r="U4" s="135"/>
    </row>
    <row r="5" spans="1:21" x14ac:dyDescent="0.3">
      <c r="A5" s="110" t="s">
        <v>6</v>
      </c>
      <c r="B5" s="118" t="s">
        <v>7</v>
      </c>
      <c r="C5" s="144"/>
      <c r="D5" s="118" t="s">
        <v>10</v>
      </c>
      <c r="E5" s="119"/>
      <c r="F5" s="141" t="s">
        <v>18</v>
      </c>
      <c r="G5" s="143"/>
      <c r="H5" s="141" t="s">
        <v>17</v>
      </c>
      <c r="I5" s="142"/>
      <c r="J5" s="27"/>
      <c r="K5" s="139" t="s">
        <v>21</v>
      </c>
      <c r="L5" s="139" t="s">
        <v>22</v>
      </c>
      <c r="M5" s="21" t="s">
        <v>23</v>
      </c>
      <c r="N5" s="21" t="s">
        <v>24</v>
      </c>
      <c r="O5" s="21" t="s">
        <v>25</v>
      </c>
      <c r="P5" s="21" t="s">
        <v>26</v>
      </c>
      <c r="Q5" s="139" t="s">
        <v>28</v>
      </c>
      <c r="R5" s="139" t="s">
        <v>29</v>
      </c>
      <c r="S5" s="139" t="s">
        <v>33</v>
      </c>
      <c r="T5" s="139" t="s">
        <v>27</v>
      </c>
      <c r="U5" s="139" t="s">
        <v>32</v>
      </c>
    </row>
    <row r="6" spans="1:21" x14ac:dyDescent="0.3">
      <c r="A6" s="136"/>
      <c r="B6" s="20" t="s">
        <v>8</v>
      </c>
      <c r="C6" s="18" t="s">
        <v>9</v>
      </c>
      <c r="D6" s="20" t="s">
        <v>8</v>
      </c>
      <c r="E6" s="19" t="s">
        <v>9</v>
      </c>
      <c r="F6" s="20" t="s">
        <v>8</v>
      </c>
      <c r="G6" s="18" t="s">
        <v>9</v>
      </c>
      <c r="H6" s="6" t="s">
        <v>8</v>
      </c>
      <c r="I6" s="7" t="s">
        <v>9</v>
      </c>
      <c r="J6" s="27"/>
      <c r="K6" s="140"/>
      <c r="L6" s="140"/>
      <c r="M6" s="25">
        <v>0.03</v>
      </c>
      <c r="N6" s="25">
        <v>1.2E-2</v>
      </c>
      <c r="O6" s="25">
        <v>0.01</v>
      </c>
      <c r="P6" s="25">
        <v>6.4999999999999997E-3</v>
      </c>
      <c r="Q6" s="140"/>
      <c r="R6" s="140"/>
      <c r="S6" s="140"/>
      <c r="T6" s="140"/>
      <c r="U6" s="140"/>
    </row>
    <row r="7" spans="1:21" x14ac:dyDescent="0.3">
      <c r="A7" s="70">
        <f>IF('Entradas Mensais'!A7&lt;&gt;"",'Entradas Mensais'!A7,"")</f>
        <v>43435</v>
      </c>
      <c r="B7" s="36">
        <f>IF('Entradas Mensais'!A7&lt;&gt;"",TRUNC('Entradas Mensais'!B7*'Entradas Mensais'!O7,2),"")</f>
        <v>9227.99</v>
      </c>
      <c r="C7" s="36">
        <f>IF('Entradas Mensais'!A7&lt;&gt;"",TRUNC('Entradas Mensais'!C7*'Entradas Mensais'!P7,2),"")</f>
        <v>93089.14</v>
      </c>
      <c r="D7" s="37">
        <f>IF('Entradas Mensais'!A7&lt;&gt;"",IF(ligacao="Azul",TRUNC('Entradas Mensais'!H7*'Entradas Mensais'!Q7,2),""),"")</f>
        <v>19685.66</v>
      </c>
      <c r="E7" s="37">
        <f>IF('Entradas Mensais'!A7&lt;&gt;"",TRUNC('Entradas Mensais'!I7*'Entradas Mensais'!R7,2),"")</f>
        <v>13676.84</v>
      </c>
      <c r="F7" s="37">
        <f>IF('Entradas Mensais'!A7&lt;&gt;"",IF(ligacao="Azul",TRUNC('Entradas Mensais'!J7*'Entradas Mensais'!S7,2),""),"")</f>
        <v>0</v>
      </c>
      <c r="G7" s="37">
        <f>IF('Entradas Mensais'!A7&lt;&gt;"",TRUNC('Entradas Mensais'!K7*'Entradas Mensais'!T7,2),"")</f>
        <v>0</v>
      </c>
      <c r="H7" s="37">
        <f>IF('Entradas Mensais'!A7&lt;&gt;"",TRUNC('Entradas Mensais'!L7*'Entradas Mensais'!U7,2),"")</f>
        <v>0</v>
      </c>
      <c r="I7" s="37">
        <f>IF('Entradas Mensais'!A7&lt;&gt;"",TRUNC('Entradas Mensais'!M7*'Entradas Mensais'!V7,2),"")</f>
        <v>0</v>
      </c>
      <c r="J7" s="41"/>
      <c r="K7" s="38">
        <f>IF('Entradas Mensais'!A7&lt;&gt;"",SUM(B7:I7),"")</f>
        <v>135679.63</v>
      </c>
      <c r="L7" s="36">
        <f>IF('Entradas Mensais'!A7&lt;&gt;"",'Entradas Mensais'!X7,"")</f>
        <v>716.25</v>
      </c>
      <c r="M7" s="38">
        <f>IF('Entradas Mensais'!A7&lt;&gt;"",TRUNC(($K7+$S7)*M$6,2),"")</f>
        <v>4070.38</v>
      </c>
      <c r="N7" s="38">
        <f>IF('Entradas Mensais'!A7&lt;&gt;"",TRUNC(($K7+$S7)*N$6,2),"")</f>
        <v>1628.15</v>
      </c>
      <c r="O7" s="38">
        <f>IF('Entradas Mensais'!A7&lt;&gt;"",TRUNC(($K7+$S7)*O$6,2),"")</f>
        <v>1356.79</v>
      </c>
      <c r="P7" s="38">
        <f>IF('Entradas Mensais'!A7&lt;&gt;"",TRUNC(($K7+$S7)*P$6,2),"")</f>
        <v>881.91</v>
      </c>
      <c r="Q7" s="36">
        <f>IF('Entradas Mensais'!A7&lt;&gt;"",'Entradas Mensais'!Y7,"")</f>
        <v>0</v>
      </c>
      <c r="R7" s="36">
        <f>IF('Entradas Mensais'!A7&lt;&gt;"",'Entradas Mensais'!Z7,"")</f>
        <v>83.67</v>
      </c>
      <c r="S7" s="36">
        <f>IF('Entradas Mensais'!A7&lt;&gt;"",'Entradas Mensais'!AA7,"")</f>
        <v>0</v>
      </c>
      <c r="T7" s="39">
        <f>IF('Entradas Mensais'!A7&lt;&gt;"",IF(classificacao="P. Público Federal",K7+L7-SUM(M7:P7)+Q7-R7+S7,K7+L7+Q7-R7+S7),"")</f>
        <v>128374.98000000001</v>
      </c>
      <c r="U7" s="38">
        <f>IF('Entradas Mensais'!A7&lt;&gt;"",SUM(M7:P7),"")</f>
        <v>7937.2300000000005</v>
      </c>
    </row>
    <row r="8" spans="1:21" x14ac:dyDescent="0.3">
      <c r="A8" s="70">
        <f>IF('Entradas Mensais'!A8&lt;&gt;"",'Entradas Mensais'!A8,"")</f>
        <v>43466</v>
      </c>
      <c r="B8" s="36">
        <f>IF('Entradas Mensais'!A8&lt;&gt;"",TRUNC('Entradas Mensais'!B8*'Entradas Mensais'!O8,2),"")</f>
        <v>10220.4</v>
      </c>
      <c r="C8" s="36">
        <f>IF('Entradas Mensais'!A8&lt;&gt;"",TRUNC('Entradas Mensais'!C8*'Entradas Mensais'!P8,2),"")</f>
        <v>103522.23</v>
      </c>
      <c r="D8" s="37">
        <f>IF('Entradas Mensais'!A8&lt;&gt;"",IF(ligacao="Azul",TRUNC('Entradas Mensais'!H8*'Entradas Mensais'!Q8,2),""),"")</f>
        <v>19622.46</v>
      </c>
      <c r="E8" s="37">
        <f>IF('Entradas Mensais'!A8&lt;&gt;"",TRUNC('Entradas Mensais'!I8*'Entradas Mensais'!R8,2),"")</f>
        <v>13632.93</v>
      </c>
      <c r="F8" s="37">
        <f>IF('Entradas Mensais'!A8&lt;&gt;"",IF(ligacao="Azul",TRUNC('Entradas Mensais'!J8*'Entradas Mensais'!S8,2),""),"")</f>
        <v>0</v>
      </c>
      <c r="G8" s="37">
        <f>IF('Entradas Mensais'!A8&lt;&gt;"",TRUNC('Entradas Mensais'!K8*'Entradas Mensais'!T8,2),"")</f>
        <v>0</v>
      </c>
      <c r="H8" s="37">
        <f>IF('Entradas Mensais'!A8&lt;&gt;"",TRUNC('Entradas Mensais'!L8*'Entradas Mensais'!U8,2),"")</f>
        <v>0</v>
      </c>
      <c r="I8" s="37">
        <f>IF('Entradas Mensais'!A8&lt;&gt;"",TRUNC('Entradas Mensais'!M8*'Entradas Mensais'!V8,2),"")</f>
        <v>0</v>
      </c>
      <c r="K8" s="38">
        <f>IF('Entradas Mensais'!A8&lt;&gt;"",SUM(B8:I8),"")</f>
        <v>146998.01999999999</v>
      </c>
      <c r="L8" s="36">
        <f>IF('Entradas Mensais'!A8&lt;&gt;"",'Entradas Mensais'!X8,"")</f>
        <v>716.25</v>
      </c>
      <c r="M8" s="38">
        <f>IF('Entradas Mensais'!A8&lt;&gt;"",TRUNC(($K8+$S8)*M$6,2),"")</f>
        <v>4409.9399999999996</v>
      </c>
      <c r="N8" s="38">
        <f>IF('Entradas Mensais'!A8&lt;&gt;"",TRUNC(($K8+$S8)*N$6,2),"")</f>
        <v>1763.97</v>
      </c>
      <c r="O8" s="38">
        <f>IF('Entradas Mensais'!A8&lt;&gt;"",TRUNC(($K8+$S8)*O$6,2),"")</f>
        <v>1469.98</v>
      </c>
      <c r="P8" s="38">
        <f>IF('Entradas Mensais'!A8&lt;&gt;"",TRUNC(($K8+$S8)*P$6,2),"")</f>
        <v>955.48</v>
      </c>
      <c r="Q8" s="36">
        <f>IF('Entradas Mensais'!A8&lt;&gt;"",'Entradas Mensais'!Y8,"")</f>
        <v>0</v>
      </c>
      <c r="R8" s="36">
        <f>IF('Entradas Mensais'!A8&lt;&gt;"",'Entradas Mensais'!Z8,"")</f>
        <v>0</v>
      </c>
      <c r="S8" s="36">
        <f>IF('Entradas Mensais'!A8&lt;&gt;"",'Entradas Mensais'!AA8,"")</f>
        <v>0</v>
      </c>
      <c r="T8" s="39">
        <f>IF('Entradas Mensais'!A8&lt;&gt;"",IF(classificacao="P. Público Federal",K8+L8-SUM(M8:P8)+Q8-R8+S8,K8+L8+Q8-R8+S8),"")</f>
        <v>139114.9</v>
      </c>
      <c r="U8" s="38">
        <f>IF('Entradas Mensais'!A8&lt;&gt;"",SUM(M8:P8),"")</f>
        <v>8599.369999999999</v>
      </c>
    </row>
    <row r="9" spans="1:21" x14ac:dyDescent="0.3">
      <c r="A9" s="70">
        <f>IF('Entradas Mensais'!A9&lt;&gt;"",'Entradas Mensais'!A9,"")</f>
        <v>43497</v>
      </c>
      <c r="B9" s="36">
        <f>IF('Entradas Mensais'!A9&lt;&gt;"",TRUNC('Entradas Mensais'!B9*'Entradas Mensais'!O9,2),"")</f>
        <v>11364.69</v>
      </c>
      <c r="C9" s="36">
        <f>IF('Entradas Mensais'!A9&lt;&gt;"",TRUNC('Entradas Mensais'!C9*'Entradas Mensais'!P9,2),"")</f>
        <v>126539.28</v>
      </c>
      <c r="D9" s="37">
        <f>IF('Entradas Mensais'!A9&lt;&gt;"",IF(ligacao="Azul",TRUNC('Entradas Mensais'!H9*'Entradas Mensais'!Q9,2),""),"")</f>
        <v>20062.060000000001</v>
      </c>
      <c r="E9" s="37">
        <f>IF('Entradas Mensais'!A9&lt;&gt;"",TRUNC('Entradas Mensais'!I9*'Entradas Mensais'!R9,2),"")</f>
        <v>13938.35</v>
      </c>
      <c r="F9" s="37">
        <f>IF('Entradas Mensais'!A9&lt;&gt;"",IF(ligacao="Azul",TRUNC('Entradas Mensais'!J9*'Entradas Mensais'!S9,2),""),"")</f>
        <v>0</v>
      </c>
      <c r="G9" s="37">
        <f>IF('Entradas Mensais'!A9&lt;&gt;"",TRUNC('Entradas Mensais'!K9*'Entradas Mensais'!T9,2),"")</f>
        <v>0</v>
      </c>
      <c r="H9" s="37">
        <f>IF('Entradas Mensais'!A9&lt;&gt;"",TRUNC('Entradas Mensais'!L9*'Entradas Mensais'!U9,2),"")</f>
        <v>0</v>
      </c>
      <c r="I9" s="37">
        <f>IF('Entradas Mensais'!A9&lt;&gt;"",TRUNC('Entradas Mensais'!M9*'Entradas Mensais'!V9,2),"")</f>
        <v>0</v>
      </c>
      <c r="K9" s="38">
        <f>IF('Entradas Mensais'!A9&lt;&gt;"",SUM(B9:I9),"")</f>
        <v>171904.38</v>
      </c>
      <c r="L9" s="36">
        <f>IF('Entradas Mensais'!A9&lt;&gt;"",'Entradas Mensais'!X9,"")</f>
        <v>741.75</v>
      </c>
      <c r="M9" s="38">
        <f>IF('Entradas Mensais'!A9&lt;&gt;"",TRUNC(($K9+$S9)*M$6,2),"")</f>
        <v>5157.13</v>
      </c>
      <c r="N9" s="38">
        <f>IF('Entradas Mensais'!A9&lt;&gt;"",TRUNC(($K9+$S9)*N$6,2),"")</f>
        <v>2062.85</v>
      </c>
      <c r="O9" s="38">
        <f>IF('Entradas Mensais'!A9&lt;&gt;"",TRUNC(($K9+$S9)*O$6,2),"")</f>
        <v>1719.04</v>
      </c>
      <c r="P9" s="38">
        <f>IF('Entradas Mensais'!A9&lt;&gt;"",TRUNC(($K9+$S9)*P$6,2),"")</f>
        <v>1117.3699999999999</v>
      </c>
      <c r="Q9" s="36">
        <f>IF('Entradas Mensais'!A9&lt;&gt;"",'Entradas Mensais'!Y9,"")</f>
        <v>0</v>
      </c>
      <c r="R9" s="36">
        <f>IF('Entradas Mensais'!A9&lt;&gt;"",'Entradas Mensais'!Z9,"")</f>
        <v>0</v>
      </c>
      <c r="S9" s="36">
        <f>IF('Entradas Mensais'!A9&lt;&gt;"",'Entradas Mensais'!AA9,"")</f>
        <v>0</v>
      </c>
      <c r="T9" s="39">
        <f>IF('Entradas Mensais'!A9&lt;&gt;"",IF(classificacao="P. Público Federal",K9+L9-SUM(M9:P9)+Q9-R9+S9,K9+L9+Q9-R9+S9),"")</f>
        <v>162589.74</v>
      </c>
      <c r="U9" s="38">
        <f>IF('Entradas Mensais'!A9&lt;&gt;"",SUM(M9:P9),"")</f>
        <v>10056.39</v>
      </c>
    </row>
    <row r="10" spans="1:21" x14ac:dyDescent="0.3">
      <c r="A10" s="70">
        <f>IF('Entradas Mensais'!A10&lt;&gt;"",'Entradas Mensais'!A10,"")</f>
        <v>43525</v>
      </c>
      <c r="B10" s="36">
        <f>IF('Entradas Mensais'!A10&lt;&gt;"",TRUNC('Entradas Mensais'!B10*'Entradas Mensais'!O10,2),"")</f>
        <v>11256.67</v>
      </c>
      <c r="C10" s="36">
        <f>IF('Entradas Mensais'!A10&lt;&gt;"",TRUNC('Entradas Mensais'!C10*'Entradas Mensais'!P10,2),"")</f>
        <v>100927.13</v>
      </c>
      <c r="D10" s="37">
        <f>IF('Entradas Mensais'!A10&lt;&gt;"",IF(ligacao="Azul",TRUNC('Entradas Mensais'!H10*'Entradas Mensais'!Q10,2),""),"")</f>
        <v>20159.87</v>
      </c>
      <c r="E10" s="37">
        <f>IF('Entradas Mensais'!A10&lt;&gt;"",TRUNC('Entradas Mensais'!I10*'Entradas Mensais'!R10,2),"")</f>
        <v>14006.3</v>
      </c>
      <c r="F10" s="37">
        <f>IF('Entradas Mensais'!A10&lt;&gt;"",IF(ligacao="Azul",TRUNC('Entradas Mensais'!J10*'Entradas Mensais'!S10,2),""),"")</f>
        <v>0</v>
      </c>
      <c r="G10" s="37">
        <f>IF('Entradas Mensais'!A10&lt;&gt;"",TRUNC('Entradas Mensais'!K10*'Entradas Mensais'!T10,2),"")</f>
        <v>0</v>
      </c>
      <c r="H10" s="37">
        <f>IF('Entradas Mensais'!A10&lt;&gt;"",TRUNC('Entradas Mensais'!L10*'Entradas Mensais'!U10,2),"")</f>
        <v>0</v>
      </c>
      <c r="I10" s="37">
        <f>IF('Entradas Mensais'!A10&lt;&gt;"",TRUNC('Entradas Mensais'!M10*'Entradas Mensais'!V10,2),"")</f>
        <v>0.46</v>
      </c>
      <c r="K10" s="38">
        <f>IF('Entradas Mensais'!A10&lt;&gt;"",SUM(B10:I10),"")</f>
        <v>146350.43</v>
      </c>
      <c r="L10" s="36">
        <f>IF('Entradas Mensais'!A10&lt;&gt;"",'Entradas Mensais'!X10,"")</f>
        <v>741.75</v>
      </c>
      <c r="M10" s="38">
        <f>IF('Entradas Mensais'!A10&lt;&gt;"",TRUNC(($K10+$S10)*M$6,2),"")</f>
        <v>4390.51</v>
      </c>
      <c r="N10" s="38">
        <f>IF('Entradas Mensais'!A10&lt;&gt;"",TRUNC(($K10+$S10)*N$6,2),"")</f>
        <v>1756.2</v>
      </c>
      <c r="O10" s="38">
        <f>IF('Entradas Mensais'!A10&lt;&gt;"",TRUNC(($K10+$S10)*O$6,2),"")</f>
        <v>1463.5</v>
      </c>
      <c r="P10" s="38">
        <f>IF('Entradas Mensais'!A10&lt;&gt;"",TRUNC(($K10+$S10)*P$6,2),"")</f>
        <v>951.27</v>
      </c>
      <c r="Q10" s="36">
        <f>IF('Entradas Mensais'!A10&lt;&gt;"",'Entradas Mensais'!Y10,"")</f>
        <v>0</v>
      </c>
      <c r="R10" s="36">
        <f>IF('Entradas Mensais'!A10&lt;&gt;"",'Entradas Mensais'!Z10,"")</f>
        <v>0</v>
      </c>
      <c r="S10" s="36">
        <f>IF('Entradas Mensais'!A10&lt;&gt;"",'Entradas Mensais'!AA10,"")</f>
        <v>0</v>
      </c>
      <c r="T10" s="39">
        <f>IF('Entradas Mensais'!A10&lt;&gt;"",IF(classificacao="P. Público Federal",K10+L10-SUM(M10:P10)+Q10-R10+S10,K10+L10+Q10-R10+S10),"")</f>
        <v>138530.69999999998</v>
      </c>
      <c r="U10" s="38">
        <f>IF('Entradas Mensais'!A10&lt;&gt;"",SUM(M10:P10),"")</f>
        <v>8561.48</v>
      </c>
    </row>
    <row r="11" spans="1:21" x14ac:dyDescent="0.3">
      <c r="A11" s="70">
        <f>IF('Entradas Mensais'!A11&lt;&gt;"",'Entradas Mensais'!A11,"")</f>
        <v>43556</v>
      </c>
      <c r="B11" s="36">
        <f>IF('Entradas Mensais'!A11&lt;&gt;"",TRUNC('Entradas Mensais'!B11*'Entradas Mensais'!O11,2),"")</f>
        <v>14437.54</v>
      </c>
      <c r="C11" s="36">
        <f>IF('Entradas Mensais'!A11&lt;&gt;"",TRUNC('Entradas Mensais'!C11*'Entradas Mensais'!P11,2),"")</f>
        <v>116347.59</v>
      </c>
      <c r="D11" s="37">
        <f>IF('Entradas Mensais'!A11&lt;&gt;"",IF(ligacao="Azul",TRUNC('Entradas Mensais'!H11*'Entradas Mensais'!Q11,2),""),"")</f>
        <v>20128.13</v>
      </c>
      <c r="E11" s="37">
        <f>IF('Entradas Mensais'!A11&lt;&gt;"",TRUNC('Entradas Mensais'!I11*'Entradas Mensais'!R11,2),"")</f>
        <v>13984.25</v>
      </c>
      <c r="F11" s="37">
        <f>IF('Entradas Mensais'!A11&lt;&gt;"",IF(ligacao="Azul",TRUNC('Entradas Mensais'!J11*'Entradas Mensais'!S11,2),""),"")</f>
        <v>0</v>
      </c>
      <c r="G11" s="37">
        <f>IF('Entradas Mensais'!A11&lt;&gt;"",TRUNC('Entradas Mensais'!K11*'Entradas Mensais'!T11,2),"")</f>
        <v>0</v>
      </c>
      <c r="H11" s="37">
        <f>IF('Entradas Mensais'!A11&lt;&gt;"",TRUNC('Entradas Mensais'!L11*'Entradas Mensais'!U11,2),"")</f>
        <v>0</v>
      </c>
      <c r="I11" s="37">
        <f>IF('Entradas Mensais'!A11&lt;&gt;"",TRUNC('Entradas Mensais'!M11*'Entradas Mensais'!V11,2),"")</f>
        <v>0</v>
      </c>
      <c r="K11" s="38">
        <f>IF('Entradas Mensais'!A11&lt;&gt;"",SUM(B11:I11),"")</f>
        <v>164897.51</v>
      </c>
      <c r="L11" s="36">
        <f>IF('Entradas Mensais'!A11&lt;&gt;"",'Entradas Mensais'!X11,"")</f>
        <v>741.75</v>
      </c>
      <c r="M11" s="38">
        <f>IF('Entradas Mensais'!A11&lt;&gt;"",TRUNC(($K11+$S11)*M$6,2),"")</f>
        <v>4946.92</v>
      </c>
      <c r="N11" s="38">
        <f>IF('Entradas Mensais'!A11&lt;&gt;"",TRUNC(($K11+$S11)*N$6,2),"")</f>
        <v>1978.77</v>
      </c>
      <c r="O11" s="38">
        <f>IF('Entradas Mensais'!A11&lt;&gt;"",TRUNC(($K11+$S11)*O$6,2),"")</f>
        <v>1648.97</v>
      </c>
      <c r="P11" s="38">
        <f>IF('Entradas Mensais'!A11&lt;&gt;"",TRUNC(($K11+$S11)*P$6,2),"")</f>
        <v>1071.83</v>
      </c>
      <c r="Q11" s="36">
        <f>IF('Entradas Mensais'!A11&lt;&gt;"",'Entradas Mensais'!Y11,"")</f>
        <v>0</v>
      </c>
      <c r="R11" s="36">
        <f>IF('Entradas Mensais'!A11&lt;&gt;"",'Entradas Mensais'!Z11,"")</f>
        <v>2678.5</v>
      </c>
      <c r="S11" s="36">
        <f>IF('Entradas Mensais'!A11&lt;&gt;"",'Entradas Mensais'!AA11,"")</f>
        <v>0</v>
      </c>
      <c r="T11" s="39">
        <f>IF('Entradas Mensais'!A11&lt;&gt;"",IF(classificacao="P. Público Federal",K11+L11-SUM(M11:P11)+Q11-R11+S11,K11+L11+Q11-R11+S11),"")</f>
        <v>153314.27000000002</v>
      </c>
      <c r="U11" s="38">
        <f>IF('Entradas Mensais'!A11&lt;&gt;"",SUM(M11:P11),"")</f>
        <v>9646.49</v>
      </c>
    </row>
    <row r="12" spans="1:21" x14ac:dyDescent="0.3">
      <c r="A12" s="70">
        <f>IF('Entradas Mensais'!A12&lt;&gt;"",'Entradas Mensais'!A12,"")</f>
        <v>43586</v>
      </c>
      <c r="B12" s="36">
        <f>IF('Entradas Mensais'!A12&lt;&gt;"",TRUNC('Entradas Mensais'!B12*'Entradas Mensais'!O12,2),"")</f>
        <v>12870.29</v>
      </c>
      <c r="C12" s="36">
        <f>IF('Entradas Mensais'!A12&lt;&gt;"",TRUNC('Entradas Mensais'!C12*'Entradas Mensais'!P12,2),"")</f>
        <v>105468.83</v>
      </c>
      <c r="D12" s="37">
        <f>IF('Entradas Mensais'!A12&lt;&gt;"",IF(ligacao="Azul",TRUNC('Entradas Mensais'!H12*'Entradas Mensais'!Q12,2),""),"")</f>
        <v>19990.75</v>
      </c>
      <c r="E12" s="37">
        <f>IF('Entradas Mensais'!A12&lt;&gt;"",TRUNC('Entradas Mensais'!I12*'Entradas Mensais'!R12,2),"")</f>
        <v>13888.8</v>
      </c>
      <c r="F12" s="37">
        <f>IF('Entradas Mensais'!A12&lt;&gt;"",IF(ligacao="Azul",TRUNC('Entradas Mensais'!J12*'Entradas Mensais'!S12,2),""),"")</f>
        <v>0</v>
      </c>
      <c r="G12" s="37">
        <f>IF('Entradas Mensais'!A12&lt;&gt;"",TRUNC('Entradas Mensais'!K12*'Entradas Mensais'!T12,2),"")</f>
        <v>0</v>
      </c>
      <c r="H12" s="37">
        <f>IF('Entradas Mensais'!A12&lt;&gt;"",TRUNC('Entradas Mensais'!L12*'Entradas Mensais'!U12,2),"")</f>
        <v>0</v>
      </c>
      <c r="I12" s="37">
        <f>IF('Entradas Mensais'!A12&lt;&gt;"",TRUNC('Entradas Mensais'!M12*'Entradas Mensais'!V12,2),"")</f>
        <v>0.45</v>
      </c>
      <c r="K12" s="38">
        <f>IF('Entradas Mensais'!A12&lt;&gt;"",SUM(B12:I12),"")</f>
        <v>152219.12</v>
      </c>
      <c r="L12" s="36">
        <f>IF('Entradas Mensais'!A12&lt;&gt;"",'Entradas Mensais'!X12,"")</f>
        <v>741.75</v>
      </c>
      <c r="M12" s="38">
        <f>IF('Entradas Mensais'!A12&lt;&gt;"",TRUNC(($K12+$S12)*M$6,2),"")</f>
        <v>4566.57</v>
      </c>
      <c r="N12" s="38">
        <f>IF('Entradas Mensais'!A12&lt;&gt;"",TRUNC(($K12+$S12)*N$6,2),"")</f>
        <v>1826.62</v>
      </c>
      <c r="O12" s="38">
        <f>IF('Entradas Mensais'!A12&lt;&gt;"",TRUNC(($K12+$S12)*O$6,2),"")</f>
        <v>1522.19</v>
      </c>
      <c r="P12" s="38">
        <f>IF('Entradas Mensais'!A12&lt;&gt;"",TRUNC(($K12+$S12)*P$6,2),"")</f>
        <v>989.42</v>
      </c>
      <c r="Q12" s="36">
        <f>IF('Entradas Mensais'!A12&lt;&gt;"",'Entradas Mensais'!Y12,"")</f>
        <v>0</v>
      </c>
      <c r="R12" s="36">
        <f>IF('Entradas Mensais'!A12&lt;&gt;"",'Entradas Mensais'!Z12,"")</f>
        <v>0</v>
      </c>
      <c r="S12" s="36">
        <f>IF('Entradas Mensais'!A12&lt;&gt;"",'Entradas Mensais'!AA12,"")</f>
        <v>0</v>
      </c>
      <c r="T12" s="39">
        <f>IF('Entradas Mensais'!A12&lt;&gt;"",IF(classificacao="P. Público Federal",K12+L12-SUM(M12:P12)+Q12-R12+S12,K12+L12+Q12-R12+S12),"")</f>
        <v>144056.07</v>
      </c>
      <c r="U12" s="38">
        <f>IF('Entradas Mensais'!A12&lt;&gt;"",SUM(M12:P12),"")</f>
        <v>8904.7999999999993</v>
      </c>
    </row>
    <row r="13" spans="1:21" x14ac:dyDescent="0.3">
      <c r="A13" s="70">
        <f>IF('Entradas Mensais'!A13&lt;&gt;"",'Entradas Mensais'!A13,"")</f>
        <v>43617</v>
      </c>
      <c r="B13" s="36">
        <f>IF('Entradas Mensais'!A13&lt;&gt;"",TRUNC('Entradas Mensais'!B13*'Entradas Mensais'!O13,2),"")</f>
        <v>13058.2</v>
      </c>
      <c r="C13" s="36">
        <f>IF('Entradas Mensais'!A13&lt;&gt;"",TRUNC('Entradas Mensais'!C13*'Entradas Mensais'!P13,2),"")</f>
        <v>104044.48</v>
      </c>
      <c r="D13" s="37">
        <f>IF('Entradas Mensais'!A13&lt;&gt;"",IF(ligacao="Azul",TRUNC('Entradas Mensais'!H13*'Entradas Mensais'!Q13,2),""),"")</f>
        <v>19987.91</v>
      </c>
      <c r="E13" s="37">
        <f>IF('Entradas Mensais'!A13&lt;&gt;"",TRUNC('Entradas Mensais'!I13*'Entradas Mensais'!R13,2),"")</f>
        <v>13886.83</v>
      </c>
      <c r="F13" s="37">
        <f>IF('Entradas Mensais'!A13&lt;&gt;"",IF(ligacao="Azul",TRUNC('Entradas Mensais'!J13*'Entradas Mensais'!S13,2),""),"")</f>
        <v>0</v>
      </c>
      <c r="G13" s="37">
        <f>IF('Entradas Mensais'!A13&lt;&gt;"",TRUNC('Entradas Mensais'!K13*'Entradas Mensais'!T13,2),"")</f>
        <v>0</v>
      </c>
      <c r="H13" s="37">
        <f>IF('Entradas Mensais'!A13&lt;&gt;"",TRUNC('Entradas Mensais'!L13*'Entradas Mensais'!U13,2),"")</f>
        <v>0</v>
      </c>
      <c r="I13" s="37">
        <f>IF('Entradas Mensais'!A13&lt;&gt;"",TRUNC('Entradas Mensais'!M13*'Entradas Mensais'!V13,2),"")</f>
        <v>0</v>
      </c>
      <c r="K13" s="38">
        <f>IF('Entradas Mensais'!A13&lt;&gt;"",SUM(B13:I13),"")</f>
        <v>150977.41999999998</v>
      </c>
      <c r="L13" s="36">
        <f>IF('Entradas Mensais'!A13&lt;&gt;"",'Entradas Mensais'!X13,"")</f>
        <v>741.75</v>
      </c>
      <c r="M13" s="38">
        <f>IF('Entradas Mensais'!A13&lt;&gt;"",TRUNC(($K13+$S13)*M$6,2),"")</f>
        <v>4529.32</v>
      </c>
      <c r="N13" s="38">
        <f>IF('Entradas Mensais'!A13&lt;&gt;"",TRUNC(($K13+$S13)*N$6,2),"")</f>
        <v>1811.72</v>
      </c>
      <c r="O13" s="38">
        <f>IF('Entradas Mensais'!A13&lt;&gt;"",TRUNC(($K13+$S13)*O$6,2),"")</f>
        <v>1509.77</v>
      </c>
      <c r="P13" s="38">
        <f>IF('Entradas Mensais'!A13&lt;&gt;"",TRUNC(($K13+$S13)*P$6,2),"")</f>
        <v>981.35</v>
      </c>
      <c r="Q13" s="36">
        <f>IF('Entradas Mensais'!A13&lt;&gt;"",'Entradas Mensais'!Y13,"")</f>
        <v>0</v>
      </c>
      <c r="R13" s="36">
        <f>IF('Entradas Mensais'!A13&lt;&gt;"",'Entradas Mensais'!Z13,"")</f>
        <v>0</v>
      </c>
      <c r="S13" s="36">
        <f>IF('Entradas Mensais'!A13&lt;&gt;"",'Entradas Mensais'!AA13,"")</f>
        <v>0</v>
      </c>
      <c r="T13" s="39">
        <f>IF('Entradas Mensais'!A13&lt;&gt;"",IF(classificacao="P. Público Federal",K13+L13-SUM(M13:P13)+Q13-R13+S13,K13+L13+Q13-R13+S13),"")</f>
        <v>142887.00999999998</v>
      </c>
      <c r="U13" s="38">
        <f>IF('Entradas Mensais'!A13&lt;&gt;"",SUM(M13:P13),"")</f>
        <v>8832.16</v>
      </c>
    </row>
    <row r="14" spans="1:21" x14ac:dyDescent="0.3">
      <c r="A14" s="70">
        <f>IF('Entradas Mensais'!A14&lt;&gt;"",'Entradas Mensais'!A14,"")</f>
        <v>43647</v>
      </c>
      <c r="B14" s="36">
        <f>IF('Entradas Mensais'!A14&lt;&gt;"",TRUNC('Entradas Mensais'!B14*'Entradas Mensais'!O14,2),"")</f>
        <v>11846.7</v>
      </c>
      <c r="C14" s="36">
        <f>IF('Entradas Mensais'!A14&lt;&gt;"",TRUNC('Entradas Mensais'!C14*'Entradas Mensais'!P14,2),"")</f>
        <v>86993.13</v>
      </c>
      <c r="D14" s="37">
        <f>IF('Entradas Mensais'!A14&lt;&gt;"",IF(ligacao="Azul",TRUNC('Entradas Mensais'!H14*'Entradas Mensais'!Q14,2),""),"")</f>
        <v>19968.04</v>
      </c>
      <c r="E14" s="37">
        <f>IF('Entradas Mensais'!A14&lt;&gt;"",TRUNC('Entradas Mensais'!I14*'Entradas Mensais'!R14,2),"")</f>
        <v>13873.02</v>
      </c>
      <c r="F14" s="37">
        <f>IF('Entradas Mensais'!A14&lt;&gt;"",IF(ligacao="Azul",TRUNC('Entradas Mensais'!J14*'Entradas Mensais'!S14,2),""),"")</f>
        <v>0</v>
      </c>
      <c r="G14" s="37">
        <f>IF('Entradas Mensais'!A14&lt;&gt;"",TRUNC('Entradas Mensais'!K14*'Entradas Mensais'!T14,2),"")</f>
        <v>0</v>
      </c>
      <c r="H14" s="37">
        <f>IF('Entradas Mensais'!A14&lt;&gt;"",TRUNC('Entradas Mensais'!L14*'Entradas Mensais'!U14,2),"")</f>
        <v>0</v>
      </c>
      <c r="I14" s="37">
        <f>IF('Entradas Mensais'!A14&lt;&gt;"",TRUNC('Entradas Mensais'!M14*'Entradas Mensais'!V14,2),"")</f>
        <v>0</v>
      </c>
      <c r="K14" s="38">
        <f>IF('Entradas Mensais'!A14&lt;&gt;"",SUM(B14:I14),"")</f>
        <v>132680.88999999998</v>
      </c>
      <c r="L14" s="36">
        <f>IF('Entradas Mensais'!A14&lt;&gt;"",'Entradas Mensais'!X14,"")</f>
        <v>741.75</v>
      </c>
      <c r="M14" s="38">
        <f>IF('Entradas Mensais'!A14&lt;&gt;"",TRUNC(($K14+$S14)*M$6,2),"")</f>
        <v>3980.42</v>
      </c>
      <c r="N14" s="38">
        <f>IF('Entradas Mensais'!A14&lt;&gt;"",TRUNC(($K14+$S14)*N$6,2),"")</f>
        <v>1592.17</v>
      </c>
      <c r="O14" s="38">
        <f>IF('Entradas Mensais'!A14&lt;&gt;"",TRUNC(($K14+$S14)*O$6,2),"")</f>
        <v>1326.8</v>
      </c>
      <c r="P14" s="38">
        <f>IF('Entradas Mensais'!A14&lt;&gt;"",TRUNC(($K14+$S14)*P$6,2),"")</f>
        <v>862.42</v>
      </c>
      <c r="Q14" s="36">
        <f>IF('Entradas Mensais'!A14&lt;&gt;"",'Entradas Mensais'!Y14,"")</f>
        <v>0</v>
      </c>
      <c r="R14" s="36">
        <f>IF('Entradas Mensais'!A14&lt;&gt;"",'Entradas Mensais'!Z14,"")</f>
        <v>0</v>
      </c>
      <c r="S14" s="36">
        <f>IF('Entradas Mensais'!A14&lt;&gt;"",'Entradas Mensais'!AA14,"")</f>
        <v>0</v>
      </c>
      <c r="T14" s="39">
        <f>IF('Entradas Mensais'!A14&lt;&gt;"",IF(classificacao="P. Público Federal",K14+L14-SUM(M14:P14)+Q14-R14+S14,K14+L14+Q14-R14+S14),"")</f>
        <v>125660.82999999999</v>
      </c>
      <c r="U14" s="38">
        <f>IF('Entradas Mensais'!A14&lt;&gt;"",SUM(M14:P14),"")</f>
        <v>7761.81</v>
      </c>
    </row>
    <row r="15" spans="1:21" x14ac:dyDescent="0.3">
      <c r="A15" s="70">
        <f>IF('Entradas Mensais'!A15&lt;&gt;"",'Entradas Mensais'!A15,"")</f>
        <v>43678</v>
      </c>
      <c r="B15" s="36">
        <f>IF('Entradas Mensais'!A15&lt;&gt;"",TRUNC('Entradas Mensais'!B15*'Entradas Mensais'!O15,2),"")</f>
        <v>13003.73</v>
      </c>
      <c r="C15" s="36">
        <f>IF('Entradas Mensais'!A15&lt;&gt;"",TRUNC('Entradas Mensais'!C15*'Entradas Mensais'!P15,2),"")</f>
        <v>92063.97</v>
      </c>
      <c r="D15" s="37">
        <f>IF('Entradas Mensais'!A15&lt;&gt;"",IF(ligacao="Azul",TRUNC('Entradas Mensais'!H15*'Entradas Mensais'!Q15,2),""),"")</f>
        <v>19838.43</v>
      </c>
      <c r="E15" s="37">
        <f>IF('Entradas Mensais'!A15&lt;&gt;"",TRUNC('Entradas Mensais'!I15*'Entradas Mensais'!R15,2),"")</f>
        <v>13782.98</v>
      </c>
      <c r="F15" s="37">
        <f>IF('Entradas Mensais'!A15&lt;&gt;"",IF(ligacao="Azul",TRUNC('Entradas Mensais'!J15*'Entradas Mensais'!S15,2),""),"")</f>
        <v>0</v>
      </c>
      <c r="G15" s="37">
        <f>IF('Entradas Mensais'!A15&lt;&gt;"",TRUNC('Entradas Mensais'!K15*'Entradas Mensais'!T15,2),"")</f>
        <v>0</v>
      </c>
      <c r="H15" s="37">
        <f>IF('Entradas Mensais'!A15&lt;&gt;"",TRUNC('Entradas Mensais'!L15*'Entradas Mensais'!U15,2),"")</f>
        <v>0</v>
      </c>
      <c r="I15" s="37">
        <f>IF('Entradas Mensais'!A15&lt;&gt;"",TRUNC('Entradas Mensais'!M15*'Entradas Mensais'!V15,2),"")</f>
        <v>0</v>
      </c>
      <c r="K15" s="38">
        <f>IF('Entradas Mensais'!A15&lt;&gt;"",SUM(B15:I15),"")</f>
        <v>138689.11000000002</v>
      </c>
      <c r="L15" s="36">
        <f>IF('Entradas Mensais'!A15&lt;&gt;"",'Entradas Mensais'!X15,"")</f>
        <v>741.75</v>
      </c>
      <c r="M15" s="38">
        <f>IF('Entradas Mensais'!A15&lt;&gt;"",TRUNC(($K15+$S15)*M$6,2),"")</f>
        <v>4160.67</v>
      </c>
      <c r="N15" s="38">
        <f>IF('Entradas Mensais'!A15&lt;&gt;"",TRUNC(($K15+$S15)*N$6,2),"")</f>
        <v>1664.26</v>
      </c>
      <c r="O15" s="38">
        <f>IF('Entradas Mensais'!A15&lt;&gt;"",TRUNC(($K15+$S15)*O$6,2),"")</f>
        <v>1386.89</v>
      </c>
      <c r="P15" s="38">
        <f>IF('Entradas Mensais'!A15&lt;&gt;"",TRUNC(($K15+$S15)*P$6,2),"")</f>
        <v>901.47</v>
      </c>
      <c r="Q15" s="36">
        <f>IF('Entradas Mensais'!A15&lt;&gt;"",'Entradas Mensais'!Y15,"")</f>
        <v>0</v>
      </c>
      <c r="R15" s="36">
        <f>IF('Entradas Mensais'!A15&lt;&gt;"",'Entradas Mensais'!Z15,"")</f>
        <v>0</v>
      </c>
      <c r="S15" s="36">
        <f>IF('Entradas Mensais'!A15&lt;&gt;"",'Entradas Mensais'!AA15,"")</f>
        <v>0</v>
      </c>
      <c r="T15" s="39">
        <f>IF('Entradas Mensais'!A15&lt;&gt;"",IF(classificacao="P. Público Federal",K15+L15-SUM(M15:P15)+Q15-R15+S15,K15+L15+Q15-R15+S15),"")</f>
        <v>131317.57</v>
      </c>
      <c r="U15" s="38">
        <f>IF('Entradas Mensais'!A15&lt;&gt;"",SUM(M15:P15),"")</f>
        <v>8113.2900000000009</v>
      </c>
    </row>
    <row r="16" spans="1:21" x14ac:dyDescent="0.3">
      <c r="A16" s="70">
        <f>IF('Entradas Mensais'!A16&lt;&gt;"",'Entradas Mensais'!A16,"")</f>
        <v>43709</v>
      </c>
      <c r="B16" s="36">
        <f>IF('Entradas Mensais'!A16&lt;&gt;"",TRUNC('Entradas Mensais'!B16*'Entradas Mensais'!O16,2),"")</f>
        <v>13897.44</v>
      </c>
      <c r="C16" s="36">
        <f>IF('Entradas Mensais'!A16&lt;&gt;"",TRUNC('Entradas Mensais'!C16*'Entradas Mensais'!P16,2),"")</f>
        <v>115326.57</v>
      </c>
      <c r="D16" s="37">
        <f>IF('Entradas Mensais'!A16&lt;&gt;"",IF(ligacao="Azul",TRUNC('Entradas Mensais'!H16*'Entradas Mensais'!Q16,2),""),"")</f>
        <v>19903.02</v>
      </c>
      <c r="E16" s="37">
        <f>IF('Entradas Mensais'!A16&lt;&gt;"",TRUNC('Entradas Mensais'!I16*'Entradas Mensais'!R16,2),"")</f>
        <v>13827.85</v>
      </c>
      <c r="F16" s="37">
        <f>IF('Entradas Mensais'!A16&lt;&gt;"",IF(ligacao="Azul",TRUNC('Entradas Mensais'!J16*'Entradas Mensais'!S16,2),""),"")</f>
        <v>0</v>
      </c>
      <c r="G16" s="37">
        <f>IF('Entradas Mensais'!A16&lt;&gt;"",TRUNC('Entradas Mensais'!K16*'Entradas Mensais'!T16,2),"")</f>
        <v>0</v>
      </c>
      <c r="H16" s="37">
        <f>IF('Entradas Mensais'!A16&lt;&gt;"",TRUNC('Entradas Mensais'!L16*'Entradas Mensais'!U16,2),"")</f>
        <v>0</v>
      </c>
      <c r="I16" s="37">
        <f>IF('Entradas Mensais'!A16&lt;&gt;"",TRUNC('Entradas Mensais'!M16*'Entradas Mensais'!V16,2),"")</f>
        <v>0</v>
      </c>
      <c r="K16" s="38">
        <f>IF('Entradas Mensais'!A16&lt;&gt;"",SUM(B16:I16),"")</f>
        <v>162954.88</v>
      </c>
      <c r="L16" s="36">
        <f>IF('Entradas Mensais'!A16&lt;&gt;"",'Entradas Mensais'!X16,"")</f>
        <v>741.75</v>
      </c>
      <c r="M16" s="38">
        <f>IF('Entradas Mensais'!A16&lt;&gt;"",TRUNC(($K16+$S16)*M$6,2),"")</f>
        <v>4888.6400000000003</v>
      </c>
      <c r="N16" s="38">
        <f>IF('Entradas Mensais'!A16&lt;&gt;"",TRUNC(($K16+$S16)*N$6,2),"")</f>
        <v>1955.45</v>
      </c>
      <c r="O16" s="38">
        <f>IF('Entradas Mensais'!A16&lt;&gt;"",TRUNC(($K16+$S16)*O$6,2),"")</f>
        <v>1629.54</v>
      </c>
      <c r="P16" s="38">
        <f>IF('Entradas Mensais'!A16&lt;&gt;"",TRUNC(($K16+$S16)*P$6,2),"")</f>
        <v>1059.2</v>
      </c>
      <c r="Q16" s="36">
        <f>IF('Entradas Mensais'!A16&lt;&gt;"",'Entradas Mensais'!Y16,"")</f>
        <v>0</v>
      </c>
      <c r="R16" s="36">
        <f>IF('Entradas Mensais'!A16&lt;&gt;"",'Entradas Mensais'!Z16,"")</f>
        <v>0</v>
      </c>
      <c r="S16" s="36">
        <f>IF('Entradas Mensais'!A16&lt;&gt;"",'Entradas Mensais'!AA16,"")</f>
        <v>0</v>
      </c>
      <c r="T16" s="39">
        <f>IF('Entradas Mensais'!A16&lt;&gt;"",IF(classificacao="P. Público Federal",K16+L16-SUM(M16:P16)+Q16-R16+S16,K16+L16+Q16-R16+S16),"")</f>
        <v>154163.79999999999</v>
      </c>
      <c r="U16" s="38">
        <f>IF('Entradas Mensais'!A16&lt;&gt;"",SUM(M16:P16),"")</f>
        <v>9532.8300000000017</v>
      </c>
    </row>
    <row r="17" spans="1:21" x14ac:dyDescent="0.3">
      <c r="A17" s="70">
        <f>IF('Entradas Mensais'!A17&lt;&gt;"",'Entradas Mensais'!A17,"")</f>
        <v>43739</v>
      </c>
      <c r="B17" s="36">
        <f>IF('Entradas Mensais'!A17&lt;&gt;"",TRUNC('Entradas Mensais'!B17*'Entradas Mensais'!O17,2),"")</f>
        <v>15751.47</v>
      </c>
      <c r="C17" s="36">
        <f>IF('Entradas Mensais'!A17&lt;&gt;"",TRUNC('Entradas Mensais'!C17*'Entradas Mensais'!P17,2),"")</f>
        <v>136551.54</v>
      </c>
      <c r="D17" s="37">
        <f>IF('Entradas Mensais'!A17&lt;&gt;"",IF(ligacao="Azul",TRUNC('Entradas Mensais'!H17*'Entradas Mensais'!Q17,2),""),"")</f>
        <v>19740.939999999999</v>
      </c>
      <c r="E17" s="37">
        <f>IF('Entradas Mensais'!A17&lt;&gt;"",TRUNC('Entradas Mensais'!I17*'Entradas Mensais'!R17,2),"")</f>
        <v>13715.24</v>
      </c>
      <c r="F17" s="37">
        <f>IF('Entradas Mensais'!A17&lt;&gt;"",IF(ligacao="Azul",TRUNC('Entradas Mensais'!J17*'Entradas Mensais'!S17,2),""),"")</f>
        <v>0</v>
      </c>
      <c r="G17" s="37">
        <f>IF('Entradas Mensais'!A17&lt;&gt;"",TRUNC('Entradas Mensais'!K17*'Entradas Mensais'!T17,2),"")</f>
        <v>0</v>
      </c>
      <c r="H17" s="37">
        <f>IF('Entradas Mensais'!A17&lt;&gt;"",TRUNC('Entradas Mensais'!L17*'Entradas Mensais'!U17,2),"")</f>
        <v>0</v>
      </c>
      <c r="I17" s="37">
        <f>IF('Entradas Mensais'!A17&lt;&gt;"",TRUNC('Entradas Mensais'!M17*'Entradas Mensais'!V17,2),"")</f>
        <v>2.71</v>
      </c>
      <c r="K17" s="38">
        <f>IF('Entradas Mensais'!A17&lt;&gt;"",SUM(B17:I17),"")</f>
        <v>185761.9</v>
      </c>
      <c r="L17" s="36">
        <f>IF('Entradas Mensais'!A17&lt;&gt;"",'Entradas Mensais'!X17,"")</f>
        <v>741.75</v>
      </c>
      <c r="M17" s="38">
        <f>IF('Entradas Mensais'!A17&lt;&gt;"",TRUNC(($K17+$S17)*M$6,2),"")</f>
        <v>5572.85</v>
      </c>
      <c r="N17" s="38">
        <f>IF('Entradas Mensais'!A17&lt;&gt;"",TRUNC(($K17+$S17)*N$6,2),"")</f>
        <v>2229.14</v>
      </c>
      <c r="O17" s="38">
        <f>IF('Entradas Mensais'!A17&lt;&gt;"",TRUNC(($K17+$S17)*O$6,2),"")</f>
        <v>1857.61</v>
      </c>
      <c r="P17" s="38">
        <f>IF('Entradas Mensais'!A17&lt;&gt;"",TRUNC(($K17+$S17)*P$6,2),"")</f>
        <v>1207.45</v>
      </c>
      <c r="Q17" s="36">
        <f>IF('Entradas Mensais'!A17&lt;&gt;"",'Entradas Mensais'!Y17,"")</f>
        <v>0</v>
      </c>
      <c r="R17" s="36">
        <f>IF('Entradas Mensais'!A17&lt;&gt;"",'Entradas Mensais'!Z17,"")</f>
        <v>0</v>
      </c>
      <c r="S17" s="36">
        <f>IF('Entradas Mensais'!A17&lt;&gt;"",'Entradas Mensais'!AA17,"")</f>
        <v>0</v>
      </c>
      <c r="T17" s="39">
        <f>IF('Entradas Mensais'!A17&lt;&gt;"",IF(classificacao="P. Público Federal",K17+L17-SUM(M17:P17)+Q17-R17+S17,K17+L17+Q17-R17+S17),"")</f>
        <v>175636.6</v>
      </c>
      <c r="U17" s="38">
        <f>IF('Entradas Mensais'!A17&lt;&gt;"",SUM(M17:P17),"")</f>
        <v>10867.050000000001</v>
      </c>
    </row>
    <row r="18" spans="1:21" x14ac:dyDescent="0.3">
      <c r="A18" s="70">
        <f>IF('Entradas Mensais'!A18&lt;&gt;"",'Entradas Mensais'!A18,"")</f>
        <v>43770</v>
      </c>
      <c r="B18" s="36">
        <f>IF('Entradas Mensais'!A18&lt;&gt;"",TRUNC('Entradas Mensais'!B18*'Entradas Mensais'!O18,2),"")</f>
        <v>14436.75</v>
      </c>
      <c r="C18" s="36">
        <f>IF('Entradas Mensais'!A18&lt;&gt;"",TRUNC('Entradas Mensais'!C18*'Entradas Mensais'!P18,2),"")</f>
        <v>123872.94</v>
      </c>
      <c r="D18" s="37">
        <f>IF('Entradas Mensais'!A18&lt;&gt;"",IF(ligacao="Azul",TRUNC('Entradas Mensais'!H18*'Entradas Mensais'!Q18,2),""),"")</f>
        <v>20663.150000000001</v>
      </c>
      <c r="E18" s="37">
        <f>IF('Entradas Mensais'!A18&lt;&gt;"",TRUNC('Entradas Mensais'!I18*'Entradas Mensais'!R18,2),"")</f>
        <v>14549.8</v>
      </c>
      <c r="F18" s="37">
        <f>IF('Entradas Mensais'!A18&lt;&gt;"",IF(ligacao="Azul",TRUNC('Entradas Mensais'!J18*'Entradas Mensais'!S18,2),""),"")</f>
        <v>0</v>
      </c>
      <c r="G18" s="37">
        <f>IF('Entradas Mensais'!A18&lt;&gt;"",TRUNC('Entradas Mensais'!K18*'Entradas Mensais'!T18,2),"")</f>
        <v>0</v>
      </c>
      <c r="H18" s="37">
        <f>IF('Entradas Mensais'!A18&lt;&gt;"",TRUNC('Entradas Mensais'!L18*'Entradas Mensais'!U18,2),"")</f>
        <v>0</v>
      </c>
      <c r="I18" s="37">
        <f>IF('Entradas Mensais'!A18&lt;&gt;"",TRUNC('Entradas Mensais'!M18*'Entradas Mensais'!V18,2),"")</f>
        <v>0.4</v>
      </c>
      <c r="K18" s="38">
        <f>IF('Entradas Mensais'!A18&lt;&gt;"",SUM(B18:I18),"")</f>
        <v>173523.03999999998</v>
      </c>
      <c r="L18" s="36">
        <f>IF('Entradas Mensais'!A18&lt;&gt;"",'Entradas Mensais'!X18,"")</f>
        <v>741.75</v>
      </c>
      <c r="M18" s="38">
        <f>IF('Entradas Mensais'!A18&lt;&gt;"",TRUNC(($K18+$S18)*M$6,2),"")</f>
        <v>5205.6899999999996</v>
      </c>
      <c r="N18" s="38">
        <f>IF('Entradas Mensais'!A18&lt;&gt;"",TRUNC(($K18+$S18)*N$6,2),"")</f>
        <v>2082.27</v>
      </c>
      <c r="O18" s="38">
        <f>IF('Entradas Mensais'!A18&lt;&gt;"",TRUNC(($K18+$S18)*O$6,2),"")</f>
        <v>1735.23</v>
      </c>
      <c r="P18" s="38">
        <f>IF('Entradas Mensais'!A18&lt;&gt;"",TRUNC(($K18+$S18)*P$6,2),"")</f>
        <v>1127.8900000000001</v>
      </c>
      <c r="Q18" s="36">
        <f>IF('Entradas Mensais'!A18&lt;&gt;"",'Entradas Mensais'!Y18,"")</f>
        <v>0</v>
      </c>
      <c r="R18" s="36">
        <f>IF('Entradas Mensais'!A18&lt;&gt;"",'Entradas Mensais'!Z18,"")</f>
        <v>0</v>
      </c>
      <c r="S18" s="36">
        <f>IF('Entradas Mensais'!A18&lt;&gt;"",'Entradas Mensais'!AA18,"")</f>
        <v>0</v>
      </c>
      <c r="T18" s="39">
        <f>IF('Entradas Mensais'!A18&lt;&gt;"",IF(classificacao="P. Público Federal",K18+L18-SUM(M18:P18)+Q18-R18+S18,K18+L18+Q18-R18+S18),"")</f>
        <v>164113.71</v>
      </c>
      <c r="U18" s="38">
        <f>IF('Entradas Mensais'!A18&lt;&gt;"",SUM(M18:P18),"")</f>
        <v>10151.079999999998</v>
      </c>
    </row>
    <row r="19" spans="1:21" x14ac:dyDescent="0.3">
      <c r="A19" s="70" t="str">
        <f>IF('Entradas Mensais'!A19&lt;&gt;"",'Entradas Mensais'!A19,"")</f>
        <v/>
      </c>
      <c r="B19" s="36" t="str">
        <f>IF('Entradas Mensais'!A19&lt;&gt;"",TRUNC('Entradas Mensais'!B19*'Entradas Mensais'!O19,2),"")</f>
        <v/>
      </c>
      <c r="C19" s="36" t="str">
        <f>IF('Entradas Mensais'!A19&lt;&gt;"",TRUNC('Entradas Mensais'!C19*'Entradas Mensais'!P19,2),"")</f>
        <v/>
      </c>
      <c r="D19" s="37" t="str">
        <f>IF('Entradas Mensais'!A19&lt;&gt;"",IF(ligacao="Azul",TRUNC('Entradas Mensais'!H19*'Entradas Mensais'!Q19,2),""),"")</f>
        <v/>
      </c>
      <c r="E19" s="37" t="str">
        <f>IF('Entradas Mensais'!A19&lt;&gt;"",TRUNC('Entradas Mensais'!I19*'Entradas Mensais'!R19,2),"")</f>
        <v/>
      </c>
      <c r="F19" s="37" t="str">
        <f>IF('Entradas Mensais'!A19&lt;&gt;"",IF(ligacao="Azul",TRUNC('Entradas Mensais'!J19*'Entradas Mensais'!S19,2),""),"")</f>
        <v/>
      </c>
      <c r="G19" s="37" t="str">
        <f>IF('Entradas Mensais'!A19&lt;&gt;"",TRUNC('Entradas Mensais'!K19*'Entradas Mensais'!T19,2),"")</f>
        <v/>
      </c>
      <c r="H19" s="37" t="str">
        <f>IF('Entradas Mensais'!A19&lt;&gt;"",TRUNC('Entradas Mensais'!L19*'Entradas Mensais'!U19,2),"")</f>
        <v/>
      </c>
      <c r="I19" s="37" t="str">
        <f>IF('Entradas Mensais'!A19&lt;&gt;"",TRUNC('Entradas Mensais'!M19*'Entradas Mensais'!V19,2),"")</f>
        <v/>
      </c>
      <c r="K19" s="38" t="str">
        <f>IF('Entradas Mensais'!A19&lt;&gt;"",SUM(B19:I19),"")</f>
        <v/>
      </c>
      <c r="L19" s="36" t="str">
        <f>IF('Entradas Mensais'!A19&lt;&gt;"",'Entradas Mensais'!X19,"")</f>
        <v/>
      </c>
      <c r="M19" s="38" t="str">
        <f>IF('Entradas Mensais'!A19&lt;&gt;"",TRUNC(($K19+$S19)*M$6,2),"")</f>
        <v/>
      </c>
      <c r="N19" s="38" t="str">
        <f>IF('Entradas Mensais'!A19&lt;&gt;"",TRUNC(($K19+$S19)*N$6,2),"")</f>
        <v/>
      </c>
      <c r="O19" s="38" t="str">
        <f>IF('Entradas Mensais'!A19&lt;&gt;"",TRUNC(($K19+$S19)*O$6,2),"")</f>
        <v/>
      </c>
      <c r="P19" s="38" t="str">
        <f>IF('Entradas Mensais'!A19&lt;&gt;"",TRUNC(($K19+$S19)*P$6,2),"")</f>
        <v/>
      </c>
      <c r="Q19" s="36" t="str">
        <f>IF('Entradas Mensais'!A19&lt;&gt;"",'Entradas Mensais'!Y19,"")</f>
        <v/>
      </c>
      <c r="R19" s="36" t="str">
        <f>IF('Entradas Mensais'!A19&lt;&gt;"",'Entradas Mensais'!Z19,"")</f>
        <v/>
      </c>
      <c r="S19" s="36" t="str">
        <f>IF('Entradas Mensais'!A19&lt;&gt;"",'Entradas Mensais'!AA19,"")</f>
        <v/>
      </c>
      <c r="T19" s="39" t="str">
        <f>IF('Entradas Mensais'!A19&lt;&gt;"",IF(classificacao="P. Público Federal",K19+L19-SUM(M19:P19)+Q19-R19+S19,K19+L19+Q19-R19+S19),"")</f>
        <v/>
      </c>
      <c r="U19" s="38" t="str">
        <f>IF('Entradas Mensais'!A19&lt;&gt;"",SUM(M19:P19),"")</f>
        <v/>
      </c>
    </row>
    <row r="20" spans="1:21" x14ac:dyDescent="0.3">
      <c r="A20" s="70" t="str">
        <f>IF('Entradas Mensais'!A20&lt;&gt;"",'Entradas Mensais'!A20,"")</f>
        <v/>
      </c>
      <c r="B20" s="36" t="str">
        <f>IF('Entradas Mensais'!A20&lt;&gt;"",TRUNC('Entradas Mensais'!B20*'Entradas Mensais'!O20,2),"")</f>
        <v/>
      </c>
      <c r="C20" s="36" t="str">
        <f>IF('Entradas Mensais'!A20&lt;&gt;"",TRUNC('Entradas Mensais'!C20*'Entradas Mensais'!P20,2),"")</f>
        <v/>
      </c>
      <c r="D20" s="37" t="str">
        <f>IF('Entradas Mensais'!A20&lt;&gt;"",IF(ligacao="Azul",TRUNC('Entradas Mensais'!H20*'Entradas Mensais'!Q20,2),""),"")</f>
        <v/>
      </c>
      <c r="E20" s="37" t="str">
        <f>IF('Entradas Mensais'!A20&lt;&gt;"",TRUNC('Entradas Mensais'!I20*'Entradas Mensais'!R20,2),"")</f>
        <v/>
      </c>
      <c r="F20" s="37" t="str">
        <f>IF('Entradas Mensais'!A20&lt;&gt;"",IF(ligacao="Azul",TRUNC('Entradas Mensais'!J20*'Entradas Mensais'!S20,2),""),"")</f>
        <v/>
      </c>
      <c r="G20" s="37" t="str">
        <f>IF('Entradas Mensais'!A20&lt;&gt;"",TRUNC('Entradas Mensais'!K20*'Entradas Mensais'!T20,2),"")</f>
        <v/>
      </c>
      <c r="H20" s="37" t="str">
        <f>IF('Entradas Mensais'!A20&lt;&gt;"",TRUNC('Entradas Mensais'!L20*'Entradas Mensais'!U20,2),"")</f>
        <v/>
      </c>
      <c r="I20" s="37" t="str">
        <f>IF('Entradas Mensais'!A20&lt;&gt;"",TRUNC('Entradas Mensais'!M20*'Entradas Mensais'!V20,2),"")</f>
        <v/>
      </c>
      <c r="K20" s="38" t="str">
        <f>IF('Entradas Mensais'!A20&lt;&gt;"",SUM(B20:I20),"")</f>
        <v/>
      </c>
      <c r="L20" s="36" t="str">
        <f>IF('Entradas Mensais'!A20&lt;&gt;"",'Entradas Mensais'!X20,"")</f>
        <v/>
      </c>
      <c r="M20" s="38" t="str">
        <f>IF('Entradas Mensais'!A20&lt;&gt;"",TRUNC(($K20+$S20)*M$6,2),"")</f>
        <v/>
      </c>
      <c r="N20" s="38" t="str">
        <f>IF('Entradas Mensais'!A20&lt;&gt;"",TRUNC(($K20+$S20)*N$6,2),"")</f>
        <v/>
      </c>
      <c r="O20" s="38" t="str">
        <f>IF('Entradas Mensais'!A20&lt;&gt;"",TRUNC(($K20+$S20)*O$6,2),"")</f>
        <v/>
      </c>
      <c r="P20" s="38" t="str">
        <f>IF('Entradas Mensais'!A20&lt;&gt;"",TRUNC(($K20+$S20)*P$6,2),"")</f>
        <v/>
      </c>
      <c r="Q20" s="36" t="str">
        <f>IF('Entradas Mensais'!A20&lt;&gt;"",'Entradas Mensais'!Y20,"")</f>
        <v/>
      </c>
      <c r="R20" s="36" t="str">
        <f>IF('Entradas Mensais'!A20&lt;&gt;"",'Entradas Mensais'!Z20,"")</f>
        <v/>
      </c>
      <c r="S20" s="36" t="str">
        <f>IF('Entradas Mensais'!A20&lt;&gt;"",'Entradas Mensais'!AA20,"")</f>
        <v/>
      </c>
      <c r="T20" s="39" t="str">
        <f>IF('Entradas Mensais'!A20&lt;&gt;"",IF(classificacao="P. Público Federal",K20+L20-SUM(M20:P20)+Q20-R20+S20,K20+L20+Q20-R20+S20),"")</f>
        <v/>
      </c>
      <c r="U20" s="38" t="str">
        <f>IF('Entradas Mensais'!A20&lt;&gt;"",SUM(M20:P20),"")</f>
        <v/>
      </c>
    </row>
    <row r="21" spans="1:21" x14ac:dyDescent="0.3">
      <c r="A21" s="70" t="str">
        <f>IF('Entradas Mensais'!A21&lt;&gt;"",'Entradas Mensais'!A21,"")</f>
        <v/>
      </c>
      <c r="B21" s="36" t="str">
        <f>IF('Entradas Mensais'!A21&lt;&gt;"",TRUNC('Entradas Mensais'!B21*'Entradas Mensais'!O21,2),"")</f>
        <v/>
      </c>
      <c r="C21" s="36" t="str">
        <f>IF('Entradas Mensais'!A21&lt;&gt;"",TRUNC('Entradas Mensais'!C21*'Entradas Mensais'!P21,2),"")</f>
        <v/>
      </c>
      <c r="D21" s="37" t="str">
        <f>IF('Entradas Mensais'!A21&lt;&gt;"",IF(ligacao="Azul",TRUNC('Entradas Mensais'!H21*'Entradas Mensais'!Q21,2),""),"")</f>
        <v/>
      </c>
      <c r="E21" s="37" t="str">
        <f>IF('Entradas Mensais'!A21&lt;&gt;"",TRUNC('Entradas Mensais'!I21*'Entradas Mensais'!R21,2),"")</f>
        <v/>
      </c>
      <c r="F21" s="37" t="str">
        <f>IF('Entradas Mensais'!A21&lt;&gt;"",IF(ligacao="Azul",TRUNC('Entradas Mensais'!J21*'Entradas Mensais'!S21,2),""),"")</f>
        <v/>
      </c>
      <c r="G21" s="37" t="str">
        <f>IF('Entradas Mensais'!A21&lt;&gt;"",TRUNC('Entradas Mensais'!K21*'Entradas Mensais'!T21,2),"")</f>
        <v/>
      </c>
      <c r="H21" s="37" t="str">
        <f>IF('Entradas Mensais'!A21&lt;&gt;"",TRUNC('Entradas Mensais'!L21*'Entradas Mensais'!U21,2),"")</f>
        <v/>
      </c>
      <c r="I21" s="37" t="str">
        <f>IF('Entradas Mensais'!A21&lt;&gt;"",TRUNC('Entradas Mensais'!M21*'Entradas Mensais'!V21,2),"")</f>
        <v/>
      </c>
      <c r="K21" s="38" t="str">
        <f>IF('Entradas Mensais'!A21&lt;&gt;"",SUM(B21:I21),"")</f>
        <v/>
      </c>
      <c r="L21" s="36" t="str">
        <f>IF('Entradas Mensais'!A21&lt;&gt;"",'Entradas Mensais'!X21,"")</f>
        <v/>
      </c>
      <c r="M21" s="38" t="str">
        <f>IF('Entradas Mensais'!A21&lt;&gt;"",TRUNC(($K21+$S21)*M$6,2),"")</f>
        <v/>
      </c>
      <c r="N21" s="38" t="str">
        <f>IF('Entradas Mensais'!A21&lt;&gt;"",TRUNC(($K21+$S21)*N$6,2),"")</f>
        <v/>
      </c>
      <c r="O21" s="38" t="str">
        <f>IF('Entradas Mensais'!A21&lt;&gt;"",TRUNC(($K21+$S21)*O$6,2),"")</f>
        <v/>
      </c>
      <c r="P21" s="38" t="str">
        <f>IF('Entradas Mensais'!A21&lt;&gt;"",TRUNC(($K21+$S21)*P$6,2),"")</f>
        <v/>
      </c>
      <c r="Q21" s="36" t="str">
        <f>IF('Entradas Mensais'!A21&lt;&gt;"",'Entradas Mensais'!Y21,"")</f>
        <v/>
      </c>
      <c r="R21" s="36" t="str">
        <f>IF('Entradas Mensais'!A21&lt;&gt;"",'Entradas Mensais'!Z21,"")</f>
        <v/>
      </c>
      <c r="S21" s="36" t="str">
        <f>IF('Entradas Mensais'!A21&lt;&gt;"",'Entradas Mensais'!AA21,"")</f>
        <v/>
      </c>
      <c r="T21" s="39" t="str">
        <f>IF('Entradas Mensais'!A21&lt;&gt;"",IF(classificacao="P. Público Federal",K21+L21-SUM(M21:P21)+Q21-R21+S21,K21+L21+Q21-R21+S21),"")</f>
        <v/>
      </c>
      <c r="U21" s="38" t="str">
        <f>IF('Entradas Mensais'!A21&lt;&gt;"",SUM(M21:P21),"")</f>
        <v/>
      </c>
    </row>
    <row r="22" spans="1:21" x14ac:dyDescent="0.3">
      <c r="A22" s="70" t="str">
        <f>IF('Entradas Mensais'!A22&lt;&gt;"",'Entradas Mensais'!A22,"")</f>
        <v/>
      </c>
      <c r="B22" s="36" t="str">
        <f>IF('Entradas Mensais'!A22&lt;&gt;"",TRUNC('Entradas Mensais'!B22*'Entradas Mensais'!O22,2),"")</f>
        <v/>
      </c>
      <c r="C22" s="36" t="str">
        <f>IF('Entradas Mensais'!A22&lt;&gt;"",TRUNC('Entradas Mensais'!C22*'Entradas Mensais'!P22,2),"")</f>
        <v/>
      </c>
      <c r="D22" s="37" t="str">
        <f>IF('Entradas Mensais'!A22&lt;&gt;"",IF(ligacao="Azul",TRUNC('Entradas Mensais'!H22*'Entradas Mensais'!Q22,2),""),"")</f>
        <v/>
      </c>
      <c r="E22" s="37" t="str">
        <f>IF('Entradas Mensais'!A22&lt;&gt;"",TRUNC('Entradas Mensais'!I22*'Entradas Mensais'!R22,2),"")</f>
        <v/>
      </c>
      <c r="F22" s="37" t="str">
        <f>IF('Entradas Mensais'!A22&lt;&gt;"",IF(ligacao="Azul",TRUNC('Entradas Mensais'!J22*'Entradas Mensais'!S22,2),""),"")</f>
        <v/>
      </c>
      <c r="G22" s="37" t="str">
        <f>IF('Entradas Mensais'!A22&lt;&gt;"",TRUNC('Entradas Mensais'!K22*'Entradas Mensais'!T22,2),"")</f>
        <v/>
      </c>
      <c r="H22" s="37" t="str">
        <f>IF('Entradas Mensais'!A22&lt;&gt;"",TRUNC('Entradas Mensais'!L22*'Entradas Mensais'!U22,2),"")</f>
        <v/>
      </c>
      <c r="I22" s="37" t="str">
        <f>IF('Entradas Mensais'!A22&lt;&gt;"",TRUNC('Entradas Mensais'!M22*'Entradas Mensais'!V22,2),"")</f>
        <v/>
      </c>
      <c r="K22" s="38" t="str">
        <f>IF('Entradas Mensais'!A22&lt;&gt;"",SUM(B22:I22),"")</f>
        <v/>
      </c>
      <c r="L22" s="36" t="str">
        <f>IF('Entradas Mensais'!A22&lt;&gt;"",'Entradas Mensais'!X22,"")</f>
        <v/>
      </c>
      <c r="M22" s="38" t="str">
        <f>IF('Entradas Mensais'!A22&lt;&gt;"",TRUNC(($K22+$S22)*M$6,2),"")</f>
        <v/>
      </c>
      <c r="N22" s="38" t="str">
        <f>IF('Entradas Mensais'!A22&lt;&gt;"",TRUNC(($K22+$S22)*N$6,2),"")</f>
        <v/>
      </c>
      <c r="O22" s="38" t="str">
        <f>IF('Entradas Mensais'!A22&lt;&gt;"",TRUNC(($K22+$S22)*O$6,2),"")</f>
        <v/>
      </c>
      <c r="P22" s="38" t="str">
        <f>IF('Entradas Mensais'!A22&lt;&gt;"",TRUNC(($K22+$S22)*P$6,2),"")</f>
        <v/>
      </c>
      <c r="Q22" s="36" t="str">
        <f>IF('Entradas Mensais'!A22&lt;&gt;"",'Entradas Mensais'!Y22,"")</f>
        <v/>
      </c>
      <c r="R22" s="36" t="str">
        <f>IF('Entradas Mensais'!A22&lt;&gt;"",'Entradas Mensais'!Z22,"")</f>
        <v/>
      </c>
      <c r="S22" s="36" t="str">
        <f>IF('Entradas Mensais'!A22&lt;&gt;"",'Entradas Mensais'!AA22,"")</f>
        <v/>
      </c>
      <c r="T22" s="39" t="str">
        <f>IF('Entradas Mensais'!A22&lt;&gt;"",IF(classificacao="P. Público Federal",K22+L22-SUM(M22:P22)+Q22-R22+S22,K22+L22+Q22-R22+S22),"")</f>
        <v/>
      </c>
      <c r="U22" s="38" t="str">
        <f>IF('Entradas Mensais'!A22&lt;&gt;"",SUM(M22:P22),"")</f>
        <v/>
      </c>
    </row>
    <row r="23" spans="1:21" x14ac:dyDescent="0.3">
      <c r="A23" s="70" t="str">
        <f>IF('Entradas Mensais'!A23&lt;&gt;"",'Entradas Mensais'!A23,"")</f>
        <v/>
      </c>
      <c r="B23" s="36" t="str">
        <f>IF('Entradas Mensais'!A23&lt;&gt;"",TRUNC('Entradas Mensais'!B23*'Entradas Mensais'!O23,2),"")</f>
        <v/>
      </c>
      <c r="C23" s="36" t="str">
        <f>IF('Entradas Mensais'!A23&lt;&gt;"",TRUNC('Entradas Mensais'!C23*'Entradas Mensais'!P23,2),"")</f>
        <v/>
      </c>
      <c r="D23" s="37" t="str">
        <f>IF('Entradas Mensais'!A23&lt;&gt;"",IF(ligacao="Azul",TRUNC('Entradas Mensais'!H23*'Entradas Mensais'!Q23,2),""),"")</f>
        <v/>
      </c>
      <c r="E23" s="37" t="str">
        <f>IF('Entradas Mensais'!A23&lt;&gt;"",TRUNC('Entradas Mensais'!I23*'Entradas Mensais'!R23,2),"")</f>
        <v/>
      </c>
      <c r="F23" s="37" t="str">
        <f>IF('Entradas Mensais'!A23&lt;&gt;"",IF(ligacao="Azul",TRUNC('Entradas Mensais'!J23*'Entradas Mensais'!S23,2),""),"")</f>
        <v/>
      </c>
      <c r="G23" s="37" t="str">
        <f>IF('Entradas Mensais'!A23&lt;&gt;"",TRUNC('Entradas Mensais'!K23*'Entradas Mensais'!T23,2),"")</f>
        <v/>
      </c>
      <c r="H23" s="37" t="str">
        <f>IF('Entradas Mensais'!A23&lt;&gt;"",TRUNC('Entradas Mensais'!L23*'Entradas Mensais'!U23,2),"")</f>
        <v/>
      </c>
      <c r="I23" s="37" t="str">
        <f>IF('Entradas Mensais'!A23&lt;&gt;"",TRUNC('Entradas Mensais'!M23*'Entradas Mensais'!V23,2),"")</f>
        <v/>
      </c>
      <c r="K23" s="38" t="str">
        <f>IF('Entradas Mensais'!A23&lt;&gt;"",SUM(B23:I23),"")</f>
        <v/>
      </c>
      <c r="L23" s="36" t="str">
        <f>IF('Entradas Mensais'!A23&lt;&gt;"",'Entradas Mensais'!X23,"")</f>
        <v/>
      </c>
      <c r="M23" s="38" t="str">
        <f>IF('Entradas Mensais'!A23&lt;&gt;"",TRUNC(($K23+$S23)*M$6,2),"")</f>
        <v/>
      </c>
      <c r="N23" s="38" t="str">
        <f>IF('Entradas Mensais'!A23&lt;&gt;"",TRUNC(($K23+$S23)*N$6,2),"")</f>
        <v/>
      </c>
      <c r="O23" s="38" t="str">
        <f>IF('Entradas Mensais'!A23&lt;&gt;"",TRUNC(($K23+$S23)*O$6,2),"")</f>
        <v/>
      </c>
      <c r="P23" s="38" t="str">
        <f>IF('Entradas Mensais'!A23&lt;&gt;"",TRUNC(($K23+$S23)*P$6,2),"")</f>
        <v/>
      </c>
      <c r="Q23" s="36" t="str">
        <f>IF('Entradas Mensais'!A23&lt;&gt;"",'Entradas Mensais'!Y23,"")</f>
        <v/>
      </c>
      <c r="R23" s="36" t="str">
        <f>IF('Entradas Mensais'!A23&lt;&gt;"",'Entradas Mensais'!Z23,"")</f>
        <v/>
      </c>
      <c r="S23" s="36" t="str">
        <f>IF('Entradas Mensais'!A23&lt;&gt;"",'Entradas Mensais'!AA23,"")</f>
        <v/>
      </c>
      <c r="T23" s="39" t="str">
        <f>IF('Entradas Mensais'!A23&lt;&gt;"",IF(classificacao="P. Público Federal",K23+L23-SUM(M23:P23)+Q23-R23+S23,K23+L23+Q23-R23+S23),"")</f>
        <v/>
      </c>
      <c r="U23" s="38" t="str">
        <f>IF('Entradas Mensais'!A23&lt;&gt;"",SUM(M23:P23),"")</f>
        <v/>
      </c>
    </row>
    <row r="24" spans="1:21" x14ac:dyDescent="0.3">
      <c r="A24" s="70" t="str">
        <f>IF('Entradas Mensais'!A24&lt;&gt;"",'Entradas Mensais'!A24,"")</f>
        <v/>
      </c>
      <c r="B24" s="36" t="str">
        <f>IF('Entradas Mensais'!A24&lt;&gt;"",TRUNC('Entradas Mensais'!B24*'Entradas Mensais'!O24,2),"")</f>
        <v/>
      </c>
      <c r="C24" s="36" t="str">
        <f>IF('Entradas Mensais'!A24&lt;&gt;"",TRUNC('Entradas Mensais'!C24*'Entradas Mensais'!P24,2),"")</f>
        <v/>
      </c>
      <c r="D24" s="37" t="str">
        <f>IF('Entradas Mensais'!A24&lt;&gt;"",IF(ligacao="Azul",TRUNC('Entradas Mensais'!H24*'Entradas Mensais'!Q24,2),""),"")</f>
        <v/>
      </c>
      <c r="E24" s="37" t="str">
        <f>IF('Entradas Mensais'!A24&lt;&gt;"",TRUNC('Entradas Mensais'!I24*'Entradas Mensais'!R24,2),"")</f>
        <v/>
      </c>
      <c r="F24" s="37" t="str">
        <f>IF('Entradas Mensais'!A24&lt;&gt;"",IF(ligacao="Azul",TRUNC('Entradas Mensais'!J24*'Entradas Mensais'!S24,2),""),"")</f>
        <v/>
      </c>
      <c r="G24" s="37" t="str">
        <f>IF('Entradas Mensais'!A24&lt;&gt;"",TRUNC('Entradas Mensais'!K24*'Entradas Mensais'!T24,2),"")</f>
        <v/>
      </c>
      <c r="H24" s="37" t="str">
        <f>IF('Entradas Mensais'!A24&lt;&gt;"",TRUNC('Entradas Mensais'!L24*'Entradas Mensais'!U24,2),"")</f>
        <v/>
      </c>
      <c r="I24" s="37" t="str">
        <f>IF('Entradas Mensais'!A24&lt;&gt;"",TRUNC('Entradas Mensais'!M24*'Entradas Mensais'!V24,2),"")</f>
        <v/>
      </c>
      <c r="K24" s="38" t="str">
        <f>IF('Entradas Mensais'!A24&lt;&gt;"",SUM(B24:I24),"")</f>
        <v/>
      </c>
      <c r="L24" s="36" t="str">
        <f>IF('Entradas Mensais'!A24&lt;&gt;"",'Entradas Mensais'!X24,"")</f>
        <v/>
      </c>
      <c r="M24" s="38" t="str">
        <f>IF('Entradas Mensais'!A24&lt;&gt;"",TRUNC(($K24+$S24)*M$6,2),"")</f>
        <v/>
      </c>
      <c r="N24" s="38" t="str">
        <f>IF('Entradas Mensais'!A24&lt;&gt;"",TRUNC(($K24+$S24)*N$6,2),"")</f>
        <v/>
      </c>
      <c r="O24" s="38" t="str">
        <f>IF('Entradas Mensais'!A24&lt;&gt;"",TRUNC(($K24+$S24)*O$6,2),"")</f>
        <v/>
      </c>
      <c r="P24" s="38" t="str">
        <f>IF('Entradas Mensais'!A24&lt;&gt;"",TRUNC(($K24+$S24)*P$6,2),"")</f>
        <v/>
      </c>
      <c r="Q24" s="36" t="str">
        <f>IF('Entradas Mensais'!A24&lt;&gt;"",'Entradas Mensais'!Y24,"")</f>
        <v/>
      </c>
      <c r="R24" s="36" t="str">
        <f>IF('Entradas Mensais'!A24&lt;&gt;"",'Entradas Mensais'!Z24,"")</f>
        <v/>
      </c>
      <c r="S24" s="36" t="str">
        <f>IF('Entradas Mensais'!A24&lt;&gt;"",'Entradas Mensais'!AA24,"")</f>
        <v/>
      </c>
      <c r="T24" s="39" t="str">
        <f>IF('Entradas Mensais'!A24&lt;&gt;"",IF(classificacao="P. Público Federal",K24+L24-SUM(M24:P24)+Q24-R24+S24,K24+L24+Q24-R24+S24),"")</f>
        <v/>
      </c>
      <c r="U24" s="38" t="str">
        <f>IF('Entradas Mensais'!A24&lt;&gt;"",SUM(M24:P24),"")</f>
        <v/>
      </c>
    </row>
    <row r="25" spans="1:21" x14ac:dyDescent="0.3">
      <c r="A25" s="70" t="str">
        <f>IF('Entradas Mensais'!A25&lt;&gt;"",'Entradas Mensais'!A25,"")</f>
        <v/>
      </c>
      <c r="B25" s="36" t="str">
        <f>IF('Entradas Mensais'!A25&lt;&gt;"",TRUNC('Entradas Mensais'!B25*'Entradas Mensais'!O25,2),"")</f>
        <v/>
      </c>
      <c r="C25" s="36" t="str">
        <f>IF('Entradas Mensais'!A25&lt;&gt;"",TRUNC('Entradas Mensais'!C25*'Entradas Mensais'!P25,2),"")</f>
        <v/>
      </c>
      <c r="D25" s="37" t="str">
        <f>IF('Entradas Mensais'!A25&lt;&gt;"",IF(ligacao="Azul",TRUNC('Entradas Mensais'!H25*'Entradas Mensais'!Q25,2),""),"")</f>
        <v/>
      </c>
      <c r="E25" s="37" t="str">
        <f>IF('Entradas Mensais'!A25&lt;&gt;"",TRUNC('Entradas Mensais'!I25*'Entradas Mensais'!R25,2),"")</f>
        <v/>
      </c>
      <c r="F25" s="37" t="str">
        <f>IF('Entradas Mensais'!A25&lt;&gt;"",IF(ligacao="Azul",TRUNC('Entradas Mensais'!J25*'Entradas Mensais'!S25,2),""),"")</f>
        <v/>
      </c>
      <c r="G25" s="37" t="str">
        <f>IF('Entradas Mensais'!A25&lt;&gt;"",TRUNC('Entradas Mensais'!K25*'Entradas Mensais'!T25,2),"")</f>
        <v/>
      </c>
      <c r="H25" s="37" t="str">
        <f>IF('Entradas Mensais'!A25&lt;&gt;"",TRUNC('Entradas Mensais'!L25*'Entradas Mensais'!U25,2),"")</f>
        <v/>
      </c>
      <c r="I25" s="37" t="str">
        <f>IF('Entradas Mensais'!A25&lt;&gt;"",TRUNC('Entradas Mensais'!M25*'Entradas Mensais'!V25,2),"")</f>
        <v/>
      </c>
      <c r="K25" s="38" t="str">
        <f>IF('Entradas Mensais'!A25&lt;&gt;"",SUM(B25:I25),"")</f>
        <v/>
      </c>
      <c r="L25" s="36" t="str">
        <f>IF('Entradas Mensais'!A25&lt;&gt;"",'Entradas Mensais'!X25,"")</f>
        <v/>
      </c>
      <c r="M25" s="38" t="str">
        <f>IF('Entradas Mensais'!A25&lt;&gt;"",TRUNC(($K25+$S25)*M$6,2),"")</f>
        <v/>
      </c>
      <c r="N25" s="38" t="str">
        <f>IF('Entradas Mensais'!A25&lt;&gt;"",TRUNC(($K25+$S25)*N$6,2),"")</f>
        <v/>
      </c>
      <c r="O25" s="38" t="str">
        <f>IF('Entradas Mensais'!A25&lt;&gt;"",TRUNC(($K25+$S25)*O$6,2),"")</f>
        <v/>
      </c>
      <c r="P25" s="38" t="str">
        <f>IF('Entradas Mensais'!A25&lt;&gt;"",TRUNC(($K25+$S25)*P$6,2),"")</f>
        <v/>
      </c>
      <c r="Q25" s="36" t="str">
        <f>IF('Entradas Mensais'!A25&lt;&gt;"",'Entradas Mensais'!Y25,"")</f>
        <v/>
      </c>
      <c r="R25" s="36" t="str">
        <f>IF('Entradas Mensais'!A25&lt;&gt;"",'Entradas Mensais'!Z25,"")</f>
        <v/>
      </c>
      <c r="S25" s="36" t="str">
        <f>IF('Entradas Mensais'!A25&lt;&gt;"",'Entradas Mensais'!AA25,"")</f>
        <v/>
      </c>
      <c r="T25" s="39" t="str">
        <f>IF('Entradas Mensais'!A25&lt;&gt;"",IF(classificacao="P. Público Federal",K25+L25-SUM(M25:P25)+Q25-R25+S25,K25+L25+Q25-R25+S25),"")</f>
        <v/>
      </c>
      <c r="U25" s="38" t="str">
        <f>IF('Entradas Mensais'!A25&lt;&gt;"",SUM(M25:P25),"")</f>
        <v/>
      </c>
    </row>
    <row r="26" spans="1:21" x14ac:dyDescent="0.3">
      <c r="A26" s="70" t="str">
        <f>IF('Entradas Mensais'!A26&lt;&gt;"",'Entradas Mensais'!A26,"")</f>
        <v/>
      </c>
      <c r="B26" s="36" t="str">
        <f>IF('Entradas Mensais'!A26&lt;&gt;"",TRUNC('Entradas Mensais'!B26*'Entradas Mensais'!O26,2),"")</f>
        <v/>
      </c>
      <c r="C26" s="36" t="str">
        <f>IF('Entradas Mensais'!A26&lt;&gt;"",TRUNC('Entradas Mensais'!C26*'Entradas Mensais'!P26,2),"")</f>
        <v/>
      </c>
      <c r="D26" s="37" t="str">
        <f>IF('Entradas Mensais'!A26&lt;&gt;"",IF(ligacao="Azul",TRUNC('Entradas Mensais'!H26*'Entradas Mensais'!Q26,2),""),"")</f>
        <v/>
      </c>
      <c r="E26" s="37" t="str">
        <f>IF('Entradas Mensais'!A26&lt;&gt;"",TRUNC('Entradas Mensais'!I26*'Entradas Mensais'!R26,2),"")</f>
        <v/>
      </c>
      <c r="F26" s="37" t="str">
        <f>IF('Entradas Mensais'!A26&lt;&gt;"",IF(ligacao="Azul",TRUNC('Entradas Mensais'!J26*'Entradas Mensais'!S26,2),""),"")</f>
        <v/>
      </c>
      <c r="G26" s="37" t="str">
        <f>IF('Entradas Mensais'!A26&lt;&gt;"",TRUNC('Entradas Mensais'!K26*'Entradas Mensais'!T26,2),"")</f>
        <v/>
      </c>
      <c r="H26" s="37" t="str">
        <f>IF('Entradas Mensais'!A26&lt;&gt;"",TRUNC('Entradas Mensais'!L26*'Entradas Mensais'!U26,2),"")</f>
        <v/>
      </c>
      <c r="I26" s="37" t="str">
        <f>IF('Entradas Mensais'!A26&lt;&gt;"",TRUNC('Entradas Mensais'!M26*'Entradas Mensais'!V26,2),"")</f>
        <v/>
      </c>
      <c r="K26" s="38" t="str">
        <f>IF('Entradas Mensais'!A26&lt;&gt;"",SUM(B26:I26),"")</f>
        <v/>
      </c>
      <c r="L26" s="36" t="str">
        <f>IF('Entradas Mensais'!A26&lt;&gt;"",'Entradas Mensais'!X26,"")</f>
        <v/>
      </c>
      <c r="M26" s="38" t="str">
        <f>IF('Entradas Mensais'!A26&lt;&gt;"",TRUNC(($K26+$S26)*M$6,2),"")</f>
        <v/>
      </c>
      <c r="N26" s="38" t="str">
        <f>IF('Entradas Mensais'!A26&lt;&gt;"",TRUNC(($K26+$S26)*N$6,2),"")</f>
        <v/>
      </c>
      <c r="O26" s="38" t="str">
        <f>IF('Entradas Mensais'!A26&lt;&gt;"",TRUNC(($K26+$S26)*O$6,2),"")</f>
        <v/>
      </c>
      <c r="P26" s="38" t="str">
        <f>IF('Entradas Mensais'!A26&lt;&gt;"",TRUNC(($K26+$S26)*P$6,2),"")</f>
        <v/>
      </c>
      <c r="Q26" s="36" t="str">
        <f>IF('Entradas Mensais'!A26&lt;&gt;"",'Entradas Mensais'!Y26,"")</f>
        <v/>
      </c>
      <c r="R26" s="36" t="str">
        <f>IF('Entradas Mensais'!A26&lt;&gt;"",'Entradas Mensais'!Z26,"")</f>
        <v/>
      </c>
      <c r="S26" s="36" t="str">
        <f>IF('Entradas Mensais'!A26&lt;&gt;"",'Entradas Mensais'!AA26,"")</f>
        <v/>
      </c>
      <c r="T26" s="39" t="str">
        <f>IF('Entradas Mensais'!A26&lt;&gt;"",IF(classificacao="P. Público Federal",K26+L26-SUM(M26:P26)+Q26-R26+S26,K26+L26+Q26-R26+S26),"")</f>
        <v/>
      </c>
      <c r="U26" s="38" t="str">
        <f>IF('Entradas Mensais'!A26&lt;&gt;"",SUM(M26:P26),"")</f>
        <v/>
      </c>
    </row>
    <row r="27" spans="1:21" x14ac:dyDescent="0.3">
      <c r="A27" s="70" t="str">
        <f>IF('Entradas Mensais'!A27&lt;&gt;"",'Entradas Mensais'!A27,"")</f>
        <v/>
      </c>
      <c r="B27" s="36" t="str">
        <f>IF('Entradas Mensais'!A27&lt;&gt;"",TRUNC('Entradas Mensais'!B27*'Entradas Mensais'!O27,2),"")</f>
        <v/>
      </c>
      <c r="C27" s="36" t="str">
        <f>IF('Entradas Mensais'!A27&lt;&gt;"",TRUNC('Entradas Mensais'!C27*'Entradas Mensais'!P27,2),"")</f>
        <v/>
      </c>
      <c r="D27" s="37" t="str">
        <f>IF('Entradas Mensais'!A27&lt;&gt;"",IF(ligacao="Azul",TRUNC('Entradas Mensais'!H27*'Entradas Mensais'!Q27,2),""),"")</f>
        <v/>
      </c>
      <c r="E27" s="37" t="str">
        <f>IF('Entradas Mensais'!A27&lt;&gt;"",TRUNC('Entradas Mensais'!I27*'Entradas Mensais'!R27,2),"")</f>
        <v/>
      </c>
      <c r="F27" s="37" t="str">
        <f>IF('Entradas Mensais'!A27&lt;&gt;"",IF(ligacao="Azul",TRUNC('Entradas Mensais'!J27*'Entradas Mensais'!S27,2),""),"")</f>
        <v/>
      </c>
      <c r="G27" s="37" t="str">
        <f>IF('Entradas Mensais'!A27&lt;&gt;"",TRUNC('Entradas Mensais'!K27*'Entradas Mensais'!T27,2),"")</f>
        <v/>
      </c>
      <c r="H27" s="37" t="str">
        <f>IF('Entradas Mensais'!A27&lt;&gt;"",TRUNC('Entradas Mensais'!L27*'Entradas Mensais'!U27,2),"")</f>
        <v/>
      </c>
      <c r="I27" s="37" t="str">
        <f>IF('Entradas Mensais'!A27&lt;&gt;"",TRUNC('Entradas Mensais'!M27*'Entradas Mensais'!V27,2),"")</f>
        <v/>
      </c>
      <c r="K27" s="38" t="str">
        <f>IF('Entradas Mensais'!A27&lt;&gt;"",SUM(B27:I27),"")</f>
        <v/>
      </c>
      <c r="L27" s="36" t="str">
        <f>IF('Entradas Mensais'!A27&lt;&gt;"",'Entradas Mensais'!X27,"")</f>
        <v/>
      </c>
      <c r="M27" s="38" t="str">
        <f>IF('Entradas Mensais'!A27&lt;&gt;"",TRUNC(($K27+$S27)*M$6,2),"")</f>
        <v/>
      </c>
      <c r="N27" s="38" t="str">
        <f>IF('Entradas Mensais'!A27&lt;&gt;"",TRUNC(($K27+$S27)*N$6,2),"")</f>
        <v/>
      </c>
      <c r="O27" s="38" t="str">
        <f>IF('Entradas Mensais'!A27&lt;&gt;"",TRUNC(($K27+$S27)*O$6,2),"")</f>
        <v/>
      </c>
      <c r="P27" s="38" t="str">
        <f>IF('Entradas Mensais'!A27&lt;&gt;"",TRUNC(($K27+$S27)*P$6,2),"")</f>
        <v/>
      </c>
      <c r="Q27" s="36" t="str">
        <f>IF('Entradas Mensais'!A27&lt;&gt;"",'Entradas Mensais'!Y27,"")</f>
        <v/>
      </c>
      <c r="R27" s="36" t="str">
        <f>IF('Entradas Mensais'!A27&lt;&gt;"",'Entradas Mensais'!Z27,"")</f>
        <v/>
      </c>
      <c r="S27" s="36" t="str">
        <f>IF('Entradas Mensais'!A27&lt;&gt;"",'Entradas Mensais'!AA27,"")</f>
        <v/>
      </c>
      <c r="T27" s="39" t="str">
        <f>IF('Entradas Mensais'!A27&lt;&gt;"",IF(classificacao="P. Público Federal",K27+L27-SUM(M27:P27)+Q27-R27+S27,K27+L27+Q27-R27+S27),"")</f>
        <v/>
      </c>
      <c r="U27" s="38" t="str">
        <f>IF('Entradas Mensais'!A27&lt;&gt;"",SUM(M27:P27),"")</f>
        <v/>
      </c>
    </row>
    <row r="28" spans="1:21" x14ac:dyDescent="0.3">
      <c r="A28" s="70" t="str">
        <f>IF('Entradas Mensais'!A28&lt;&gt;"",'Entradas Mensais'!A28,"")</f>
        <v/>
      </c>
      <c r="B28" s="36" t="str">
        <f>IF('Entradas Mensais'!A28&lt;&gt;"",TRUNC('Entradas Mensais'!B28*'Entradas Mensais'!O28,2),"")</f>
        <v/>
      </c>
      <c r="C28" s="36" t="str">
        <f>IF('Entradas Mensais'!A28&lt;&gt;"",TRUNC('Entradas Mensais'!C28*'Entradas Mensais'!P28,2),"")</f>
        <v/>
      </c>
      <c r="D28" s="37" t="str">
        <f>IF('Entradas Mensais'!A28&lt;&gt;"",IF(ligacao="Azul",TRUNC('Entradas Mensais'!H28*'Entradas Mensais'!Q28,2),""),"")</f>
        <v/>
      </c>
      <c r="E28" s="37" t="str">
        <f>IF('Entradas Mensais'!A28&lt;&gt;"",TRUNC('Entradas Mensais'!I28*'Entradas Mensais'!R28,2),"")</f>
        <v/>
      </c>
      <c r="F28" s="37" t="str">
        <f>IF('Entradas Mensais'!A28&lt;&gt;"",IF(ligacao="Azul",TRUNC('Entradas Mensais'!J28*'Entradas Mensais'!S28,2),""),"")</f>
        <v/>
      </c>
      <c r="G28" s="37" t="str">
        <f>IF('Entradas Mensais'!A28&lt;&gt;"",TRUNC('Entradas Mensais'!K28*'Entradas Mensais'!T28,2),"")</f>
        <v/>
      </c>
      <c r="H28" s="37" t="str">
        <f>IF('Entradas Mensais'!A28&lt;&gt;"",TRUNC('Entradas Mensais'!L28*'Entradas Mensais'!U28,2),"")</f>
        <v/>
      </c>
      <c r="I28" s="37" t="str">
        <f>IF('Entradas Mensais'!A28&lt;&gt;"",TRUNC('Entradas Mensais'!M28*'Entradas Mensais'!V28,2),"")</f>
        <v/>
      </c>
      <c r="K28" s="38" t="str">
        <f>IF('Entradas Mensais'!A28&lt;&gt;"",SUM(B28:I28),"")</f>
        <v/>
      </c>
      <c r="L28" s="36" t="str">
        <f>IF('Entradas Mensais'!A28&lt;&gt;"",'Entradas Mensais'!X28,"")</f>
        <v/>
      </c>
      <c r="M28" s="38" t="str">
        <f>IF('Entradas Mensais'!A28&lt;&gt;"",TRUNC(($K28+$S28)*M$6,2),"")</f>
        <v/>
      </c>
      <c r="N28" s="38" t="str">
        <f>IF('Entradas Mensais'!A28&lt;&gt;"",TRUNC(($K28+$S28)*N$6,2),"")</f>
        <v/>
      </c>
      <c r="O28" s="38" t="str">
        <f>IF('Entradas Mensais'!A28&lt;&gt;"",TRUNC(($K28+$S28)*O$6,2),"")</f>
        <v/>
      </c>
      <c r="P28" s="38" t="str">
        <f>IF('Entradas Mensais'!A28&lt;&gt;"",TRUNC(($K28+$S28)*P$6,2),"")</f>
        <v/>
      </c>
      <c r="Q28" s="36" t="str">
        <f>IF('Entradas Mensais'!A28&lt;&gt;"",'Entradas Mensais'!Y28,"")</f>
        <v/>
      </c>
      <c r="R28" s="36" t="str">
        <f>IF('Entradas Mensais'!A28&lt;&gt;"",'Entradas Mensais'!Z28,"")</f>
        <v/>
      </c>
      <c r="S28" s="36" t="str">
        <f>IF('Entradas Mensais'!A28&lt;&gt;"",'Entradas Mensais'!AA28,"")</f>
        <v/>
      </c>
      <c r="T28" s="39" t="str">
        <f>IF('Entradas Mensais'!A28&lt;&gt;"",IF(classificacao="P. Público Federal",K28+L28-SUM(M28:P28)+Q28-R28+S28,K28+L28+Q28-R28+S28),"")</f>
        <v/>
      </c>
      <c r="U28" s="38" t="str">
        <f>IF('Entradas Mensais'!A28&lt;&gt;"",SUM(M28:P28),"")</f>
        <v/>
      </c>
    </row>
    <row r="29" spans="1:21" x14ac:dyDescent="0.3">
      <c r="A29" s="70" t="str">
        <f>IF('Entradas Mensais'!A29&lt;&gt;"",'Entradas Mensais'!A29,"")</f>
        <v/>
      </c>
      <c r="B29" s="36" t="str">
        <f>IF('Entradas Mensais'!A29&lt;&gt;"",TRUNC('Entradas Mensais'!B29*'Entradas Mensais'!O29,2),"")</f>
        <v/>
      </c>
      <c r="C29" s="36" t="str">
        <f>IF('Entradas Mensais'!A29&lt;&gt;"",TRUNC('Entradas Mensais'!C29*'Entradas Mensais'!P29,2),"")</f>
        <v/>
      </c>
      <c r="D29" s="37" t="str">
        <f>IF('Entradas Mensais'!A29&lt;&gt;"",IF(ligacao="Azul",TRUNC('Entradas Mensais'!H29*'Entradas Mensais'!Q29,2),""),"")</f>
        <v/>
      </c>
      <c r="E29" s="37" t="str">
        <f>IF('Entradas Mensais'!A29&lt;&gt;"",TRUNC('Entradas Mensais'!I29*'Entradas Mensais'!R29,2),"")</f>
        <v/>
      </c>
      <c r="F29" s="37" t="str">
        <f>IF('Entradas Mensais'!A29&lt;&gt;"",IF(ligacao="Azul",TRUNC('Entradas Mensais'!J29*'Entradas Mensais'!S29,2),""),"")</f>
        <v/>
      </c>
      <c r="G29" s="37" t="str">
        <f>IF('Entradas Mensais'!A29&lt;&gt;"",TRUNC('Entradas Mensais'!K29*'Entradas Mensais'!T29,2),"")</f>
        <v/>
      </c>
      <c r="H29" s="37" t="str">
        <f>IF('Entradas Mensais'!A29&lt;&gt;"",TRUNC('Entradas Mensais'!L29*'Entradas Mensais'!U29,2),"")</f>
        <v/>
      </c>
      <c r="I29" s="37" t="str">
        <f>IF('Entradas Mensais'!A29&lt;&gt;"",TRUNC('Entradas Mensais'!M29*'Entradas Mensais'!V29,2),"")</f>
        <v/>
      </c>
      <c r="K29" s="38" t="str">
        <f>IF('Entradas Mensais'!A29&lt;&gt;"",SUM(B29:I29),"")</f>
        <v/>
      </c>
      <c r="L29" s="36" t="str">
        <f>IF('Entradas Mensais'!A29&lt;&gt;"",'Entradas Mensais'!X29,"")</f>
        <v/>
      </c>
      <c r="M29" s="38" t="str">
        <f>IF('Entradas Mensais'!A29&lt;&gt;"",TRUNC(($K29+$S29)*M$6,2),"")</f>
        <v/>
      </c>
      <c r="N29" s="38" t="str">
        <f>IF('Entradas Mensais'!A29&lt;&gt;"",TRUNC(($K29+$S29)*N$6,2),"")</f>
        <v/>
      </c>
      <c r="O29" s="38" t="str">
        <f>IF('Entradas Mensais'!A29&lt;&gt;"",TRUNC(($K29+$S29)*O$6,2),"")</f>
        <v/>
      </c>
      <c r="P29" s="38" t="str">
        <f>IF('Entradas Mensais'!A29&lt;&gt;"",TRUNC(($K29+$S29)*P$6,2),"")</f>
        <v/>
      </c>
      <c r="Q29" s="36" t="str">
        <f>IF('Entradas Mensais'!A29&lt;&gt;"",'Entradas Mensais'!Y29,"")</f>
        <v/>
      </c>
      <c r="R29" s="36" t="str">
        <f>IF('Entradas Mensais'!A29&lt;&gt;"",'Entradas Mensais'!Z29,"")</f>
        <v/>
      </c>
      <c r="S29" s="36" t="str">
        <f>IF('Entradas Mensais'!A29&lt;&gt;"",'Entradas Mensais'!AA29,"")</f>
        <v/>
      </c>
      <c r="T29" s="39" t="str">
        <f>IF('Entradas Mensais'!A29&lt;&gt;"",IF(classificacao="P. Público Federal",K29+L29-SUM(M29:P29)+Q29-R29+S29,K29+L29+Q29-R29+S29),"")</f>
        <v/>
      </c>
      <c r="U29" s="38" t="str">
        <f>IF('Entradas Mensais'!A29&lt;&gt;"",SUM(M29:P29),"")</f>
        <v/>
      </c>
    </row>
    <row r="30" spans="1:21" x14ac:dyDescent="0.3">
      <c r="A30" s="70" t="str">
        <f>IF('Entradas Mensais'!A30&lt;&gt;"",'Entradas Mensais'!A30,"")</f>
        <v/>
      </c>
      <c r="B30" s="36" t="str">
        <f>IF('Entradas Mensais'!A30&lt;&gt;"",TRUNC('Entradas Mensais'!B30*'Entradas Mensais'!O30,2),"")</f>
        <v/>
      </c>
      <c r="C30" s="36" t="str">
        <f>IF('Entradas Mensais'!A30&lt;&gt;"",TRUNC('Entradas Mensais'!C30*'Entradas Mensais'!P30,2),"")</f>
        <v/>
      </c>
      <c r="D30" s="37" t="str">
        <f>IF('Entradas Mensais'!A30&lt;&gt;"",IF(ligacao="Azul",TRUNC('Entradas Mensais'!H30*'Entradas Mensais'!Q30,2),""),"")</f>
        <v/>
      </c>
      <c r="E30" s="37" t="str">
        <f>IF('Entradas Mensais'!A30&lt;&gt;"",TRUNC('Entradas Mensais'!I30*'Entradas Mensais'!R30,2),"")</f>
        <v/>
      </c>
      <c r="F30" s="37" t="str">
        <f>IF('Entradas Mensais'!A30&lt;&gt;"",IF(ligacao="Azul",TRUNC('Entradas Mensais'!J30*'Entradas Mensais'!S30,2),""),"")</f>
        <v/>
      </c>
      <c r="G30" s="37" t="str">
        <f>IF('Entradas Mensais'!A30&lt;&gt;"",TRUNC('Entradas Mensais'!K30*'Entradas Mensais'!T30,2),"")</f>
        <v/>
      </c>
      <c r="H30" s="37" t="str">
        <f>IF('Entradas Mensais'!A30&lt;&gt;"",TRUNC('Entradas Mensais'!L30*'Entradas Mensais'!U30,2),"")</f>
        <v/>
      </c>
      <c r="I30" s="37" t="str">
        <f>IF('Entradas Mensais'!A30&lt;&gt;"",TRUNC('Entradas Mensais'!M30*'Entradas Mensais'!V30,2),"")</f>
        <v/>
      </c>
      <c r="K30" s="38" t="str">
        <f>IF('Entradas Mensais'!A30&lt;&gt;"",SUM(B30:I30),"")</f>
        <v/>
      </c>
      <c r="L30" s="36" t="str">
        <f>IF('Entradas Mensais'!A30&lt;&gt;"",'Entradas Mensais'!X30,"")</f>
        <v/>
      </c>
      <c r="M30" s="38" t="str">
        <f>IF('Entradas Mensais'!A30&lt;&gt;"",TRUNC(($K30+$S30)*M$6,2),"")</f>
        <v/>
      </c>
      <c r="N30" s="38" t="str">
        <f>IF('Entradas Mensais'!A30&lt;&gt;"",TRUNC(($K30+$S30)*N$6,2),"")</f>
        <v/>
      </c>
      <c r="O30" s="38" t="str">
        <f>IF('Entradas Mensais'!A30&lt;&gt;"",TRUNC(($K30+$S30)*O$6,2),"")</f>
        <v/>
      </c>
      <c r="P30" s="38" t="str">
        <f>IF('Entradas Mensais'!A30&lt;&gt;"",TRUNC(($K30+$S30)*P$6,2),"")</f>
        <v/>
      </c>
      <c r="Q30" s="36" t="str">
        <f>IF('Entradas Mensais'!A30&lt;&gt;"",'Entradas Mensais'!Y30,"")</f>
        <v/>
      </c>
      <c r="R30" s="36" t="str">
        <f>IF('Entradas Mensais'!A30&lt;&gt;"",'Entradas Mensais'!Z30,"")</f>
        <v/>
      </c>
      <c r="S30" s="36" t="str">
        <f>IF('Entradas Mensais'!A30&lt;&gt;"",'Entradas Mensais'!AA30,"")</f>
        <v/>
      </c>
      <c r="T30" s="39" t="str">
        <f>IF('Entradas Mensais'!A30&lt;&gt;"",IF(classificacao="P. Público Federal",K30+L30-SUM(M30:P30)+Q30-R30+S30,K30+L30+Q30-R30+S30),"")</f>
        <v/>
      </c>
      <c r="U30" s="38" t="str">
        <f>IF('Entradas Mensais'!A30&lt;&gt;"",SUM(M30:P30),"")</f>
        <v/>
      </c>
    </row>
    <row r="31" spans="1:21" x14ac:dyDescent="0.3">
      <c r="A31" s="70" t="str">
        <f>IF('Entradas Mensais'!A31&lt;&gt;"",'Entradas Mensais'!A31,"")</f>
        <v/>
      </c>
      <c r="B31" s="36" t="str">
        <f>IF('Entradas Mensais'!A31&lt;&gt;"",TRUNC('Entradas Mensais'!B31*'Entradas Mensais'!O31,2),"")</f>
        <v/>
      </c>
      <c r="C31" s="36" t="str">
        <f>IF('Entradas Mensais'!A31&lt;&gt;"",TRUNC('Entradas Mensais'!C31*'Entradas Mensais'!P31,2),"")</f>
        <v/>
      </c>
      <c r="D31" s="37" t="str">
        <f>IF('Entradas Mensais'!A31&lt;&gt;"",IF(ligacao="Azul",TRUNC('Entradas Mensais'!H31*'Entradas Mensais'!Q31,2),""),"")</f>
        <v/>
      </c>
      <c r="E31" s="37" t="str">
        <f>IF('Entradas Mensais'!A31&lt;&gt;"",TRUNC('Entradas Mensais'!I31*'Entradas Mensais'!R31,2),"")</f>
        <v/>
      </c>
      <c r="F31" s="37" t="str">
        <f>IF('Entradas Mensais'!A31&lt;&gt;"",IF(ligacao="Azul",TRUNC('Entradas Mensais'!J31*'Entradas Mensais'!S31,2),""),"")</f>
        <v/>
      </c>
      <c r="G31" s="37" t="str">
        <f>IF('Entradas Mensais'!A31&lt;&gt;"",TRUNC('Entradas Mensais'!K31*'Entradas Mensais'!T31,2),"")</f>
        <v/>
      </c>
      <c r="H31" s="37" t="str">
        <f>IF('Entradas Mensais'!A31&lt;&gt;"",TRUNC('Entradas Mensais'!L31*'Entradas Mensais'!U31,2),"")</f>
        <v/>
      </c>
      <c r="I31" s="37" t="str">
        <f>IF('Entradas Mensais'!A31&lt;&gt;"",TRUNC('Entradas Mensais'!M31*'Entradas Mensais'!V31,2),"")</f>
        <v/>
      </c>
      <c r="K31" s="38" t="str">
        <f>IF('Entradas Mensais'!A31&lt;&gt;"",SUM(B31:I31),"")</f>
        <v/>
      </c>
      <c r="L31" s="36" t="str">
        <f>IF('Entradas Mensais'!A31&lt;&gt;"",'Entradas Mensais'!X31,"")</f>
        <v/>
      </c>
      <c r="M31" s="38" t="str">
        <f>IF('Entradas Mensais'!A31&lt;&gt;"",TRUNC(($K31+$S31)*M$6,2),"")</f>
        <v/>
      </c>
      <c r="N31" s="38" t="str">
        <f>IF('Entradas Mensais'!A31&lt;&gt;"",TRUNC(($K31+$S31)*N$6,2),"")</f>
        <v/>
      </c>
      <c r="O31" s="38" t="str">
        <f>IF('Entradas Mensais'!A31&lt;&gt;"",TRUNC(($K31+$S31)*O$6,2),"")</f>
        <v/>
      </c>
      <c r="P31" s="38" t="str">
        <f>IF('Entradas Mensais'!A31&lt;&gt;"",TRUNC(($K31+$S31)*P$6,2),"")</f>
        <v/>
      </c>
      <c r="Q31" s="36" t="str">
        <f>IF('Entradas Mensais'!A31&lt;&gt;"",'Entradas Mensais'!Y31,"")</f>
        <v/>
      </c>
      <c r="R31" s="36" t="str">
        <f>IF('Entradas Mensais'!A31&lt;&gt;"",'Entradas Mensais'!Z31,"")</f>
        <v/>
      </c>
      <c r="S31" s="36" t="str">
        <f>IF('Entradas Mensais'!A31&lt;&gt;"",'Entradas Mensais'!AA31,"")</f>
        <v/>
      </c>
      <c r="T31" s="39" t="str">
        <f>IF('Entradas Mensais'!A31&lt;&gt;"",IF(classificacao="P. Público Federal",K31+L31-SUM(M31:P31)+Q31-R31+S31,K31+L31+Q31-R31+S31),"")</f>
        <v/>
      </c>
      <c r="U31" s="38" t="str">
        <f>IF('Entradas Mensais'!A31&lt;&gt;"",SUM(M31:P31),"")</f>
        <v/>
      </c>
    </row>
    <row r="32" spans="1:21" x14ac:dyDescent="0.3">
      <c r="A32" s="70" t="str">
        <f>IF('Entradas Mensais'!A32&lt;&gt;"",'Entradas Mensais'!A32,"")</f>
        <v/>
      </c>
      <c r="B32" s="36" t="str">
        <f>IF('Entradas Mensais'!A32&lt;&gt;"",TRUNC('Entradas Mensais'!B32*'Entradas Mensais'!O32,2),"")</f>
        <v/>
      </c>
      <c r="C32" s="36" t="str">
        <f>IF('Entradas Mensais'!A32&lt;&gt;"",TRUNC('Entradas Mensais'!C32*'Entradas Mensais'!P32,2),"")</f>
        <v/>
      </c>
      <c r="D32" s="37" t="str">
        <f>IF('Entradas Mensais'!A32&lt;&gt;"",IF(ligacao="Azul",TRUNC('Entradas Mensais'!H32*'Entradas Mensais'!Q32,2),""),"")</f>
        <v/>
      </c>
      <c r="E32" s="37" t="str">
        <f>IF('Entradas Mensais'!A32&lt;&gt;"",TRUNC('Entradas Mensais'!I32*'Entradas Mensais'!R32,2),"")</f>
        <v/>
      </c>
      <c r="F32" s="37" t="str">
        <f>IF('Entradas Mensais'!A32&lt;&gt;"",IF(ligacao="Azul",TRUNC('Entradas Mensais'!J32*'Entradas Mensais'!S32,2),""),"")</f>
        <v/>
      </c>
      <c r="G32" s="37" t="str">
        <f>IF('Entradas Mensais'!A32&lt;&gt;"",TRUNC('Entradas Mensais'!K32*'Entradas Mensais'!T32,2),"")</f>
        <v/>
      </c>
      <c r="H32" s="37" t="str">
        <f>IF('Entradas Mensais'!A32&lt;&gt;"",TRUNC('Entradas Mensais'!L32*'Entradas Mensais'!U32,2),"")</f>
        <v/>
      </c>
      <c r="I32" s="37" t="str">
        <f>IF('Entradas Mensais'!A32&lt;&gt;"",TRUNC('Entradas Mensais'!M32*'Entradas Mensais'!V32,2),"")</f>
        <v/>
      </c>
      <c r="K32" s="38" t="str">
        <f>IF('Entradas Mensais'!A32&lt;&gt;"",SUM(B32:I32),"")</f>
        <v/>
      </c>
      <c r="L32" s="36" t="str">
        <f>IF('Entradas Mensais'!A32&lt;&gt;"",'Entradas Mensais'!X32,"")</f>
        <v/>
      </c>
      <c r="M32" s="38" t="str">
        <f>IF('Entradas Mensais'!A32&lt;&gt;"",TRUNC(($K32+$S32)*M$6,2),"")</f>
        <v/>
      </c>
      <c r="N32" s="38" t="str">
        <f>IF('Entradas Mensais'!A32&lt;&gt;"",TRUNC(($K32+$S32)*N$6,2),"")</f>
        <v/>
      </c>
      <c r="O32" s="38" t="str">
        <f>IF('Entradas Mensais'!A32&lt;&gt;"",TRUNC(($K32+$S32)*O$6,2),"")</f>
        <v/>
      </c>
      <c r="P32" s="38" t="str">
        <f>IF('Entradas Mensais'!A32&lt;&gt;"",TRUNC(($K32+$S32)*P$6,2),"")</f>
        <v/>
      </c>
      <c r="Q32" s="36" t="str">
        <f>IF('Entradas Mensais'!A32&lt;&gt;"",'Entradas Mensais'!Y32,"")</f>
        <v/>
      </c>
      <c r="R32" s="36" t="str">
        <f>IF('Entradas Mensais'!A32&lt;&gt;"",'Entradas Mensais'!Z32,"")</f>
        <v/>
      </c>
      <c r="S32" s="36" t="str">
        <f>IF('Entradas Mensais'!A32&lt;&gt;"",'Entradas Mensais'!AA32,"")</f>
        <v/>
      </c>
      <c r="T32" s="39" t="str">
        <f>IF('Entradas Mensais'!A32&lt;&gt;"",IF(classificacao="P. Público Federal",K32+L32-SUM(M32:P32)+Q32-R32+S32,K32+L32+Q32-R32+S32),"")</f>
        <v/>
      </c>
      <c r="U32" s="38" t="str">
        <f>IF('Entradas Mensais'!A32&lt;&gt;"",SUM(M32:P32),"")</f>
        <v/>
      </c>
    </row>
    <row r="33" spans="1:21" x14ac:dyDescent="0.3">
      <c r="A33" s="70" t="str">
        <f>IF('Entradas Mensais'!A33&lt;&gt;"",'Entradas Mensais'!A33,"")</f>
        <v/>
      </c>
      <c r="B33" s="36" t="str">
        <f>IF('Entradas Mensais'!A33&lt;&gt;"",TRUNC('Entradas Mensais'!B33*'Entradas Mensais'!O33,2),"")</f>
        <v/>
      </c>
      <c r="C33" s="36" t="str">
        <f>IF('Entradas Mensais'!A33&lt;&gt;"",TRUNC('Entradas Mensais'!C33*'Entradas Mensais'!P33,2),"")</f>
        <v/>
      </c>
      <c r="D33" s="37" t="str">
        <f>IF('Entradas Mensais'!A33&lt;&gt;"",IF(ligacao="Azul",TRUNC('Entradas Mensais'!H33*'Entradas Mensais'!Q33,2),""),"")</f>
        <v/>
      </c>
      <c r="E33" s="37" t="str">
        <f>IF('Entradas Mensais'!A33&lt;&gt;"",TRUNC('Entradas Mensais'!I33*'Entradas Mensais'!R33,2),"")</f>
        <v/>
      </c>
      <c r="F33" s="37" t="str">
        <f>IF('Entradas Mensais'!A33&lt;&gt;"",IF(ligacao="Azul",TRUNC('Entradas Mensais'!J33*'Entradas Mensais'!S33,2),""),"")</f>
        <v/>
      </c>
      <c r="G33" s="37" t="str">
        <f>IF('Entradas Mensais'!A33&lt;&gt;"",TRUNC('Entradas Mensais'!K33*'Entradas Mensais'!T33,2),"")</f>
        <v/>
      </c>
      <c r="H33" s="37" t="str">
        <f>IF('Entradas Mensais'!A33&lt;&gt;"",TRUNC('Entradas Mensais'!L33*'Entradas Mensais'!U33,2),"")</f>
        <v/>
      </c>
      <c r="I33" s="37" t="str">
        <f>IF('Entradas Mensais'!A33&lt;&gt;"",TRUNC('Entradas Mensais'!M33*'Entradas Mensais'!V33,2),"")</f>
        <v/>
      </c>
      <c r="K33" s="38" t="str">
        <f>IF('Entradas Mensais'!A33&lt;&gt;"",SUM(B33:I33),"")</f>
        <v/>
      </c>
      <c r="L33" s="36" t="str">
        <f>IF('Entradas Mensais'!A33&lt;&gt;"",'Entradas Mensais'!X33,"")</f>
        <v/>
      </c>
      <c r="M33" s="38" t="str">
        <f>IF('Entradas Mensais'!A33&lt;&gt;"",TRUNC(($K33+$S33)*M$6,2),"")</f>
        <v/>
      </c>
      <c r="N33" s="38" t="str">
        <f>IF('Entradas Mensais'!A33&lt;&gt;"",TRUNC(($K33+$S33)*N$6,2),"")</f>
        <v/>
      </c>
      <c r="O33" s="38" t="str">
        <f>IF('Entradas Mensais'!A33&lt;&gt;"",TRUNC(($K33+$S33)*O$6,2),"")</f>
        <v/>
      </c>
      <c r="P33" s="38" t="str">
        <f>IF('Entradas Mensais'!A33&lt;&gt;"",TRUNC(($K33+$S33)*P$6,2),"")</f>
        <v/>
      </c>
      <c r="Q33" s="36" t="str">
        <f>IF('Entradas Mensais'!A33&lt;&gt;"",'Entradas Mensais'!Y33,"")</f>
        <v/>
      </c>
      <c r="R33" s="36" t="str">
        <f>IF('Entradas Mensais'!A33&lt;&gt;"",'Entradas Mensais'!Z33,"")</f>
        <v/>
      </c>
      <c r="S33" s="36" t="str">
        <f>IF('Entradas Mensais'!A33&lt;&gt;"",'Entradas Mensais'!AA33,"")</f>
        <v/>
      </c>
      <c r="T33" s="39" t="str">
        <f>IF('Entradas Mensais'!A33&lt;&gt;"",IF(classificacao="P. Público Federal",K33+L33-SUM(M33:P33)+Q33-R33+S33,K33+L33+Q33-R33+S33),"")</f>
        <v/>
      </c>
      <c r="U33" s="38" t="str">
        <f>IF('Entradas Mensais'!A33&lt;&gt;"",SUM(M33:P33),"")</f>
        <v/>
      </c>
    </row>
    <row r="34" spans="1:21" x14ac:dyDescent="0.3">
      <c r="A34" s="70" t="str">
        <f>IF('Entradas Mensais'!A34&lt;&gt;"",'Entradas Mensais'!A34,"")</f>
        <v/>
      </c>
      <c r="B34" s="36" t="str">
        <f>IF('Entradas Mensais'!A34&lt;&gt;"",TRUNC('Entradas Mensais'!B34*'Entradas Mensais'!O34,2),"")</f>
        <v/>
      </c>
      <c r="C34" s="36" t="str">
        <f>IF('Entradas Mensais'!A34&lt;&gt;"",TRUNC('Entradas Mensais'!C34*'Entradas Mensais'!P34,2),"")</f>
        <v/>
      </c>
      <c r="D34" s="37" t="str">
        <f>IF('Entradas Mensais'!A34&lt;&gt;"",IF(ligacao="Azul",TRUNC('Entradas Mensais'!H34*'Entradas Mensais'!Q34,2),""),"")</f>
        <v/>
      </c>
      <c r="E34" s="37" t="str">
        <f>IF('Entradas Mensais'!A34&lt;&gt;"",TRUNC('Entradas Mensais'!I34*'Entradas Mensais'!R34,2),"")</f>
        <v/>
      </c>
      <c r="F34" s="37" t="str">
        <f>IF('Entradas Mensais'!A34&lt;&gt;"",IF(ligacao="Azul",TRUNC('Entradas Mensais'!J34*'Entradas Mensais'!S34,2),""),"")</f>
        <v/>
      </c>
      <c r="G34" s="37" t="str">
        <f>IF('Entradas Mensais'!A34&lt;&gt;"",TRUNC('Entradas Mensais'!K34*'Entradas Mensais'!T34,2),"")</f>
        <v/>
      </c>
      <c r="H34" s="37" t="str">
        <f>IF('Entradas Mensais'!A34&lt;&gt;"",TRUNC('Entradas Mensais'!L34*'Entradas Mensais'!U34,2),"")</f>
        <v/>
      </c>
      <c r="I34" s="37" t="str">
        <f>IF('Entradas Mensais'!A34&lt;&gt;"",TRUNC('Entradas Mensais'!M34*'Entradas Mensais'!V34,2),"")</f>
        <v/>
      </c>
      <c r="K34" s="38" t="str">
        <f>IF('Entradas Mensais'!A34&lt;&gt;"",SUM(B34:I34),"")</f>
        <v/>
      </c>
      <c r="L34" s="36" t="str">
        <f>IF('Entradas Mensais'!A34&lt;&gt;"",'Entradas Mensais'!X34,"")</f>
        <v/>
      </c>
      <c r="M34" s="38" t="str">
        <f>IF('Entradas Mensais'!A34&lt;&gt;"",TRUNC(($K34+$S34)*M$6,2),"")</f>
        <v/>
      </c>
      <c r="N34" s="38" t="str">
        <f>IF('Entradas Mensais'!A34&lt;&gt;"",TRUNC(($K34+$S34)*N$6,2),"")</f>
        <v/>
      </c>
      <c r="O34" s="38" t="str">
        <f>IF('Entradas Mensais'!A34&lt;&gt;"",TRUNC(($K34+$S34)*O$6,2),"")</f>
        <v/>
      </c>
      <c r="P34" s="38" t="str">
        <f>IF('Entradas Mensais'!A34&lt;&gt;"",TRUNC(($K34+$S34)*P$6,2),"")</f>
        <v/>
      </c>
      <c r="Q34" s="36" t="str">
        <f>IF('Entradas Mensais'!A34&lt;&gt;"",'Entradas Mensais'!Y34,"")</f>
        <v/>
      </c>
      <c r="R34" s="36" t="str">
        <f>IF('Entradas Mensais'!A34&lt;&gt;"",'Entradas Mensais'!Z34,"")</f>
        <v/>
      </c>
      <c r="S34" s="36" t="str">
        <f>IF('Entradas Mensais'!A34&lt;&gt;"",'Entradas Mensais'!AA34,"")</f>
        <v/>
      </c>
      <c r="T34" s="39" t="str">
        <f>IF('Entradas Mensais'!A34&lt;&gt;"",IF(classificacao="P. Público Federal",K34+L34-SUM(M34:P34)+Q34-R34+S34,K34+L34+Q34-R34+S34),"")</f>
        <v/>
      </c>
      <c r="U34" s="38" t="str">
        <f>IF('Entradas Mensais'!A34&lt;&gt;"",SUM(M34:P34),"")</f>
        <v/>
      </c>
    </row>
    <row r="35" spans="1:21" x14ac:dyDescent="0.3">
      <c r="A35" s="70" t="str">
        <f>IF('Entradas Mensais'!A35&lt;&gt;"",'Entradas Mensais'!A35,"")</f>
        <v/>
      </c>
      <c r="B35" s="36" t="str">
        <f>IF('Entradas Mensais'!A35&lt;&gt;"",TRUNC('Entradas Mensais'!B35*'Entradas Mensais'!O35,2),"")</f>
        <v/>
      </c>
      <c r="C35" s="36" t="str">
        <f>IF('Entradas Mensais'!A35&lt;&gt;"",TRUNC('Entradas Mensais'!C35*'Entradas Mensais'!P35,2),"")</f>
        <v/>
      </c>
      <c r="D35" s="37" t="str">
        <f>IF('Entradas Mensais'!A35&lt;&gt;"",IF(ligacao="Azul",TRUNC('Entradas Mensais'!H35*'Entradas Mensais'!Q35,2),""),"")</f>
        <v/>
      </c>
      <c r="E35" s="37" t="str">
        <f>IF('Entradas Mensais'!A35&lt;&gt;"",TRUNC('Entradas Mensais'!I35*'Entradas Mensais'!R35,2),"")</f>
        <v/>
      </c>
      <c r="F35" s="37" t="str">
        <f>IF('Entradas Mensais'!A35&lt;&gt;"",IF(ligacao="Azul",TRUNC('Entradas Mensais'!J35*'Entradas Mensais'!S35,2),""),"")</f>
        <v/>
      </c>
      <c r="G35" s="37" t="str">
        <f>IF('Entradas Mensais'!A35&lt;&gt;"",TRUNC('Entradas Mensais'!K35*'Entradas Mensais'!T35,2),"")</f>
        <v/>
      </c>
      <c r="H35" s="37" t="str">
        <f>IF('Entradas Mensais'!A35&lt;&gt;"",TRUNC('Entradas Mensais'!L35*'Entradas Mensais'!U35,2),"")</f>
        <v/>
      </c>
      <c r="I35" s="37" t="str">
        <f>IF('Entradas Mensais'!A35&lt;&gt;"",TRUNC('Entradas Mensais'!M35*'Entradas Mensais'!V35,2),"")</f>
        <v/>
      </c>
      <c r="K35" s="38" t="str">
        <f>IF('Entradas Mensais'!A35&lt;&gt;"",SUM(B35:I35),"")</f>
        <v/>
      </c>
      <c r="L35" s="36" t="str">
        <f>IF('Entradas Mensais'!A35&lt;&gt;"",'Entradas Mensais'!X35,"")</f>
        <v/>
      </c>
      <c r="M35" s="38" t="str">
        <f>IF('Entradas Mensais'!A35&lt;&gt;"",TRUNC(($K35+$S35)*M$6,2),"")</f>
        <v/>
      </c>
      <c r="N35" s="38" t="str">
        <f>IF('Entradas Mensais'!A35&lt;&gt;"",TRUNC(($K35+$S35)*N$6,2),"")</f>
        <v/>
      </c>
      <c r="O35" s="38" t="str">
        <f>IF('Entradas Mensais'!A35&lt;&gt;"",TRUNC(($K35+$S35)*O$6,2),"")</f>
        <v/>
      </c>
      <c r="P35" s="38" t="str">
        <f>IF('Entradas Mensais'!A35&lt;&gt;"",TRUNC(($K35+$S35)*P$6,2),"")</f>
        <v/>
      </c>
      <c r="Q35" s="36" t="str">
        <f>IF('Entradas Mensais'!A35&lt;&gt;"",'Entradas Mensais'!Y35,"")</f>
        <v/>
      </c>
      <c r="R35" s="36" t="str">
        <f>IF('Entradas Mensais'!A35&lt;&gt;"",'Entradas Mensais'!Z35,"")</f>
        <v/>
      </c>
      <c r="S35" s="36" t="str">
        <f>IF('Entradas Mensais'!A35&lt;&gt;"",'Entradas Mensais'!AA35,"")</f>
        <v/>
      </c>
      <c r="T35" s="39" t="str">
        <f>IF('Entradas Mensais'!A35&lt;&gt;"",IF(classificacao="P. Público Federal",K35+L35-SUM(M35:P35)+Q35-R35+S35,K35+L35+Q35-R35+S35),"")</f>
        <v/>
      </c>
      <c r="U35" s="38" t="str">
        <f>IF('Entradas Mensais'!A35&lt;&gt;"",SUM(M35:P35),"")</f>
        <v/>
      </c>
    </row>
    <row r="36" spans="1:21" x14ac:dyDescent="0.3">
      <c r="A36" s="70" t="str">
        <f>IF('Entradas Mensais'!A36&lt;&gt;"",'Entradas Mensais'!A36,"")</f>
        <v/>
      </c>
      <c r="B36" s="36" t="str">
        <f>IF('Entradas Mensais'!A36&lt;&gt;"",TRUNC('Entradas Mensais'!B36*'Entradas Mensais'!O36,2),"")</f>
        <v/>
      </c>
      <c r="C36" s="36" t="str">
        <f>IF('Entradas Mensais'!A36&lt;&gt;"",TRUNC('Entradas Mensais'!C36*'Entradas Mensais'!P36,2),"")</f>
        <v/>
      </c>
      <c r="D36" s="37" t="str">
        <f>IF('Entradas Mensais'!A36&lt;&gt;"",IF(ligacao="Azul",TRUNC('Entradas Mensais'!H36*'Entradas Mensais'!Q36,2),""),"")</f>
        <v/>
      </c>
      <c r="E36" s="37" t="str">
        <f>IF('Entradas Mensais'!A36&lt;&gt;"",TRUNC('Entradas Mensais'!I36*'Entradas Mensais'!R36,2),"")</f>
        <v/>
      </c>
      <c r="F36" s="37" t="str">
        <f>IF('Entradas Mensais'!A36&lt;&gt;"",IF(ligacao="Azul",TRUNC('Entradas Mensais'!J36*'Entradas Mensais'!S36,2),""),"")</f>
        <v/>
      </c>
      <c r="G36" s="37" t="str">
        <f>IF('Entradas Mensais'!A36&lt;&gt;"",TRUNC('Entradas Mensais'!K36*'Entradas Mensais'!T36,2),"")</f>
        <v/>
      </c>
      <c r="H36" s="37" t="str">
        <f>IF('Entradas Mensais'!A36&lt;&gt;"",TRUNC('Entradas Mensais'!L36*'Entradas Mensais'!U36,2),"")</f>
        <v/>
      </c>
      <c r="I36" s="37" t="str">
        <f>IF('Entradas Mensais'!A36&lt;&gt;"",TRUNC('Entradas Mensais'!M36*'Entradas Mensais'!V36,2),"")</f>
        <v/>
      </c>
      <c r="K36" s="38" t="str">
        <f>IF('Entradas Mensais'!A36&lt;&gt;"",SUM(B36:I36),"")</f>
        <v/>
      </c>
      <c r="L36" s="36" t="str">
        <f>IF('Entradas Mensais'!A36&lt;&gt;"",'Entradas Mensais'!X36,"")</f>
        <v/>
      </c>
      <c r="M36" s="38" t="str">
        <f>IF('Entradas Mensais'!A36&lt;&gt;"",TRUNC(($K36+$S36)*M$6,2),"")</f>
        <v/>
      </c>
      <c r="N36" s="38" t="str">
        <f>IF('Entradas Mensais'!A36&lt;&gt;"",TRUNC(($K36+$S36)*N$6,2),"")</f>
        <v/>
      </c>
      <c r="O36" s="38" t="str">
        <f>IF('Entradas Mensais'!A36&lt;&gt;"",TRUNC(($K36+$S36)*O$6,2),"")</f>
        <v/>
      </c>
      <c r="P36" s="38" t="str">
        <f>IF('Entradas Mensais'!A36&lt;&gt;"",TRUNC(($K36+$S36)*P$6,2),"")</f>
        <v/>
      </c>
      <c r="Q36" s="36" t="str">
        <f>IF('Entradas Mensais'!A36&lt;&gt;"",'Entradas Mensais'!Y36,"")</f>
        <v/>
      </c>
      <c r="R36" s="36" t="str">
        <f>IF('Entradas Mensais'!A36&lt;&gt;"",'Entradas Mensais'!Z36,"")</f>
        <v/>
      </c>
      <c r="S36" s="36" t="str">
        <f>IF('Entradas Mensais'!A36&lt;&gt;"",'Entradas Mensais'!AA36,"")</f>
        <v/>
      </c>
      <c r="T36" s="39" t="str">
        <f>IF('Entradas Mensais'!A36&lt;&gt;"",IF(classificacao="P. Público Federal",K36+L36-SUM(M36:P36)+Q36-R36+S36,K36+L36+Q36-R36+S36),"")</f>
        <v/>
      </c>
      <c r="U36" s="38" t="str">
        <f>IF('Entradas Mensais'!A36&lt;&gt;"",SUM(M36:P36),"")</f>
        <v/>
      </c>
    </row>
    <row r="37" spans="1:21" x14ac:dyDescent="0.3">
      <c r="A37" s="70" t="str">
        <f>IF('Entradas Mensais'!A37&lt;&gt;"",'Entradas Mensais'!A37,"")</f>
        <v/>
      </c>
      <c r="B37" s="36" t="str">
        <f>IF('Entradas Mensais'!A37&lt;&gt;"",TRUNC('Entradas Mensais'!B37*'Entradas Mensais'!O37,2),"")</f>
        <v/>
      </c>
      <c r="C37" s="36" t="str">
        <f>IF('Entradas Mensais'!A37&lt;&gt;"",TRUNC('Entradas Mensais'!C37*'Entradas Mensais'!P37,2),"")</f>
        <v/>
      </c>
      <c r="D37" s="37" t="str">
        <f>IF('Entradas Mensais'!A37&lt;&gt;"",IF(ligacao="Azul",TRUNC('Entradas Mensais'!H37*'Entradas Mensais'!Q37,2),""),"")</f>
        <v/>
      </c>
      <c r="E37" s="37" t="str">
        <f>IF('Entradas Mensais'!A37&lt;&gt;"",TRUNC('Entradas Mensais'!I37*'Entradas Mensais'!R37,2),"")</f>
        <v/>
      </c>
      <c r="F37" s="37" t="str">
        <f>IF('Entradas Mensais'!A37&lt;&gt;"",IF(ligacao="Azul",TRUNC('Entradas Mensais'!J37*'Entradas Mensais'!S37,2),""),"")</f>
        <v/>
      </c>
      <c r="G37" s="37" t="str">
        <f>IF('Entradas Mensais'!A37&lt;&gt;"",TRUNC('Entradas Mensais'!K37*'Entradas Mensais'!T37,2),"")</f>
        <v/>
      </c>
      <c r="H37" s="37" t="str">
        <f>IF('Entradas Mensais'!A37&lt;&gt;"",TRUNC('Entradas Mensais'!L37*'Entradas Mensais'!U37,2),"")</f>
        <v/>
      </c>
      <c r="I37" s="37" t="str">
        <f>IF('Entradas Mensais'!A37&lt;&gt;"",TRUNC('Entradas Mensais'!M37*'Entradas Mensais'!V37,2),"")</f>
        <v/>
      </c>
      <c r="K37" s="38" t="str">
        <f>IF('Entradas Mensais'!A37&lt;&gt;"",SUM(B37:I37),"")</f>
        <v/>
      </c>
      <c r="L37" s="36" t="str">
        <f>IF('Entradas Mensais'!A37&lt;&gt;"",'Entradas Mensais'!X37,"")</f>
        <v/>
      </c>
      <c r="M37" s="38" t="str">
        <f>IF('Entradas Mensais'!A37&lt;&gt;"",TRUNC(($K37+$S37)*M$6,2),"")</f>
        <v/>
      </c>
      <c r="N37" s="38" t="str">
        <f>IF('Entradas Mensais'!A37&lt;&gt;"",TRUNC(($K37+$S37)*N$6,2),"")</f>
        <v/>
      </c>
      <c r="O37" s="38" t="str">
        <f>IF('Entradas Mensais'!A37&lt;&gt;"",TRUNC(($K37+$S37)*O$6,2),"")</f>
        <v/>
      </c>
      <c r="P37" s="38" t="str">
        <f>IF('Entradas Mensais'!A37&lt;&gt;"",TRUNC(($K37+$S37)*P$6,2),"")</f>
        <v/>
      </c>
      <c r="Q37" s="36" t="str">
        <f>IF('Entradas Mensais'!A37&lt;&gt;"",'Entradas Mensais'!Y37,"")</f>
        <v/>
      </c>
      <c r="R37" s="36" t="str">
        <f>IF('Entradas Mensais'!A37&lt;&gt;"",'Entradas Mensais'!Z37,"")</f>
        <v/>
      </c>
      <c r="S37" s="36" t="str">
        <f>IF('Entradas Mensais'!A37&lt;&gt;"",'Entradas Mensais'!AA37,"")</f>
        <v/>
      </c>
      <c r="T37" s="39" t="str">
        <f>IF('Entradas Mensais'!A37&lt;&gt;"",IF(classificacao="P. Público Federal",K37+L37-SUM(M37:P37)+Q37-R37+S37,K37+L37+Q37-R37+S37),"")</f>
        <v/>
      </c>
      <c r="U37" s="38" t="str">
        <f>IF('Entradas Mensais'!A37&lt;&gt;"",SUM(M37:P37),"")</f>
        <v/>
      </c>
    </row>
    <row r="38" spans="1:21" x14ac:dyDescent="0.3">
      <c r="A38" s="70" t="str">
        <f>IF('Entradas Mensais'!A38&lt;&gt;"",'Entradas Mensais'!A38,"")</f>
        <v/>
      </c>
      <c r="B38" s="36" t="str">
        <f>IF('Entradas Mensais'!A38&lt;&gt;"",TRUNC('Entradas Mensais'!B38*'Entradas Mensais'!O38,2),"")</f>
        <v/>
      </c>
      <c r="C38" s="36" t="str">
        <f>IF('Entradas Mensais'!A38&lt;&gt;"",TRUNC('Entradas Mensais'!C38*'Entradas Mensais'!P38,2),"")</f>
        <v/>
      </c>
      <c r="D38" s="37" t="str">
        <f>IF('Entradas Mensais'!A38&lt;&gt;"",IF(ligacao="Azul",TRUNC('Entradas Mensais'!H38*'Entradas Mensais'!Q38,2),""),"")</f>
        <v/>
      </c>
      <c r="E38" s="37" t="str">
        <f>IF('Entradas Mensais'!A38&lt;&gt;"",TRUNC('Entradas Mensais'!I38*'Entradas Mensais'!R38,2),"")</f>
        <v/>
      </c>
      <c r="F38" s="37" t="str">
        <f>IF('Entradas Mensais'!A38&lt;&gt;"",IF(ligacao="Azul",TRUNC('Entradas Mensais'!J38*'Entradas Mensais'!S38,2),""),"")</f>
        <v/>
      </c>
      <c r="G38" s="37" t="str">
        <f>IF('Entradas Mensais'!A38&lt;&gt;"",TRUNC('Entradas Mensais'!K38*'Entradas Mensais'!T38,2),"")</f>
        <v/>
      </c>
      <c r="H38" s="37" t="str">
        <f>IF('Entradas Mensais'!A38&lt;&gt;"",TRUNC('Entradas Mensais'!L38*'Entradas Mensais'!U38,2),"")</f>
        <v/>
      </c>
      <c r="I38" s="37" t="str">
        <f>IF('Entradas Mensais'!A38&lt;&gt;"",TRUNC('Entradas Mensais'!M38*'Entradas Mensais'!V38,2),"")</f>
        <v/>
      </c>
      <c r="K38" s="38" t="str">
        <f>IF('Entradas Mensais'!A38&lt;&gt;"",SUM(B38:I38),"")</f>
        <v/>
      </c>
      <c r="L38" s="36" t="str">
        <f>IF('Entradas Mensais'!A38&lt;&gt;"",'Entradas Mensais'!X38,"")</f>
        <v/>
      </c>
      <c r="M38" s="38" t="str">
        <f>IF('Entradas Mensais'!A38&lt;&gt;"",TRUNC(($K38+$S38)*M$6,2),"")</f>
        <v/>
      </c>
      <c r="N38" s="38" t="str">
        <f>IF('Entradas Mensais'!A38&lt;&gt;"",TRUNC(($K38+$S38)*N$6,2),"")</f>
        <v/>
      </c>
      <c r="O38" s="38" t="str">
        <f>IF('Entradas Mensais'!A38&lt;&gt;"",TRUNC(($K38+$S38)*O$6,2),"")</f>
        <v/>
      </c>
      <c r="P38" s="38" t="str">
        <f>IF('Entradas Mensais'!A38&lt;&gt;"",TRUNC(($K38+$S38)*P$6,2),"")</f>
        <v/>
      </c>
      <c r="Q38" s="36" t="str">
        <f>IF('Entradas Mensais'!A38&lt;&gt;"",'Entradas Mensais'!Y38,"")</f>
        <v/>
      </c>
      <c r="R38" s="36" t="str">
        <f>IF('Entradas Mensais'!A38&lt;&gt;"",'Entradas Mensais'!Z38,"")</f>
        <v/>
      </c>
      <c r="S38" s="36" t="str">
        <f>IF('Entradas Mensais'!A38&lt;&gt;"",'Entradas Mensais'!AA38,"")</f>
        <v/>
      </c>
      <c r="T38" s="39" t="str">
        <f>IF('Entradas Mensais'!A38&lt;&gt;"",IF(classificacao="P. Público Federal",K38+L38-SUM(M38:P38)+Q38-R38+S38,K38+L38+Q38-R38+S38),"")</f>
        <v/>
      </c>
      <c r="U38" s="38" t="str">
        <f>IF('Entradas Mensais'!A38&lt;&gt;"",SUM(M38:P38),"")</f>
        <v/>
      </c>
    </row>
    <row r="39" spans="1:21" x14ac:dyDescent="0.3">
      <c r="A39" s="70" t="str">
        <f>IF('Entradas Mensais'!A39&lt;&gt;"",'Entradas Mensais'!A39,"")</f>
        <v/>
      </c>
      <c r="B39" s="36" t="str">
        <f>IF('Entradas Mensais'!A39&lt;&gt;"",TRUNC('Entradas Mensais'!B39*'Entradas Mensais'!O39,2),"")</f>
        <v/>
      </c>
      <c r="C39" s="36" t="str">
        <f>IF('Entradas Mensais'!A39&lt;&gt;"",TRUNC('Entradas Mensais'!C39*'Entradas Mensais'!P39,2),"")</f>
        <v/>
      </c>
      <c r="D39" s="37" t="str">
        <f>IF('Entradas Mensais'!A39&lt;&gt;"",IF(ligacao="Azul",TRUNC('Entradas Mensais'!H39*'Entradas Mensais'!Q39,2),""),"")</f>
        <v/>
      </c>
      <c r="E39" s="37" t="str">
        <f>IF('Entradas Mensais'!A39&lt;&gt;"",TRUNC('Entradas Mensais'!I39*'Entradas Mensais'!R39,2),"")</f>
        <v/>
      </c>
      <c r="F39" s="37" t="str">
        <f>IF('Entradas Mensais'!A39&lt;&gt;"",IF(ligacao="Azul",TRUNC('Entradas Mensais'!J39*'Entradas Mensais'!S39,2),""),"")</f>
        <v/>
      </c>
      <c r="G39" s="37" t="str">
        <f>IF('Entradas Mensais'!A39&lt;&gt;"",TRUNC('Entradas Mensais'!K39*'Entradas Mensais'!T39,2),"")</f>
        <v/>
      </c>
      <c r="H39" s="37" t="str">
        <f>IF('Entradas Mensais'!A39&lt;&gt;"",TRUNC('Entradas Mensais'!L39*'Entradas Mensais'!U39,2),"")</f>
        <v/>
      </c>
      <c r="I39" s="37" t="str">
        <f>IF('Entradas Mensais'!A39&lt;&gt;"",TRUNC('Entradas Mensais'!M39*'Entradas Mensais'!V39,2),"")</f>
        <v/>
      </c>
      <c r="K39" s="38" t="str">
        <f>IF('Entradas Mensais'!A39&lt;&gt;"",SUM(B39:I39),"")</f>
        <v/>
      </c>
      <c r="L39" s="36" t="str">
        <f>IF('Entradas Mensais'!A39&lt;&gt;"",'Entradas Mensais'!X39,"")</f>
        <v/>
      </c>
      <c r="M39" s="38" t="str">
        <f>IF('Entradas Mensais'!A39&lt;&gt;"",TRUNC(($K39+$S39)*M$6,2),"")</f>
        <v/>
      </c>
      <c r="N39" s="38" t="str">
        <f>IF('Entradas Mensais'!A39&lt;&gt;"",TRUNC(($K39+$S39)*N$6,2),"")</f>
        <v/>
      </c>
      <c r="O39" s="38" t="str">
        <f>IF('Entradas Mensais'!A39&lt;&gt;"",TRUNC(($K39+$S39)*O$6,2),"")</f>
        <v/>
      </c>
      <c r="P39" s="38" t="str">
        <f>IF('Entradas Mensais'!A39&lt;&gt;"",TRUNC(($K39+$S39)*P$6,2),"")</f>
        <v/>
      </c>
      <c r="Q39" s="36" t="str">
        <f>IF('Entradas Mensais'!A39&lt;&gt;"",'Entradas Mensais'!Y39,"")</f>
        <v/>
      </c>
      <c r="R39" s="36" t="str">
        <f>IF('Entradas Mensais'!A39&lt;&gt;"",'Entradas Mensais'!Z39,"")</f>
        <v/>
      </c>
      <c r="S39" s="36" t="str">
        <f>IF('Entradas Mensais'!A39&lt;&gt;"",'Entradas Mensais'!AA39,"")</f>
        <v/>
      </c>
      <c r="T39" s="39" t="str">
        <f>IF('Entradas Mensais'!A39&lt;&gt;"",IF(classificacao="P. Público Federal",K39+L39-SUM(M39:P39)+Q39-R39+S39,K39+L39+Q39-R39+S39),"")</f>
        <v/>
      </c>
      <c r="U39" s="38" t="str">
        <f>IF('Entradas Mensais'!A39&lt;&gt;"",SUM(M39:P39),"")</f>
        <v/>
      </c>
    </row>
    <row r="40" spans="1:21" x14ac:dyDescent="0.3">
      <c r="A40" s="70" t="str">
        <f>IF('Entradas Mensais'!A40&lt;&gt;"",'Entradas Mensais'!A40,"")</f>
        <v/>
      </c>
      <c r="B40" s="36" t="str">
        <f>IF('Entradas Mensais'!A40&lt;&gt;"",TRUNC('Entradas Mensais'!B40*'Entradas Mensais'!O40,2),"")</f>
        <v/>
      </c>
      <c r="C40" s="36" t="str">
        <f>IF('Entradas Mensais'!A40&lt;&gt;"",TRUNC('Entradas Mensais'!C40*'Entradas Mensais'!P40,2),"")</f>
        <v/>
      </c>
      <c r="D40" s="37" t="str">
        <f>IF('Entradas Mensais'!A40&lt;&gt;"",IF(ligacao="Azul",TRUNC('Entradas Mensais'!H40*'Entradas Mensais'!Q40,2),""),"")</f>
        <v/>
      </c>
      <c r="E40" s="37" t="str">
        <f>IF('Entradas Mensais'!A40&lt;&gt;"",TRUNC('Entradas Mensais'!I40*'Entradas Mensais'!R40,2),"")</f>
        <v/>
      </c>
      <c r="F40" s="37" t="str">
        <f>IF('Entradas Mensais'!A40&lt;&gt;"",IF(ligacao="Azul",TRUNC('Entradas Mensais'!J40*'Entradas Mensais'!S40,2),""),"")</f>
        <v/>
      </c>
      <c r="G40" s="37" t="str">
        <f>IF('Entradas Mensais'!A40&lt;&gt;"",TRUNC('Entradas Mensais'!K40*'Entradas Mensais'!T40,2),"")</f>
        <v/>
      </c>
      <c r="H40" s="37" t="str">
        <f>IF('Entradas Mensais'!A40&lt;&gt;"",TRUNC('Entradas Mensais'!L40*'Entradas Mensais'!U40,2),"")</f>
        <v/>
      </c>
      <c r="I40" s="37" t="str">
        <f>IF('Entradas Mensais'!A40&lt;&gt;"",TRUNC('Entradas Mensais'!M40*'Entradas Mensais'!V40,2),"")</f>
        <v/>
      </c>
      <c r="K40" s="38" t="str">
        <f>IF('Entradas Mensais'!A40&lt;&gt;"",SUM(B40:I40),"")</f>
        <v/>
      </c>
      <c r="L40" s="36" t="str">
        <f>IF('Entradas Mensais'!A40&lt;&gt;"",'Entradas Mensais'!X40,"")</f>
        <v/>
      </c>
      <c r="M40" s="38" t="str">
        <f>IF('Entradas Mensais'!A40&lt;&gt;"",TRUNC(($K40+$S40)*M$6,2),"")</f>
        <v/>
      </c>
      <c r="N40" s="38" t="str">
        <f>IF('Entradas Mensais'!A40&lt;&gt;"",TRUNC(($K40+$S40)*N$6,2),"")</f>
        <v/>
      </c>
      <c r="O40" s="38" t="str">
        <f>IF('Entradas Mensais'!A40&lt;&gt;"",TRUNC(($K40+$S40)*O$6,2),"")</f>
        <v/>
      </c>
      <c r="P40" s="38" t="str">
        <f>IF('Entradas Mensais'!A40&lt;&gt;"",TRUNC(($K40+$S40)*P$6,2),"")</f>
        <v/>
      </c>
      <c r="Q40" s="36" t="str">
        <f>IF('Entradas Mensais'!A40&lt;&gt;"",'Entradas Mensais'!Y40,"")</f>
        <v/>
      </c>
      <c r="R40" s="36" t="str">
        <f>IF('Entradas Mensais'!A40&lt;&gt;"",'Entradas Mensais'!Z40,"")</f>
        <v/>
      </c>
      <c r="S40" s="36" t="str">
        <f>IF('Entradas Mensais'!A40&lt;&gt;"",'Entradas Mensais'!AA40,"")</f>
        <v/>
      </c>
      <c r="T40" s="39" t="str">
        <f>IF('Entradas Mensais'!A40&lt;&gt;"",IF(classificacao="P. Público Federal",K40+L40-SUM(M40:P40)+Q40-R40+S40,K40+L40+Q40-R40+S40),"")</f>
        <v/>
      </c>
      <c r="U40" s="38" t="str">
        <f>IF('Entradas Mensais'!A40&lt;&gt;"",SUM(M40:P40),"")</f>
        <v/>
      </c>
    </row>
    <row r="41" spans="1:21" x14ac:dyDescent="0.3">
      <c r="A41" s="70" t="str">
        <f>IF('Entradas Mensais'!A41&lt;&gt;"",'Entradas Mensais'!A41,"")</f>
        <v/>
      </c>
      <c r="B41" s="36" t="str">
        <f>IF('Entradas Mensais'!A41&lt;&gt;"",TRUNC('Entradas Mensais'!B41*'Entradas Mensais'!O41,2),"")</f>
        <v/>
      </c>
      <c r="C41" s="36" t="str">
        <f>IF('Entradas Mensais'!A41&lt;&gt;"",TRUNC('Entradas Mensais'!C41*'Entradas Mensais'!P41,2),"")</f>
        <v/>
      </c>
      <c r="D41" s="37" t="str">
        <f>IF('Entradas Mensais'!A41&lt;&gt;"",IF(ligacao="Azul",TRUNC('Entradas Mensais'!H41*'Entradas Mensais'!Q41,2),""),"")</f>
        <v/>
      </c>
      <c r="E41" s="37" t="str">
        <f>IF('Entradas Mensais'!A41&lt;&gt;"",TRUNC('Entradas Mensais'!I41*'Entradas Mensais'!R41,2),"")</f>
        <v/>
      </c>
      <c r="F41" s="37" t="str">
        <f>IF('Entradas Mensais'!A41&lt;&gt;"",IF(ligacao="Azul",TRUNC('Entradas Mensais'!J41*'Entradas Mensais'!S41,2),""),"")</f>
        <v/>
      </c>
      <c r="G41" s="37" t="str">
        <f>IF('Entradas Mensais'!A41&lt;&gt;"",TRUNC('Entradas Mensais'!K41*'Entradas Mensais'!T41,2),"")</f>
        <v/>
      </c>
      <c r="H41" s="37" t="str">
        <f>IF('Entradas Mensais'!A41&lt;&gt;"",TRUNC('Entradas Mensais'!L41*'Entradas Mensais'!U41,2),"")</f>
        <v/>
      </c>
      <c r="I41" s="37" t="str">
        <f>IF('Entradas Mensais'!A41&lt;&gt;"",TRUNC('Entradas Mensais'!M41*'Entradas Mensais'!V41,2),"")</f>
        <v/>
      </c>
      <c r="K41" s="38" t="str">
        <f>IF('Entradas Mensais'!A41&lt;&gt;"",SUM(B41:I41),"")</f>
        <v/>
      </c>
      <c r="L41" s="36" t="str">
        <f>IF('Entradas Mensais'!A41&lt;&gt;"",'Entradas Mensais'!X41,"")</f>
        <v/>
      </c>
      <c r="M41" s="38" t="str">
        <f>IF('Entradas Mensais'!A41&lt;&gt;"",TRUNC(($K41+$S41)*M$6,2),"")</f>
        <v/>
      </c>
      <c r="N41" s="38" t="str">
        <f>IF('Entradas Mensais'!A41&lt;&gt;"",TRUNC(($K41+$S41)*N$6,2),"")</f>
        <v/>
      </c>
      <c r="O41" s="38" t="str">
        <f>IF('Entradas Mensais'!A41&lt;&gt;"",TRUNC(($K41+$S41)*O$6,2),"")</f>
        <v/>
      </c>
      <c r="P41" s="38" t="str">
        <f>IF('Entradas Mensais'!A41&lt;&gt;"",TRUNC(($K41+$S41)*P$6,2),"")</f>
        <v/>
      </c>
      <c r="Q41" s="36" t="str">
        <f>IF('Entradas Mensais'!A41&lt;&gt;"",'Entradas Mensais'!Y41,"")</f>
        <v/>
      </c>
      <c r="R41" s="36" t="str">
        <f>IF('Entradas Mensais'!A41&lt;&gt;"",'Entradas Mensais'!Z41,"")</f>
        <v/>
      </c>
      <c r="S41" s="36" t="str">
        <f>IF('Entradas Mensais'!A41&lt;&gt;"",'Entradas Mensais'!AA41,"")</f>
        <v/>
      </c>
      <c r="T41" s="39" t="str">
        <f>IF('Entradas Mensais'!A41&lt;&gt;"",IF(classificacao="P. Público Federal",K41+L41-SUM(M41:P41)+Q41-R41+S41,K41+L41+Q41-R41+S41),"")</f>
        <v/>
      </c>
      <c r="U41" s="38" t="str">
        <f>IF('Entradas Mensais'!A41&lt;&gt;"",SUM(M41:P41),"")</f>
        <v/>
      </c>
    </row>
    <row r="42" spans="1:21" x14ac:dyDescent="0.3">
      <c r="A42" s="70" t="str">
        <f>IF('Entradas Mensais'!A42&lt;&gt;"",'Entradas Mensais'!A42,"")</f>
        <v/>
      </c>
      <c r="B42" s="36" t="str">
        <f>IF('Entradas Mensais'!A42&lt;&gt;"",TRUNC('Entradas Mensais'!B42*'Entradas Mensais'!O42,2),"")</f>
        <v/>
      </c>
      <c r="C42" s="36" t="str">
        <f>IF('Entradas Mensais'!A42&lt;&gt;"",TRUNC('Entradas Mensais'!C42*'Entradas Mensais'!P42,2),"")</f>
        <v/>
      </c>
      <c r="D42" s="37" t="str">
        <f>IF('Entradas Mensais'!A42&lt;&gt;"",IF(ligacao="Azul",TRUNC('Entradas Mensais'!H42*'Entradas Mensais'!Q42,2),""),"")</f>
        <v/>
      </c>
      <c r="E42" s="37" t="str">
        <f>IF('Entradas Mensais'!A42&lt;&gt;"",TRUNC('Entradas Mensais'!I42*'Entradas Mensais'!R42,2),"")</f>
        <v/>
      </c>
      <c r="F42" s="37" t="str">
        <f>IF('Entradas Mensais'!A42&lt;&gt;"",IF(ligacao="Azul",TRUNC('Entradas Mensais'!J42*'Entradas Mensais'!S42,2),""),"")</f>
        <v/>
      </c>
      <c r="G42" s="37" t="str">
        <f>IF('Entradas Mensais'!A42&lt;&gt;"",TRUNC('Entradas Mensais'!K42*'Entradas Mensais'!T42,2),"")</f>
        <v/>
      </c>
      <c r="H42" s="37" t="str">
        <f>IF('Entradas Mensais'!A42&lt;&gt;"",TRUNC('Entradas Mensais'!L42*'Entradas Mensais'!U42,2),"")</f>
        <v/>
      </c>
      <c r="I42" s="37" t="str">
        <f>IF('Entradas Mensais'!A42&lt;&gt;"",TRUNC('Entradas Mensais'!M42*'Entradas Mensais'!V42,2),"")</f>
        <v/>
      </c>
      <c r="K42" s="38" t="str">
        <f>IF('Entradas Mensais'!A42&lt;&gt;"",SUM(B42:I42),"")</f>
        <v/>
      </c>
      <c r="L42" s="36" t="str">
        <f>IF('Entradas Mensais'!A42&lt;&gt;"",'Entradas Mensais'!X42,"")</f>
        <v/>
      </c>
      <c r="M42" s="38" t="str">
        <f>IF('Entradas Mensais'!A42&lt;&gt;"",TRUNC(($K42+$S42)*M$6,2),"")</f>
        <v/>
      </c>
      <c r="N42" s="38" t="str">
        <f>IF('Entradas Mensais'!A42&lt;&gt;"",TRUNC(($K42+$S42)*N$6,2),"")</f>
        <v/>
      </c>
      <c r="O42" s="38" t="str">
        <f>IF('Entradas Mensais'!A42&lt;&gt;"",TRUNC(($K42+$S42)*O$6,2),"")</f>
        <v/>
      </c>
      <c r="P42" s="38" t="str">
        <f>IF('Entradas Mensais'!A42&lt;&gt;"",TRUNC(($K42+$S42)*P$6,2),"")</f>
        <v/>
      </c>
      <c r="Q42" s="36" t="str">
        <f>IF('Entradas Mensais'!A42&lt;&gt;"",'Entradas Mensais'!Y42,"")</f>
        <v/>
      </c>
      <c r="R42" s="36" t="str">
        <f>IF('Entradas Mensais'!A42&lt;&gt;"",'Entradas Mensais'!Z42,"")</f>
        <v/>
      </c>
      <c r="S42" s="36" t="str">
        <f>IF('Entradas Mensais'!A42&lt;&gt;"",'Entradas Mensais'!AA42,"")</f>
        <v/>
      </c>
      <c r="T42" s="39" t="str">
        <f>IF('Entradas Mensais'!A42&lt;&gt;"",IF(classificacao="P. Público Federal",K42+L42-SUM(M42:P42)+Q42-R42+S42,K42+L42+Q42-R42+S42),"")</f>
        <v/>
      </c>
      <c r="U42" s="38" t="str">
        <f>IF('Entradas Mensais'!A42&lt;&gt;"",SUM(M42:P42),"")</f>
        <v/>
      </c>
    </row>
    <row r="43" spans="1:21" x14ac:dyDescent="0.3">
      <c r="A43" s="70" t="str">
        <f>IF('Entradas Mensais'!A43&lt;&gt;"",'Entradas Mensais'!A43,"")</f>
        <v/>
      </c>
      <c r="B43" s="36" t="str">
        <f>IF('Entradas Mensais'!A43&lt;&gt;"",TRUNC('Entradas Mensais'!B43*'Entradas Mensais'!O43,2),"")</f>
        <v/>
      </c>
      <c r="C43" s="36" t="str">
        <f>IF('Entradas Mensais'!A43&lt;&gt;"",TRUNC('Entradas Mensais'!C43*'Entradas Mensais'!P43,2),"")</f>
        <v/>
      </c>
      <c r="D43" s="37" t="str">
        <f>IF('Entradas Mensais'!A43&lt;&gt;"",IF(ligacao="Azul",TRUNC('Entradas Mensais'!H43*'Entradas Mensais'!Q43,2),""),"")</f>
        <v/>
      </c>
      <c r="E43" s="37" t="str">
        <f>IF('Entradas Mensais'!A43&lt;&gt;"",TRUNC('Entradas Mensais'!I43*'Entradas Mensais'!R43,2),"")</f>
        <v/>
      </c>
      <c r="F43" s="37" t="str">
        <f>IF('Entradas Mensais'!A43&lt;&gt;"",IF(ligacao="Azul",TRUNC('Entradas Mensais'!J43*'Entradas Mensais'!S43,2),""),"")</f>
        <v/>
      </c>
      <c r="G43" s="37" t="str">
        <f>IF('Entradas Mensais'!A43&lt;&gt;"",TRUNC('Entradas Mensais'!K43*'Entradas Mensais'!T43,2),"")</f>
        <v/>
      </c>
      <c r="H43" s="37" t="str">
        <f>IF('Entradas Mensais'!A43&lt;&gt;"",TRUNC('Entradas Mensais'!L43*'Entradas Mensais'!U43,2),"")</f>
        <v/>
      </c>
      <c r="I43" s="37" t="str">
        <f>IF('Entradas Mensais'!A43&lt;&gt;"",TRUNC('Entradas Mensais'!M43*'Entradas Mensais'!V43,2),"")</f>
        <v/>
      </c>
      <c r="K43" s="38" t="str">
        <f>IF('Entradas Mensais'!A43&lt;&gt;"",SUM(B43:I43),"")</f>
        <v/>
      </c>
      <c r="L43" s="36" t="str">
        <f>IF('Entradas Mensais'!A43&lt;&gt;"",'Entradas Mensais'!X43,"")</f>
        <v/>
      </c>
      <c r="M43" s="38" t="str">
        <f>IF('Entradas Mensais'!A43&lt;&gt;"",TRUNC(($K43+$S43)*M$6,2),"")</f>
        <v/>
      </c>
      <c r="N43" s="38" t="str">
        <f>IF('Entradas Mensais'!A43&lt;&gt;"",TRUNC(($K43+$S43)*N$6,2),"")</f>
        <v/>
      </c>
      <c r="O43" s="38" t="str">
        <f>IF('Entradas Mensais'!A43&lt;&gt;"",TRUNC(($K43+$S43)*O$6,2),"")</f>
        <v/>
      </c>
      <c r="P43" s="38" t="str">
        <f>IF('Entradas Mensais'!A43&lt;&gt;"",TRUNC(($K43+$S43)*P$6,2),"")</f>
        <v/>
      </c>
      <c r="Q43" s="36" t="str">
        <f>IF('Entradas Mensais'!A43&lt;&gt;"",'Entradas Mensais'!Y43,"")</f>
        <v/>
      </c>
      <c r="R43" s="36" t="str">
        <f>IF('Entradas Mensais'!A43&lt;&gt;"",'Entradas Mensais'!Z43,"")</f>
        <v/>
      </c>
      <c r="S43" s="36" t="str">
        <f>IF('Entradas Mensais'!A43&lt;&gt;"",'Entradas Mensais'!AA43,"")</f>
        <v/>
      </c>
      <c r="T43" s="39" t="str">
        <f>IF('Entradas Mensais'!A43&lt;&gt;"",IF(classificacao="P. Público Federal",K43+L43-SUM(M43:P43)+Q43-R43+S43,K43+L43+Q43-R43+S43),"")</f>
        <v/>
      </c>
      <c r="U43" s="38" t="str">
        <f>IF('Entradas Mensais'!A43&lt;&gt;"",SUM(M43:P43),"")</f>
        <v/>
      </c>
    </row>
    <row r="44" spans="1:21" x14ac:dyDescent="0.3">
      <c r="A44" s="70" t="str">
        <f>IF('Entradas Mensais'!A44&lt;&gt;"",'Entradas Mensais'!A44,"")</f>
        <v/>
      </c>
      <c r="B44" s="36" t="str">
        <f>IF('Entradas Mensais'!A44&lt;&gt;"",TRUNC('Entradas Mensais'!B44*'Entradas Mensais'!O44,2),"")</f>
        <v/>
      </c>
      <c r="C44" s="36" t="str">
        <f>IF('Entradas Mensais'!A44&lt;&gt;"",TRUNC('Entradas Mensais'!C44*'Entradas Mensais'!P44,2),"")</f>
        <v/>
      </c>
      <c r="D44" s="37" t="str">
        <f>IF('Entradas Mensais'!A44&lt;&gt;"",IF(ligacao="Azul",TRUNC('Entradas Mensais'!H44*'Entradas Mensais'!Q44,2),""),"")</f>
        <v/>
      </c>
      <c r="E44" s="37" t="str">
        <f>IF('Entradas Mensais'!A44&lt;&gt;"",TRUNC('Entradas Mensais'!I44*'Entradas Mensais'!R44,2),"")</f>
        <v/>
      </c>
      <c r="F44" s="37" t="str">
        <f>IF('Entradas Mensais'!A44&lt;&gt;"",IF(ligacao="Azul",TRUNC('Entradas Mensais'!J44*'Entradas Mensais'!S44,2),""),"")</f>
        <v/>
      </c>
      <c r="G44" s="37" t="str">
        <f>IF('Entradas Mensais'!A44&lt;&gt;"",TRUNC('Entradas Mensais'!K44*'Entradas Mensais'!T44,2),"")</f>
        <v/>
      </c>
      <c r="H44" s="37" t="str">
        <f>IF('Entradas Mensais'!A44&lt;&gt;"",TRUNC('Entradas Mensais'!L44*'Entradas Mensais'!U44,2),"")</f>
        <v/>
      </c>
      <c r="I44" s="37" t="str">
        <f>IF('Entradas Mensais'!A44&lt;&gt;"",TRUNC('Entradas Mensais'!M44*'Entradas Mensais'!V44,2),"")</f>
        <v/>
      </c>
      <c r="K44" s="38" t="str">
        <f>IF('Entradas Mensais'!A44&lt;&gt;"",SUM(B44:I44),"")</f>
        <v/>
      </c>
      <c r="L44" s="36" t="str">
        <f>IF('Entradas Mensais'!A44&lt;&gt;"",'Entradas Mensais'!X44,"")</f>
        <v/>
      </c>
      <c r="M44" s="38" t="str">
        <f>IF('Entradas Mensais'!A44&lt;&gt;"",TRUNC(($K44+$S44)*M$6,2),"")</f>
        <v/>
      </c>
      <c r="N44" s="38" t="str">
        <f>IF('Entradas Mensais'!A44&lt;&gt;"",TRUNC(($K44+$S44)*N$6,2),"")</f>
        <v/>
      </c>
      <c r="O44" s="38" t="str">
        <f>IF('Entradas Mensais'!A44&lt;&gt;"",TRUNC(($K44+$S44)*O$6,2),"")</f>
        <v/>
      </c>
      <c r="P44" s="38" t="str">
        <f>IF('Entradas Mensais'!A44&lt;&gt;"",TRUNC(($K44+$S44)*P$6,2),"")</f>
        <v/>
      </c>
      <c r="Q44" s="36" t="str">
        <f>IF('Entradas Mensais'!A44&lt;&gt;"",'Entradas Mensais'!Y44,"")</f>
        <v/>
      </c>
      <c r="R44" s="36" t="str">
        <f>IF('Entradas Mensais'!A44&lt;&gt;"",'Entradas Mensais'!Z44,"")</f>
        <v/>
      </c>
      <c r="S44" s="36" t="str">
        <f>IF('Entradas Mensais'!A44&lt;&gt;"",'Entradas Mensais'!AA44,"")</f>
        <v/>
      </c>
      <c r="T44" s="39" t="str">
        <f>IF('Entradas Mensais'!A44&lt;&gt;"",IF(classificacao="P. Público Federal",K44+L44-SUM(M44:P44)+Q44-R44+S44,K44+L44+Q44-R44+S44),"")</f>
        <v/>
      </c>
      <c r="U44" s="38" t="str">
        <f>IF('Entradas Mensais'!A44&lt;&gt;"",SUM(M44:P44),"")</f>
        <v/>
      </c>
    </row>
    <row r="45" spans="1:21" x14ac:dyDescent="0.3">
      <c r="A45" s="70" t="str">
        <f>IF('Entradas Mensais'!A45&lt;&gt;"",'Entradas Mensais'!A45,"")</f>
        <v/>
      </c>
      <c r="B45" s="36" t="str">
        <f>IF('Entradas Mensais'!A45&lt;&gt;"",TRUNC('Entradas Mensais'!B45*'Entradas Mensais'!O45,2),"")</f>
        <v/>
      </c>
      <c r="C45" s="36" t="str">
        <f>IF('Entradas Mensais'!A45&lt;&gt;"",TRUNC('Entradas Mensais'!C45*'Entradas Mensais'!P45,2),"")</f>
        <v/>
      </c>
      <c r="D45" s="37" t="str">
        <f>IF('Entradas Mensais'!A45&lt;&gt;"",IF(ligacao="Azul",TRUNC('Entradas Mensais'!H45*'Entradas Mensais'!Q45,2),""),"")</f>
        <v/>
      </c>
      <c r="E45" s="37" t="str">
        <f>IF('Entradas Mensais'!A45&lt;&gt;"",TRUNC('Entradas Mensais'!I45*'Entradas Mensais'!R45,2),"")</f>
        <v/>
      </c>
      <c r="F45" s="37" t="str">
        <f>IF('Entradas Mensais'!A45&lt;&gt;"",IF(ligacao="Azul",TRUNC('Entradas Mensais'!J45*'Entradas Mensais'!S45,2),""),"")</f>
        <v/>
      </c>
      <c r="G45" s="37" t="str">
        <f>IF('Entradas Mensais'!A45&lt;&gt;"",TRUNC('Entradas Mensais'!K45*'Entradas Mensais'!T45,2),"")</f>
        <v/>
      </c>
      <c r="H45" s="37" t="str">
        <f>IF('Entradas Mensais'!A45&lt;&gt;"",TRUNC('Entradas Mensais'!L45*'Entradas Mensais'!U45,2),"")</f>
        <v/>
      </c>
      <c r="I45" s="37" t="str">
        <f>IF('Entradas Mensais'!A45&lt;&gt;"",TRUNC('Entradas Mensais'!M45*'Entradas Mensais'!V45,2),"")</f>
        <v/>
      </c>
      <c r="K45" s="38" t="str">
        <f>IF('Entradas Mensais'!A45&lt;&gt;"",SUM(B45:I45),"")</f>
        <v/>
      </c>
      <c r="L45" s="36" t="str">
        <f>IF('Entradas Mensais'!A45&lt;&gt;"",'Entradas Mensais'!X45,"")</f>
        <v/>
      </c>
      <c r="M45" s="38" t="str">
        <f>IF('Entradas Mensais'!A45&lt;&gt;"",TRUNC(($K45+$S45)*M$6,2),"")</f>
        <v/>
      </c>
      <c r="N45" s="38" t="str">
        <f>IF('Entradas Mensais'!A45&lt;&gt;"",TRUNC(($K45+$S45)*N$6,2),"")</f>
        <v/>
      </c>
      <c r="O45" s="38" t="str">
        <f>IF('Entradas Mensais'!A45&lt;&gt;"",TRUNC(($K45+$S45)*O$6,2),"")</f>
        <v/>
      </c>
      <c r="P45" s="38" t="str">
        <f>IF('Entradas Mensais'!A45&lt;&gt;"",TRUNC(($K45+$S45)*P$6,2),"")</f>
        <v/>
      </c>
      <c r="Q45" s="36" t="str">
        <f>IF('Entradas Mensais'!A45&lt;&gt;"",'Entradas Mensais'!Y45,"")</f>
        <v/>
      </c>
      <c r="R45" s="36" t="str">
        <f>IF('Entradas Mensais'!A45&lt;&gt;"",'Entradas Mensais'!Z45,"")</f>
        <v/>
      </c>
      <c r="S45" s="36" t="str">
        <f>IF('Entradas Mensais'!A45&lt;&gt;"",'Entradas Mensais'!AA45,"")</f>
        <v/>
      </c>
      <c r="T45" s="39" t="str">
        <f>IF('Entradas Mensais'!A45&lt;&gt;"",IF(classificacao="P. Público Federal",K45+L45-SUM(M45:P45)+Q45-R45+S45,K45+L45+Q45-R45+S45),"")</f>
        <v/>
      </c>
      <c r="U45" s="38" t="str">
        <f>IF('Entradas Mensais'!A45&lt;&gt;"",SUM(M45:P45),"")</f>
        <v/>
      </c>
    </row>
    <row r="46" spans="1:21" x14ac:dyDescent="0.3">
      <c r="A46" s="70" t="str">
        <f>IF('Entradas Mensais'!A46&lt;&gt;"",'Entradas Mensais'!A46,"")</f>
        <v/>
      </c>
      <c r="B46" s="36" t="str">
        <f>IF('Entradas Mensais'!A46&lt;&gt;"",TRUNC('Entradas Mensais'!B46*'Entradas Mensais'!O46,2),"")</f>
        <v/>
      </c>
      <c r="C46" s="36" t="str">
        <f>IF('Entradas Mensais'!A46&lt;&gt;"",TRUNC('Entradas Mensais'!C46*'Entradas Mensais'!P46,2),"")</f>
        <v/>
      </c>
      <c r="D46" s="37" t="str">
        <f>IF('Entradas Mensais'!A46&lt;&gt;"",IF(ligacao="Azul",TRUNC('Entradas Mensais'!H46*'Entradas Mensais'!Q46,2),""),"")</f>
        <v/>
      </c>
      <c r="E46" s="37" t="str">
        <f>IF('Entradas Mensais'!A46&lt;&gt;"",TRUNC('Entradas Mensais'!I46*'Entradas Mensais'!R46,2),"")</f>
        <v/>
      </c>
      <c r="F46" s="37" t="str">
        <f>IF('Entradas Mensais'!A46&lt;&gt;"",IF(ligacao="Azul",TRUNC('Entradas Mensais'!J46*'Entradas Mensais'!S46,2),""),"")</f>
        <v/>
      </c>
      <c r="G46" s="37" t="str">
        <f>IF('Entradas Mensais'!A46&lt;&gt;"",TRUNC('Entradas Mensais'!K46*'Entradas Mensais'!T46,2),"")</f>
        <v/>
      </c>
      <c r="H46" s="37" t="str">
        <f>IF('Entradas Mensais'!A46&lt;&gt;"",TRUNC('Entradas Mensais'!L46*'Entradas Mensais'!U46,2),"")</f>
        <v/>
      </c>
      <c r="I46" s="37" t="str">
        <f>IF('Entradas Mensais'!A46&lt;&gt;"",TRUNC('Entradas Mensais'!M46*'Entradas Mensais'!V46,2),"")</f>
        <v/>
      </c>
      <c r="K46" s="38" t="str">
        <f>IF('Entradas Mensais'!A46&lt;&gt;"",SUM(B46:I46),"")</f>
        <v/>
      </c>
      <c r="L46" s="36" t="str">
        <f>IF('Entradas Mensais'!A46&lt;&gt;"",'Entradas Mensais'!X46,"")</f>
        <v/>
      </c>
      <c r="M46" s="38" t="str">
        <f>IF('Entradas Mensais'!A46&lt;&gt;"",TRUNC(($K46+$S46)*M$6,2),"")</f>
        <v/>
      </c>
      <c r="N46" s="38" t="str">
        <f>IF('Entradas Mensais'!A46&lt;&gt;"",TRUNC(($K46+$S46)*N$6,2),"")</f>
        <v/>
      </c>
      <c r="O46" s="38" t="str">
        <f>IF('Entradas Mensais'!A46&lt;&gt;"",TRUNC(($K46+$S46)*O$6,2),"")</f>
        <v/>
      </c>
      <c r="P46" s="38" t="str">
        <f>IF('Entradas Mensais'!A46&lt;&gt;"",TRUNC(($K46+$S46)*P$6,2),"")</f>
        <v/>
      </c>
      <c r="Q46" s="36" t="str">
        <f>IF('Entradas Mensais'!A46&lt;&gt;"",'Entradas Mensais'!Y46,"")</f>
        <v/>
      </c>
      <c r="R46" s="36" t="str">
        <f>IF('Entradas Mensais'!A46&lt;&gt;"",'Entradas Mensais'!Z46,"")</f>
        <v/>
      </c>
      <c r="S46" s="36" t="str">
        <f>IF('Entradas Mensais'!A46&lt;&gt;"",'Entradas Mensais'!AA46,"")</f>
        <v/>
      </c>
      <c r="T46" s="39" t="str">
        <f>IF('Entradas Mensais'!A46&lt;&gt;"",IF(classificacao="P. Público Federal",K46+L46-SUM(M46:P46)+Q46-R46+S46,K46+L46+Q46-R46+S46),"")</f>
        <v/>
      </c>
      <c r="U46" s="38" t="str">
        <f>IF('Entradas Mensais'!A46&lt;&gt;"",SUM(M46:P46),"")</f>
        <v/>
      </c>
    </row>
    <row r="47" spans="1:21" x14ac:dyDescent="0.3">
      <c r="A47" s="70" t="str">
        <f>IF('Entradas Mensais'!A47&lt;&gt;"",'Entradas Mensais'!A47,"")</f>
        <v/>
      </c>
      <c r="B47" s="36" t="str">
        <f>IF('Entradas Mensais'!A47&lt;&gt;"",TRUNC('Entradas Mensais'!B47*'Entradas Mensais'!O47,2),"")</f>
        <v/>
      </c>
      <c r="C47" s="36" t="str">
        <f>IF('Entradas Mensais'!A47&lt;&gt;"",TRUNC('Entradas Mensais'!C47*'Entradas Mensais'!P47,2),"")</f>
        <v/>
      </c>
      <c r="D47" s="37" t="str">
        <f>IF('Entradas Mensais'!A47&lt;&gt;"",IF(ligacao="Azul",TRUNC('Entradas Mensais'!H47*'Entradas Mensais'!Q47,2),""),"")</f>
        <v/>
      </c>
      <c r="E47" s="37" t="str">
        <f>IF('Entradas Mensais'!A47&lt;&gt;"",TRUNC('Entradas Mensais'!I47*'Entradas Mensais'!R47,2),"")</f>
        <v/>
      </c>
      <c r="F47" s="37" t="str">
        <f>IF('Entradas Mensais'!A47&lt;&gt;"",IF(ligacao="Azul",TRUNC('Entradas Mensais'!J47*'Entradas Mensais'!S47,2),""),"")</f>
        <v/>
      </c>
      <c r="G47" s="37" t="str">
        <f>IF('Entradas Mensais'!A47&lt;&gt;"",TRUNC('Entradas Mensais'!K47*'Entradas Mensais'!T47,2),"")</f>
        <v/>
      </c>
      <c r="H47" s="37" t="str">
        <f>IF('Entradas Mensais'!A47&lt;&gt;"",TRUNC('Entradas Mensais'!L47*'Entradas Mensais'!U47,2),"")</f>
        <v/>
      </c>
      <c r="I47" s="37" t="str">
        <f>IF('Entradas Mensais'!A47&lt;&gt;"",TRUNC('Entradas Mensais'!M47*'Entradas Mensais'!V47,2),"")</f>
        <v/>
      </c>
      <c r="K47" s="38" t="str">
        <f>IF('Entradas Mensais'!A47&lt;&gt;"",SUM(B47:I47),"")</f>
        <v/>
      </c>
      <c r="L47" s="36" t="str">
        <f>IF('Entradas Mensais'!A47&lt;&gt;"",'Entradas Mensais'!X47,"")</f>
        <v/>
      </c>
      <c r="M47" s="38" t="str">
        <f>IF('Entradas Mensais'!A47&lt;&gt;"",TRUNC(($K47+$S47)*M$6,2),"")</f>
        <v/>
      </c>
      <c r="N47" s="38" t="str">
        <f>IF('Entradas Mensais'!A47&lt;&gt;"",TRUNC(($K47+$S47)*N$6,2),"")</f>
        <v/>
      </c>
      <c r="O47" s="38" t="str">
        <f>IF('Entradas Mensais'!A47&lt;&gt;"",TRUNC(($K47+$S47)*O$6,2),"")</f>
        <v/>
      </c>
      <c r="P47" s="38" t="str">
        <f>IF('Entradas Mensais'!A47&lt;&gt;"",TRUNC(($K47+$S47)*P$6,2),"")</f>
        <v/>
      </c>
      <c r="Q47" s="36" t="str">
        <f>IF('Entradas Mensais'!A47&lt;&gt;"",'Entradas Mensais'!Y47,"")</f>
        <v/>
      </c>
      <c r="R47" s="36" t="str">
        <f>IF('Entradas Mensais'!A47&lt;&gt;"",'Entradas Mensais'!Z47,"")</f>
        <v/>
      </c>
      <c r="S47" s="36" t="str">
        <f>IF('Entradas Mensais'!A47&lt;&gt;"",'Entradas Mensais'!AA47,"")</f>
        <v/>
      </c>
      <c r="T47" s="39" t="str">
        <f>IF('Entradas Mensais'!A47&lt;&gt;"",IF(classificacao="P. Público Federal",K47+L47-SUM(M47:P47)+Q47-R47+S47,K47+L47+Q47-R47+S47),"")</f>
        <v/>
      </c>
      <c r="U47" s="38" t="str">
        <f>IF('Entradas Mensais'!A47&lt;&gt;"",SUM(M47:P47),"")</f>
        <v/>
      </c>
    </row>
    <row r="48" spans="1:21" x14ac:dyDescent="0.3">
      <c r="A48" s="70" t="str">
        <f>IF('Entradas Mensais'!A48&lt;&gt;"",'Entradas Mensais'!A48,"")</f>
        <v/>
      </c>
      <c r="B48" s="36" t="str">
        <f>IF('Entradas Mensais'!A48&lt;&gt;"",TRUNC('Entradas Mensais'!B48*'Entradas Mensais'!O48,2),"")</f>
        <v/>
      </c>
      <c r="C48" s="36" t="str">
        <f>IF('Entradas Mensais'!A48&lt;&gt;"",TRUNC('Entradas Mensais'!C48*'Entradas Mensais'!P48,2),"")</f>
        <v/>
      </c>
      <c r="D48" s="37" t="str">
        <f>IF('Entradas Mensais'!A48&lt;&gt;"",IF(ligacao="Azul",TRUNC('Entradas Mensais'!H48*'Entradas Mensais'!Q48,2),""),"")</f>
        <v/>
      </c>
      <c r="E48" s="37" t="str">
        <f>IF('Entradas Mensais'!A48&lt;&gt;"",TRUNC('Entradas Mensais'!I48*'Entradas Mensais'!R48,2),"")</f>
        <v/>
      </c>
      <c r="F48" s="37" t="str">
        <f>IF('Entradas Mensais'!A48&lt;&gt;"",IF(ligacao="Azul",TRUNC('Entradas Mensais'!J48*'Entradas Mensais'!S48,2),""),"")</f>
        <v/>
      </c>
      <c r="G48" s="37" t="str">
        <f>IF('Entradas Mensais'!A48&lt;&gt;"",TRUNC('Entradas Mensais'!K48*'Entradas Mensais'!T48,2),"")</f>
        <v/>
      </c>
      <c r="H48" s="37" t="str">
        <f>IF('Entradas Mensais'!A48&lt;&gt;"",TRUNC('Entradas Mensais'!L48*'Entradas Mensais'!U48,2),"")</f>
        <v/>
      </c>
      <c r="I48" s="37" t="str">
        <f>IF('Entradas Mensais'!A48&lt;&gt;"",TRUNC('Entradas Mensais'!M48*'Entradas Mensais'!V48,2),"")</f>
        <v/>
      </c>
      <c r="K48" s="38" t="str">
        <f>IF('Entradas Mensais'!A48&lt;&gt;"",SUM(B48:I48),"")</f>
        <v/>
      </c>
      <c r="L48" s="36" t="str">
        <f>IF('Entradas Mensais'!A48&lt;&gt;"",'Entradas Mensais'!X48,"")</f>
        <v/>
      </c>
      <c r="M48" s="38" t="str">
        <f>IF('Entradas Mensais'!A48&lt;&gt;"",TRUNC(($K48+$S48)*M$6,2),"")</f>
        <v/>
      </c>
      <c r="N48" s="38" t="str">
        <f>IF('Entradas Mensais'!A48&lt;&gt;"",TRUNC(($K48+$S48)*N$6,2),"")</f>
        <v/>
      </c>
      <c r="O48" s="38" t="str">
        <f>IF('Entradas Mensais'!A48&lt;&gt;"",TRUNC(($K48+$S48)*O$6,2),"")</f>
        <v/>
      </c>
      <c r="P48" s="38" t="str">
        <f>IF('Entradas Mensais'!A48&lt;&gt;"",TRUNC(($K48+$S48)*P$6,2),"")</f>
        <v/>
      </c>
      <c r="Q48" s="36" t="str">
        <f>IF('Entradas Mensais'!A48&lt;&gt;"",'Entradas Mensais'!Y48,"")</f>
        <v/>
      </c>
      <c r="R48" s="36" t="str">
        <f>IF('Entradas Mensais'!A48&lt;&gt;"",'Entradas Mensais'!Z48,"")</f>
        <v/>
      </c>
      <c r="S48" s="36" t="str">
        <f>IF('Entradas Mensais'!A48&lt;&gt;"",'Entradas Mensais'!AA48,"")</f>
        <v/>
      </c>
      <c r="T48" s="39" t="str">
        <f>IF('Entradas Mensais'!A48&lt;&gt;"",IF(classificacao="P. Público Federal",K48+L48-SUM(M48:P48)+Q48-R48+S48,K48+L48+Q48-R48+S48),"")</f>
        <v/>
      </c>
      <c r="U48" s="38" t="str">
        <f>IF('Entradas Mensais'!A48&lt;&gt;"",SUM(M48:P48),"")</f>
        <v/>
      </c>
    </row>
    <row r="49" spans="1:21" x14ac:dyDescent="0.3">
      <c r="A49" s="70" t="str">
        <f>IF('Entradas Mensais'!A49&lt;&gt;"",'Entradas Mensais'!A49,"")</f>
        <v/>
      </c>
      <c r="B49" s="36" t="str">
        <f>IF('Entradas Mensais'!A49&lt;&gt;"",TRUNC('Entradas Mensais'!B49*'Entradas Mensais'!O49,2),"")</f>
        <v/>
      </c>
      <c r="C49" s="36" t="str">
        <f>IF('Entradas Mensais'!A49&lt;&gt;"",TRUNC('Entradas Mensais'!C49*'Entradas Mensais'!P49,2),"")</f>
        <v/>
      </c>
      <c r="D49" s="37" t="str">
        <f>IF('Entradas Mensais'!A49&lt;&gt;"",IF(ligacao="Azul",TRUNC('Entradas Mensais'!H49*'Entradas Mensais'!Q49,2),""),"")</f>
        <v/>
      </c>
      <c r="E49" s="37" t="str">
        <f>IF('Entradas Mensais'!A49&lt;&gt;"",TRUNC('Entradas Mensais'!I49*'Entradas Mensais'!R49,2),"")</f>
        <v/>
      </c>
      <c r="F49" s="37" t="str">
        <f>IF('Entradas Mensais'!A49&lt;&gt;"",IF(ligacao="Azul",TRUNC('Entradas Mensais'!J49*'Entradas Mensais'!S49,2),""),"")</f>
        <v/>
      </c>
      <c r="G49" s="37" t="str">
        <f>IF('Entradas Mensais'!A49&lt;&gt;"",TRUNC('Entradas Mensais'!K49*'Entradas Mensais'!T49,2),"")</f>
        <v/>
      </c>
      <c r="H49" s="37" t="str">
        <f>IF('Entradas Mensais'!A49&lt;&gt;"",TRUNC('Entradas Mensais'!L49*'Entradas Mensais'!U49,2),"")</f>
        <v/>
      </c>
      <c r="I49" s="37" t="str">
        <f>IF('Entradas Mensais'!A49&lt;&gt;"",TRUNC('Entradas Mensais'!M49*'Entradas Mensais'!V49,2),"")</f>
        <v/>
      </c>
      <c r="K49" s="38" t="str">
        <f>IF('Entradas Mensais'!A49&lt;&gt;"",SUM(B49:I49),"")</f>
        <v/>
      </c>
      <c r="L49" s="36" t="str">
        <f>IF('Entradas Mensais'!A49&lt;&gt;"",'Entradas Mensais'!X49,"")</f>
        <v/>
      </c>
      <c r="M49" s="38" t="str">
        <f>IF('Entradas Mensais'!A49&lt;&gt;"",TRUNC(($K49+$S49)*M$6,2),"")</f>
        <v/>
      </c>
      <c r="N49" s="38" t="str">
        <f>IF('Entradas Mensais'!A49&lt;&gt;"",TRUNC(($K49+$S49)*N$6,2),"")</f>
        <v/>
      </c>
      <c r="O49" s="38" t="str">
        <f>IF('Entradas Mensais'!A49&lt;&gt;"",TRUNC(($K49+$S49)*O$6,2),"")</f>
        <v/>
      </c>
      <c r="P49" s="38" t="str">
        <f>IF('Entradas Mensais'!A49&lt;&gt;"",TRUNC(($K49+$S49)*P$6,2),"")</f>
        <v/>
      </c>
      <c r="Q49" s="36" t="str">
        <f>IF('Entradas Mensais'!A49&lt;&gt;"",'Entradas Mensais'!Y49,"")</f>
        <v/>
      </c>
      <c r="R49" s="36" t="str">
        <f>IF('Entradas Mensais'!A49&lt;&gt;"",'Entradas Mensais'!Z49,"")</f>
        <v/>
      </c>
      <c r="S49" s="36" t="str">
        <f>IF('Entradas Mensais'!A49&lt;&gt;"",'Entradas Mensais'!AA49,"")</f>
        <v/>
      </c>
      <c r="T49" s="39" t="str">
        <f>IF('Entradas Mensais'!A49&lt;&gt;"",IF(classificacao="P. Público Federal",K49+L49-SUM(M49:P49)+Q49-R49+S49,K49+L49+Q49-R49+S49),"")</f>
        <v/>
      </c>
      <c r="U49" s="38" t="str">
        <f>IF('Entradas Mensais'!A49&lt;&gt;"",SUM(M49:P49),"")</f>
        <v/>
      </c>
    </row>
    <row r="50" spans="1:21" x14ac:dyDescent="0.3">
      <c r="A50" s="70" t="str">
        <f>IF('Entradas Mensais'!A50&lt;&gt;"",'Entradas Mensais'!A50,"")</f>
        <v/>
      </c>
      <c r="B50" s="36" t="str">
        <f>IF('Entradas Mensais'!A50&lt;&gt;"",TRUNC('Entradas Mensais'!B50*'Entradas Mensais'!O50,2),"")</f>
        <v/>
      </c>
      <c r="C50" s="36" t="str">
        <f>IF('Entradas Mensais'!A50&lt;&gt;"",TRUNC('Entradas Mensais'!C50*'Entradas Mensais'!P50,2),"")</f>
        <v/>
      </c>
      <c r="D50" s="37" t="str">
        <f>IF('Entradas Mensais'!A50&lt;&gt;"",IF(ligacao="Azul",TRUNC('Entradas Mensais'!H50*'Entradas Mensais'!Q50,2),""),"")</f>
        <v/>
      </c>
      <c r="E50" s="37" t="str">
        <f>IF('Entradas Mensais'!A50&lt;&gt;"",TRUNC('Entradas Mensais'!I50*'Entradas Mensais'!R50,2),"")</f>
        <v/>
      </c>
      <c r="F50" s="37" t="str">
        <f>IF('Entradas Mensais'!A50&lt;&gt;"",IF(ligacao="Azul",TRUNC('Entradas Mensais'!J50*'Entradas Mensais'!S50,2),""),"")</f>
        <v/>
      </c>
      <c r="G50" s="37" t="str">
        <f>IF('Entradas Mensais'!A50&lt;&gt;"",TRUNC('Entradas Mensais'!K50*'Entradas Mensais'!T50,2),"")</f>
        <v/>
      </c>
      <c r="H50" s="37" t="str">
        <f>IF('Entradas Mensais'!A50&lt;&gt;"",TRUNC('Entradas Mensais'!L50*'Entradas Mensais'!U50,2),"")</f>
        <v/>
      </c>
      <c r="I50" s="37" t="str">
        <f>IF('Entradas Mensais'!A50&lt;&gt;"",TRUNC('Entradas Mensais'!M50*'Entradas Mensais'!V50,2),"")</f>
        <v/>
      </c>
      <c r="K50" s="38" t="str">
        <f>IF('Entradas Mensais'!A50&lt;&gt;"",SUM(B50:I50),"")</f>
        <v/>
      </c>
      <c r="L50" s="36" t="str">
        <f>IF('Entradas Mensais'!A50&lt;&gt;"",'Entradas Mensais'!X50,"")</f>
        <v/>
      </c>
      <c r="M50" s="38" t="str">
        <f>IF('Entradas Mensais'!A50&lt;&gt;"",TRUNC(($K50+$S50)*M$6,2),"")</f>
        <v/>
      </c>
      <c r="N50" s="38" t="str">
        <f>IF('Entradas Mensais'!A50&lt;&gt;"",TRUNC(($K50+$S50)*N$6,2),"")</f>
        <v/>
      </c>
      <c r="O50" s="38" t="str">
        <f>IF('Entradas Mensais'!A50&lt;&gt;"",TRUNC(($K50+$S50)*O$6,2),"")</f>
        <v/>
      </c>
      <c r="P50" s="38" t="str">
        <f>IF('Entradas Mensais'!A50&lt;&gt;"",TRUNC(($K50+$S50)*P$6,2),"")</f>
        <v/>
      </c>
      <c r="Q50" s="36" t="str">
        <f>IF('Entradas Mensais'!A50&lt;&gt;"",'Entradas Mensais'!Y50,"")</f>
        <v/>
      </c>
      <c r="R50" s="36" t="str">
        <f>IF('Entradas Mensais'!A50&lt;&gt;"",'Entradas Mensais'!Z50,"")</f>
        <v/>
      </c>
      <c r="S50" s="36" t="str">
        <f>IF('Entradas Mensais'!A50&lt;&gt;"",'Entradas Mensais'!AA50,"")</f>
        <v/>
      </c>
      <c r="T50" s="39" t="str">
        <f>IF('Entradas Mensais'!A50&lt;&gt;"",IF(classificacao="P. Público Federal",K50+L50-SUM(M50:P50)+Q50-R50+S50,K50+L50+Q50-R50+S50),"")</f>
        <v/>
      </c>
      <c r="U50" s="38" t="str">
        <f>IF('Entradas Mensais'!A50&lt;&gt;"",SUM(M50:P50),"")</f>
        <v/>
      </c>
    </row>
    <row r="51" spans="1:21" x14ac:dyDescent="0.3">
      <c r="A51" s="70" t="str">
        <f>IF('Entradas Mensais'!A51&lt;&gt;"",'Entradas Mensais'!A51,"")</f>
        <v/>
      </c>
      <c r="B51" s="36" t="str">
        <f>IF('Entradas Mensais'!A51&lt;&gt;"",TRUNC('Entradas Mensais'!B51*'Entradas Mensais'!O51,2),"")</f>
        <v/>
      </c>
      <c r="C51" s="36" t="str">
        <f>IF('Entradas Mensais'!A51&lt;&gt;"",TRUNC('Entradas Mensais'!C51*'Entradas Mensais'!P51,2),"")</f>
        <v/>
      </c>
      <c r="D51" s="37" t="str">
        <f>IF('Entradas Mensais'!A51&lt;&gt;"",IF(ligacao="Azul",TRUNC('Entradas Mensais'!H51*'Entradas Mensais'!Q51,2),""),"")</f>
        <v/>
      </c>
      <c r="E51" s="37" t="str">
        <f>IF('Entradas Mensais'!A51&lt;&gt;"",TRUNC('Entradas Mensais'!I51*'Entradas Mensais'!R51,2),"")</f>
        <v/>
      </c>
      <c r="F51" s="37" t="str">
        <f>IF('Entradas Mensais'!A51&lt;&gt;"",IF(ligacao="Azul",TRUNC('Entradas Mensais'!J51*'Entradas Mensais'!S51,2),""),"")</f>
        <v/>
      </c>
      <c r="G51" s="37" t="str">
        <f>IF('Entradas Mensais'!A51&lt;&gt;"",TRUNC('Entradas Mensais'!K51*'Entradas Mensais'!T51,2),"")</f>
        <v/>
      </c>
      <c r="H51" s="37" t="str">
        <f>IF('Entradas Mensais'!A51&lt;&gt;"",TRUNC('Entradas Mensais'!L51*'Entradas Mensais'!U51,2),"")</f>
        <v/>
      </c>
      <c r="I51" s="37" t="str">
        <f>IF('Entradas Mensais'!A51&lt;&gt;"",TRUNC('Entradas Mensais'!M51*'Entradas Mensais'!V51,2),"")</f>
        <v/>
      </c>
      <c r="K51" s="38" t="str">
        <f>IF('Entradas Mensais'!A51&lt;&gt;"",SUM(B51:I51),"")</f>
        <v/>
      </c>
      <c r="L51" s="36" t="str">
        <f>IF('Entradas Mensais'!A51&lt;&gt;"",'Entradas Mensais'!X51,"")</f>
        <v/>
      </c>
      <c r="M51" s="38" t="str">
        <f>IF('Entradas Mensais'!A51&lt;&gt;"",TRUNC(($K51+$S51)*M$6,2),"")</f>
        <v/>
      </c>
      <c r="N51" s="38" t="str">
        <f>IF('Entradas Mensais'!A51&lt;&gt;"",TRUNC(($K51+$S51)*N$6,2),"")</f>
        <v/>
      </c>
      <c r="O51" s="38" t="str">
        <f>IF('Entradas Mensais'!A51&lt;&gt;"",TRUNC(($K51+$S51)*O$6,2),"")</f>
        <v/>
      </c>
      <c r="P51" s="38" t="str">
        <f>IF('Entradas Mensais'!A51&lt;&gt;"",TRUNC(($K51+$S51)*P$6,2),"")</f>
        <v/>
      </c>
      <c r="Q51" s="36" t="str">
        <f>IF('Entradas Mensais'!A51&lt;&gt;"",'Entradas Mensais'!Y51,"")</f>
        <v/>
      </c>
      <c r="R51" s="36" t="str">
        <f>IF('Entradas Mensais'!A51&lt;&gt;"",'Entradas Mensais'!Z51,"")</f>
        <v/>
      </c>
      <c r="S51" s="36" t="str">
        <f>IF('Entradas Mensais'!A51&lt;&gt;"",'Entradas Mensais'!AA51,"")</f>
        <v/>
      </c>
      <c r="T51" s="39" t="str">
        <f>IF('Entradas Mensais'!A51&lt;&gt;"",IF(classificacao="P. Público Federal",K51+L51-SUM(M51:P51)+Q51-R51+S51,K51+L51+Q51-R51+S51),"")</f>
        <v/>
      </c>
      <c r="U51" s="38" t="str">
        <f>IF('Entradas Mensais'!A51&lt;&gt;"",SUM(M51:P51),"")</f>
        <v/>
      </c>
    </row>
    <row r="52" spans="1:21" x14ac:dyDescent="0.3">
      <c r="A52" s="70" t="str">
        <f>IF('Entradas Mensais'!A52&lt;&gt;"",'Entradas Mensais'!A52,"")</f>
        <v/>
      </c>
      <c r="B52" s="36" t="str">
        <f>IF('Entradas Mensais'!A52&lt;&gt;"",TRUNC('Entradas Mensais'!B52*'Entradas Mensais'!O52,2),"")</f>
        <v/>
      </c>
      <c r="C52" s="36" t="str">
        <f>IF('Entradas Mensais'!A52&lt;&gt;"",TRUNC('Entradas Mensais'!C52*'Entradas Mensais'!P52,2),"")</f>
        <v/>
      </c>
      <c r="D52" s="37" t="str">
        <f>IF('Entradas Mensais'!A52&lt;&gt;"",IF(ligacao="Azul",TRUNC('Entradas Mensais'!H52*'Entradas Mensais'!Q52,2),""),"")</f>
        <v/>
      </c>
      <c r="E52" s="37" t="str">
        <f>IF('Entradas Mensais'!A52&lt;&gt;"",TRUNC('Entradas Mensais'!I52*'Entradas Mensais'!R52,2),"")</f>
        <v/>
      </c>
      <c r="F52" s="37" t="str">
        <f>IF('Entradas Mensais'!A52&lt;&gt;"",IF(ligacao="Azul",TRUNC('Entradas Mensais'!J52*'Entradas Mensais'!S52,2),""),"")</f>
        <v/>
      </c>
      <c r="G52" s="37" t="str">
        <f>IF('Entradas Mensais'!A52&lt;&gt;"",TRUNC('Entradas Mensais'!K52*'Entradas Mensais'!T52,2),"")</f>
        <v/>
      </c>
      <c r="H52" s="37" t="str">
        <f>IF('Entradas Mensais'!A52&lt;&gt;"",TRUNC('Entradas Mensais'!L52*'Entradas Mensais'!U52,2),"")</f>
        <v/>
      </c>
      <c r="I52" s="37" t="str">
        <f>IF('Entradas Mensais'!A52&lt;&gt;"",TRUNC('Entradas Mensais'!M52*'Entradas Mensais'!V52,2),"")</f>
        <v/>
      </c>
      <c r="K52" s="38" t="str">
        <f>IF('Entradas Mensais'!A52&lt;&gt;"",SUM(B52:I52),"")</f>
        <v/>
      </c>
      <c r="L52" s="36" t="str">
        <f>IF('Entradas Mensais'!A52&lt;&gt;"",'Entradas Mensais'!X52,"")</f>
        <v/>
      </c>
      <c r="M52" s="38" t="str">
        <f>IF('Entradas Mensais'!A52&lt;&gt;"",TRUNC(($K52+$S52)*M$6,2),"")</f>
        <v/>
      </c>
      <c r="N52" s="38" t="str">
        <f>IF('Entradas Mensais'!A52&lt;&gt;"",TRUNC(($K52+$S52)*N$6,2),"")</f>
        <v/>
      </c>
      <c r="O52" s="38" t="str">
        <f>IF('Entradas Mensais'!A52&lt;&gt;"",TRUNC(($K52+$S52)*O$6,2),"")</f>
        <v/>
      </c>
      <c r="P52" s="38" t="str">
        <f>IF('Entradas Mensais'!A52&lt;&gt;"",TRUNC(($K52+$S52)*P$6,2),"")</f>
        <v/>
      </c>
      <c r="Q52" s="36" t="str">
        <f>IF('Entradas Mensais'!A52&lt;&gt;"",'Entradas Mensais'!Y52,"")</f>
        <v/>
      </c>
      <c r="R52" s="36" t="str">
        <f>IF('Entradas Mensais'!A52&lt;&gt;"",'Entradas Mensais'!Z52,"")</f>
        <v/>
      </c>
      <c r="S52" s="36" t="str">
        <f>IF('Entradas Mensais'!A52&lt;&gt;"",'Entradas Mensais'!AA52,"")</f>
        <v/>
      </c>
      <c r="T52" s="39" t="str">
        <f>IF('Entradas Mensais'!A52&lt;&gt;"",IF(classificacao="P. Público Federal",K52+L52-SUM(M52:P52)+Q52-R52+S52,K52+L52+Q52-R52+S52),"")</f>
        <v/>
      </c>
      <c r="U52" s="38" t="str">
        <f>IF('Entradas Mensais'!A52&lt;&gt;"",SUM(M52:P52),"")</f>
        <v/>
      </c>
    </row>
    <row r="53" spans="1:21" x14ac:dyDescent="0.3">
      <c r="A53" s="70" t="str">
        <f>IF('Entradas Mensais'!A53&lt;&gt;"",'Entradas Mensais'!A53,"")</f>
        <v/>
      </c>
      <c r="B53" s="36" t="str">
        <f>IF('Entradas Mensais'!A53&lt;&gt;"",TRUNC('Entradas Mensais'!B53*'Entradas Mensais'!O53,2),"")</f>
        <v/>
      </c>
      <c r="C53" s="36" t="str">
        <f>IF('Entradas Mensais'!A53&lt;&gt;"",TRUNC('Entradas Mensais'!C53*'Entradas Mensais'!P53,2),"")</f>
        <v/>
      </c>
      <c r="D53" s="37" t="str">
        <f>IF('Entradas Mensais'!A53&lt;&gt;"",IF(ligacao="Azul",TRUNC('Entradas Mensais'!H53*'Entradas Mensais'!Q53,2),""),"")</f>
        <v/>
      </c>
      <c r="E53" s="37" t="str">
        <f>IF('Entradas Mensais'!A53&lt;&gt;"",TRUNC('Entradas Mensais'!I53*'Entradas Mensais'!R53,2),"")</f>
        <v/>
      </c>
      <c r="F53" s="37" t="str">
        <f>IF('Entradas Mensais'!A53&lt;&gt;"",IF(ligacao="Azul",TRUNC('Entradas Mensais'!J53*'Entradas Mensais'!S53,2),""),"")</f>
        <v/>
      </c>
      <c r="G53" s="37" t="str">
        <f>IF('Entradas Mensais'!A53&lt;&gt;"",TRUNC('Entradas Mensais'!K53*'Entradas Mensais'!T53,2),"")</f>
        <v/>
      </c>
      <c r="H53" s="37" t="str">
        <f>IF('Entradas Mensais'!A53&lt;&gt;"",TRUNC('Entradas Mensais'!L53*'Entradas Mensais'!U53,2),"")</f>
        <v/>
      </c>
      <c r="I53" s="37" t="str">
        <f>IF('Entradas Mensais'!A53&lt;&gt;"",TRUNC('Entradas Mensais'!M53*'Entradas Mensais'!V53,2),"")</f>
        <v/>
      </c>
      <c r="K53" s="38" t="str">
        <f>IF('Entradas Mensais'!A53&lt;&gt;"",SUM(B53:I53),"")</f>
        <v/>
      </c>
      <c r="L53" s="36" t="str">
        <f>IF('Entradas Mensais'!A53&lt;&gt;"",'Entradas Mensais'!X53,"")</f>
        <v/>
      </c>
      <c r="M53" s="38" t="str">
        <f>IF('Entradas Mensais'!A53&lt;&gt;"",TRUNC(($K53+$S53)*M$6,2),"")</f>
        <v/>
      </c>
      <c r="N53" s="38" t="str">
        <f>IF('Entradas Mensais'!A53&lt;&gt;"",TRUNC(($K53+$S53)*N$6,2),"")</f>
        <v/>
      </c>
      <c r="O53" s="38" t="str">
        <f>IF('Entradas Mensais'!A53&lt;&gt;"",TRUNC(($K53+$S53)*O$6,2),"")</f>
        <v/>
      </c>
      <c r="P53" s="38" t="str">
        <f>IF('Entradas Mensais'!A53&lt;&gt;"",TRUNC(($K53+$S53)*P$6,2),"")</f>
        <v/>
      </c>
      <c r="Q53" s="36" t="str">
        <f>IF('Entradas Mensais'!A53&lt;&gt;"",'Entradas Mensais'!Y53,"")</f>
        <v/>
      </c>
      <c r="R53" s="36" t="str">
        <f>IF('Entradas Mensais'!A53&lt;&gt;"",'Entradas Mensais'!Z53,"")</f>
        <v/>
      </c>
      <c r="S53" s="36" t="str">
        <f>IF('Entradas Mensais'!A53&lt;&gt;"",'Entradas Mensais'!AA53,"")</f>
        <v/>
      </c>
      <c r="T53" s="39" t="str">
        <f>IF('Entradas Mensais'!A53&lt;&gt;"",IF(classificacao="P. Público Federal",K53+L53-SUM(M53:P53)+Q53-R53+S53,K53+L53+Q53-R53+S53),"")</f>
        <v/>
      </c>
      <c r="U53" s="38" t="str">
        <f>IF('Entradas Mensais'!A53&lt;&gt;"",SUM(M53:P53),"")</f>
        <v/>
      </c>
    </row>
    <row r="54" spans="1:21" x14ac:dyDescent="0.3">
      <c r="A54" s="70" t="str">
        <f>IF('Entradas Mensais'!A54&lt;&gt;"",'Entradas Mensais'!A54,"")</f>
        <v/>
      </c>
      <c r="B54" s="36" t="str">
        <f>IF('Entradas Mensais'!A54&lt;&gt;"",TRUNC('Entradas Mensais'!B54*'Entradas Mensais'!O54,2),"")</f>
        <v/>
      </c>
      <c r="C54" s="36" t="str">
        <f>IF('Entradas Mensais'!A54&lt;&gt;"",TRUNC('Entradas Mensais'!C54*'Entradas Mensais'!P54,2),"")</f>
        <v/>
      </c>
      <c r="D54" s="37" t="str">
        <f>IF('Entradas Mensais'!A54&lt;&gt;"",IF(ligacao="Azul",TRUNC('Entradas Mensais'!H54*'Entradas Mensais'!Q54,2),""),"")</f>
        <v/>
      </c>
      <c r="E54" s="37" t="str">
        <f>IF('Entradas Mensais'!A54&lt;&gt;"",TRUNC('Entradas Mensais'!I54*'Entradas Mensais'!R54,2),"")</f>
        <v/>
      </c>
      <c r="F54" s="37" t="str">
        <f>IF('Entradas Mensais'!A54&lt;&gt;"",IF(ligacao="Azul",TRUNC('Entradas Mensais'!J54*'Entradas Mensais'!S54,2),""),"")</f>
        <v/>
      </c>
      <c r="G54" s="37" t="str">
        <f>IF('Entradas Mensais'!A54&lt;&gt;"",TRUNC('Entradas Mensais'!K54*'Entradas Mensais'!T54,2),"")</f>
        <v/>
      </c>
      <c r="H54" s="37" t="str">
        <f>IF('Entradas Mensais'!A54&lt;&gt;"",TRUNC('Entradas Mensais'!L54*'Entradas Mensais'!U54,2),"")</f>
        <v/>
      </c>
      <c r="I54" s="37" t="str">
        <f>IF('Entradas Mensais'!A54&lt;&gt;"",TRUNC('Entradas Mensais'!M54*'Entradas Mensais'!V54,2),"")</f>
        <v/>
      </c>
      <c r="K54" s="38" t="str">
        <f>IF('Entradas Mensais'!A54&lt;&gt;"",SUM(B54:I54),"")</f>
        <v/>
      </c>
      <c r="L54" s="36" t="str">
        <f>IF('Entradas Mensais'!A54&lt;&gt;"",'Entradas Mensais'!X54,"")</f>
        <v/>
      </c>
      <c r="M54" s="38" t="str">
        <f>IF('Entradas Mensais'!A54&lt;&gt;"",TRUNC(($K54+$S54)*M$6,2),"")</f>
        <v/>
      </c>
      <c r="N54" s="38" t="str">
        <f>IF('Entradas Mensais'!A54&lt;&gt;"",TRUNC(($K54+$S54)*N$6,2),"")</f>
        <v/>
      </c>
      <c r="O54" s="38" t="str">
        <f>IF('Entradas Mensais'!A54&lt;&gt;"",TRUNC(($K54+$S54)*O$6,2),"")</f>
        <v/>
      </c>
      <c r="P54" s="38" t="str">
        <f>IF('Entradas Mensais'!A54&lt;&gt;"",TRUNC(($K54+$S54)*P$6,2),"")</f>
        <v/>
      </c>
      <c r="Q54" s="36" t="str">
        <f>IF('Entradas Mensais'!A54&lt;&gt;"",'Entradas Mensais'!Y54,"")</f>
        <v/>
      </c>
      <c r="R54" s="36" t="str">
        <f>IF('Entradas Mensais'!A54&lt;&gt;"",'Entradas Mensais'!Z54,"")</f>
        <v/>
      </c>
      <c r="S54" s="36" t="str">
        <f>IF('Entradas Mensais'!A54&lt;&gt;"",'Entradas Mensais'!AA54,"")</f>
        <v/>
      </c>
      <c r="T54" s="39" t="str">
        <f>IF('Entradas Mensais'!A54&lt;&gt;"",IF(classificacao="P. Público Federal",K54+L54-SUM(M54:P54)+Q54-R54+S54,K54+L54+Q54-R54+S54),"")</f>
        <v/>
      </c>
      <c r="U54" s="38" t="str">
        <f>IF('Entradas Mensais'!A54&lt;&gt;"",SUM(M54:P54),"")</f>
        <v/>
      </c>
    </row>
    <row r="55" spans="1:21" x14ac:dyDescent="0.3">
      <c r="A55" s="70" t="str">
        <f>IF('Entradas Mensais'!A55&lt;&gt;"",'Entradas Mensais'!A55,"")</f>
        <v/>
      </c>
      <c r="B55" s="36" t="str">
        <f>IF('Entradas Mensais'!A55&lt;&gt;"",TRUNC('Entradas Mensais'!B55*'Entradas Mensais'!O55,2),"")</f>
        <v/>
      </c>
      <c r="C55" s="36" t="str">
        <f>IF('Entradas Mensais'!A55&lt;&gt;"",TRUNC('Entradas Mensais'!C55*'Entradas Mensais'!P55,2),"")</f>
        <v/>
      </c>
      <c r="D55" s="37" t="str">
        <f>IF('Entradas Mensais'!A55&lt;&gt;"",IF(ligacao="Azul",TRUNC('Entradas Mensais'!H55*'Entradas Mensais'!Q55,2),""),"")</f>
        <v/>
      </c>
      <c r="E55" s="37" t="str">
        <f>IF('Entradas Mensais'!A55&lt;&gt;"",TRUNC('Entradas Mensais'!I55*'Entradas Mensais'!R55,2),"")</f>
        <v/>
      </c>
      <c r="F55" s="37" t="str">
        <f>IF('Entradas Mensais'!A55&lt;&gt;"",IF(ligacao="Azul",TRUNC('Entradas Mensais'!J55*'Entradas Mensais'!S55,2),""),"")</f>
        <v/>
      </c>
      <c r="G55" s="37" t="str">
        <f>IF('Entradas Mensais'!A55&lt;&gt;"",TRUNC('Entradas Mensais'!K55*'Entradas Mensais'!T55,2),"")</f>
        <v/>
      </c>
      <c r="H55" s="37" t="str">
        <f>IF('Entradas Mensais'!A55&lt;&gt;"",TRUNC('Entradas Mensais'!L55*'Entradas Mensais'!U55,2),"")</f>
        <v/>
      </c>
      <c r="I55" s="37" t="str">
        <f>IF('Entradas Mensais'!A55&lt;&gt;"",TRUNC('Entradas Mensais'!M55*'Entradas Mensais'!V55,2),"")</f>
        <v/>
      </c>
      <c r="K55" s="38" t="str">
        <f>IF('Entradas Mensais'!A55&lt;&gt;"",SUM(B55:I55),"")</f>
        <v/>
      </c>
      <c r="L55" s="36" t="str">
        <f>IF('Entradas Mensais'!A55&lt;&gt;"",'Entradas Mensais'!X55,"")</f>
        <v/>
      </c>
      <c r="M55" s="38" t="str">
        <f>IF('Entradas Mensais'!A55&lt;&gt;"",TRUNC(($K55+$S55)*M$6,2),"")</f>
        <v/>
      </c>
      <c r="N55" s="38" t="str">
        <f>IF('Entradas Mensais'!A55&lt;&gt;"",TRUNC(($K55+$S55)*N$6,2),"")</f>
        <v/>
      </c>
      <c r="O55" s="38" t="str">
        <f>IF('Entradas Mensais'!A55&lt;&gt;"",TRUNC(($K55+$S55)*O$6,2),"")</f>
        <v/>
      </c>
      <c r="P55" s="38" t="str">
        <f>IF('Entradas Mensais'!A55&lt;&gt;"",TRUNC(($K55+$S55)*P$6,2),"")</f>
        <v/>
      </c>
      <c r="Q55" s="36" t="str">
        <f>IF('Entradas Mensais'!A55&lt;&gt;"",'Entradas Mensais'!Y55,"")</f>
        <v/>
      </c>
      <c r="R55" s="36" t="str">
        <f>IF('Entradas Mensais'!A55&lt;&gt;"",'Entradas Mensais'!Z55,"")</f>
        <v/>
      </c>
      <c r="S55" s="36" t="str">
        <f>IF('Entradas Mensais'!A55&lt;&gt;"",'Entradas Mensais'!AA55,"")</f>
        <v/>
      </c>
      <c r="T55" s="39" t="str">
        <f>IF('Entradas Mensais'!A55&lt;&gt;"",IF(classificacao="P. Público Federal",K55+L55-SUM(M55:P55)+Q55-R55+S55,K55+L55+Q55-R55+S55),"")</f>
        <v/>
      </c>
      <c r="U55" s="38" t="str">
        <f>IF('Entradas Mensais'!A55&lt;&gt;"",SUM(M55:P55),"")</f>
        <v/>
      </c>
    </row>
    <row r="56" spans="1:21" x14ac:dyDescent="0.3">
      <c r="A56" s="70" t="str">
        <f>IF('Entradas Mensais'!A56&lt;&gt;"",'Entradas Mensais'!A56,"")</f>
        <v/>
      </c>
      <c r="B56" s="36" t="str">
        <f>IF('Entradas Mensais'!A56&lt;&gt;"",TRUNC('Entradas Mensais'!B56*'Entradas Mensais'!O56,2),"")</f>
        <v/>
      </c>
      <c r="C56" s="36" t="str">
        <f>IF('Entradas Mensais'!A56&lt;&gt;"",TRUNC('Entradas Mensais'!C56*'Entradas Mensais'!P56,2),"")</f>
        <v/>
      </c>
      <c r="D56" s="37" t="str">
        <f>IF('Entradas Mensais'!A56&lt;&gt;"",IF(ligacao="Azul",TRUNC('Entradas Mensais'!H56*'Entradas Mensais'!Q56,2),""),"")</f>
        <v/>
      </c>
      <c r="E56" s="37" t="str">
        <f>IF('Entradas Mensais'!A56&lt;&gt;"",TRUNC('Entradas Mensais'!I56*'Entradas Mensais'!R56,2),"")</f>
        <v/>
      </c>
      <c r="F56" s="37" t="str">
        <f>IF('Entradas Mensais'!A56&lt;&gt;"",IF(ligacao="Azul",TRUNC('Entradas Mensais'!J56*'Entradas Mensais'!S56,2),""),"")</f>
        <v/>
      </c>
      <c r="G56" s="37" t="str">
        <f>IF('Entradas Mensais'!A56&lt;&gt;"",TRUNC('Entradas Mensais'!K56*'Entradas Mensais'!T56,2),"")</f>
        <v/>
      </c>
      <c r="H56" s="37" t="str">
        <f>IF('Entradas Mensais'!A56&lt;&gt;"",TRUNC('Entradas Mensais'!L56*'Entradas Mensais'!U56,2),"")</f>
        <v/>
      </c>
      <c r="I56" s="37" t="str">
        <f>IF('Entradas Mensais'!A56&lt;&gt;"",TRUNC('Entradas Mensais'!M56*'Entradas Mensais'!V56,2),"")</f>
        <v/>
      </c>
      <c r="K56" s="38" t="str">
        <f>IF('Entradas Mensais'!A56&lt;&gt;"",SUM(B56:I56),"")</f>
        <v/>
      </c>
      <c r="L56" s="36" t="str">
        <f>IF('Entradas Mensais'!A56&lt;&gt;"",'Entradas Mensais'!X56,"")</f>
        <v/>
      </c>
      <c r="M56" s="38" t="str">
        <f>IF('Entradas Mensais'!A56&lt;&gt;"",TRUNC(($K56+$S56)*M$6,2),"")</f>
        <v/>
      </c>
      <c r="N56" s="38" t="str">
        <f>IF('Entradas Mensais'!A56&lt;&gt;"",TRUNC(($K56+$S56)*N$6,2),"")</f>
        <v/>
      </c>
      <c r="O56" s="38" t="str">
        <f>IF('Entradas Mensais'!A56&lt;&gt;"",TRUNC(($K56+$S56)*O$6,2),"")</f>
        <v/>
      </c>
      <c r="P56" s="38" t="str">
        <f>IF('Entradas Mensais'!A56&lt;&gt;"",TRUNC(($K56+$S56)*P$6,2),"")</f>
        <v/>
      </c>
      <c r="Q56" s="36" t="str">
        <f>IF('Entradas Mensais'!A56&lt;&gt;"",'Entradas Mensais'!Y56,"")</f>
        <v/>
      </c>
      <c r="R56" s="36" t="str">
        <f>IF('Entradas Mensais'!A56&lt;&gt;"",'Entradas Mensais'!Z56,"")</f>
        <v/>
      </c>
      <c r="S56" s="36" t="str">
        <f>IF('Entradas Mensais'!A56&lt;&gt;"",'Entradas Mensais'!AA56,"")</f>
        <v/>
      </c>
      <c r="T56" s="39" t="str">
        <f>IF('Entradas Mensais'!A56&lt;&gt;"",IF(classificacao="P. Público Federal",K56+L56-SUM(M56:P56)+Q56-R56+S56,K56+L56+Q56-R56+S56),"")</f>
        <v/>
      </c>
      <c r="U56" s="38" t="str">
        <f>IF('Entradas Mensais'!A56&lt;&gt;"",SUM(M56:P56),"")</f>
        <v/>
      </c>
    </row>
    <row r="57" spans="1:21" x14ac:dyDescent="0.3">
      <c r="A57" s="70" t="str">
        <f>IF('Entradas Mensais'!A57&lt;&gt;"",'Entradas Mensais'!A57,"")</f>
        <v/>
      </c>
      <c r="B57" s="36" t="str">
        <f>IF('Entradas Mensais'!A57&lt;&gt;"",TRUNC('Entradas Mensais'!B57*'Entradas Mensais'!O57,2),"")</f>
        <v/>
      </c>
      <c r="C57" s="36" t="str">
        <f>IF('Entradas Mensais'!A57&lt;&gt;"",TRUNC('Entradas Mensais'!C57*'Entradas Mensais'!P57,2),"")</f>
        <v/>
      </c>
      <c r="D57" s="37" t="str">
        <f>IF('Entradas Mensais'!A57&lt;&gt;"",IF(ligacao="Azul",TRUNC('Entradas Mensais'!H57*'Entradas Mensais'!Q57,2),""),"")</f>
        <v/>
      </c>
      <c r="E57" s="37" t="str">
        <f>IF('Entradas Mensais'!A57&lt;&gt;"",TRUNC('Entradas Mensais'!I57*'Entradas Mensais'!R57,2),"")</f>
        <v/>
      </c>
      <c r="F57" s="37" t="str">
        <f>IF('Entradas Mensais'!A57&lt;&gt;"",IF(ligacao="Azul",TRUNC('Entradas Mensais'!J57*'Entradas Mensais'!S57,2),""),"")</f>
        <v/>
      </c>
      <c r="G57" s="37" t="str">
        <f>IF('Entradas Mensais'!A57&lt;&gt;"",TRUNC('Entradas Mensais'!K57*'Entradas Mensais'!T57,2),"")</f>
        <v/>
      </c>
      <c r="H57" s="37" t="str">
        <f>IF('Entradas Mensais'!A57&lt;&gt;"",TRUNC('Entradas Mensais'!L57*'Entradas Mensais'!U57,2),"")</f>
        <v/>
      </c>
      <c r="I57" s="37" t="str">
        <f>IF('Entradas Mensais'!A57&lt;&gt;"",TRUNC('Entradas Mensais'!M57*'Entradas Mensais'!V57,2),"")</f>
        <v/>
      </c>
      <c r="K57" s="38" t="str">
        <f>IF('Entradas Mensais'!A57&lt;&gt;"",SUM(B57:I57),"")</f>
        <v/>
      </c>
      <c r="L57" s="36" t="str">
        <f>IF('Entradas Mensais'!A57&lt;&gt;"",'Entradas Mensais'!X57,"")</f>
        <v/>
      </c>
      <c r="M57" s="38" t="str">
        <f>IF('Entradas Mensais'!A57&lt;&gt;"",TRUNC(($K57+$S57)*M$6,2),"")</f>
        <v/>
      </c>
      <c r="N57" s="38" t="str">
        <f>IF('Entradas Mensais'!A57&lt;&gt;"",TRUNC(($K57+$S57)*N$6,2),"")</f>
        <v/>
      </c>
      <c r="O57" s="38" t="str">
        <f>IF('Entradas Mensais'!A57&lt;&gt;"",TRUNC(($K57+$S57)*O$6,2),"")</f>
        <v/>
      </c>
      <c r="P57" s="38" t="str">
        <f>IF('Entradas Mensais'!A57&lt;&gt;"",TRUNC(($K57+$S57)*P$6,2),"")</f>
        <v/>
      </c>
      <c r="Q57" s="36" t="str">
        <f>IF('Entradas Mensais'!A57&lt;&gt;"",'Entradas Mensais'!Y57,"")</f>
        <v/>
      </c>
      <c r="R57" s="36" t="str">
        <f>IF('Entradas Mensais'!A57&lt;&gt;"",'Entradas Mensais'!Z57,"")</f>
        <v/>
      </c>
      <c r="S57" s="36" t="str">
        <f>IF('Entradas Mensais'!A57&lt;&gt;"",'Entradas Mensais'!AA57,"")</f>
        <v/>
      </c>
      <c r="T57" s="39" t="str">
        <f>IF('Entradas Mensais'!A57&lt;&gt;"",IF(classificacao="P. Público Federal",K57+L57-SUM(M57:P57)+Q57-R57+S57,K57+L57+Q57-R57+S57),"")</f>
        <v/>
      </c>
      <c r="U57" s="38" t="str">
        <f>IF('Entradas Mensais'!A57&lt;&gt;"",SUM(M57:P57),"")</f>
        <v/>
      </c>
    </row>
    <row r="58" spans="1:21" x14ac:dyDescent="0.3">
      <c r="A58" s="70" t="str">
        <f>IF('Entradas Mensais'!A58&lt;&gt;"",'Entradas Mensais'!A58,"")</f>
        <v/>
      </c>
      <c r="B58" s="36" t="str">
        <f>IF('Entradas Mensais'!A58&lt;&gt;"",TRUNC('Entradas Mensais'!B58*'Entradas Mensais'!O58,2),"")</f>
        <v/>
      </c>
      <c r="C58" s="36" t="str">
        <f>IF('Entradas Mensais'!A58&lt;&gt;"",TRUNC('Entradas Mensais'!C58*'Entradas Mensais'!P58,2),"")</f>
        <v/>
      </c>
      <c r="D58" s="37" t="str">
        <f>IF('Entradas Mensais'!A58&lt;&gt;"",IF(ligacao="Azul",TRUNC('Entradas Mensais'!H58*'Entradas Mensais'!Q58,2),""),"")</f>
        <v/>
      </c>
      <c r="E58" s="37" t="str">
        <f>IF('Entradas Mensais'!A58&lt;&gt;"",TRUNC('Entradas Mensais'!I58*'Entradas Mensais'!R58,2),"")</f>
        <v/>
      </c>
      <c r="F58" s="37" t="str">
        <f>IF('Entradas Mensais'!A58&lt;&gt;"",IF(ligacao="Azul",TRUNC('Entradas Mensais'!J58*'Entradas Mensais'!S58,2),""),"")</f>
        <v/>
      </c>
      <c r="G58" s="37" t="str">
        <f>IF('Entradas Mensais'!A58&lt;&gt;"",TRUNC('Entradas Mensais'!K58*'Entradas Mensais'!T58,2),"")</f>
        <v/>
      </c>
      <c r="H58" s="37" t="str">
        <f>IF('Entradas Mensais'!A58&lt;&gt;"",TRUNC('Entradas Mensais'!L58*'Entradas Mensais'!U58,2),"")</f>
        <v/>
      </c>
      <c r="I58" s="37" t="str">
        <f>IF('Entradas Mensais'!A58&lt;&gt;"",TRUNC('Entradas Mensais'!M58*'Entradas Mensais'!V58,2),"")</f>
        <v/>
      </c>
      <c r="K58" s="38" t="str">
        <f>IF('Entradas Mensais'!A58&lt;&gt;"",SUM(B58:I58),"")</f>
        <v/>
      </c>
      <c r="L58" s="36" t="str">
        <f>IF('Entradas Mensais'!A58&lt;&gt;"",'Entradas Mensais'!X58,"")</f>
        <v/>
      </c>
      <c r="M58" s="38" t="str">
        <f>IF('Entradas Mensais'!A58&lt;&gt;"",TRUNC(($K58+$S58)*M$6,2),"")</f>
        <v/>
      </c>
      <c r="N58" s="38" t="str">
        <f>IF('Entradas Mensais'!A58&lt;&gt;"",TRUNC(($K58+$S58)*N$6,2),"")</f>
        <v/>
      </c>
      <c r="O58" s="38" t="str">
        <f>IF('Entradas Mensais'!A58&lt;&gt;"",TRUNC(($K58+$S58)*O$6,2),"")</f>
        <v/>
      </c>
      <c r="P58" s="38" t="str">
        <f>IF('Entradas Mensais'!A58&lt;&gt;"",TRUNC(($K58+$S58)*P$6,2),"")</f>
        <v/>
      </c>
      <c r="Q58" s="36" t="str">
        <f>IF('Entradas Mensais'!A58&lt;&gt;"",'Entradas Mensais'!Y58,"")</f>
        <v/>
      </c>
      <c r="R58" s="36" t="str">
        <f>IF('Entradas Mensais'!A58&lt;&gt;"",'Entradas Mensais'!Z58,"")</f>
        <v/>
      </c>
      <c r="S58" s="36" t="str">
        <f>IF('Entradas Mensais'!A58&lt;&gt;"",'Entradas Mensais'!AA58,"")</f>
        <v/>
      </c>
      <c r="T58" s="39" t="str">
        <f>IF('Entradas Mensais'!A58&lt;&gt;"",IF(classificacao="P. Público Federal",K58+L58-SUM(M58:P58)+Q58-R58+S58,K58+L58+Q58-R58+S58),"")</f>
        <v/>
      </c>
      <c r="U58" s="38" t="str">
        <f>IF('Entradas Mensais'!A58&lt;&gt;"",SUM(M58:P58),"")</f>
        <v/>
      </c>
    </row>
    <row r="59" spans="1:21" x14ac:dyDescent="0.3">
      <c r="A59" s="70" t="str">
        <f>IF('Entradas Mensais'!A59&lt;&gt;"",'Entradas Mensais'!A59,"")</f>
        <v/>
      </c>
      <c r="B59" s="36" t="str">
        <f>IF('Entradas Mensais'!A59&lt;&gt;"",TRUNC('Entradas Mensais'!B59*'Entradas Mensais'!O59,2),"")</f>
        <v/>
      </c>
      <c r="C59" s="36" t="str">
        <f>IF('Entradas Mensais'!A59&lt;&gt;"",TRUNC('Entradas Mensais'!C59*'Entradas Mensais'!P59,2),"")</f>
        <v/>
      </c>
      <c r="D59" s="37" t="str">
        <f>IF('Entradas Mensais'!A59&lt;&gt;"",IF(ligacao="Azul",TRUNC('Entradas Mensais'!H59*'Entradas Mensais'!Q59,2),""),"")</f>
        <v/>
      </c>
      <c r="E59" s="37" t="str">
        <f>IF('Entradas Mensais'!A59&lt;&gt;"",TRUNC('Entradas Mensais'!I59*'Entradas Mensais'!R59,2),"")</f>
        <v/>
      </c>
      <c r="F59" s="37" t="str">
        <f>IF('Entradas Mensais'!A59&lt;&gt;"",IF(ligacao="Azul",TRUNC('Entradas Mensais'!J59*'Entradas Mensais'!S59,2),""),"")</f>
        <v/>
      </c>
      <c r="G59" s="37" t="str">
        <f>IF('Entradas Mensais'!A59&lt;&gt;"",TRUNC('Entradas Mensais'!K59*'Entradas Mensais'!T59,2),"")</f>
        <v/>
      </c>
      <c r="H59" s="37" t="str">
        <f>IF('Entradas Mensais'!A59&lt;&gt;"",TRUNC('Entradas Mensais'!L59*'Entradas Mensais'!U59,2),"")</f>
        <v/>
      </c>
      <c r="I59" s="37" t="str">
        <f>IF('Entradas Mensais'!A59&lt;&gt;"",TRUNC('Entradas Mensais'!M59*'Entradas Mensais'!V59,2),"")</f>
        <v/>
      </c>
      <c r="K59" s="38" t="str">
        <f>IF('Entradas Mensais'!A59&lt;&gt;"",SUM(B59:I59),"")</f>
        <v/>
      </c>
      <c r="L59" s="36" t="str">
        <f>IF('Entradas Mensais'!A59&lt;&gt;"",'Entradas Mensais'!X59,"")</f>
        <v/>
      </c>
      <c r="M59" s="38" t="str">
        <f>IF('Entradas Mensais'!A59&lt;&gt;"",TRUNC(($K59+$S59)*M$6,2),"")</f>
        <v/>
      </c>
      <c r="N59" s="38" t="str">
        <f>IF('Entradas Mensais'!A59&lt;&gt;"",TRUNC(($K59+$S59)*N$6,2),"")</f>
        <v/>
      </c>
      <c r="O59" s="38" t="str">
        <f>IF('Entradas Mensais'!A59&lt;&gt;"",TRUNC(($K59+$S59)*O$6,2),"")</f>
        <v/>
      </c>
      <c r="P59" s="38" t="str">
        <f>IF('Entradas Mensais'!A59&lt;&gt;"",TRUNC(($K59+$S59)*P$6,2),"")</f>
        <v/>
      </c>
      <c r="Q59" s="36" t="str">
        <f>IF('Entradas Mensais'!A59&lt;&gt;"",'Entradas Mensais'!Y59,"")</f>
        <v/>
      </c>
      <c r="R59" s="36" t="str">
        <f>IF('Entradas Mensais'!A59&lt;&gt;"",'Entradas Mensais'!Z59,"")</f>
        <v/>
      </c>
      <c r="S59" s="36" t="str">
        <f>IF('Entradas Mensais'!A59&lt;&gt;"",'Entradas Mensais'!AA59,"")</f>
        <v/>
      </c>
      <c r="T59" s="39" t="str">
        <f>IF('Entradas Mensais'!A59&lt;&gt;"",IF(classificacao="P. Público Federal",K59+L59-SUM(M59:P59)+Q59-R59+S59,K59+L59+Q59-R59+S59),"")</f>
        <v/>
      </c>
      <c r="U59" s="38" t="str">
        <f>IF('Entradas Mensais'!A59&lt;&gt;"",SUM(M59:P59),"")</f>
        <v/>
      </c>
    </row>
    <row r="60" spans="1:21" x14ac:dyDescent="0.3">
      <c r="A60" s="70" t="str">
        <f>IF('Entradas Mensais'!A60&lt;&gt;"",'Entradas Mensais'!A60,"")</f>
        <v/>
      </c>
      <c r="B60" s="36" t="str">
        <f>IF('Entradas Mensais'!A60&lt;&gt;"",TRUNC('Entradas Mensais'!B60*'Entradas Mensais'!O60,2),"")</f>
        <v/>
      </c>
      <c r="C60" s="36" t="str">
        <f>IF('Entradas Mensais'!A60&lt;&gt;"",TRUNC('Entradas Mensais'!C60*'Entradas Mensais'!P60,2),"")</f>
        <v/>
      </c>
      <c r="D60" s="37" t="str">
        <f>IF('Entradas Mensais'!A60&lt;&gt;"",IF(ligacao="Azul",TRUNC('Entradas Mensais'!H60*'Entradas Mensais'!Q60,2),""),"")</f>
        <v/>
      </c>
      <c r="E60" s="37" t="str">
        <f>IF('Entradas Mensais'!A60&lt;&gt;"",TRUNC('Entradas Mensais'!I60*'Entradas Mensais'!R60,2),"")</f>
        <v/>
      </c>
      <c r="F60" s="37" t="str">
        <f>IF('Entradas Mensais'!A60&lt;&gt;"",IF(ligacao="Azul",TRUNC('Entradas Mensais'!J60*'Entradas Mensais'!S60,2),""),"")</f>
        <v/>
      </c>
      <c r="G60" s="37" t="str">
        <f>IF('Entradas Mensais'!A60&lt;&gt;"",TRUNC('Entradas Mensais'!K60*'Entradas Mensais'!T60,2),"")</f>
        <v/>
      </c>
      <c r="H60" s="37" t="str">
        <f>IF('Entradas Mensais'!A60&lt;&gt;"",TRUNC('Entradas Mensais'!L60*'Entradas Mensais'!U60,2),"")</f>
        <v/>
      </c>
      <c r="I60" s="37" t="str">
        <f>IF('Entradas Mensais'!A60&lt;&gt;"",TRUNC('Entradas Mensais'!M60*'Entradas Mensais'!V60,2),"")</f>
        <v/>
      </c>
      <c r="K60" s="38" t="str">
        <f>IF('Entradas Mensais'!A60&lt;&gt;"",SUM(B60:I60),"")</f>
        <v/>
      </c>
      <c r="L60" s="36" t="str">
        <f>IF('Entradas Mensais'!A60&lt;&gt;"",'Entradas Mensais'!X60,"")</f>
        <v/>
      </c>
      <c r="M60" s="38" t="str">
        <f>IF('Entradas Mensais'!A60&lt;&gt;"",TRUNC(($K60+$S60)*M$6,2),"")</f>
        <v/>
      </c>
      <c r="N60" s="38" t="str">
        <f>IF('Entradas Mensais'!A60&lt;&gt;"",TRUNC(($K60+$S60)*N$6,2),"")</f>
        <v/>
      </c>
      <c r="O60" s="38" t="str">
        <f>IF('Entradas Mensais'!A60&lt;&gt;"",TRUNC(($K60+$S60)*O$6,2),"")</f>
        <v/>
      </c>
      <c r="P60" s="38" t="str">
        <f>IF('Entradas Mensais'!A60&lt;&gt;"",TRUNC(($K60+$S60)*P$6,2),"")</f>
        <v/>
      </c>
      <c r="Q60" s="36" t="str">
        <f>IF('Entradas Mensais'!A60&lt;&gt;"",'Entradas Mensais'!Y60,"")</f>
        <v/>
      </c>
      <c r="R60" s="36" t="str">
        <f>IF('Entradas Mensais'!A60&lt;&gt;"",'Entradas Mensais'!Z60,"")</f>
        <v/>
      </c>
      <c r="S60" s="36" t="str">
        <f>IF('Entradas Mensais'!A60&lt;&gt;"",'Entradas Mensais'!AA60,"")</f>
        <v/>
      </c>
      <c r="T60" s="39" t="str">
        <f>IF('Entradas Mensais'!A60&lt;&gt;"",IF(classificacao="P. Público Federal",K60+L60-SUM(M60:P60)+Q60-R60+S60,K60+L60+Q60-R60+S60),"")</f>
        <v/>
      </c>
      <c r="U60" s="38" t="str">
        <f>IF('Entradas Mensais'!A60&lt;&gt;"",SUM(M60:P60),"")</f>
        <v/>
      </c>
    </row>
    <row r="61" spans="1:21" x14ac:dyDescent="0.3">
      <c r="A61" s="70" t="str">
        <f>IF('Entradas Mensais'!A61&lt;&gt;"",'Entradas Mensais'!A61,"")</f>
        <v/>
      </c>
      <c r="B61" s="36" t="str">
        <f>IF('Entradas Mensais'!A61&lt;&gt;"",TRUNC('Entradas Mensais'!B61*'Entradas Mensais'!O61,2),"")</f>
        <v/>
      </c>
      <c r="C61" s="36" t="str">
        <f>IF('Entradas Mensais'!A61&lt;&gt;"",TRUNC('Entradas Mensais'!C61*'Entradas Mensais'!P61,2),"")</f>
        <v/>
      </c>
      <c r="D61" s="37" t="str">
        <f>IF('Entradas Mensais'!A61&lt;&gt;"",IF(ligacao="Azul",TRUNC('Entradas Mensais'!H61*'Entradas Mensais'!Q61,2),""),"")</f>
        <v/>
      </c>
      <c r="E61" s="37" t="str">
        <f>IF('Entradas Mensais'!A61&lt;&gt;"",TRUNC('Entradas Mensais'!I61*'Entradas Mensais'!R61,2),"")</f>
        <v/>
      </c>
      <c r="F61" s="37" t="str">
        <f>IF('Entradas Mensais'!A61&lt;&gt;"",IF(ligacao="Azul",TRUNC('Entradas Mensais'!J61*'Entradas Mensais'!S61,2),""),"")</f>
        <v/>
      </c>
      <c r="G61" s="37" t="str">
        <f>IF('Entradas Mensais'!A61&lt;&gt;"",TRUNC('Entradas Mensais'!K61*'Entradas Mensais'!T61,2),"")</f>
        <v/>
      </c>
      <c r="H61" s="37" t="str">
        <f>IF('Entradas Mensais'!A61&lt;&gt;"",TRUNC('Entradas Mensais'!L61*'Entradas Mensais'!U61,2),"")</f>
        <v/>
      </c>
      <c r="I61" s="37" t="str">
        <f>IF('Entradas Mensais'!A61&lt;&gt;"",TRUNC('Entradas Mensais'!M61*'Entradas Mensais'!V61,2),"")</f>
        <v/>
      </c>
      <c r="K61" s="38" t="str">
        <f>IF('Entradas Mensais'!A61&lt;&gt;"",SUM(B61:I61),"")</f>
        <v/>
      </c>
      <c r="L61" s="36" t="str">
        <f>IF('Entradas Mensais'!A61&lt;&gt;"",'Entradas Mensais'!X61,"")</f>
        <v/>
      </c>
      <c r="M61" s="38" t="str">
        <f>IF('Entradas Mensais'!A61&lt;&gt;"",TRUNC(($K61+$S61)*M$6,2),"")</f>
        <v/>
      </c>
      <c r="N61" s="38" t="str">
        <f>IF('Entradas Mensais'!A61&lt;&gt;"",TRUNC(($K61+$S61)*N$6,2),"")</f>
        <v/>
      </c>
      <c r="O61" s="38" t="str">
        <f>IF('Entradas Mensais'!A61&lt;&gt;"",TRUNC(($K61+$S61)*O$6,2),"")</f>
        <v/>
      </c>
      <c r="P61" s="38" t="str">
        <f>IF('Entradas Mensais'!A61&lt;&gt;"",TRUNC(($K61+$S61)*P$6,2),"")</f>
        <v/>
      </c>
      <c r="Q61" s="36" t="str">
        <f>IF('Entradas Mensais'!A61&lt;&gt;"",'Entradas Mensais'!Y61,"")</f>
        <v/>
      </c>
      <c r="R61" s="36" t="str">
        <f>IF('Entradas Mensais'!A61&lt;&gt;"",'Entradas Mensais'!Z61,"")</f>
        <v/>
      </c>
      <c r="S61" s="36" t="str">
        <f>IF('Entradas Mensais'!A61&lt;&gt;"",'Entradas Mensais'!AA61,"")</f>
        <v/>
      </c>
      <c r="T61" s="39" t="str">
        <f>IF('Entradas Mensais'!A61&lt;&gt;"",IF(classificacao="P. Público Federal",K61+L61-SUM(M61:P61)+Q61-R61+S61,K61+L61+Q61-R61+S61),"")</f>
        <v/>
      </c>
      <c r="U61" s="38" t="str">
        <f>IF('Entradas Mensais'!A61&lt;&gt;"",SUM(M61:P61),"")</f>
        <v/>
      </c>
    </row>
    <row r="62" spans="1:21" x14ac:dyDescent="0.3">
      <c r="A62" s="70" t="str">
        <f>IF('Entradas Mensais'!A62&lt;&gt;"",'Entradas Mensais'!A62,"")</f>
        <v/>
      </c>
      <c r="B62" s="36" t="str">
        <f>IF('Entradas Mensais'!A62&lt;&gt;"",TRUNC('Entradas Mensais'!B62*'Entradas Mensais'!O62,2),"")</f>
        <v/>
      </c>
      <c r="C62" s="36" t="str">
        <f>IF('Entradas Mensais'!A62&lt;&gt;"",TRUNC('Entradas Mensais'!C62*'Entradas Mensais'!P62,2),"")</f>
        <v/>
      </c>
      <c r="D62" s="37" t="str">
        <f>IF('Entradas Mensais'!A62&lt;&gt;"",IF(ligacao="Azul",TRUNC('Entradas Mensais'!H62*'Entradas Mensais'!Q62,2),""),"")</f>
        <v/>
      </c>
      <c r="E62" s="37" t="str">
        <f>IF('Entradas Mensais'!A62&lt;&gt;"",TRUNC('Entradas Mensais'!I62*'Entradas Mensais'!R62,2),"")</f>
        <v/>
      </c>
      <c r="F62" s="37" t="str">
        <f>IF('Entradas Mensais'!A62&lt;&gt;"",IF(ligacao="Azul",TRUNC('Entradas Mensais'!J62*'Entradas Mensais'!S62,2),""),"")</f>
        <v/>
      </c>
      <c r="G62" s="37" t="str">
        <f>IF('Entradas Mensais'!A62&lt;&gt;"",TRUNC('Entradas Mensais'!K62*'Entradas Mensais'!T62,2),"")</f>
        <v/>
      </c>
      <c r="H62" s="37" t="str">
        <f>IF('Entradas Mensais'!A62&lt;&gt;"",TRUNC('Entradas Mensais'!L62*'Entradas Mensais'!U62,2),"")</f>
        <v/>
      </c>
      <c r="I62" s="37" t="str">
        <f>IF('Entradas Mensais'!A62&lt;&gt;"",TRUNC('Entradas Mensais'!M62*'Entradas Mensais'!V62,2),"")</f>
        <v/>
      </c>
      <c r="K62" s="38" t="str">
        <f>IF('Entradas Mensais'!A62&lt;&gt;"",SUM(B62:I62),"")</f>
        <v/>
      </c>
      <c r="L62" s="36" t="str">
        <f>IF('Entradas Mensais'!A62&lt;&gt;"",'Entradas Mensais'!X62,"")</f>
        <v/>
      </c>
      <c r="M62" s="38" t="str">
        <f>IF('Entradas Mensais'!A62&lt;&gt;"",TRUNC(($K62+$S62)*M$6,2),"")</f>
        <v/>
      </c>
      <c r="N62" s="38" t="str">
        <f>IF('Entradas Mensais'!A62&lt;&gt;"",TRUNC(($K62+$S62)*N$6,2),"")</f>
        <v/>
      </c>
      <c r="O62" s="38" t="str">
        <f>IF('Entradas Mensais'!A62&lt;&gt;"",TRUNC(($K62+$S62)*O$6,2),"")</f>
        <v/>
      </c>
      <c r="P62" s="38" t="str">
        <f>IF('Entradas Mensais'!A62&lt;&gt;"",TRUNC(($K62+$S62)*P$6,2),"")</f>
        <v/>
      </c>
      <c r="Q62" s="36" t="str">
        <f>IF('Entradas Mensais'!A62&lt;&gt;"",'Entradas Mensais'!Y62,"")</f>
        <v/>
      </c>
      <c r="R62" s="36" t="str">
        <f>IF('Entradas Mensais'!A62&lt;&gt;"",'Entradas Mensais'!Z62,"")</f>
        <v/>
      </c>
      <c r="S62" s="36" t="str">
        <f>IF('Entradas Mensais'!A62&lt;&gt;"",'Entradas Mensais'!AA62,"")</f>
        <v/>
      </c>
      <c r="T62" s="39" t="str">
        <f>IF('Entradas Mensais'!A62&lt;&gt;"",IF(classificacao="P. Público Federal",K62+L62-SUM(M62:P62)+Q62-R62+S62,K62+L62+Q62-R62+S62),"")</f>
        <v/>
      </c>
      <c r="U62" s="38" t="str">
        <f>IF('Entradas Mensais'!A62&lt;&gt;"",SUM(M62:P62),"")</f>
        <v/>
      </c>
    </row>
    <row r="63" spans="1:21" x14ac:dyDescent="0.3">
      <c r="A63" s="70" t="str">
        <f>IF('Entradas Mensais'!A63&lt;&gt;"",'Entradas Mensais'!A63,"")</f>
        <v/>
      </c>
      <c r="B63" s="36" t="str">
        <f>IF('Entradas Mensais'!A63&lt;&gt;"",TRUNC('Entradas Mensais'!B63*'Entradas Mensais'!O63,2),"")</f>
        <v/>
      </c>
      <c r="C63" s="36" t="str">
        <f>IF('Entradas Mensais'!A63&lt;&gt;"",TRUNC('Entradas Mensais'!C63*'Entradas Mensais'!P63,2),"")</f>
        <v/>
      </c>
      <c r="D63" s="37" t="str">
        <f>IF('Entradas Mensais'!A63&lt;&gt;"",IF(ligacao="Azul",TRUNC('Entradas Mensais'!H63*'Entradas Mensais'!Q63,2),""),"")</f>
        <v/>
      </c>
      <c r="E63" s="37" t="str">
        <f>IF('Entradas Mensais'!A63&lt;&gt;"",TRUNC('Entradas Mensais'!I63*'Entradas Mensais'!R63,2),"")</f>
        <v/>
      </c>
      <c r="F63" s="37" t="str">
        <f>IF('Entradas Mensais'!A63&lt;&gt;"",IF(ligacao="Azul",TRUNC('Entradas Mensais'!J63*'Entradas Mensais'!S63,2),""),"")</f>
        <v/>
      </c>
      <c r="G63" s="37" t="str">
        <f>IF('Entradas Mensais'!A63&lt;&gt;"",TRUNC('Entradas Mensais'!K63*'Entradas Mensais'!T63,2),"")</f>
        <v/>
      </c>
      <c r="H63" s="37" t="str">
        <f>IF('Entradas Mensais'!A63&lt;&gt;"",TRUNC('Entradas Mensais'!L63*'Entradas Mensais'!U63,2),"")</f>
        <v/>
      </c>
      <c r="I63" s="37" t="str">
        <f>IF('Entradas Mensais'!A63&lt;&gt;"",TRUNC('Entradas Mensais'!M63*'Entradas Mensais'!V63,2),"")</f>
        <v/>
      </c>
      <c r="K63" s="38" t="str">
        <f>IF('Entradas Mensais'!A63&lt;&gt;"",SUM(B63:I63),"")</f>
        <v/>
      </c>
      <c r="L63" s="36" t="str">
        <f>IF('Entradas Mensais'!A63&lt;&gt;"",'Entradas Mensais'!X63,"")</f>
        <v/>
      </c>
      <c r="M63" s="38" t="str">
        <f>IF('Entradas Mensais'!A63&lt;&gt;"",TRUNC(($K63+$S63)*M$6,2),"")</f>
        <v/>
      </c>
      <c r="N63" s="38" t="str">
        <f>IF('Entradas Mensais'!A63&lt;&gt;"",TRUNC(($K63+$S63)*N$6,2),"")</f>
        <v/>
      </c>
      <c r="O63" s="38" t="str">
        <f>IF('Entradas Mensais'!A63&lt;&gt;"",TRUNC(($K63+$S63)*O$6,2),"")</f>
        <v/>
      </c>
      <c r="P63" s="38" t="str">
        <f>IF('Entradas Mensais'!A63&lt;&gt;"",TRUNC(($K63+$S63)*P$6,2),"")</f>
        <v/>
      </c>
      <c r="Q63" s="36" t="str">
        <f>IF('Entradas Mensais'!A63&lt;&gt;"",'Entradas Mensais'!Y63,"")</f>
        <v/>
      </c>
      <c r="R63" s="36" t="str">
        <f>IF('Entradas Mensais'!A63&lt;&gt;"",'Entradas Mensais'!Z63,"")</f>
        <v/>
      </c>
      <c r="S63" s="36" t="str">
        <f>IF('Entradas Mensais'!A63&lt;&gt;"",'Entradas Mensais'!AA63,"")</f>
        <v/>
      </c>
      <c r="T63" s="39" t="str">
        <f>IF('Entradas Mensais'!A63&lt;&gt;"",IF(classificacao="P. Público Federal",K63+L63-SUM(M63:P63)+Q63-R63+S63,K63+L63+Q63-R63+S63),"")</f>
        <v/>
      </c>
      <c r="U63" s="38" t="str">
        <f>IF('Entradas Mensais'!A63&lt;&gt;"",SUM(M63:P63),"")</f>
        <v/>
      </c>
    </row>
    <row r="64" spans="1:21" x14ac:dyDescent="0.3">
      <c r="A64" s="70" t="str">
        <f>IF('Entradas Mensais'!A64&lt;&gt;"",'Entradas Mensais'!A64,"")</f>
        <v/>
      </c>
      <c r="B64" s="36" t="str">
        <f>IF('Entradas Mensais'!A64&lt;&gt;"",TRUNC('Entradas Mensais'!B64*'Entradas Mensais'!O64,2),"")</f>
        <v/>
      </c>
      <c r="C64" s="36" t="str">
        <f>IF('Entradas Mensais'!A64&lt;&gt;"",TRUNC('Entradas Mensais'!C64*'Entradas Mensais'!P64,2),"")</f>
        <v/>
      </c>
      <c r="D64" s="37" t="str">
        <f>IF('Entradas Mensais'!A64&lt;&gt;"",IF(ligacao="Azul",TRUNC('Entradas Mensais'!H64*'Entradas Mensais'!Q64,2),""),"")</f>
        <v/>
      </c>
      <c r="E64" s="37" t="str">
        <f>IF('Entradas Mensais'!A64&lt;&gt;"",TRUNC('Entradas Mensais'!I64*'Entradas Mensais'!R64,2),"")</f>
        <v/>
      </c>
      <c r="F64" s="37" t="str">
        <f>IF('Entradas Mensais'!A64&lt;&gt;"",IF(ligacao="Azul",TRUNC('Entradas Mensais'!J64*'Entradas Mensais'!S64,2),""),"")</f>
        <v/>
      </c>
      <c r="G64" s="37" t="str">
        <f>IF('Entradas Mensais'!A64&lt;&gt;"",TRUNC('Entradas Mensais'!K64*'Entradas Mensais'!T64,2),"")</f>
        <v/>
      </c>
      <c r="H64" s="37" t="str">
        <f>IF('Entradas Mensais'!A64&lt;&gt;"",TRUNC('Entradas Mensais'!L64*'Entradas Mensais'!U64,2),"")</f>
        <v/>
      </c>
      <c r="I64" s="37" t="str">
        <f>IF('Entradas Mensais'!A64&lt;&gt;"",TRUNC('Entradas Mensais'!M64*'Entradas Mensais'!V64,2),"")</f>
        <v/>
      </c>
      <c r="K64" s="38" t="str">
        <f>IF('Entradas Mensais'!A64&lt;&gt;"",SUM(B64:I64),"")</f>
        <v/>
      </c>
      <c r="L64" s="36" t="str">
        <f>IF('Entradas Mensais'!A64&lt;&gt;"",'Entradas Mensais'!X64,"")</f>
        <v/>
      </c>
      <c r="M64" s="38" t="str">
        <f>IF('Entradas Mensais'!A64&lt;&gt;"",TRUNC(($K64+$S64)*M$6,2),"")</f>
        <v/>
      </c>
      <c r="N64" s="38" t="str">
        <f>IF('Entradas Mensais'!A64&lt;&gt;"",TRUNC(($K64+$S64)*N$6,2),"")</f>
        <v/>
      </c>
      <c r="O64" s="38" t="str">
        <f>IF('Entradas Mensais'!A64&lt;&gt;"",TRUNC(($K64+$S64)*O$6,2),"")</f>
        <v/>
      </c>
      <c r="P64" s="38" t="str">
        <f>IF('Entradas Mensais'!A64&lt;&gt;"",TRUNC(($K64+$S64)*P$6,2),"")</f>
        <v/>
      </c>
      <c r="Q64" s="36" t="str">
        <f>IF('Entradas Mensais'!A64&lt;&gt;"",'Entradas Mensais'!Y64,"")</f>
        <v/>
      </c>
      <c r="R64" s="36" t="str">
        <f>IF('Entradas Mensais'!A64&lt;&gt;"",'Entradas Mensais'!Z64,"")</f>
        <v/>
      </c>
      <c r="S64" s="36" t="str">
        <f>IF('Entradas Mensais'!A64&lt;&gt;"",'Entradas Mensais'!AA64,"")</f>
        <v/>
      </c>
      <c r="T64" s="39" t="str">
        <f>IF('Entradas Mensais'!A64&lt;&gt;"",IF(classificacao="P. Público Federal",K64+L64-SUM(M64:P64)+Q64-R64+S64,K64+L64+Q64-R64+S64),"")</f>
        <v/>
      </c>
      <c r="U64" s="38" t="str">
        <f>IF('Entradas Mensais'!A64&lt;&gt;"",SUM(M64:P64),"")</f>
        <v/>
      </c>
    </row>
    <row r="65" spans="1:21" x14ac:dyDescent="0.3">
      <c r="A65" s="70" t="str">
        <f>IF('Entradas Mensais'!A65&lt;&gt;"",'Entradas Mensais'!A65,"")</f>
        <v/>
      </c>
      <c r="B65" s="36" t="str">
        <f>IF('Entradas Mensais'!A65&lt;&gt;"",TRUNC('Entradas Mensais'!B65*'Entradas Mensais'!O65,2),"")</f>
        <v/>
      </c>
      <c r="C65" s="36" t="str">
        <f>IF('Entradas Mensais'!A65&lt;&gt;"",TRUNC('Entradas Mensais'!C65*'Entradas Mensais'!P65,2),"")</f>
        <v/>
      </c>
      <c r="D65" s="37" t="str">
        <f>IF('Entradas Mensais'!A65&lt;&gt;"",IF(ligacao="Azul",TRUNC('Entradas Mensais'!H65*'Entradas Mensais'!Q65,2),""),"")</f>
        <v/>
      </c>
      <c r="E65" s="37" t="str">
        <f>IF('Entradas Mensais'!A65&lt;&gt;"",TRUNC('Entradas Mensais'!I65*'Entradas Mensais'!R65,2),"")</f>
        <v/>
      </c>
      <c r="F65" s="37" t="str">
        <f>IF('Entradas Mensais'!A65&lt;&gt;"",IF(ligacao="Azul",TRUNC('Entradas Mensais'!J65*'Entradas Mensais'!S65,2),""),"")</f>
        <v/>
      </c>
      <c r="G65" s="37" t="str">
        <f>IF('Entradas Mensais'!A65&lt;&gt;"",TRUNC('Entradas Mensais'!K65*'Entradas Mensais'!T65,2),"")</f>
        <v/>
      </c>
      <c r="H65" s="37" t="str">
        <f>IF('Entradas Mensais'!A65&lt;&gt;"",TRUNC('Entradas Mensais'!L65*'Entradas Mensais'!U65,2),"")</f>
        <v/>
      </c>
      <c r="I65" s="37" t="str">
        <f>IF('Entradas Mensais'!A65&lt;&gt;"",TRUNC('Entradas Mensais'!M65*'Entradas Mensais'!V65,2),"")</f>
        <v/>
      </c>
      <c r="K65" s="38" t="str">
        <f>IF('Entradas Mensais'!A65&lt;&gt;"",SUM(B65:I65),"")</f>
        <v/>
      </c>
      <c r="L65" s="36" t="str">
        <f>IF('Entradas Mensais'!A65&lt;&gt;"",'Entradas Mensais'!X65,"")</f>
        <v/>
      </c>
      <c r="M65" s="38" t="str">
        <f>IF('Entradas Mensais'!A65&lt;&gt;"",TRUNC(($K65+$S65)*M$6,2),"")</f>
        <v/>
      </c>
      <c r="N65" s="38" t="str">
        <f>IF('Entradas Mensais'!A65&lt;&gt;"",TRUNC(($K65+$S65)*N$6,2),"")</f>
        <v/>
      </c>
      <c r="O65" s="38" t="str">
        <f>IF('Entradas Mensais'!A65&lt;&gt;"",TRUNC(($K65+$S65)*O$6,2),"")</f>
        <v/>
      </c>
      <c r="P65" s="38" t="str">
        <f>IF('Entradas Mensais'!A65&lt;&gt;"",TRUNC(($K65+$S65)*P$6,2),"")</f>
        <v/>
      </c>
      <c r="Q65" s="36" t="str">
        <f>IF('Entradas Mensais'!A65&lt;&gt;"",'Entradas Mensais'!Y65,"")</f>
        <v/>
      </c>
      <c r="R65" s="36" t="str">
        <f>IF('Entradas Mensais'!A65&lt;&gt;"",'Entradas Mensais'!Z65,"")</f>
        <v/>
      </c>
      <c r="S65" s="36" t="str">
        <f>IF('Entradas Mensais'!A65&lt;&gt;"",'Entradas Mensais'!AA65,"")</f>
        <v/>
      </c>
      <c r="T65" s="39" t="str">
        <f>IF('Entradas Mensais'!A65&lt;&gt;"",IF(classificacao="P. Público Federal",K65+L65-SUM(M65:P65)+Q65-R65+S65,K65+L65+Q65-R65+S65),"")</f>
        <v/>
      </c>
      <c r="U65" s="38" t="str">
        <f>IF('Entradas Mensais'!A65&lt;&gt;"",SUM(M65:P65),"")</f>
        <v/>
      </c>
    </row>
    <row r="66" spans="1:21" x14ac:dyDescent="0.3">
      <c r="A66" s="70" t="str">
        <f>IF('Entradas Mensais'!A66&lt;&gt;"",'Entradas Mensais'!A66,"")</f>
        <v/>
      </c>
      <c r="B66" s="36" t="str">
        <f>IF('Entradas Mensais'!A66&lt;&gt;"",TRUNC('Entradas Mensais'!B66*'Entradas Mensais'!O66,2),"")</f>
        <v/>
      </c>
      <c r="C66" s="36" t="str">
        <f>IF('Entradas Mensais'!A66&lt;&gt;"",TRUNC('Entradas Mensais'!C66*'Entradas Mensais'!P66,2),"")</f>
        <v/>
      </c>
      <c r="D66" s="37" t="str">
        <f>IF('Entradas Mensais'!A66&lt;&gt;"",IF(ligacao="Azul",TRUNC('Entradas Mensais'!H66*'Entradas Mensais'!Q66,2),""),"")</f>
        <v/>
      </c>
      <c r="E66" s="37" t="str">
        <f>IF('Entradas Mensais'!A66&lt;&gt;"",TRUNC('Entradas Mensais'!I66*'Entradas Mensais'!R66,2),"")</f>
        <v/>
      </c>
      <c r="F66" s="37" t="str">
        <f>IF('Entradas Mensais'!A66&lt;&gt;"",IF(ligacao="Azul",TRUNC('Entradas Mensais'!J66*'Entradas Mensais'!S66,2),""),"")</f>
        <v/>
      </c>
      <c r="G66" s="37" t="str">
        <f>IF('Entradas Mensais'!A66&lt;&gt;"",TRUNC('Entradas Mensais'!K66*'Entradas Mensais'!T66,2),"")</f>
        <v/>
      </c>
      <c r="H66" s="37" t="str">
        <f>IF('Entradas Mensais'!A66&lt;&gt;"",TRUNC('Entradas Mensais'!L66*'Entradas Mensais'!U66,2),"")</f>
        <v/>
      </c>
      <c r="I66" s="37" t="str">
        <f>IF('Entradas Mensais'!A66&lt;&gt;"",TRUNC('Entradas Mensais'!M66*'Entradas Mensais'!V66,2),"")</f>
        <v/>
      </c>
      <c r="K66" s="38" t="str">
        <f>IF('Entradas Mensais'!A66&lt;&gt;"",SUM(B66:I66),"")</f>
        <v/>
      </c>
      <c r="L66" s="36" t="str">
        <f>IF('Entradas Mensais'!A66&lt;&gt;"",'Entradas Mensais'!X66,"")</f>
        <v/>
      </c>
      <c r="M66" s="38" t="str">
        <f>IF('Entradas Mensais'!A66&lt;&gt;"",TRUNC(($K66+$S66)*M$6,2),"")</f>
        <v/>
      </c>
      <c r="N66" s="38" t="str">
        <f>IF('Entradas Mensais'!A66&lt;&gt;"",TRUNC(($K66+$S66)*N$6,2),"")</f>
        <v/>
      </c>
      <c r="O66" s="38" t="str">
        <f>IF('Entradas Mensais'!A66&lt;&gt;"",TRUNC(($K66+$S66)*O$6,2),"")</f>
        <v/>
      </c>
      <c r="P66" s="38" t="str">
        <f>IF('Entradas Mensais'!A66&lt;&gt;"",TRUNC(($K66+$S66)*P$6,2),"")</f>
        <v/>
      </c>
      <c r="Q66" s="36" t="str">
        <f>IF('Entradas Mensais'!A66&lt;&gt;"",'Entradas Mensais'!Y66,"")</f>
        <v/>
      </c>
      <c r="R66" s="36" t="str">
        <f>IF('Entradas Mensais'!A66&lt;&gt;"",'Entradas Mensais'!Z66,"")</f>
        <v/>
      </c>
      <c r="S66" s="36" t="str">
        <f>IF('Entradas Mensais'!A66&lt;&gt;"",'Entradas Mensais'!AA66,"")</f>
        <v/>
      </c>
      <c r="T66" s="39" t="str">
        <f>IF('Entradas Mensais'!A66&lt;&gt;"",IF(classificacao="P. Público Federal",K66+L66-SUM(M66:P66)+Q66-R66+S66,K66+L66+Q66-R66+S66),"")</f>
        <v/>
      </c>
      <c r="U66" s="38" t="str">
        <f>IF('Entradas Mensais'!A66&lt;&gt;"",SUM(M66:P66),"")</f>
        <v/>
      </c>
    </row>
    <row r="67" spans="1:21" x14ac:dyDescent="0.3">
      <c r="B67" s="14"/>
    </row>
    <row r="68" spans="1:21" x14ac:dyDescent="0.3">
      <c r="B68" s="14"/>
    </row>
    <row r="69" spans="1:21" x14ac:dyDescent="0.3">
      <c r="B69" s="14"/>
    </row>
    <row r="70" spans="1:21" x14ac:dyDescent="0.3">
      <c r="B70" s="14"/>
    </row>
    <row r="71" spans="1:21" x14ac:dyDescent="0.3">
      <c r="B71" s="14"/>
    </row>
    <row r="72" spans="1:21" x14ac:dyDescent="0.3">
      <c r="B72" s="14"/>
    </row>
    <row r="73" spans="1:21" x14ac:dyDescent="0.3">
      <c r="B73" s="14"/>
    </row>
    <row r="74" spans="1:21" x14ac:dyDescent="0.3">
      <c r="B74" s="14"/>
    </row>
    <row r="75" spans="1:21" x14ac:dyDescent="0.3">
      <c r="B75" s="14"/>
    </row>
    <row r="76" spans="1:21" x14ac:dyDescent="0.3">
      <c r="B76" s="14"/>
    </row>
    <row r="77" spans="1:21" x14ac:dyDescent="0.3">
      <c r="B77" s="14"/>
    </row>
    <row r="78" spans="1:21" x14ac:dyDescent="0.3">
      <c r="B78" s="14"/>
    </row>
    <row r="79" spans="1:21" x14ac:dyDescent="0.3">
      <c r="B79" s="14"/>
    </row>
    <row r="80" spans="1:21" x14ac:dyDescent="0.3">
      <c r="B80" s="14"/>
    </row>
    <row r="81" spans="2:2" x14ac:dyDescent="0.3">
      <c r="B81" s="14"/>
    </row>
    <row r="82" spans="2:2" x14ac:dyDescent="0.3">
      <c r="B82" s="14"/>
    </row>
    <row r="83" spans="2:2" x14ac:dyDescent="0.3">
      <c r="B83" s="14"/>
    </row>
    <row r="84" spans="2:2" x14ac:dyDescent="0.3">
      <c r="B84" s="14"/>
    </row>
    <row r="85" spans="2:2" x14ac:dyDescent="0.3">
      <c r="B85" s="14"/>
    </row>
    <row r="86" spans="2:2" x14ac:dyDescent="0.3">
      <c r="B86" s="14"/>
    </row>
    <row r="87" spans="2:2" x14ac:dyDescent="0.3">
      <c r="B87" s="14"/>
    </row>
    <row r="88" spans="2:2" x14ac:dyDescent="0.3">
      <c r="B88" s="14"/>
    </row>
    <row r="89" spans="2:2" x14ac:dyDescent="0.3">
      <c r="B89" s="14"/>
    </row>
    <row r="90" spans="2:2" x14ac:dyDescent="0.3">
      <c r="B90" s="14"/>
    </row>
    <row r="91" spans="2:2" x14ac:dyDescent="0.3">
      <c r="B91" s="14"/>
    </row>
    <row r="92" spans="2:2" x14ac:dyDescent="0.3">
      <c r="B92" s="14"/>
    </row>
    <row r="93" spans="2:2" x14ac:dyDescent="0.3">
      <c r="B93" s="14"/>
    </row>
    <row r="94" spans="2:2" x14ac:dyDescent="0.3">
      <c r="B94" s="14"/>
    </row>
    <row r="95" spans="2:2" x14ac:dyDescent="0.3">
      <c r="B95" s="14"/>
    </row>
    <row r="96" spans="2:2" x14ac:dyDescent="0.3">
      <c r="B96" s="14"/>
    </row>
    <row r="97" spans="2:2" x14ac:dyDescent="0.3">
      <c r="B97" s="14"/>
    </row>
    <row r="98" spans="2:2" x14ac:dyDescent="0.3">
      <c r="B98" s="14"/>
    </row>
    <row r="99" spans="2:2" x14ac:dyDescent="0.3">
      <c r="B99" s="14"/>
    </row>
    <row r="100" spans="2:2" x14ac:dyDescent="0.3">
      <c r="B100" s="14"/>
    </row>
    <row r="101" spans="2:2" x14ac:dyDescent="0.3">
      <c r="B101" s="14"/>
    </row>
    <row r="102" spans="2:2" x14ac:dyDescent="0.3">
      <c r="B102" s="14"/>
    </row>
  </sheetData>
  <mergeCells count="16">
    <mergeCell ref="A5:A6"/>
    <mergeCell ref="A4:I4"/>
    <mergeCell ref="A1:B1"/>
    <mergeCell ref="C1:G1"/>
    <mergeCell ref="U5:U6"/>
    <mergeCell ref="K4:U4"/>
    <mergeCell ref="S5:S6"/>
    <mergeCell ref="H5:I5"/>
    <mergeCell ref="K5:K6"/>
    <mergeCell ref="L5:L6"/>
    <mergeCell ref="T5:T6"/>
    <mergeCell ref="Q5:Q6"/>
    <mergeCell ref="R5:R6"/>
    <mergeCell ref="D5:E5"/>
    <mergeCell ref="F5:G5"/>
    <mergeCell ref="B5:C5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2"/>
  <dimension ref="A1:T54"/>
  <sheetViews>
    <sheetView zoomScaleNormal="100" workbookViewId="0">
      <selection activeCell="O12" sqref="O12:P15"/>
    </sheetView>
  </sheetViews>
  <sheetFormatPr defaultColWidth="8.88671875" defaultRowHeight="14.4" x14ac:dyDescent="0.3"/>
  <cols>
    <col min="1" max="14" width="8.88671875" style="5"/>
    <col min="15" max="18" width="12.6640625" style="5" customWidth="1"/>
    <col min="19" max="16384" width="8.88671875" style="5"/>
  </cols>
  <sheetData>
    <row r="1" spans="1:19" ht="85.95" customHeight="1" x14ac:dyDescent="0.3">
      <c r="A1" s="131"/>
      <c r="B1" s="131"/>
      <c r="C1" s="131"/>
      <c r="D1" s="132" t="s">
        <v>100</v>
      </c>
      <c r="E1" s="132"/>
      <c r="F1" s="132"/>
      <c r="G1" s="132"/>
      <c r="H1" s="132"/>
      <c r="I1" s="132"/>
      <c r="J1" s="132"/>
      <c r="K1" s="132"/>
      <c r="L1" s="132"/>
      <c r="M1" s="132"/>
    </row>
    <row r="2" spans="1:19" ht="14.4" customHeight="1" x14ac:dyDescent="0.3">
      <c r="S2" s="17"/>
    </row>
    <row r="3" spans="1:19" ht="18" customHeight="1" x14ac:dyDescent="0.3">
      <c r="O3" s="175" t="s">
        <v>36</v>
      </c>
      <c r="P3" s="176"/>
      <c r="Q3" s="176"/>
      <c r="R3" s="177"/>
      <c r="S3" s="15"/>
    </row>
    <row r="4" spans="1:19" ht="14.4" customHeight="1" x14ac:dyDescent="0.3">
      <c r="O4" s="112" t="s">
        <v>37</v>
      </c>
      <c r="P4" s="113"/>
      <c r="Q4" s="112" t="s">
        <v>38</v>
      </c>
      <c r="R4" s="113"/>
      <c r="S4" s="17"/>
    </row>
    <row r="5" spans="1:19" ht="14.4" customHeight="1" x14ac:dyDescent="0.3">
      <c r="O5" s="6" t="s">
        <v>8</v>
      </c>
      <c r="P5" s="51" t="s">
        <v>9</v>
      </c>
      <c r="Q5" s="6" t="s">
        <v>8</v>
      </c>
      <c r="R5" s="7" t="s">
        <v>9</v>
      </c>
    </row>
    <row r="6" spans="1:19" ht="18" customHeight="1" x14ac:dyDescent="0.3">
      <c r="O6" s="50">
        <f>MAX('Entradas Mensais'!D7:D66)</f>
        <v>546</v>
      </c>
      <c r="P6" s="49">
        <f>MAX('Entradas Mensais'!E7:E66)</f>
        <v>966</v>
      </c>
      <c r="Q6" s="49">
        <f ca="1">'Dados do Contrato'!I9</f>
        <v>650</v>
      </c>
      <c r="R6" s="49">
        <f ca="1">'Dados do Contrato'!J9</f>
        <v>1200</v>
      </c>
    </row>
    <row r="7" spans="1:19" ht="14.4" customHeight="1" x14ac:dyDescent="0.35">
      <c r="S7" s="16"/>
    </row>
    <row r="8" spans="1:19" ht="18" customHeight="1" x14ac:dyDescent="0.35">
      <c r="O8" s="178" t="s">
        <v>8</v>
      </c>
      <c r="P8" s="179"/>
      <c r="Q8" s="178" t="s">
        <v>9</v>
      </c>
      <c r="R8" s="179"/>
      <c r="S8" s="16"/>
    </row>
    <row r="9" spans="1:19" ht="14.4" customHeight="1" x14ac:dyDescent="0.35">
      <c r="O9" s="169" t="str">
        <f ca="1">_xlfn.CONCAT("A demanda contratada é ",IF(R6&gt;P6,"superior","inferior")," à maior utilização em")</f>
        <v>A demanda contratada é superior à maior utilização em</v>
      </c>
      <c r="P9" s="170"/>
      <c r="Q9" s="169" t="str">
        <f ca="1">_xlfn.CONCAT("A demanda contratada é ",IF(R6&gt;P6,"superior","inferior")," à maior utilização em")</f>
        <v>A demanda contratada é superior à maior utilização em</v>
      </c>
      <c r="R9" s="170"/>
      <c r="S9" s="16"/>
    </row>
    <row r="10" spans="1:19" ht="14.4" customHeight="1" x14ac:dyDescent="0.3">
      <c r="O10" s="171"/>
      <c r="P10" s="172"/>
      <c r="Q10" s="171"/>
      <c r="R10" s="172"/>
    </row>
    <row r="11" spans="1:19" ht="23.25" customHeight="1" x14ac:dyDescent="0.3">
      <c r="O11" s="173"/>
      <c r="P11" s="174"/>
      <c r="Q11" s="173"/>
      <c r="R11" s="174"/>
    </row>
    <row r="12" spans="1:19" ht="13.5" customHeight="1" x14ac:dyDescent="0.3">
      <c r="O12" s="163">
        <f ca="1">IF(ligacao="Azul",Q6/O6-1,"--")</f>
        <v>0.19047619047619047</v>
      </c>
      <c r="P12" s="164"/>
      <c r="Q12" s="163">
        <f ca="1">IFERROR(IF(R6&gt;P6,R6/P6-1,P6/R6-1),"")</f>
        <v>0.2422360248447204</v>
      </c>
      <c r="R12" s="164"/>
    </row>
    <row r="13" spans="1:19" ht="14.4" customHeight="1" x14ac:dyDescent="0.3">
      <c r="O13" s="165"/>
      <c r="P13" s="166"/>
      <c r="Q13" s="165"/>
      <c r="R13" s="166"/>
    </row>
    <row r="14" spans="1:19" ht="14.4" customHeight="1" x14ac:dyDescent="0.3">
      <c r="O14" s="165"/>
      <c r="P14" s="166"/>
      <c r="Q14" s="165"/>
      <c r="R14" s="166"/>
    </row>
    <row r="15" spans="1:19" ht="14.4" customHeight="1" x14ac:dyDescent="0.3">
      <c r="O15" s="167"/>
      <c r="P15" s="168"/>
      <c r="Q15" s="167"/>
      <c r="R15" s="168"/>
    </row>
    <row r="17" spans="15:20" ht="15.6" x14ac:dyDescent="0.3">
      <c r="O17" s="149" t="s">
        <v>106</v>
      </c>
      <c r="P17" s="150"/>
      <c r="Q17" s="150"/>
      <c r="R17" s="151"/>
    </row>
    <row r="18" spans="15:20" ht="14.4" customHeight="1" x14ac:dyDescent="0.3">
      <c r="O18" s="154" t="s">
        <v>103</v>
      </c>
      <c r="P18" s="154"/>
      <c r="Q18" s="152" t="s">
        <v>38</v>
      </c>
      <c r="R18" s="153"/>
    </row>
    <row r="19" spans="15:20" ht="14.4" customHeight="1" x14ac:dyDescent="0.3">
      <c r="O19" s="154"/>
      <c r="P19" s="154"/>
      <c r="Q19" s="71" t="s">
        <v>8</v>
      </c>
      <c r="R19" s="72" t="s">
        <v>9</v>
      </c>
      <c r="S19" s="17"/>
    </row>
    <row r="20" spans="15:20" ht="18" x14ac:dyDescent="0.3">
      <c r="O20" s="154"/>
      <c r="P20" s="154"/>
      <c r="Q20" s="65">
        <v>546</v>
      </c>
      <c r="R20" s="65">
        <v>966</v>
      </c>
      <c r="S20" s="17"/>
    </row>
    <row r="21" spans="15:20" x14ac:dyDescent="0.3">
      <c r="O21" s="155" t="s">
        <v>104</v>
      </c>
      <c r="P21" s="156"/>
      <c r="Q21" s="159">
        <f ca="1">IF(ligacao="Azul",12*(AVERAGEIF('Entradas Mensais'!Q7:Q66,"&gt;0")*(Q6-Q20)+AVERAGEIF('Entradas Mensais'!R7:R66,"&gt;0")*(R6-R20)),12*(AVERAGEIF('Entradas Mensais'!R7:R66,"&gt;0")*(R6-R20)))</f>
        <v>70878.9124992</v>
      </c>
      <c r="R21" s="160"/>
    </row>
    <row r="22" spans="15:20" x14ac:dyDescent="0.3">
      <c r="O22" s="157"/>
      <c r="P22" s="158"/>
      <c r="Q22" s="161"/>
      <c r="R22" s="162"/>
    </row>
    <row r="23" spans="15:20" x14ac:dyDescent="0.3">
      <c r="O23" s="145" t="s">
        <v>105</v>
      </c>
      <c r="P23" s="146"/>
      <c r="Q23" s="146"/>
      <c r="R23" s="73">
        <f ca="1">IFERROR(Q21/SUM('Valores Apurados'!T7:U66),"")</f>
        <v>3.7929039510678768E-2</v>
      </c>
    </row>
    <row r="24" spans="15:20" ht="14.4" customHeight="1" x14ac:dyDescent="0.3">
      <c r="O24" s="147" t="s">
        <v>107</v>
      </c>
      <c r="P24" s="147"/>
      <c r="Q24" s="147"/>
      <c r="R24" s="147"/>
      <c r="T24" s="12"/>
    </row>
    <row r="25" spans="15:20" x14ac:dyDescent="0.3">
      <c r="O25" s="148"/>
      <c r="P25" s="148"/>
      <c r="Q25" s="148"/>
      <c r="R25" s="148"/>
    </row>
    <row r="26" spans="15:20" x14ac:dyDescent="0.3">
      <c r="O26" s="148"/>
      <c r="P26" s="148"/>
      <c r="Q26" s="148"/>
      <c r="R26" s="148"/>
    </row>
    <row r="27" spans="15:20" x14ac:dyDescent="0.3">
      <c r="O27" s="52"/>
      <c r="P27" s="52"/>
      <c r="Q27" s="52"/>
      <c r="R27" s="52"/>
    </row>
    <row r="54" ht="14.4" customHeight="1" x14ac:dyDescent="0.3"/>
  </sheetData>
  <sheetProtection sheet="1" objects="1" scenarios="1"/>
  <mergeCells count="18">
    <mergeCell ref="O12:P15"/>
    <mergeCell ref="Q12:R15"/>
    <mergeCell ref="D1:M1"/>
    <mergeCell ref="A1:C1"/>
    <mergeCell ref="O9:P11"/>
    <mergeCell ref="Q9:R11"/>
    <mergeCell ref="O3:R3"/>
    <mergeCell ref="O4:P4"/>
    <mergeCell ref="Q4:R4"/>
    <mergeCell ref="O8:P8"/>
    <mergeCell ref="Q8:R8"/>
    <mergeCell ref="O23:Q23"/>
    <mergeCell ref="O24:R26"/>
    <mergeCell ref="O17:R17"/>
    <mergeCell ref="Q18:R18"/>
    <mergeCell ref="O18:P20"/>
    <mergeCell ref="O21:P22"/>
    <mergeCell ref="Q21:R22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"/>
  <sheetViews>
    <sheetView zoomScaleNormal="100" workbookViewId="0">
      <selection activeCell="A24" sqref="A24"/>
    </sheetView>
  </sheetViews>
  <sheetFormatPr defaultColWidth="8.88671875" defaultRowHeight="14.4" x14ac:dyDescent="0.3"/>
  <cols>
    <col min="1" max="16384" width="8.88671875" style="5"/>
  </cols>
  <sheetData>
    <row r="1" spans="1:13" ht="85.95" customHeight="1" x14ac:dyDescent="0.3">
      <c r="A1" s="131"/>
      <c r="B1" s="131"/>
      <c r="C1" s="131"/>
      <c r="D1" s="132" t="s">
        <v>101</v>
      </c>
      <c r="E1" s="132"/>
      <c r="F1" s="132"/>
      <c r="G1" s="132"/>
      <c r="H1" s="132"/>
      <c r="I1" s="132"/>
      <c r="J1" s="132"/>
      <c r="K1" s="132"/>
      <c r="L1" s="132"/>
      <c r="M1" s="132"/>
    </row>
  </sheetData>
  <sheetProtection sheet="1" objects="1" scenarios="1"/>
  <mergeCells count="2">
    <mergeCell ref="D1:M1"/>
    <mergeCell ref="A1:C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3"/>
  <sheetViews>
    <sheetView workbookViewId="0">
      <selection activeCell="A21" sqref="A21"/>
    </sheetView>
  </sheetViews>
  <sheetFormatPr defaultColWidth="8.88671875" defaultRowHeight="14.4" x14ac:dyDescent="0.3"/>
  <cols>
    <col min="1" max="1" width="12.6640625" style="5" customWidth="1"/>
    <col min="2" max="2" width="14.33203125" style="5" customWidth="1"/>
    <col min="3" max="5" width="12.6640625" style="5" customWidth="1"/>
    <col min="6" max="6" width="13.6640625" style="5" customWidth="1"/>
    <col min="7" max="8" width="12.6640625" style="5" customWidth="1"/>
    <col min="9" max="9" width="8.88671875" style="5"/>
    <col min="10" max="15" width="12.6640625" style="5" customWidth="1"/>
    <col min="16" max="16384" width="8.88671875" style="5"/>
  </cols>
  <sheetData>
    <row r="1" spans="1:15" ht="85.95" customHeight="1" x14ac:dyDescent="0.3">
      <c r="A1" s="131"/>
      <c r="B1" s="131"/>
      <c r="C1" s="132" t="s">
        <v>102</v>
      </c>
      <c r="D1" s="132"/>
      <c r="E1" s="132"/>
      <c r="F1" s="132"/>
      <c r="G1" s="132"/>
      <c r="H1" s="132"/>
    </row>
    <row r="3" spans="1:15" ht="30" customHeight="1" x14ac:dyDescent="0.3">
      <c r="A3" s="120" t="s">
        <v>39</v>
      </c>
      <c r="B3" s="121"/>
      <c r="C3" s="121"/>
      <c r="D3" s="121"/>
      <c r="E3" s="121"/>
      <c r="F3" s="121"/>
      <c r="G3" s="202" t="str">
        <f>_xlfn.CONCAT("Tamanho da amostra: ",COUNTA('Entradas Mensais'!A7:A66)," faturas.")</f>
        <v>Tamanho da amostra: 12 faturas.</v>
      </c>
      <c r="H3" s="203"/>
    </row>
    <row r="4" spans="1:15" x14ac:dyDescent="0.3">
      <c r="A4" s="204" t="s">
        <v>49</v>
      </c>
      <c r="B4" s="205"/>
      <c r="C4" s="205"/>
      <c r="D4" s="108" t="s">
        <v>42</v>
      </c>
      <c r="E4" s="116" t="s">
        <v>43</v>
      </c>
      <c r="F4" s="116" t="s">
        <v>82</v>
      </c>
      <c r="G4" s="124" t="s">
        <v>40</v>
      </c>
      <c r="H4" s="109" t="s">
        <v>41</v>
      </c>
    </row>
    <row r="5" spans="1:15" x14ac:dyDescent="0.3">
      <c r="A5" s="198" t="s">
        <v>46</v>
      </c>
      <c r="B5" s="199"/>
      <c r="C5" s="199"/>
      <c r="D5" s="110"/>
      <c r="E5" s="117"/>
      <c r="F5" s="117"/>
      <c r="G5" s="125"/>
      <c r="H5" s="111"/>
    </row>
    <row r="6" spans="1:15" ht="18" x14ac:dyDescent="0.3">
      <c r="A6" s="200"/>
      <c r="B6" s="201"/>
      <c r="C6" s="201"/>
      <c r="D6" s="33">
        <f>IFERROR(IF(A5="Consumo Ponta",AVERAGEIF('Entradas Mensais'!B7:B66,"&gt;0"),IF(A5="Consumo F. Ponta",AVERAGEIF('Entradas Mensais'!C7:C66,"&gt;0"),IF(A5="Demanda Ponta",AVERAGEIF('Entradas Mensais'!D7:D66,"&gt;0"),IF(A5="Demanda F. Ponta",AVERAGEIF('Entradas Mensais'!E7:E66,"&gt;0"),"")))),"")</f>
        <v>193293.41666666666</v>
      </c>
      <c r="E6" s="33">
        <f ca="1">IFERROR(IF(A5="Consumo Ponta",_xlfn.STDEV.S(OFFSET('Entradas Mensais'!B7,0,0,COUNTA('Entradas Mensais'!A7:A66),1)),IF(A5="Consumo F. Ponta",_xlfn.STDEV.S(OFFSET('Entradas Mensais'!C7,0,0,COUNTA('Entradas Mensais'!A7:A66),1)),IF(A5="Demanda Ponta",_xlfn.STDEV.S(OFFSET('Entradas Mensais'!D7,0,0,COUNTA('Entradas Mensais'!A7:A66),1)),IF(A5="Demanda F. Ponta",_xlfn.STDEV.S(OFFSET('Entradas Mensais'!E7,0,0,COUNTA('Entradas Mensais'!A7:A66),1)),"")))),"")</f>
        <v>26590.859305949285</v>
      </c>
      <c r="F6" s="34">
        <f ca="1">IFERROR(E6/D6,"")</f>
        <v>0.13756733035458246</v>
      </c>
      <c r="G6" s="33">
        <f>IF(A5="Consumo Ponta",_xlfn.MAXIFS('Entradas Mensais'!B7:B66,'Entradas Mensais'!B7:B66,"&gt;0"),IF(A5="Consumo F. Ponta",_xlfn.MAXIFS('Entradas Mensais'!C7:C66,'Entradas Mensais'!C7:C66,"&gt;0"),IF(A5="Demanda Ponta",_xlfn.MAXIFS('Entradas Mensais'!D7:D66,'Entradas Mensais'!D7:D66,"&gt;0"),IF(A5="Demanda F. Ponta",_xlfn.MAXIFS('Entradas Mensais'!E7:E66,'Entradas Mensais'!E7:E66,"&gt;0"),""))))</f>
        <v>231615</v>
      </c>
      <c r="H6" s="33">
        <f>IF(A5="Consumo Ponta",_xlfn.MINIFS('Entradas Mensais'!B7:B66,'Entradas Mensais'!B7:B66,"&gt;0"),IF(A5="Consumo F. Ponta",_xlfn.MINIFS('Entradas Mensais'!C7:C66,'Entradas Mensais'!C7:C66,"&gt;0"),IF(A5="Demanda Ponta",_xlfn.MINIFS('Entradas Mensais'!D7:D66,'Entradas Mensais'!D7:D66,"&gt;0"),IF(A5="Demanda F. Ponta",_xlfn.MINIFS('Entradas Mensais'!E7:E66,'Entradas Mensais'!E7:E66,"&gt;0"),""))))</f>
        <v>155770</v>
      </c>
    </row>
    <row r="9" spans="1:15" ht="30" customHeight="1" x14ac:dyDescent="0.3">
      <c r="A9" s="208" t="s">
        <v>69</v>
      </c>
      <c r="B9" s="208"/>
      <c r="C9" s="208"/>
      <c r="E9" s="209" t="s">
        <v>71</v>
      </c>
      <c r="F9" s="210"/>
      <c r="G9" s="210"/>
      <c r="H9" s="211"/>
    </row>
    <row r="10" spans="1:15" x14ac:dyDescent="0.3">
      <c r="A10" s="214" t="s">
        <v>70</v>
      </c>
      <c r="B10" s="215"/>
      <c r="C10" s="42" t="s">
        <v>42</v>
      </c>
      <c r="E10" s="43" t="s">
        <v>42</v>
      </c>
      <c r="F10" s="44" t="s">
        <v>55</v>
      </c>
      <c r="G10" s="44" t="s">
        <v>40</v>
      </c>
      <c r="H10" s="45" t="s">
        <v>41</v>
      </c>
    </row>
    <row r="11" spans="1:15" x14ac:dyDescent="0.3">
      <c r="A11" s="213" t="s">
        <v>72</v>
      </c>
      <c r="B11" s="213"/>
      <c r="C11" s="47">
        <f ca="1">AVERAGE(intervalo_consumo_fponta)</f>
        <v>193293.41666666666</v>
      </c>
      <c r="E11" s="35">
        <f ca="1">IFERROR(AVERAGE(OFFSET('Valores Apurados'!$T$7,COUNTA('Entradas Mensais'!$A$7:$A$66)-numero_amostras,0,numero_amostras,1)),"")</f>
        <v>146646.68166666667</v>
      </c>
      <c r="F11" s="35">
        <f ca="1">IFERROR(_xlfn.STDEV.S(OFFSET('Valores Apurados'!$T$7,COUNTA('Entradas Mensais'!$A$7:$A$66)-numero_amostras,0,numero_amostras,1)),"")</f>
        <v>15531.034516874179</v>
      </c>
      <c r="G11" s="35">
        <f ca="1">IFERROR(MAX(OFFSET('Valores Apurados'!$T$7,COUNTA('Entradas Mensais'!$A$7:$A$66)-numero_amostras,0,numero_amostras,1)),"")</f>
        <v>175636.6</v>
      </c>
      <c r="H11" s="35">
        <f ca="1">IFERROR(MIN(OFFSET('Valores Apurados'!$T$7,COUNTA('Entradas Mensais'!$A$7:$A$66)-numero_amostras,0,numero_amostras,1)),"")</f>
        <v>125660.82999999999</v>
      </c>
    </row>
    <row r="12" spans="1:15" ht="23.4" x14ac:dyDescent="0.3">
      <c r="A12" s="216" t="s">
        <v>73</v>
      </c>
      <c r="B12" s="216"/>
      <c r="C12" s="48">
        <f ca="1">AVERAGE(intervalo_consumo_ponta)</f>
        <v>15308.416666666666</v>
      </c>
      <c r="E12" s="208" t="s">
        <v>56</v>
      </c>
      <c r="F12" s="208"/>
      <c r="G12" s="212">
        <f ca="1">IFERROR(SUM(OFFSET('Valores Apurados'!$T$7,COUNTA('Entradas Mensais'!$A$7:$A$66)-numero_amostras,0,numero_amostras,1)),"")</f>
        <v>1759760.1800000002</v>
      </c>
      <c r="H12" s="212"/>
    </row>
    <row r="13" spans="1:15" x14ac:dyDescent="0.3">
      <c r="A13" s="213" t="s">
        <v>74</v>
      </c>
      <c r="B13" s="213"/>
      <c r="C13" s="47">
        <f ca="1">AVERAGE(intervalo_demanda_fponta)</f>
        <v>809.58333333333337</v>
      </c>
      <c r="E13" s="207" t="s">
        <v>46</v>
      </c>
      <c r="F13" s="207"/>
      <c r="G13" s="192">
        <f ca="1">SUM(intervalo_valor_consumo_fponta)</f>
        <v>1304746.8299999998</v>
      </c>
      <c r="H13" s="192"/>
      <c r="J13" s="181" t="s">
        <v>86</v>
      </c>
      <c r="K13" s="182"/>
      <c r="L13" s="182"/>
      <c r="M13" s="182"/>
      <c r="N13" s="182"/>
      <c r="O13" s="183"/>
    </row>
    <row r="14" spans="1:15" ht="18" customHeight="1" x14ac:dyDescent="0.3">
      <c r="A14" s="213" t="s">
        <v>75</v>
      </c>
      <c r="B14" s="213"/>
      <c r="C14" s="47">
        <f ca="1">IF(ligacao="Azul",AVERAGE(intervalo_demanda_ponta),"--")</f>
        <v>411.91666666666669</v>
      </c>
      <c r="E14" s="207" t="s">
        <v>45</v>
      </c>
      <c r="F14" s="207"/>
      <c r="G14" s="192">
        <f ca="1">SUM(intervalo_valor_consumo_ponta)</f>
        <v>151371.87</v>
      </c>
      <c r="H14" s="192"/>
      <c r="J14" s="137"/>
      <c r="K14" s="184"/>
      <c r="L14" s="184"/>
      <c r="M14" s="184"/>
      <c r="N14" s="184"/>
      <c r="O14" s="185"/>
    </row>
    <row r="15" spans="1:15" x14ac:dyDescent="0.3">
      <c r="A15" s="213" t="s">
        <v>76</v>
      </c>
      <c r="B15" s="213"/>
      <c r="C15" s="47">
        <f ca="1">IFERROR(SUM(OFFSET('Entradas Mensais'!$K$7,COUNTA('Entradas Mensais'!$A$7:$A$66)-numero_amostras,0,numero_amostras,1))/numero_amostras,"")</f>
        <v>0</v>
      </c>
      <c r="E15" s="207" t="s">
        <v>48</v>
      </c>
      <c r="F15" s="207"/>
      <c r="G15" s="192">
        <f ca="1">SUM(intervalo_valor_demanda_fponta)</f>
        <v>166763.18999999997</v>
      </c>
      <c r="H15" s="192"/>
      <c r="J15" s="186"/>
      <c r="K15" s="187"/>
      <c r="L15" s="196"/>
      <c r="M15" s="196"/>
      <c r="N15" s="187"/>
      <c r="O15" s="190"/>
    </row>
    <row r="16" spans="1:15" x14ac:dyDescent="0.3">
      <c r="A16" s="213" t="s">
        <v>77</v>
      </c>
      <c r="B16" s="213"/>
      <c r="C16" s="47">
        <f ca="1">IFERROR(IF(ligacao="Azul",SUM(OFFSET('Entradas Mensais'!$J$7,COUNTA('Entradas Mensais'!$A$7:$A$66)-numero_amostras,0,numero_amostras,1))/numero_amostras,"--"),"")</f>
        <v>0</v>
      </c>
      <c r="E16" s="195" t="str">
        <f>IF(ligacao="Azul","Demanda Ponta","")</f>
        <v>Demanda Ponta</v>
      </c>
      <c r="F16" s="195"/>
      <c r="G16" s="192">
        <f ca="1">IF(ligacao="Azul",SUM(intervalo_valor_demanda_ponta),"")</f>
        <v>239750.41999999998</v>
      </c>
      <c r="H16" s="192"/>
      <c r="J16" s="188"/>
      <c r="K16" s="189"/>
      <c r="L16" s="197"/>
      <c r="M16" s="197"/>
      <c r="N16" s="189"/>
      <c r="O16" s="191"/>
    </row>
    <row r="17" spans="1:15" x14ac:dyDescent="0.3">
      <c r="A17" s="213" t="s">
        <v>78</v>
      </c>
      <c r="B17" s="213"/>
      <c r="C17" s="47">
        <f ca="1">IFERROR(SUM(OFFSET('Entradas Mensais'!$M$7,COUNTA('Entradas Mensais'!$A$7:$A$66)-numero_amostras,0,numero_amostras,1))/numero_amostras,"")</f>
        <v>0.75</v>
      </c>
      <c r="E17" s="46" t="s">
        <v>18</v>
      </c>
      <c r="F17" s="46"/>
      <c r="G17" s="192">
        <f ca="1">SUM(intervalo_valor_ultdemanda_fponta)+SUM(intervalo_valor_ultdemanda_ponta)</f>
        <v>0</v>
      </c>
      <c r="H17" s="192"/>
      <c r="J17" s="180">
        <f ca="1">IFERROR((C11+C12)/area_construida,"")</f>
        <v>208.6018333333333</v>
      </c>
      <c r="K17" s="180"/>
      <c r="L17" s="180">
        <f ca="1">IFERROR((C11+C12)/area_util,"")</f>
        <v>208.6018333333333</v>
      </c>
      <c r="M17" s="180"/>
      <c r="N17" s="180">
        <f ca="1">IFERROR((C11+C12)/area_condicionada,"")</f>
        <v>208.6018333333333</v>
      </c>
      <c r="O17" s="180"/>
    </row>
    <row r="18" spans="1:15" ht="14.4" customHeight="1" x14ac:dyDescent="0.3">
      <c r="A18" s="213" t="s">
        <v>79</v>
      </c>
      <c r="B18" s="213"/>
      <c r="C18" s="47">
        <f ca="1">IFERROR(SUM(OFFSET('Entradas Mensais'!$L$7,COUNTA('Entradas Mensais'!$A$7:$A$66)-numero_amostras,0,numero_amostras,1))/numero_amostras,"")</f>
        <v>0</v>
      </c>
      <c r="E18" s="193" t="s">
        <v>17</v>
      </c>
      <c r="F18" s="194"/>
      <c r="G18" s="192">
        <f ca="1">SUM(intervalo_valor_erex_fponta)+SUM(intervalo_valor_erex_ponta)</f>
        <v>4.0200000000000005</v>
      </c>
      <c r="H18" s="192"/>
      <c r="J18" s="180"/>
      <c r="K18" s="180"/>
      <c r="L18" s="180"/>
      <c r="M18" s="180"/>
      <c r="N18" s="180"/>
      <c r="O18" s="180"/>
    </row>
    <row r="19" spans="1:15" ht="14.4" customHeight="1" x14ac:dyDescent="0.3">
      <c r="A19" s="206"/>
      <c r="B19" s="206"/>
    </row>
    <row r="20" spans="1:15" x14ac:dyDescent="0.3">
      <c r="H20" s="12"/>
      <c r="J20" s="186"/>
      <c r="K20" s="187"/>
      <c r="L20" s="187"/>
      <c r="M20" s="190"/>
    </row>
    <row r="21" spans="1:15" x14ac:dyDescent="0.3">
      <c r="H21" s="12"/>
      <c r="J21" s="188"/>
      <c r="K21" s="189"/>
      <c r="L21" s="189"/>
      <c r="M21" s="191"/>
    </row>
    <row r="22" spans="1:15" x14ac:dyDescent="0.3">
      <c r="J22" s="180">
        <f ca="1">IFERROR((C11+C12)/usuarios,"")</f>
        <v>2086.018333333333</v>
      </c>
      <c r="K22" s="180"/>
      <c r="L22" s="180">
        <f ca="1">IFERROR((C11+C12)/(365*horas),"")</f>
        <v>1371.628493150685</v>
      </c>
      <c r="M22" s="180"/>
    </row>
    <row r="23" spans="1:15" x14ac:dyDescent="0.3">
      <c r="J23" s="180"/>
      <c r="K23" s="180"/>
      <c r="L23" s="180"/>
      <c r="M23" s="180"/>
    </row>
  </sheetData>
  <sheetProtection sheet="1" objects="1" scenarios="1"/>
  <mergeCells count="47">
    <mergeCell ref="A9:C9"/>
    <mergeCell ref="A10:B10"/>
    <mergeCell ref="A11:B11"/>
    <mergeCell ref="A17:B17"/>
    <mergeCell ref="A18:B18"/>
    <mergeCell ref="A12:B12"/>
    <mergeCell ref="A13:B13"/>
    <mergeCell ref="A16:B16"/>
    <mergeCell ref="A19:B19"/>
    <mergeCell ref="G17:H17"/>
    <mergeCell ref="A1:B1"/>
    <mergeCell ref="E13:F13"/>
    <mergeCell ref="E14:F14"/>
    <mergeCell ref="E15:F15"/>
    <mergeCell ref="G13:H13"/>
    <mergeCell ref="G14:H14"/>
    <mergeCell ref="G15:H15"/>
    <mergeCell ref="H4:H5"/>
    <mergeCell ref="E12:F12"/>
    <mergeCell ref="E9:H9"/>
    <mergeCell ref="G12:H12"/>
    <mergeCell ref="D4:D5"/>
    <mergeCell ref="A14:B14"/>
    <mergeCell ref="A15:B15"/>
    <mergeCell ref="A3:F3"/>
    <mergeCell ref="A5:C6"/>
    <mergeCell ref="G3:H3"/>
    <mergeCell ref="A4:C4"/>
    <mergeCell ref="G4:G5"/>
    <mergeCell ref="F4:F5"/>
    <mergeCell ref="E4:E5"/>
    <mergeCell ref="L22:M23"/>
    <mergeCell ref="J13:O14"/>
    <mergeCell ref="C1:H1"/>
    <mergeCell ref="J15:K16"/>
    <mergeCell ref="J20:K21"/>
    <mergeCell ref="L20:M21"/>
    <mergeCell ref="J17:K18"/>
    <mergeCell ref="G18:H18"/>
    <mergeCell ref="E18:F18"/>
    <mergeCell ref="E16:F16"/>
    <mergeCell ref="G16:H16"/>
    <mergeCell ref="L15:M16"/>
    <mergeCell ref="N15:O16"/>
    <mergeCell ref="L17:M18"/>
    <mergeCell ref="N17:O18"/>
    <mergeCell ref="J22:K23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0000000}">
          <x14:formula1>
            <xm:f>Dados!$D$2:$D$5</xm:f>
          </x14:formula1>
          <xm:sqref>A5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2F739-BE59-4929-9DA1-82941AC36A3F}">
  <dimension ref="A1:L25"/>
  <sheetViews>
    <sheetView showGridLines="0" workbookViewId="0">
      <selection activeCell="A7" sqref="A7"/>
    </sheetView>
  </sheetViews>
  <sheetFormatPr defaultRowHeight="14.4" x14ac:dyDescent="0.3"/>
  <cols>
    <col min="1" max="11" width="12.6640625" customWidth="1"/>
  </cols>
  <sheetData>
    <row r="1" spans="1:12" s="62" customFormat="1" ht="85.95" customHeight="1" x14ac:dyDescent="0.3">
      <c r="A1" s="131"/>
      <c r="B1" s="131"/>
      <c r="C1" s="132" t="s">
        <v>111</v>
      </c>
      <c r="D1" s="133"/>
      <c r="E1" s="133"/>
      <c r="F1" s="133"/>
      <c r="G1" s="133"/>
      <c r="H1" s="133"/>
      <c r="I1" s="133"/>
      <c r="J1" s="133"/>
      <c r="K1" s="133"/>
      <c r="L1" s="31"/>
    </row>
    <row r="3" spans="1:12" ht="30" customHeight="1" x14ac:dyDescent="0.3">
      <c r="A3" s="219" t="s">
        <v>16</v>
      </c>
      <c r="B3" s="220"/>
      <c r="C3" s="221"/>
      <c r="E3" s="80"/>
    </row>
    <row r="4" spans="1:12" x14ac:dyDescent="0.3">
      <c r="A4" s="138" t="s">
        <v>112</v>
      </c>
      <c r="B4" s="217" t="s">
        <v>10</v>
      </c>
      <c r="C4" s="218"/>
    </row>
    <row r="5" spans="1:12" ht="25.2" customHeight="1" x14ac:dyDescent="0.3">
      <c r="A5" s="138"/>
      <c r="B5" s="78" t="s">
        <v>8</v>
      </c>
      <c r="C5" s="77" t="s">
        <v>9</v>
      </c>
    </row>
    <row r="6" spans="1:12" x14ac:dyDescent="0.3">
      <c r="A6" s="79">
        <v>36526</v>
      </c>
      <c r="B6" s="3">
        <v>650</v>
      </c>
      <c r="C6" s="3">
        <v>1200</v>
      </c>
      <c r="E6" s="82"/>
      <c r="F6" s="83"/>
    </row>
    <row r="7" spans="1:12" x14ac:dyDescent="0.3">
      <c r="A7" s="79"/>
      <c r="B7" s="3"/>
      <c r="C7" s="3"/>
      <c r="E7" s="82"/>
      <c r="F7" s="83"/>
    </row>
    <row r="8" spans="1:12" x14ac:dyDescent="0.3">
      <c r="A8" s="79"/>
      <c r="B8" s="3"/>
      <c r="C8" s="3"/>
      <c r="E8" s="82"/>
      <c r="F8" s="83"/>
    </row>
    <row r="9" spans="1:12" x14ac:dyDescent="0.3">
      <c r="A9" s="79"/>
      <c r="B9" s="3"/>
      <c r="C9" s="3"/>
      <c r="E9" s="82"/>
      <c r="F9" s="83"/>
    </row>
    <row r="10" spans="1:12" x14ac:dyDescent="0.3">
      <c r="A10" s="3"/>
      <c r="B10" s="3"/>
      <c r="C10" s="3"/>
      <c r="E10" s="82"/>
      <c r="F10" s="83"/>
    </row>
    <row r="11" spans="1:12" x14ac:dyDescent="0.3">
      <c r="A11" s="3"/>
      <c r="B11" s="3"/>
      <c r="C11" s="3"/>
      <c r="E11" s="82"/>
      <c r="F11" s="83"/>
    </row>
    <row r="12" spans="1:12" x14ac:dyDescent="0.3">
      <c r="A12" s="3"/>
      <c r="B12" s="3"/>
      <c r="C12" s="3"/>
      <c r="E12" s="82"/>
      <c r="F12" s="83"/>
    </row>
    <row r="13" spans="1:12" x14ac:dyDescent="0.3">
      <c r="A13" s="3"/>
      <c r="B13" s="3"/>
      <c r="C13" s="3"/>
      <c r="E13" s="82"/>
      <c r="F13" s="83"/>
    </row>
    <row r="14" spans="1:12" x14ac:dyDescent="0.3">
      <c r="A14" s="3"/>
      <c r="B14" s="3"/>
      <c r="C14" s="3"/>
      <c r="E14" s="82"/>
      <c r="F14" s="83"/>
    </row>
    <row r="15" spans="1:12" x14ac:dyDescent="0.3">
      <c r="A15" s="3"/>
      <c r="B15" s="3"/>
      <c r="C15" s="3"/>
      <c r="E15" s="82"/>
      <c r="F15" s="83"/>
    </row>
    <row r="16" spans="1:12" x14ac:dyDescent="0.3">
      <c r="A16" s="3"/>
      <c r="B16" s="3"/>
      <c r="C16" s="3"/>
      <c r="E16" s="82"/>
      <c r="F16" s="83"/>
    </row>
    <row r="17" spans="1:6" x14ac:dyDescent="0.3">
      <c r="A17" s="3"/>
      <c r="B17" s="3"/>
      <c r="C17" s="3"/>
      <c r="E17" s="82"/>
      <c r="F17" s="83"/>
    </row>
    <row r="18" spans="1:6" x14ac:dyDescent="0.3">
      <c r="A18" s="3"/>
      <c r="B18" s="3"/>
      <c r="C18" s="3"/>
      <c r="E18" s="82"/>
      <c r="F18" s="83"/>
    </row>
    <row r="19" spans="1:6" x14ac:dyDescent="0.3">
      <c r="A19" s="3"/>
      <c r="B19" s="3"/>
      <c r="C19" s="3"/>
      <c r="E19" s="82"/>
      <c r="F19" s="83"/>
    </row>
    <row r="20" spans="1:6" x14ac:dyDescent="0.3">
      <c r="A20" s="3"/>
      <c r="B20" s="3"/>
      <c r="C20" s="3"/>
      <c r="E20" s="82"/>
      <c r="F20" s="83"/>
    </row>
    <row r="21" spans="1:6" x14ac:dyDescent="0.3">
      <c r="A21" s="3"/>
      <c r="B21" s="3"/>
      <c r="C21" s="3"/>
      <c r="E21" s="82"/>
      <c r="F21" s="83"/>
    </row>
    <row r="22" spans="1:6" x14ac:dyDescent="0.3">
      <c r="A22" s="3"/>
      <c r="B22" s="3"/>
      <c r="C22" s="3"/>
      <c r="E22" s="82"/>
      <c r="F22" s="83"/>
    </row>
    <row r="23" spans="1:6" x14ac:dyDescent="0.3">
      <c r="A23" s="3"/>
      <c r="B23" s="3"/>
      <c r="C23" s="3"/>
      <c r="E23" s="82"/>
      <c r="F23" s="83"/>
    </row>
    <row r="24" spans="1:6" x14ac:dyDescent="0.3">
      <c r="A24" s="3"/>
      <c r="B24" s="3"/>
      <c r="C24" s="3"/>
      <c r="E24" s="83"/>
      <c r="F24" s="83"/>
    </row>
    <row r="25" spans="1:6" x14ac:dyDescent="0.3">
      <c r="A25" s="3"/>
      <c r="B25" s="3"/>
      <c r="C25" s="3"/>
    </row>
  </sheetData>
  <mergeCells count="5">
    <mergeCell ref="A1:B1"/>
    <mergeCell ref="C1:K1"/>
    <mergeCell ref="A4:A5"/>
    <mergeCell ref="B4:C4"/>
    <mergeCell ref="A3:C3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ilha3"/>
  <dimension ref="A1:V15"/>
  <sheetViews>
    <sheetView workbookViewId="0">
      <selection activeCell="B17" sqref="B17"/>
    </sheetView>
  </sheetViews>
  <sheetFormatPr defaultColWidth="9.109375" defaultRowHeight="14.4" x14ac:dyDescent="0.3"/>
  <cols>
    <col min="1" max="1" width="15.44140625" bestFit="1" customWidth="1"/>
    <col min="4" max="4" width="19" bestFit="1" customWidth="1"/>
    <col min="9" max="9" width="3" bestFit="1" customWidth="1"/>
    <col min="21" max="21" width="16.5546875" bestFit="1" customWidth="1"/>
  </cols>
  <sheetData>
    <row r="1" spans="1:22" ht="30" customHeight="1" x14ac:dyDescent="0.3">
      <c r="A1" s="222" t="s">
        <v>34</v>
      </c>
      <c r="B1" s="222"/>
      <c r="D1" s="4" t="s">
        <v>44</v>
      </c>
      <c r="I1" s="222" t="s">
        <v>35</v>
      </c>
      <c r="J1" s="222"/>
      <c r="K1" s="222"/>
      <c r="U1" s="74" t="s">
        <v>110</v>
      </c>
      <c r="V1" s="75" t="s">
        <v>115</v>
      </c>
    </row>
    <row r="2" spans="1:22" x14ac:dyDescent="0.3">
      <c r="A2" s="2" t="s">
        <v>1</v>
      </c>
      <c r="B2" s="2" t="s">
        <v>2</v>
      </c>
      <c r="D2" s="3" t="s">
        <v>45</v>
      </c>
      <c r="I2" s="223" t="s">
        <v>16</v>
      </c>
      <c r="J2" s="224"/>
      <c r="K2" s="225"/>
    </row>
    <row r="3" spans="1:22" x14ac:dyDescent="0.3">
      <c r="A3" s="3" t="s">
        <v>12</v>
      </c>
      <c r="B3" s="3" t="s">
        <v>19</v>
      </c>
      <c r="D3" s="3" t="s">
        <v>46</v>
      </c>
      <c r="I3" s="2"/>
      <c r="J3" s="2" t="s">
        <v>8</v>
      </c>
      <c r="K3" s="2" t="s">
        <v>9</v>
      </c>
    </row>
    <row r="4" spans="1:22" x14ac:dyDescent="0.3">
      <c r="A4" s="3" t="s">
        <v>20</v>
      </c>
      <c r="B4" s="3" t="s">
        <v>13</v>
      </c>
      <c r="D4" s="3" t="s">
        <v>47</v>
      </c>
      <c r="I4" s="1">
        <v>1</v>
      </c>
      <c r="J4" s="1">
        <f t="array" aca="1" ref="J4:J15" ca="1">OFFSET('Entradas Mensais'!$F$7,COUNTA('Entradas Mensais'!$A$7:'Entradas Mensais'!$A$66)-numero_amostras,0,numero_amostras,1)</f>
        <v>650</v>
      </c>
      <c r="K4" s="1">
        <f t="array" aca="1" ref="K4:K15" ca="1">OFFSET('Entradas Mensais'!$G$7,COUNTA('Entradas Mensais'!$A$7:'Entradas Mensais'!$A$66)-numero_amostras,0,numero_amostras,1)</f>
        <v>1200</v>
      </c>
    </row>
    <row r="5" spans="1:22" x14ac:dyDescent="0.3">
      <c r="A5" s="3" t="s">
        <v>109</v>
      </c>
      <c r="D5" s="3" t="s">
        <v>48</v>
      </c>
      <c r="I5" s="1">
        <v>2</v>
      </c>
      <c r="J5" s="1">
        <f ca="1"/>
        <v>650</v>
      </c>
      <c r="K5" s="1">
        <f ca="1"/>
        <v>1200</v>
      </c>
    </row>
    <row r="6" spans="1:22" x14ac:dyDescent="0.3">
      <c r="I6" s="1">
        <v>3</v>
      </c>
      <c r="J6" s="1">
        <f ca="1"/>
        <v>650</v>
      </c>
      <c r="K6" s="1">
        <f ca="1"/>
        <v>1200</v>
      </c>
    </row>
    <row r="7" spans="1:22" x14ac:dyDescent="0.3">
      <c r="I7" s="1">
        <v>4</v>
      </c>
      <c r="J7" s="1">
        <f ca="1"/>
        <v>650</v>
      </c>
      <c r="K7" s="1">
        <f ca="1"/>
        <v>1200</v>
      </c>
    </row>
    <row r="8" spans="1:22" x14ac:dyDescent="0.3">
      <c r="I8" s="1">
        <v>5</v>
      </c>
      <c r="J8" s="1">
        <f ca="1"/>
        <v>650</v>
      </c>
      <c r="K8" s="1">
        <f ca="1"/>
        <v>1200</v>
      </c>
    </row>
    <row r="9" spans="1:22" x14ac:dyDescent="0.3">
      <c r="I9" s="1">
        <v>6</v>
      </c>
      <c r="J9" s="1">
        <f ca="1"/>
        <v>650</v>
      </c>
      <c r="K9" s="1">
        <f ca="1"/>
        <v>1200</v>
      </c>
    </row>
    <row r="10" spans="1:22" x14ac:dyDescent="0.3">
      <c r="I10" s="1">
        <v>7</v>
      </c>
      <c r="J10" s="1">
        <f ca="1"/>
        <v>650</v>
      </c>
      <c r="K10" s="1">
        <f ca="1"/>
        <v>1200</v>
      </c>
    </row>
    <row r="11" spans="1:22" x14ac:dyDescent="0.3">
      <c r="I11" s="1">
        <v>8</v>
      </c>
      <c r="J11" s="1">
        <f ca="1"/>
        <v>650</v>
      </c>
      <c r="K11" s="1">
        <f ca="1"/>
        <v>1200</v>
      </c>
    </row>
    <row r="12" spans="1:22" x14ac:dyDescent="0.3">
      <c r="I12" s="1">
        <v>9</v>
      </c>
      <c r="J12" s="1">
        <f ca="1"/>
        <v>650</v>
      </c>
      <c r="K12" s="1">
        <f ca="1"/>
        <v>1200</v>
      </c>
    </row>
    <row r="13" spans="1:22" x14ac:dyDescent="0.3">
      <c r="I13" s="1">
        <v>10</v>
      </c>
      <c r="J13" s="1">
        <f ca="1"/>
        <v>650</v>
      </c>
      <c r="K13" s="1">
        <f ca="1"/>
        <v>1200</v>
      </c>
    </row>
    <row r="14" spans="1:22" x14ac:dyDescent="0.3">
      <c r="I14" s="1">
        <v>11</v>
      </c>
      <c r="J14" s="1">
        <f ca="1"/>
        <v>650</v>
      </c>
      <c r="K14" s="1">
        <f ca="1"/>
        <v>1200</v>
      </c>
    </row>
    <row r="15" spans="1:22" x14ac:dyDescent="0.3">
      <c r="I15" s="1">
        <v>12</v>
      </c>
      <c r="J15" s="1">
        <f ca="1"/>
        <v>650</v>
      </c>
      <c r="K15" s="1">
        <f ca="1"/>
        <v>1200</v>
      </c>
    </row>
  </sheetData>
  <mergeCells count="3">
    <mergeCell ref="A1:B1"/>
    <mergeCell ref="I1:K1"/>
    <mergeCell ref="I2:K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8</vt:i4>
      </vt:variant>
    </vt:vector>
  </HeadingPairs>
  <TitlesOfParts>
    <vt:vector size="16" baseType="lpstr">
      <vt:lpstr>Dados do Contrato</vt:lpstr>
      <vt:lpstr>Entradas Mensais</vt:lpstr>
      <vt:lpstr>Valores Apurados</vt:lpstr>
      <vt:lpstr>Gráfico - Consumo e Demanda</vt:lpstr>
      <vt:lpstr>Gráfico - Gastos e Tarifas</vt:lpstr>
      <vt:lpstr>Resumo e Indicadores</vt:lpstr>
      <vt:lpstr>Demandas Contratadas</vt:lpstr>
      <vt:lpstr>Dados</vt:lpstr>
      <vt:lpstr>area_condicionada</vt:lpstr>
      <vt:lpstr>area_construida</vt:lpstr>
      <vt:lpstr>area_nao_condicionada</vt:lpstr>
      <vt:lpstr>area_util</vt:lpstr>
      <vt:lpstr>classificacao</vt:lpstr>
      <vt:lpstr>ligacao</vt:lpstr>
      <vt:lpstr>usuarios</vt:lpstr>
      <vt:lpstr>versão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Gontijo</dc:creator>
  <cp:lastModifiedBy>Gustavo Gontijo</cp:lastModifiedBy>
  <cp:lastPrinted>2020-05-21T01:02:38Z</cp:lastPrinted>
  <dcterms:created xsi:type="dcterms:W3CDTF">2020-02-28T18:34:49Z</dcterms:created>
  <dcterms:modified xsi:type="dcterms:W3CDTF">2021-06-23T14:52:45Z</dcterms:modified>
</cp:coreProperties>
</file>