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GCC\CAC\DOCUME~2\DOCESC~1\REALJG~4\REALJG~2\"/>
    </mc:Choice>
  </mc:AlternateContent>
  <bookViews>
    <workbookView xWindow="0" yWindow="120" windowWidth="19200" windowHeight="7140" tabRatio="904" activeTab="1"/>
  </bookViews>
  <sheets>
    <sheet name=" SERVENTE" sheetId="1" r:id="rId1"/>
    <sheet name=" ENCARREGADO" sheetId="18" r:id="rId2"/>
    <sheet name="JAUZEIRO" sheetId="22" r:id="rId3"/>
    <sheet name="JARDINEIRO" sheetId="28" r:id="rId4"/>
    <sheet name="LAVADOR" sheetId="29" r:id="rId5"/>
    <sheet name="CARREGADOR" sheetId="30" r:id="rId6"/>
    <sheet name="LEVANT. ÁREAS" sheetId="20" r:id="rId7"/>
    <sheet name="UNIFORMES" sheetId="19" r:id="rId8"/>
    <sheet name="MATERIAL LIMPEZA" sheetId="16" r:id="rId9"/>
    <sheet name="EQUIPTO LIMPEZA" sheetId="23" r:id="rId10"/>
    <sheet name="MATERIAL JARDINAGEM" sheetId="24" r:id="rId11"/>
    <sheet name="EQUIPTO JARDINAGEM" sheetId="26" r:id="rId12"/>
    <sheet name="MATERIAL JAUZEIRO " sheetId="25" r:id="rId13"/>
    <sheet name=" M2 ATUAL" sheetId="21" r:id="rId14"/>
    <sheet name="M2 REPACTUADO" sheetId="33" r:id="rId15"/>
    <sheet name="RESUMO-REPACTUAÇÃO" sheetId="39" r:id="rId16"/>
    <sheet name="$ TOTAL ATUAL" sheetId="31" r:id="rId17"/>
    <sheet name="$ TOTAL REPACTUADO" sheetId="34" r:id="rId18"/>
    <sheet name="Plan8" sheetId="27" r:id="rId19"/>
  </sheets>
  <definedNames>
    <definedName name="_1__um">' SERVENTE'!$G$16</definedName>
    <definedName name="_xlnm.Print_Area" localSheetId="1">' ENCARREGADO'!$A$1:$J$129</definedName>
    <definedName name="_xlnm.Print_Area" localSheetId="13">' M2 ATUAL'!$A$1:$G$40</definedName>
    <definedName name="_xlnm.Print_Area" localSheetId="0">' SERVENTE'!$A$1:$J$129</definedName>
    <definedName name="_xlnm.Print_Area" localSheetId="16">'$ TOTAL ATUAL'!$A$1:$D$32</definedName>
    <definedName name="_xlnm.Print_Area" localSheetId="17">'$ TOTAL REPACTUADO'!$A$1:$D$32</definedName>
    <definedName name="_xlnm.Print_Area" localSheetId="5">CARREGADOR!$A$1:$J$129</definedName>
    <definedName name="_xlnm.Print_Area" localSheetId="11">'EQUIPTO JARDINAGEM'!$A$1:$F$23</definedName>
    <definedName name="_xlnm.Print_Area" localSheetId="9">'EQUIPTO LIMPEZA'!$A$1:$F$19</definedName>
    <definedName name="_xlnm.Print_Area" localSheetId="3">JARDINEIRO!$A$1:$J$129</definedName>
    <definedName name="_xlnm.Print_Area" localSheetId="2">JAUZEIRO!$A$1:$J$129</definedName>
    <definedName name="_xlnm.Print_Area" localSheetId="4">LAVADOR!$A$1:$J$129</definedName>
    <definedName name="_xlnm.Print_Area" localSheetId="14">'M2 REPACTUADO'!$A$1:$G$46</definedName>
    <definedName name="_xlnm.Print_Area" localSheetId="10">'MATERIAL JARDINAGEM'!$A$1:$F$27</definedName>
    <definedName name="_xlnm.Print_Area" localSheetId="12">'MATERIAL JAUZEIRO '!$A$1:$F$18</definedName>
    <definedName name="_xlnm.Print_Area" localSheetId="8">'MATERIAL LIMPEZA'!$A$1:$F$105</definedName>
    <definedName name="_xlnm.Print_Area" localSheetId="15">'RESUMO-REPACTUAÇÃO'!$A$1:$G$44</definedName>
    <definedName name="_xlnm.Print_Area" localSheetId="7">UNIFORMES!$A$5:$H$53</definedName>
    <definedName name="Quantidade__total__a_contratar__em_função_da_unidade_de_medida">' SERVENTE'!$G$15</definedName>
    <definedName name="Valor__R">' SERVENTE'!$G$64</definedName>
  </definedNames>
  <calcPr calcId="162913"/>
</workbook>
</file>

<file path=xl/calcChain.xml><?xml version="1.0" encoding="utf-8"?>
<calcChain xmlns="http://schemas.openxmlformats.org/spreadsheetml/2006/main">
  <c r="K35" i="1" l="1"/>
  <c r="L35" i="1"/>
  <c r="M35" i="1"/>
  <c r="N35" i="1"/>
  <c r="M78" i="1"/>
  <c r="L94" i="1"/>
  <c r="N94" i="1"/>
  <c r="K112" i="1"/>
  <c r="M112" i="1"/>
  <c r="N117" i="1"/>
  <c r="M119" i="1"/>
  <c r="M121" i="1"/>
  <c r="M122" i="1"/>
  <c r="C23" i="34"/>
  <c r="C22" i="34"/>
  <c r="C21" i="34"/>
  <c r="C22" i="31"/>
  <c r="C21" i="31"/>
  <c r="C20" i="31"/>
  <c r="D20" i="31"/>
  <c r="F23" i="39"/>
  <c r="F22" i="39"/>
  <c r="F21" i="39"/>
  <c r="C23" i="39"/>
  <c r="C22" i="39"/>
  <c r="C21" i="39"/>
  <c r="D21" i="39"/>
  <c r="C16" i="33"/>
  <c r="F38" i="21"/>
  <c r="F37" i="21"/>
  <c r="F31" i="21"/>
  <c r="C25" i="21"/>
  <c r="C19" i="21"/>
  <c r="C13" i="21"/>
  <c r="J112" i="30"/>
  <c r="J111" i="30"/>
  <c r="M120" i="30"/>
  <c r="I36" i="30"/>
  <c r="I35" i="30"/>
  <c r="J112" i="29"/>
  <c r="J111" i="29"/>
  <c r="M120" i="29"/>
  <c r="J93" i="29"/>
  <c r="J87" i="29"/>
  <c r="J88" i="29"/>
  <c r="J89" i="29"/>
  <c r="J90" i="29"/>
  <c r="J86" i="29"/>
  <c r="J78" i="29"/>
  <c r="J79" i="29"/>
  <c r="J80" i="29"/>
  <c r="J81" i="29"/>
  <c r="J82" i="29"/>
  <c r="J77" i="29"/>
  <c r="J73" i="29"/>
  <c r="J72" i="29"/>
  <c r="J68" i="29"/>
  <c r="J66" i="29"/>
  <c r="J65" i="29"/>
  <c r="J67" i="29"/>
  <c r="J53" i="29"/>
  <c r="J54" i="29"/>
  <c r="J55" i="29"/>
  <c r="J56" i="29"/>
  <c r="J57" i="29"/>
  <c r="J58" i="29"/>
  <c r="J59" i="29"/>
  <c r="J52" i="29"/>
  <c r="J60" i="29"/>
  <c r="J99" i="29"/>
  <c r="I36" i="29"/>
  <c r="I35" i="29"/>
  <c r="J112" i="28"/>
  <c r="J111" i="28"/>
  <c r="M120" i="28"/>
  <c r="J93" i="28"/>
  <c r="J87" i="28"/>
  <c r="J88" i="28"/>
  <c r="J89" i="28"/>
  <c r="J90" i="28"/>
  <c r="J86" i="28"/>
  <c r="J78" i="28"/>
  <c r="J79" i="28"/>
  <c r="J80" i="28"/>
  <c r="J81" i="28"/>
  <c r="J82" i="28"/>
  <c r="J77" i="28"/>
  <c r="J73" i="28"/>
  <c r="J72" i="28"/>
  <c r="J68" i="28"/>
  <c r="J66" i="28"/>
  <c r="J65" i="28"/>
  <c r="J67" i="28"/>
  <c r="J53" i="28"/>
  <c r="J54" i="28"/>
  <c r="J55" i="28"/>
  <c r="J56" i="28"/>
  <c r="J57" i="28"/>
  <c r="J58" i="28"/>
  <c r="J59" i="28"/>
  <c r="J52" i="28"/>
  <c r="I36" i="28"/>
  <c r="I35" i="28"/>
  <c r="I42" i="28"/>
  <c r="I124" i="28"/>
  <c r="J112" i="22"/>
  <c r="J111" i="22"/>
  <c r="M120" i="22"/>
  <c r="M120" i="18"/>
  <c r="J93" i="22"/>
  <c r="J87" i="22"/>
  <c r="J92" i="22"/>
  <c r="J88" i="22"/>
  <c r="J89" i="22"/>
  <c r="J90" i="22"/>
  <c r="J86" i="22"/>
  <c r="J78" i="22"/>
  <c r="J79" i="22"/>
  <c r="J80" i="22"/>
  <c r="J81" i="22"/>
  <c r="J82" i="22"/>
  <c r="J77" i="22"/>
  <c r="J73" i="22"/>
  <c r="J72" i="22"/>
  <c r="J68" i="22"/>
  <c r="J66" i="22"/>
  <c r="J65" i="22"/>
  <c r="J67" i="22"/>
  <c r="J53" i="22"/>
  <c r="J54" i="22"/>
  <c r="J55" i="22"/>
  <c r="J56" i="22"/>
  <c r="J57" i="22"/>
  <c r="J58" i="22"/>
  <c r="J59" i="22"/>
  <c r="J52" i="22"/>
  <c r="J60" i="22"/>
  <c r="J99" i="22"/>
  <c r="I36" i="22"/>
  <c r="I35" i="22"/>
  <c r="I36" i="18"/>
  <c r="I35" i="1"/>
  <c r="I73" i="30"/>
  <c r="I74" i="30"/>
  <c r="I68" i="30"/>
  <c r="I67" i="30"/>
  <c r="I60" i="30"/>
  <c r="I25" i="30"/>
  <c r="I21" i="30"/>
  <c r="I19" i="30"/>
  <c r="I92" i="29"/>
  <c r="I73" i="29"/>
  <c r="I74" i="29"/>
  <c r="I68" i="29"/>
  <c r="I69" i="29"/>
  <c r="I67" i="29"/>
  <c r="I60" i="29"/>
  <c r="I93" i="29"/>
  <c r="I47" i="29"/>
  <c r="I48" i="29"/>
  <c r="I125" i="29"/>
  <c r="I46" i="29"/>
  <c r="I25" i="29"/>
  <c r="I21" i="29"/>
  <c r="I19" i="29"/>
  <c r="I92" i="28"/>
  <c r="I73" i="28"/>
  <c r="I74" i="28"/>
  <c r="I68" i="28"/>
  <c r="I67" i="28"/>
  <c r="I60" i="28"/>
  <c r="I93" i="28"/>
  <c r="J60" i="28"/>
  <c r="J99" i="28"/>
  <c r="I48" i="28"/>
  <c r="I125" i="28"/>
  <c r="I25" i="28"/>
  <c r="I32" i="28"/>
  <c r="I92" i="22"/>
  <c r="I73" i="22"/>
  <c r="I74" i="22"/>
  <c r="I68" i="22"/>
  <c r="I69" i="22"/>
  <c r="I67" i="22"/>
  <c r="I60" i="22"/>
  <c r="I93" i="22"/>
  <c r="I47" i="22"/>
  <c r="I25" i="22"/>
  <c r="I21" i="22"/>
  <c r="I19" i="22"/>
  <c r="I92" i="18"/>
  <c r="I67" i="18"/>
  <c r="I60" i="18"/>
  <c r="I25" i="18"/>
  <c r="I35" i="18"/>
  <c r="I21" i="18"/>
  <c r="I19" i="18"/>
  <c r="I126" i="1"/>
  <c r="I125" i="1"/>
  <c r="I123" i="1"/>
  <c r="J105" i="1"/>
  <c r="J103" i="1"/>
  <c r="J102" i="1"/>
  <c r="J101" i="1"/>
  <c r="J100" i="1"/>
  <c r="J99" i="1"/>
  <c r="J94" i="1"/>
  <c r="J93" i="1"/>
  <c r="I94" i="1"/>
  <c r="I93" i="1"/>
  <c r="J92" i="1"/>
  <c r="J89" i="1"/>
  <c r="J90" i="1"/>
  <c r="J88" i="1"/>
  <c r="J87" i="1"/>
  <c r="J86" i="1"/>
  <c r="I92" i="1"/>
  <c r="J83" i="1"/>
  <c r="J78" i="1"/>
  <c r="J79" i="1"/>
  <c r="J80" i="1"/>
  <c r="J81" i="1"/>
  <c r="J82" i="1"/>
  <c r="J77" i="1"/>
  <c r="I81" i="1"/>
  <c r="I78" i="1"/>
  <c r="I69" i="1"/>
  <c r="I68" i="1"/>
  <c r="J74" i="1"/>
  <c r="J73" i="1"/>
  <c r="J72" i="1"/>
  <c r="I74" i="1"/>
  <c r="I73" i="1"/>
  <c r="J69" i="1"/>
  <c r="J67" i="1"/>
  <c r="J68" i="1"/>
  <c r="J66" i="1"/>
  <c r="J65" i="1"/>
  <c r="H65" i="1"/>
  <c r="I67" i="1"/>
  <c r="J53" i="1"/>
  <c r="J54" i="1"/>
  <c r="J55" i="1"/>
  <c r="J56" i="1"/>
  <c r="J57" i="1"/>
  <c r="J58" i="1"/>
  <c r="J59" i="1"/>
  <c r="J52" i="1"/>
  <c r="J60" i="1"/>
  <c r="I48" i="1"/>
  <c r="I42" i="1"/>
  <c r="I124" i="1"/>
  <c r="I127" i="1"/>
  <c r="G35" i="1"/>
  <c r="I36" i="1"/>
  <c r="I32" i="1"/>
  <c r="I25" i="1"/>
  <c r="I10" i="1"/>
  <c r="I11" i="1"/>
  <c r="I12" i="1"/>
  <c r="I15" i="1"/>
  <c r="J15" i="1"/>
  <c r="I16" i="1"/>
  <c r="J16" i="1"/>
  <c r="I19" i="1"/>
  <c r="I21" i="1"/>
  <c r="I24" i="1"/>
  <c r="I34" i="1"/>
  <c r="I40" i="1"/>
  <c r="I41" i="1"/>
  <c r="I44" i="1"/>
  <c r="I51" i="1"/>
  <c r="J51" i="1"/>
  <c r="I60" i="1"/>
  <c r="I64" i="1"/>
  <c r="J64" i="1"/>
  <c r="I71" i="1"/>
  <c r="J71" i="1"/>
  <c r="I76" i="1"/>
  <c r="J76" i="1"/>
  <c r="I82" i="1"/>
  <c r="I83" i="1"/>
  <c r="I85" i="1"/>
  <c r="J85" i="1"/>
  <c r="I98" i="1"/>
  <c r="J98" i="1"/>
  <c r="I108" i="1"/>
  <c r="J108" i="1"/>
  <c r="I122" i="1"/>
  <c r="G47" i="29"/>
  <c r="G93" i="28"/>
  <c r="H93" i="28"/>
  <c r="G35" i="28"/>
  <c r="N35" i="30"/>
  <c r="G36" i="30"/>
  <c r="E92" i="30"/>
  <c r="G92" i="30"/>
  <c r="E67" i="30"/>
  <c r="E60" i="30"/>
  <c r="E47" i="30"/>
  <c r="G47" i="30"/>
  <c r="I47" i="30"/>
  <c r="I48" i="30"/>
  <c r="I125" i="30"/>
  <c r="E46" i="30"/>
  <c r="G46" i="30"/>
  <c r="I46" i="30"/>
  <c r="E36" i="30"/>
  <c r="E25" i="30"/>
  <c r="E32" i="30"/>
  <c r="N35" i="28"/>
  <c r="N35" i="29"/>
  <c r="N36" i="29"/>
  <c r="M35" i="29"/>
  <c r="G36" i="29"/>
  <c r="E92" i="29"/>
  <c r="E67" i="29"/>
  <c r="E60" i="29"/>
  <c r="E47" i="29"/>
  <c r="E36" i="29"/>
  <c r="E32" i="29"/>
  <c r="F80" i="29"/>
  <c r="E25" i="29"/>
  <c r="G36" i="28"/>
  <c r="G42" i="28"/>
  <c r="G124" i="28"/>
  <c r="E92" i="28"/>
  <c r="E67" i="28"/>
  <c r="E60" i="28"/>
  <c r="E36" i="28"/>
  <c r="E25" i="28"/>
  <c r="E32" i="28"/>
  <c r="N35" i="22"/>
  <c r="G36" i="22"/>
  <c r="E36" i="22"/>
  <c r="E92" i="22"/>
  <c r="E67" i="22"/>
  <c r="E60" i="22"/>
  <c r="E78" i="22"/>
  <c r="E47" i="22"/>
  <c r="G47" i="22"/>
  <c r="E25" i="22"/>
  <c r="E32" i="22"/>
  <c r="E26" i="22"/>
  <c r="E123" i="22"/>
  <c r="N35" i="18"/>
  <c r="G36" i="18"/>
  <c r="E92" i="18"/>
  <c r="E67" i="18"/>
  <c r="E60" i="18"/>
  <c r="E68" i="18"/>
  <c r="E69" i="18"/>
  <c r="E47" i="18"/>
  <c r="G47" i="18"/>
  <c r="I47" i="18"/>
  <c r="E46" i="18"/>
  <c r="I46" i="18"/>
  <c r="E36" i="18"/>
  <c r="E25" i="18"/>
  <c r="E32" i="18"/>
  <c r="E123" i="18"/>
  <c r="G36" i="1"/>
  <c r="E92" i="1"/>
  <c r="E93" i="1"/>
  <c r="E94" i="1"/>
  <c r="E67" i="1"/>
  <c r="E60" i="1"/>
  <c r="E78" i="1"/>
  <c r="E36" i="1"/>
  <c r="E25" i="1"/>
  <c r="E32" i="1"/>
  <c r="E123" i="1"/>
  <c r="H34" i="39"/>
  <c r="M35" i="30"/>
  <c r="H41" i="33"/>
  <c r="E41" i="33"/>
  <c r="H40" i="33"/>
  <c r="E40" i="33"/>
  <c r="H35" i="33"/>
  <c r="E35" i="33"/>
  <c r="H34" i="33"/>
  <c r="E34" i="33"/>
  <c r="E29" i="33"/>
  <c r="E28" i="33"/>
  <c r="E23" i="33"/>
  <c r="E22" i="33"/>
  <c r="E17" i="33"/>
  <c r="E16" i="33"/>
  <c r="M35" i="18"/>
  <c r="M35" i="22"/>
  <c r="M35" i="28"/>
  <c r="E35" i="28"/>
  <c r="E42" i="28"/>
  <c r="E124" i="28"/>
  <c r="K35" i="18"/>
  <c r="K35" i="22"/>
  <c r="K35" i="28"/>
  <c r="K35" i="29"/>
  <c r="C35" i="29"/>
  <c r="C42" i="29"/>
  <c r="C124" i="29"/>
  <c r="K35" i="30"/>
  <c r="G46" i="18"/>
  <c r="G46" i="29"/>
  <c r="M122" i="18"/>
  <c r="M112" i="18"/>
  <c r="M78" i="18"/>
  <c r="M122" i="22"/>
  <c r="M112" i="22"/>
  <c r="M78" i="22"/>
  <c r="M122" i="28"/>
  <c r="M112" i="28"/>
  <c r="M78" i="28"/>
  <c r="M122" i="29"/>
  <c r="M112" i="29"/>
  <c r="M78" i="29"/>
  <c r="M122" i="30"/>
  <c r="M112" i="30"/>
  <c r="M78" i="30"/>
  <c r="G92" i="18"/>
  <c r="G67" i="18"/>
  <c r="G60" i="18"/>
  <c r="G78" i="18"/>
  <c r="G25" i="18"/>
  <c r="G35" i="18"/>
  <c r="G92" i="22"/>
  <c r="G67" i="22"/>
  <c r="G60" i="22"/>
  <c r="G93" i="22"/>
  <c r="G78" i="22"/>
  <c r="G25" i="22"/>
  <c r="G35" i="22"/>
  <c r="G92" i="28"/>
  <c r="G94" i="28"/>
  <c r="G67" i="28"/>
  <c r="G68" i="28"/>
  <c r="G69" i="28"/>
  <c r="G60" i="28"/>
  <c r="G73" i="28"/>
  <c r="G25" i="28"/>
  <c r="G32" i="28"/>
  <c r="G92" i="29"/>
  <c r="G67" i="29"/>
  <c r="G68" i="29"/>
  <c r="G69" i="29"/>
  <c r="G60" i="29"/>
  <c r="G93" i="29"/>
  <c r="H93" i="29"/>
  <c r="G25" i="29"/>
  <c r="G32" i="29"/>
  <c r="H88" i="29"/>
  <c r="G67" i="30"/>
  <c r="G60" i="30"/>
  <c r="G73" i="30"/>
  <c r="G25" i="30"/>
  <c r="G35" i="30"/>
  <c r="G42" i="30"/>
  <c r="G92" i="1"/>
  <c r="G67" i="1"/>
  <c r="G60" i="1"/>
  <c r="G78" i="1"/>
  <c r="G25" i="1"/>
  <c r="G32" i="1"/>
  <c r="L35" i="30"/>
  <c r="I4" i="24"/>
  <c r="I5" i="24"/>
  <c r="I6" i="24"/>
  <c r="I7" i="24"/>
  <c r="I8" i="24"/>
  <c r="I9" i="24"/>
  <c r="I10" i="24"/>
  <c r="I11" i="24"/>
  <c r="I12" i="24"/>
  <c r="I13" i="24"/>
  <c r="I14" i="24"/>
  <c r="I15" i="24"/>
  <c r="I16" i="24"/>
  <c r="I17" i="24"/>
  <c r="I18" i="24"/>
  <c r="I19" i="24"/>
  <c r="I20" i="24"/>
  <c r="I21" i="24"/>
  <c r="I22" i="24"/>
  <c r="I23" i="24"/>
  <c r="I24" i="24"/>
  <c r="I25" i="24"/>
  <c r="I26" i="24"/>
  <c r="I3" i="24"/>
  <c r="G27" i="24"/>
  <c r="L4" i="16"/>
  <c r="L5" i="16"/>
  <c r="L6" i="16"/>
  <c r="L7" i="16"/>
  <c r="L8" i="16"/>
  <c r="L9" i="16"/>
  <c r="L10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L30" i="16"/>
  <c r="L31" i="16"/>
  <c r="L32" i="16"/>
  <c r="L33" i="16"/>
  <c r="L34" i="16"/>
  <c r="L35" i="16"/>
  <c r="L36" i="16"/>
  <c r="L37" i="16"/>
  <c r="L38" i="16"/>
  <c r="L39" i="16"/>
  <c r="L40" i="16"/>
  <c r="L41" i="16"/>
  <c r="L42" i="16"/>
  <c r="L43" i="16"/>
  <c r="L44" i="16"/>
  <c r="L45" i="16"/>
  <c r="L46" i="16"/>
  <c r="L47" i="16"/>
  <c r="L48" i="16"/>
  <c r="L49" i="16"/>
  <c r="L50" i="16"/>
  <c r="L51" i="16"/>
  <c r="L52" i="16"/>
  <c r="L53" i="16"/>
  <c r="L54" i="16"/>
  <c r="L55" i="16"/>
  <c r="L56" i="16"/>
  <c r="L57" i="16"/>
  <c r="L58" i="16"/>
  <c r="L59" i="16"/>
  <c r="L60" i="16"/>
  <c r="L61" i="16"/>
  <c r="L62" i="16"/>
  <c r="L63" i="16"/>
  <c r="L64" i="16"/>
  <c r="L65" i="16"/>
  <c r="L66" i="16"/>
  <c r="L67" i="16"/>
  <c r="L68" i="16"/>
  <c r="L69" i="16"/>
  <c r="L70" i="16"/>
  <c r="L71" i="16"/>
  <c r="L72" i="16"/>
  <c r="L73" i="16"/>
  <c r="L74" i="16"/>
  <c r="L75" i="16"/>
  <c r="L76" i="16"/>
  <c r="L77" i="16"/>
  <c r="L78" i="16"/>
  <c r="L79" i="16"/>
  <c r="L80" i="16"/>
  <c r="L81" i="16"/>
  <c r="L82" i="16"/>
  <c r="L83" i="16"/>
  <c r="L84" i="16"/>
  <c r="L85" i="16"/>
  <c r="L86" i="16"/>
  <c r="L87" i="16"/>
  <c r="L88" i="16"/>
  <c r="L89" i="16"/>
  <c r="L90" i="16"/>
  <c r="L91" i="16"/>
  <c r="L92" i="16"/>
  <c r="L93" i="16"/>
  <c r="L94" i="16"/>
  <c r="L95" i="16"/>
  <c r="L96" i="16"/>
  <c r="L97" i="16"/>
  <c r="L98" i="16"/>
  <c r="L99" i="16"/>
  <c r="L100" i="16"/>
  <c r="L101" i="16"/>
  <c r="L102" i="16"/>
  <c r="L103" i="16"/>
  <c r="L104" i="16"/>
  <c r="L3" i="16"/>
  <c r="L105" i="16"/>
  <c r="J105" i="16"/>
  <c r="C36" i="1"/>
  <c r="I5" i="16"/>
  <c r="I9" i="16"/>
  <c r="I12" i="16"/>
  <c r="I13" i="16"/>
  <c r="I15" i="16"/>
  <c r="I17" i="16"/>
  <c r="I18" i="16"/>
  <c r="I20" i="16"/>
  <c r="I29" i="16"/>
  <c r="I30" i="16"/>
  <c r="I31" i="16"/>
  <c r="I34" i="16"/>
  <c r="I36" i="16"/>
  <c r="I37" i="16"/>
  <c r="I38" i="16"/>
  <c r="I39" i="16"/>
  <c r="I40" i="16"/>
  <c r="I41" i="16"/>
  <c r="I42" i="16"/>
  <c r="I43" i="16"/>
  <c r="I44" i="16"/>
  <c r="I47" i="16"/>
  <c r="I48" i="16"/>
  <c r="I49" i="16"/>
  <c r="I52" i="16"/>
  <c r="I53" i="16"/>
  <c r="I58" i="16"/>
  <c r="I59" i="16"/>
  <c r="I60" i="16"/>
  <c r="I61" i="16"/>
  <c r="I62" i="16"/>
  <c r="I63" i="16"/>
  <c r="I65" i="16"/>
  <c r="I66" i="16"/>
  <c r="I67" i="16"/>
  <c r="I68" i="16"/>
  <c r="I69" i="16"/>
  <c r="I70" i="16"/>
  <c r="I71" i="16"/>
  <c r="I73" i="16"/>
  <c r="I74" i="16"/>
  <c r="I75" i="16"/>
  <c r="I76" i="16"/>
  <c r="I77" i="16"/>
  <c r="I78" i="16"/>
  <c r="I79" i="16"/>
  <c r="I81" i="16"/>
  <c r="I82" i="16"/>
  <c r="I83" i="16"/>
  <c r="I85" i="16"/>
  <c r="I86" i="16"/>
  <c r="I88" i="16"/>
  <c r="I89" i="16"/>
  <c r="I92" i="16"/>
  <c r="I93" i="16"/>
  <c r="I98" i="16"/>
  <c r="I100" i="16"/>
  <c r="I101" i="16"/>
  <c r="I102" i="16"/>
  <c r="I103" i="16"/>
  <c r="I104" i="16"/>
  <c r="G99" i="16"/>
  <c r="I99" i="16"/>
  <c r="G95" i="16"/>
  <c r="I95" i="16"/>
  <c r="G96" i="16"/>
  <c r="I96" i="16"/>
  <c r="G97" i="16"/>
  <c r="I97" i="16"/>
  <c r="G94" i="16"/>
  <c r="I94" i="16"/>
  <c r="G91" i="16"/>
  <c r="I91" i="16"/>
  <c r="G90" i="16"/>
  <c r="I90" i="16"/>
  <c r="G87" i="16"/>
  <c r="I87" i="16"/>
  <c r="G84" i="16"/>
  <c r="I84" i="16"/>
  <c r="G80" i="16"/>
  <c r="I80" i="16"/>
  <c r="G72" i="16"/>
  <c r="I72" i="16"/>
  <c r="G64" i="16"/>
  <c r="I64" i="16"/>
  <c r="G55" i="16"/>
  <c r="I55" i="16"/>
  <c r="G56" i="16"/>
  <c r="I56" i="16"/>
  <c r="G57" i="16"/>
  <c r="I57" i="16"/>
  <c r="G54" i="16"/>
  <c r="I54" i="16"/>
  <c r="G52" i="16"/>
  <c r="G51" i="16"/>
  <c r="I51" i="16"/>
  <c r="G50" i="16"/>
  <c r="I50" i="16"/>
  <c r="G46" i="16"/>
  <c r="I46" i="16"/>
  <c r="G45" i="16"/>
  <c r="I45" i="16"/>
  <c r="G41" i="16"/>
  <c r="G35" i="16"/>
  <c r="I35" i="16"/>
  <c r="G33" i="16"/>
  <c r="I33" i="16"/>
  <c r="G32" i="16"/>
  <c r="I32" i="16"/>
  <c r="G26" i="16"/>
  <c r="I26" i="16"/>
  <c r="G27" i="16"/>
  <c r="I27" i="16"/>
  <c r="G28" i="16"/>
  <c r="I28" i="16"/>
  <c r="G25" i="16"/>
  <c r="I25" i="16"/>
  <c r="G24" i="16"/>
  <c r="I24" i="16"/>
  <c r="G23" i="16"/>
  <c r="I23" i="16"/>
  <c r="G22" i="16"/>
  <c r="I22" i="16"/>
  <c r="G21" i="16"/>
  <c r="I21" i="16"/>
  <c r="G19" i="16"/>
  <c r="I19" i="16"/>
  <c r="G16" i="16"/>
  <c r="I16" i="16"/>
  <c r="G14" i="16"/>
  <c r="I14" i="16"/>
  <c r="G11" i="16"/>
  <c r="I11" i="16"/>
  <c r="G10" i="16"/>
  <c r="I10" i="16"/>
  <c r="G7" i="16"/>
  <c r="I7" i="16"/>
  <c r="G8" i="16"/>
  <c r="I8" i="16"/>
  <c r="G6" i="16"/>
  <c r="I6" i="16"/>
  <c r="G4" i="16"/>
  <c r="G3" i="16"/>
  <c r="F40" i="19"/>
  <c r="F39" i="19"/>
  <c r="G39" i="19"/>
  <c r="F38" i="19"/>
  <c r="G37" i="19"/>
  <c r="F36" i="19"/>
  <c r="G36" i="19"/>
  <c r="F34" i="19"/>
  <c r="F33" i="19"/>
  <c r="F32" i="19"/>
  <c r="G32" i="19"/>
  <c r="F29" i="19"/>
  <c r="F26" i="19"/>
  <c r="G24" i="19"/>
  <c r="E31" i="31"/>
  <c r="L35" i="18"/>
  <c r="L35" i="22"/>
  <c r="C35" i="22"/>
  <c r="C42" i="22"/>
  <c r="L35" i="28"/>
  <c r="L35" i="29"/>
  <c r="C36" i="22"/>
  <c r="F69" i="16"/>
  <c r="C36" i="18"/>
  <c r="C36" i="28"/>
  <c r="C36" i="29"/>
  <c r="C36" i="30"/>
  <c r="G51" i="19"/>
  <c r="G50" i="19"/>
  <c r="G49" i="19"/>
  <c r="G48" i="19"/>
  <c r="G47" i="19"/>
  <c r="G46" i="19"/>
  <c r="G45" i="19"/>
  <c r="G44" i="19"/>
  <c r="G43" i="19"/>
  <c r="G42" i="19"/>
  <c r="G41" i="19"/>
  <c r="H41" i="19"/>
  <c r="G40" i="19"/>
  <c r="G38" i="19"/>
  <c r="G35" i="19"/>
  <c r="G34" i="19"/>
  <c r="G33" i="19"/>
  <c r="G31" i="19"/>
  <c r="G30" i="19"/>
  <c r="G29" i="19"/>
  <c r="G28" i="19"/>
  <c r="G27" i="19"/>
  <c r="G26" i="19"/>
  <c r="G52" i="19"/>
  <c r="G25" i="19"/>
  <c r="G23" i="19"/>
  <c r="G22" i="19"/>
  <c r="G21" i="19"/>
  <c r="G20" i="19"/>
  <c r="G19" i="19"/>
  <c r="G18" i="19"/>
  <c r="G17" i="19"/>
  <c r="G16" i="19"/>
  <c r="H15" i="19"/>
  <c r="G15" i="19"/>
  <c r="G14" i="19"/>
  <c r="G13" i="19"/>
  <c r="G12" i="19"/>
  <c r="G11" i="19"/>
  <c r="G10" i="19"/>
  <c r="G9" i="19"/>
  <c r="G8" i="19"/>
  <c r="F18" i="20"/>
  <c r="F17" i="20"/>
  <c r="F16" i="20"/>
  <c r="G19" i="20"/>
  <c r="F15" i="20"/>
  <c r="F14" i="20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F4" i="26"/>
  <c r="F3" i="26"/>
  <c r="F16" i="23"/>
  <c r="F15" i="23"/>
  <c r="F14" i="23"/>
  <c r="F13" i="23"/>
  <c r="F12" i="23"/>
  <c r="F11" i="23"/>
  <c r="F10" i="23"/>
  <c r="F9" i="23"/>
  <c r="F8" i="23"/>
  <c r="F7" i="23"/>
  <c r="F6" i="23"/>
  <c r="F5" i="23"/>
  <c r="F4" i="23"/>
  <c r="F3" i="23"/>
  <c r="F17" i="23"/>
  <c r="F18" i="23"/>
  <c r="F15" i="25"/>
  <c r="F14" i="25"/>
  <c r="F13" i="25"/>
  <c r="F12" i="25"/>
  <c r="F11" i="25"/>
  <c r="F10" i="25"/>
  <c r="F9" i="25"/>
  <c r="F8" i="25"/>
  <c r="F7" i="25"/>
  <c r="F6" i="25"/>
  <c r="F5" i="25"/>
  <c r="F4" i="25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9" i="24"/>
  <c r="F8" i="24"/>
  <c r="F7" i="24"/>
  <c r="F6" i="24"/>
  <c r="F5" i="24"/>
  <c r="F4" i="24"/>
  <c r="F3" i="24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E13" i="21"/>
  <c r="E19" i="21"/>
  <c r="E14" i="21"/>
  <c r="E32" i="21"/>
  <c r="H32" i="21"/>
  <c r="E31" i="21"/>
  <c r="H31" i="21"/>
  <c r="H38" i="21"/>
  <c r="E38" i="21"/>
  <c r="E37" i="21"/>
  <c r="H37" i="21"/>
  <c r="E26" i="21"/>
  <c r="E25" i="21"/>
  <c r="E20" i="21"/>
  <c r="K112" i="30"/>
  <c r="C92" i="30"/>
  <c r="C94" i="30"/>
  <c r="C67" i="30"/>
  <c r="C60" i="30"/>
  <c r="C25" i="30"/>
  <c r="C32" i="30"/>
  <c r="D87" i="30"/>
  <c r="C21" i="30"/>
  <c r="C19" i="30"/>
  <c r="G21" i="30"/>
  <c r="G19" i="30"/>
  <c r="K112" i="29"/>
  <c r="C92" i="29"/>
  <c r="C67" i="29"/>
  <c r="C68" i="29"/>
  <c r="C60" i="29"/>
  <c r="C78" i="29"/>
  <c r="C25" i="29"/>
  <c r="C32" i="29"/>
  <c r="C21" i="29"/>
  <c r="C19" i="29"/>
  <c r="G21" i="29"/>
  <c r="K112" i="28"/>
  <c r="C92" i="28"/>
  <c r="C67" i="28"/>
  <c r="C60" i="28"/>
  <c r="C78" i="28"/>
  <c r="D78" i="28"/>
  <c r="C25" i="28"/>
  <c r="C32" i="28"/>
  <c r="C21" i="28"/>
  <c r="C19" i="28"/>
  <c r="K112" i="22"/>
  <c r="C92" i="22"/>
  <c r="C67" i="22"/>
  <c r="C60" i="22"/>
  <c r="C25" i="22"/>
  <c r="C26" i="22"/>
  <c r="C32" i="22"/>
  <c r="F80" i="22"/>
  <c r="C21" i="22"/>
  <c r="C19" i="22"/>
  <c r="G21" i="22"/>
  <c r="K112" i="18"/>
  <c r="C92" i="18"/>
  <c r="C67" i="18"/>
  <c r="C60" i="18"/>
  <c r="C78" i="18"/>
  <c r="C25" i="18"/>
  <c r="C32" i="18"/>
  <c r="C21" i="18"/>
  <c r="C19" i="18"/>
  <c r="G21" i="18"/>
  <c r="C25" i="1"/>
  <c r="C40" i="1"/>
  <c r="C32" i="1"/>
  <c r="F53" i="1"/>
  <c r="G56" i="20"/>
  <c r="G47" i="20"/>
  <c r="G35" i="20"/>
  <c r="C92" i="1"/>
  <c r="C67" i="1"/>
  <c r="C21" i="1"/>
  <c r="C19" i="1"/>
  <c r="G19" i="1"/>
  <c r="C60" i="1"/>
  <c r="C78" i="1"/>
  <c r="C73" i="29"/>
  <c r="C74" i="29"/>
  <c r="C73" i="28"/>
  <c r="C74" i="28"/>
  <c r="C93" i="28"/>
  <c r="C94" i="28"/>
  <c r="F16" i="25"/>
  <c r="F17" i="25"/>
  <c r="F18" i="25"/>
  <c r="M106" i="16"/>
  <c r="I3" i="16"/>
  <c r="G73" i="1"/>
  <c r="G73" i="18"/>
  <c r="G81" i="28"/>
  <c r="H81" i="28"/>
  <c r="G81" i="18"/>
  <c r="G19" i="18"/>
  <c r="G19" i="22"/>
  <c r="G26" i="22"/>
  <c r="G32" i="22"/>
  <c r="G68" i="22"/>
  <c r="G69" i="22"/>
  <c r="C68" i="28"/>
  <c r="C69" i="28"/>
  <c r="C35" i="28"/>
  <c r="C42" i="28"/>
  <c r="C124" i="28"/>
  <c r="G123" i="28"/>
  <c r="D68" i="28"/>
  <c r="C81" i="28"/>
  <c r="G78" i="28"/>
  <c r="C68" i="30"/>
  <c r="D68" i="30"/>
  <c r="C35" i="30"/>
  <c r="C81" i="30"/>
  <c r="D81" i="30"/>
  <c r="D80" i="30"/>
  <c r="C78" i="30"/>
  <c r="D56" i="30"/>
  <c r="D52" i="29"/>
  <c r="D59" i="29"/>
  <c r="D89" i="29"/>
  <c r="D72" i="29"/>
  <c r="D90" i="29"/>
  <c r="C123" i="29"/>
  <c r="D86" i="29"/>
  <c r="D66" i="29"/>
  <c r="D53" i="29"/>
  <c r="D80" i="29"/>
  <c r="D54" i="29"/>
  <c r="D87" i="29"/>
  <c r="D58" i="29"/>
  <c r="D82" i="29"/>
  <c r="D79" i="29"/>
  <c r="D55" i="29"/>
  <c r="D56" i="29"/>
  <c r="D65" i="29"/>
  <c r="D88" i="29"/>
  <c r="D77" i="29"/>
  <c r="D57" i="29"/>
  <c r="C40" i="29"/>
  <c r="G19" i="29"/>
  <c r="D78" i="29"/>
  <c r="D73" i="29"/>
  <c r="D74" i="29"/>
  <c r="D101" i="29"/>
  <c r="C93" i="29"/>
  <c r="D93" i="29"/>
  <c r="C81" i="29"/>
  <c r="D81" i="29"/>
  <c r="D54" i="22"/>
  <c r="D66" i="22"/>
  <c r="D87" i="22"/>
  <c r="C123" i="22"/>
  <c r="D82" i="22"/>
  <c r="D80" i="22"/>
  <c r="D55" i="22"/>
  <c r="D56" i="22"/>
  <c r="D53" i="22"/>
  <c r="D89" i="22"/>
  <c r="D77" i="22"/>
  <c r="D59" i="22"/>
  <c r="D65" i="22"/>
  <c r="D72" i="22"/>
  <c r="D52" i="22"/>
  <c r="D60" i="22"/>
  <c r="D99" i="22"/>
  <c r="D86" i="22"/>
  <c r="D92" i="22"/>
  <c r="D58" i="22"/>
  <c r="D90" i="22"/>
  <c r="D57" i="22"/>
  <c r="D79" i="22"/>
  <c r="D88" i="22"/>
  <c r="D67" i="29"/>
  <c r="D69" i="29"/>
  <c r="D100" i="29"/>
  <c r="C83" i="29"/>
  <c r="D67" i="22"/>
  <c r="G81" i="22"/>
  <c r="H81" i="22"/>
  <c r="H83" i="22"/>
  <c r="H102" i="22"/>
  <c r="G73" i="22"/>
  <c r="G74" i="22"/>
  <c r="E35" i="22"/>
  <c r="E42" i="22"/>
  <c r="E124" i="22"/>
  <c r="E93" i="22"/>
  <c r="G94" i="22"/>
  <c r="E35" i="30"/>
  <c r="E35" i="29"/>
  <c r="G73" i="29"/>
  <c r="G81" i="29"/>
  <c r="H81" i="29"/>
  <c r="G78" i="29"/>
  <c r="H57" i="29"/>
  <c r="H77" i="29"/>
  <c r="H90" i="29"/>
  <c r="H54" i="29"/>
  <c r="H58" i="29"/>
  <c r="H66" i="29"/>
  <c r="H67" i="29"/>
  <c r="H69" i="29"/>
  <c r="H100" i="29"/>
  <c r="H82" i="29"/>
  <c r="H87" i="29"/>
  <c r="H92" i="29"/>
  <c r="H53" i="29"/>
  <c r="H65" i="29"/>
  <c r="H86" i="29"/>
  <c r="G123" i="29"/>
  <c r="H55" i="29"/>
  <c r="H59" i="29"/>
  <c r="H68" i="29"/>
  <c r="H79" i="29"/>
  <c r="H52" i="28"/>
  <c r="H56" i="28"/>
  <c r="H66" i="28"/>
  <c r="H53" i="28"/>
  <c r="H57" i="28"/>
  <c r="H68" i="28"/>
  <c r="H55" i="28"/>
  <c r="H59" i="28"/>
  <c r="G42" i="22"/>
  <c r="G124" i="22"/>
  <c r="D92" i="29"/>
  <c r="D94" i="29"/>
  <c r="D103" i="29"/>
  <c r="D82" i="28"/>
  <c r="D65" i="28"/>
  <c r="D67" i="28"/>
  <c r="D69" i="28"/>
  <c r="D100" i="28"/>
  <c r="D54" i="28"/>
  <c r="D52" i="28"/>
  <c r="D90" i="28"/>
  <c r="D88" i="28"/>
  <c r="D56" i="28"/>
  <c r="D59" i="28"/>
  <c r="D53" i="28"/>
  <c r="D86" i="28"/>
  <c r="D87" i="28"/>
  <c r="D79" i="28"/>
  <c r="D93" i="28"/>
  <c r="C123" i="28"/>
  <c r="D73" i="28"/>
  <c r="D77" i="28"/>
  <c r="D66" i="28"/>
  <c r="D58" i="28"/>
  <c r="D80" i="28"/>
  <c r="D72" i="28"/>
  <c r="D89" i="28"/>
  <c r="D57" i="28"/>
  <c r="D55" i="28"/>
  <c r="C69" i="29"/>
  <c r="D68" i="29"/>
  <c r="E73" i="29"/>
  <c r="E93" i="29"/>
  <c r="F93" i="29"/>
  <c r="E78" i="29"/>
  <c r="E68" i="29"/>
  <c r="E81" i="29"/>
  <c r="F81" i="29"/>
  <c r="C124" i="22"/>
  <c r="C83" i="30"/>
  <c r="F93" i="22"/>
  <c r="E94" i="22"/>
  <c r="D81" i="28"/>
  <c r="H90" i="22"/>
  <c r="H86" i="22"/>
  <c r="H92" i="22"/>
  <c r="H79" i="22"/>
  <c r="H72" i="22"/>
  <c r="H59" i="22"/>
  <c r="H55" i="22"/>
  <c r="H89" i="22"/>
  <c r="H82" i="22"/>
  <c r="H58" i="22"/>
  <c r="H54" i="22"/>
  <c r="H87" i="22"/>
  <c r="H80" i="22"/>
  <c r="H65" i="22"/>
  <c r="H56" i="22"/>
  <c r="H52" i="22"/>
  <c r="H88" i="22"/>
  <c r="H57" i="22"/>
  <c r="H53" i="22"/>
  <c r="H60" i="22"/>
  <c r="H99" i="22"/>
  <c r="H77" i="22"/>
  <c r="H66" i="22"/>
  <c r="G123" i="22"/>
  <c r="H93" i="22"/>
  <c r="C45" i="18"/>
  <c r="H78" i="28"/>
  <c r="G83" i="28"/>
  <c r="H68" i="22"/>
  <c r="C46" i="22"/>
  <c r="E46" i="22"/>
  <c r="G46" i="22"/>
  <c r="G18" i="25"/>
  <c r="F27" i="24"/>
  <c r="G53" i="19"/>
  <c r="H8" i="19"/>
  <c r="E45" i="1"/>
  <c r="E48" i="1"/>
  <c r="E125" i="1"/>
  <c r="I27" i="24"/>
  <c r="H73" i="28"/>
  <c r="G74" i="28"/>
  <c r="E93" i="28"/>
  <c r="E78" i="28"/>
  <c r="E68" i="28"/>
  <c r="E81" i="28"/>
  <c r="F81" i="28"/>
  <c r="E73" i="28"/>
  <c r="H73" i="22"/>
  <c r="H74" i="22"/>
  <c r="H101" i="22"/>
  <c r="F90" i="22"/>
  <c r="F86" i="22"/>
  <c r="F82" i="22"/>
  <c r="F72" i="22"/>
  <c r="F66" i="22"/>
  <c r="F57" i="22"/>
  <c r="F53" i="22"/>
  <c r="F89" i="22"/>
  <c r="F77" i="22"/>
  <c r="F65" i="22"/>
  <c r="F67" i="22"/>
  <c r="F56" i="22"/>
  <c r="F52" i="22"/>
  <c r="F87" i="22"/>
  <c r="F92" i="22"/>
  <c r="F94" i="22"/>
  <c r="F103" i="22"/>
  <c r="F79" i="22"/>
  <c r="F58" i="22"/>
  <c r="F54" i="22"/>
  <c r="F88" i="22"/>
  <c r="F59" i="22"/>
  <c r="F55" i="22"/>
  <c r="C93" i="30"/>
  <c r="D93" i="30"/>
  <c r="C73" i="30"/>
  <c r="F19" i="20"/>
  <c r="H89" i="29"/>
  <c r="H94" i="29"/>
  <c r="H103" i="29"/>
  <c r="H56" i="29"/>
  <c r="H52" i="29"/>
  <c r="H60" i="29"/>
  <c r="H99" i="29"/>
  <c r="H72" i="29"/>
  <c r="H80" i="29"/>
  <c r="H88" i="28"/>
  <c r="H77" i="28"/>
  <c r="H87" i="28"/>
  <c r="H80" i="28"/>
  <c r="H89" i="28"/>
  <c r="H82" i="28"/>
  <c r="H54" i="28"/>
  <c r="H78" i="22"/>
  <c r="F88" i="28"/>
  <c r="F77" i="28"/>
  <c r="F66" i="28"/>
  <c r="F58" i="28"/>
  <c r="F54" i="28"/>
  <c r="F52" i="28"/>
  <c r="F87" i="28"/>
  <c r="F80" i="28"/>
  <c r="F57" i="28"/>
  <c r="F53" i="28"/>
  <c r="E123" i="28"/>
  <c r="F89" i="28"/>
  <c r="F82" i="28"/>
  <c r="F59" i="28"/>
  <c r="F55" i="28"/>
  <c r="F72" i="28"/>
  <c r="H90" i="28"/>
  <c r="E94" i="29"/>
  <c r="H58" i="28"/>
  <c r="H60" i="28"/>
  <c r="H99" i="28"/>
  <c r="F79" i="28"/>
  <c r="H72" i="28"/>
  <c r="F78" i="22"/>
  <c r="F56" i="28"/>
  <c r="F86" i="28"/>
  <c r="H79" i="28"/>
  <c r="E68" i="22"/>
  <c r="E81" i="22"/>
  <c r="F54" i="29"/>
  <c r="F58" i="29"/>
  <c r="F66" i="29"/>
  <c r="F67" i="29"/>
  <c r="E123" i="29"/>
  <c r="F79" i="29"/>
  <c r="F89" i="29"/>
  <c r="E73" i="30"/>
  <c r="E74" i="30"/>
  <c r="E73" i="22"/>
  <c r="F53" i="29"/>
  <c r="F57" i="29"/>
  <c r="F65" i="29"/>
  <c r="F82" i="29"/>
  <c r="F88" i="29"/>
  <c r="C48" i="18"/>
  <c r="C125" i="18"/>
  <c r="F73" i="28"/>
  <c r="F74" i="28"/>
  <c r="F101" i="28"/>
  <c r="E74" i="28"/>
  <c r="H74" i="28"/>
  <c r="H101" i="28"/>
  <c r="H67" i="22"/>
  <c r="E74" i="29"/>
  <c r="F73" i="29"/>
  <c r="F60" i="28"/>
  <c r="F99" i="28"/>
  <c r="F78" i="28"/>
  <c r="E83" i="28"/>
  <c r="H83" i="28"/>
  <c r="H102" i="28"/>
  <c r="D73" i="30"/>
  <c r="D74" i="30"/>
  <c r="D101" i="30"/>
  <c r="C74" i="30"/>
  <c r="D32" i="39"/>
  <c r="K27" i="24"/>
  <c r="D30" i="34"/>
  <c r="D29" i="31"/>
  <c r="G29" i="31"/>
  <c r="F29" i="31"/>
  <c r="E69" i="29"/>
  <c r="F68" i="29"/>
  <c r="F69" i="29"/>
  <c r="F100" i="29"/>
  <c r="D83" i="28"/>
  <c r="D102" i="28"/>
  <c r="D60" i="28"/>
  <c r="D99" i="28"/>
  <c r="E69" i="22"/>
  <c r="F68" i="22"/>
  <c r="F69" i="22"/>
  <c r="F100" i="22"/>
  <c r="F83" i="28"/>
  <c r="F102" i="28"/>
  <c r="C45" i="22"/>
  <c r="C48" i="22"/>
  <c r="C45" i="30"/>
  <c r="C45" i="1"/>
  <c r="I12" i="19"/>
  <c r="F73" i="22"/>
  <c r="F74" i="22"/>
  <c r="F101" i="22"/>
  <c r="E74" i="22"/>
  <c r="F60" i="22"/>
  <c r="F99" i="22"/>
  <c r="E69" i="28"/>
  <c r="F68" i="28"/>
  <c r="H69" i="22"/>
  <c r="H100" i="22"/>
  <c r="F78" i="29"/>
  <c r="D74" i="28"/>
  <c r="D101" i="28"/>
  <c r="G32" i="39"/>
  <c r="J32" i="39"/>
  <c r="I32" i="39"/>
  <c r="C48" i="30"/>
  <c r="C125" i="30"/>
  <c r="E83" i="29"/>
  <c r="F105" i="22"/>
  <c r="E126" i="22"/>
  <c r="F93" i="28"/>
  <c r="E94" i="28"/>
  <c r="E83" i="22"/>
  <c r="F81" i="22"/>
  <c r="F83" i="22"/>
  <c r="F102" i="22"/>
  <c r="H94" i="22"/>
  <c r="H103" i="22"/>
  <c r="H105" i="22"/>
  <c r="G126" i="22"/>
  <c r="H78" i="29"/>
  <c r="H83" i="29"/>
  <c r="H102" i="29"/>
  <c r="G83" i="29"/>
  <c r="N94" i="28"/>
  <c r="G74" i="1"/>
  <c r="I4" i="16"/>
  <c r="I105" i="16"/>
  <c r="G105" i="16"/>
  <c r="E93" i="30"/>
  <c r="F93" i="30"/>
  <c r="E68" i="30"/>
  <c r="E69" i="30"/>
  <c r="E81" i="30"/>
  <c r="E78" i="30"/>
  <c r="E83" i="30"/>
  <c r="D92" i="28"/>
  <c r="D94" i="28"/>
  <c r="D103" i="28"/>
  <c r="D105" i="28"/>
  <c r="C126" i="28"/>
  <c r="H73" i="29"/>
  <c r="H74" i="29"/>
  <c r="H101" i="29"/>
  <c r="H105" i="29"/>
  <c r="G126" i="29"/>
  <c r="G74" i="29"/>
  <c r="D83" i="29"/>
  <c r="D102" i="29"/>
  <c r="D60" i="29"/>
  <c r="D99" i="29"/>
  <c r="G83" i="22"/>
  <c r="N94" i="22"/>
  <c r="C94" i="29"/>
  <c r="L94" i="29"/>
  <c r="C123" i="30"/>
  <c r="D72" i="30"/>
  <c r="D54" i="30"/>
  <c r="F19" i="23"/>
  <c r="H32" i="19"/>
  <c r="G78" i="30"/>
  <c r="H78" i="30"/>
  <c r="G35" i="29"/>
  <c r="G42" i="29"/>
  <c r="C83" i="28"/>
  <c r="L94" i="28"/>
  <c r="I19" i="19"/>
  <c r="G45" i="18"/>
  <c r="E45" i="18"/>
  <c r="H22" i="19"/>
  <c r="G94" i="29"/>
  <c r="N94" i="29"/>
  <c r="F90" i="28"/>
  <c r="F92" i="28"/>
  <c r="F94" i="28"/>
  <c r="F103" i="28"/>
  <c r="F65" i="28"/>
  <c r="F67" i="28"/>
  <c r="F69" i="28"/>
  <c r="F100" i="28"/>
  <c r="F105" i="28"/>
  <c r="E126" i="28"/>
  <c r="F90" i="29"/>
  <c r="F77" i="29"/>
  <c r="F83" i="29"/>
  <c r="F102" i="29"/>
  <c r="F56" i="29"/>
  <c r="F72" i="29"/>
  <c r="F74" i="29"/>
  <c r="F101" i="29"/>
  <c r="F87" i="29"/>
  <c r="F55" i="29"/>
  <c r="E40" i="29"/>
  <c r="E42" i="29"/>
  <c r="F86" i="29"/>
  <c r="F92" i="29"/>
  <c r="F94" i="29"/>
  <c r="F103" i="29"/>
  <c r="F52" i="29"/>
  <c r="F60" i="29"/>
  <c r="F99" i="29"/>
  <c r="F59" i="29"/>
  <c r="E45" i="30"/>
  <c r="E48" i="30"/>
  <c r="E125" i="30"/>
  <c r="G45" i="1"/>
  <c r="G48" i="1"/>
  <c r="G125" i="1"/>
  <c r="G127" i="1"/>
  <c r="C78" i="22"/>
  <c r="C68" i="22"/>
  <c r="C73" i="22"/>
  <c r="C93" i="22"/>
  <c r="C81" i="22"/>
  <c r="D81" i="22"/>
  <c r="F21" i="26"/>
  <c r="F22" i="26"/>
  <c r="F23" i="26"/>
  <c r="G45" i="28"/>
  <c r="E45" i="28"/>
  <c r="I46" i="19"/>
  <c r="C45" i="28"/>
  <c r="C48" i="28"/>
  <c r="H65" i="28"/>
  <c r="H67" i="28"/>
  <c r="H69" i="28"/>
  <c r="H100" i="28"/>
  <c r="H105" i="28"/>
  <c r="G126" i="28"/>
  <c r="H86" i="28"/>
  <c r="H92" i="28"/>
  <c r="H94" i="28"/>
  <c r="H103" i="28"/>
  <c r="G45" i="30"/>
  <c r="G48" i="30"/>
  <c r="G125" i="30"/>
  <c r="G32" i="30"/>
  <c r="H89" i="30"/>
  <c r="G123" i="30"/>
  <c r="H58" i="30"/>
  <c r="H90" i="30"/>
  <c r="H80" i="30"/>
  <c r="H55" i="30"/>
  <c r="H87" i="30"/>
  <c r="H92" i="30"/>
  <c r="H82" i="30"/>
  <c r="H66" i="30"/>
  <c r="H79" i="30"/>
  <c r="H59" i="30"/>
  <c r="H57" i="30"/>
  <c r="H56" i="30"/>
  <c r="H54" i="30"/>
  <c r="H77" i="30"/>
  <c r="H65" i="30"/>
  <c r="H67" i="30"/>
  <c r="H86" i="30"/>
  <c r="H52" i="30"/>
  <c r="H60" i="30"/>
  <c r="H99" i="30"/>
  <c r="H53" i="30"/>
  <c r="H72" i="30"/>
  <c r="H88" i="30"/>
  <c r="D73" i="22"/>
  <c r="D74" i="22"/>
  <c r="D101" i="22"/>
  <c r="C74" i="22"/>
  <c r="C46" i="28"/>
  <c r="G46" i="28"/>
  <c r="G48" i="28"/>
  <c r="G125" i="28"/>
  <c r="G127" i="28"/>
  <c r="E46" i="28"/>
  <c r="C69" i="22"/>
  <c r="D68" i="22"/>
  <c r="D69" i="22"/>
  <c r="D100" i="22"/>
  <c r="E124" i="29"/>
  <c r="E45" i="22"/>
  <c r="I26" i="19"/>
  <c r="G45" i="22"/>
  <c r="D78" i="22"/>
  <c r="D83" i="22"/>
  <c r="D102" i="22"/>
  <c r="C83" i="22"/>
  <c r="G45" i="29"/>
  <c r="G48" i="29"/>
  <c r="G125" i="29"/>
  <c r="G127" i="29"/>
  <c r="C45" i="29"/>
  <c r="C48" i="29"/>
  <c r="D109" i="29"/>
  <c r="I36" i="19"/>
  <c r="E45" i="29"/>
  <c r="E48" i="29"/>
  <c r="E48" i="28"/>
  <c r="E125" i="28"/>
  <c r="E127" i="28"/>
  <c r="C94" i="22"/>
  <c r="D93" i="22"/>
  <c r="D94" i="22"/>
  <c r="D103" i="22"/>
  <c r="F105" i="29"/>
  <c r="E126" i="29"/>
  <c r="G124" i="29"/>
  <c r="H109" i="29"/>
  <c r="H115" i="29"/>
  <c r="M116" i="29"/>
  <c r="C46" i="1"/>
  <c r="G19" i="23"/>
  <c r="D105" i="29"/>
  <c r="C126" i="29"/>
  <c r="F109" i="28"/>
  <c r="F115" i="28"/>
  <c r="M118" i="28"/>
  <c r="D105" i="22"/>
  <c r="C125" i="29"/>
  <c r="C127" i="29"/>
  <c r="L94" i="22"/>
  <c r="C126" i="22"/>
  <c r="G42" i="1"/>
  <c r="G124" i="1"/>
  <c r="D59" i="1"/>
  <c r="F82" i="1"/>
  <c r="C48" i="1"/>
  <c r="C125" i="1"/>
  <c r="C81" i="1"/>
  <c r="D81" i="1"/>
  <c r="H59" i="1"/>
  <c r="H89" i="1"/>
  <c r="H53" i="1"/>
  <c r="H79" i="1"/>
  <c r="H88" i="1"/>
  <c r="H66" i="1"/>
  <c r="F52" i="1"/>
  <c r="F72" i="1"/>
  <c r="D56" i="1"/>
  <c r="D90" i="1"/>
  <c r="F86" i="1"/>
  <c r="F55" i="1"/>
  <c r="F87" i="1"/>
  <c r="D52" i="1"/>
  <c r="F90" i="1"/>
  <c r="D65" i="1"/>
  <c r="F65" i="1"/>
  <c r="C123" i="1"/>
  <c r="D78" i="1"/>
  <c r="F77" i="1"/>
  <c r="E35" i="1"/>
  <c r="E42" i="1"/>
  <c r="F93" i="1"/>
  <c r="C73" i="1"/>
  <c r="C74" i="1"/>
  <c r="C68" i="1"/>
  <c r="D68" i="1"/>
  <c r="G21" i="1"/>
  <c r="E40" i="1"/>
  <c r="H77" i="1"/>
  <c r="H55" i="1"/>
  <c r="H90" i="1"/>
  <c r="H54" i="1"/>
  <c r="H52" i="1"/>
  <c r="H87" i="1"/>
  <c r="H82" i="1"/>
  <c r="H86" i="1"/>
  <c r="F57" i="1"/>
  <c r="F79" i="1"/>
  <c r="F66" i="1"/>
  <c r="F67" i="1"/>
  <c r="F58" i="1"/>
  <c r="D55" i="1"/>
  <c r="D89" i="1"/>
  <c r="H57" i="1"/>
  <c r="H58" i="1"/>
  <c r="H72" i="1"/>
  <c r="H80" i="1"/>
  <c r="H56" i="1"/>
  <c r="G123" i="1"/>
  <c r="F56" i="1"/>
  <c r="F88" i="1"/>
  <c r="F59" i="1"/>
  <c r="F54" i="1"/>
  <c r="D53" i="1"/>
  <c r="D88" i="1"/>
  <c r="C93" i="1"/>
  <c r="C94" i="1"/>
  <c r="F78" i="1"/>
  <c r="E81" i="1"/>
  <c r="F81" i="1"/>
  <c r="E73" i="1"/>
  <c r="E68" i="1"/>
  <c r="D86" i="1"/>
  <c r="D66" i="1"/>
  <c r="D67" i="1"/>
  <c r="D87" i="1"/>
  <c r="D77" i="1"/>
  <c r="D80" i="1"/>
  <c r="D72" i="1"/>
  <c r="F80" i="1"/>
  <c r="C83" i="1"/>
  <c r="D57" i="1"/>
  <c r="D79" i="1"/>
  <c r="D58" i="1"/>
  <c r="D54" i="1"/>
  <c r="D82" i="1"/>
  <c r="H73" i="1"/>
  <c r="F89" i="1"/>
  <c r="H78" i="1"/>
  <c r="G68" i="1"/>
  <c r="G93" i="1"/>
  <c r="G81" i="1"/>
  <c r="H81" i="1"/>
  <c r="C35" i="1"/>
  <c r="C42" i="1"/>
  <c r="D109" i="1"/>
  <c r="D69" i="1"/>
  <c r="D100" i="1"/>
  <c r="H67" i="1"/>
  <c r="C69" i="1"/>
  <c r="D93" i="1"/>
  <c r="H92" i="1"/>
  <c r="D74" i="1"/>
  <c r="D101" i="1"/>
  <c r="F60" i="1"/>
  <c r="F99" i="1"/>
  <c r="F92" i="1"/>
  <c r="F94" i="1"/>
  <c r="F103" i="1"/>
  <c r="D73" i="1"/>
  <c r="D92" i="1"/>
  <c r="D94" i="1"/>
  <c r="D103" i="1"/>
  <c r="H60" i="1"/>
  <c r="H99" i="1"/>
  <c r="H74" i="1"/>
  <c r="H101" i="1"/>
  <c r="D60" i="1"/>
  <c r="D99" i="1"/>
  <c r="D83" i="1"/>
  <c r="D102" i="1"/>
  <c r="E83" i="1"/>
  <c r="F73" i="1"/>
  <c r="F74" i="1"/>
  <c r="F101" i="1"/>
  <c r="E74" i="1"/>
  <c r="E69" i="1"/>
  <c r="F68" i="1"/>
  <c r="F69" i="1"/>
  <c r="F100" i="1"/>
  <c r="F83" i="1"/>
  <c r="F102" i="1"/>
  <c r="H93" i="1"/>
  <c r="H94" i="1"/>
  <c r="H103" i="1"/>
  <c r="G94" i="1"/>
  <c r="H68" i="1"/>
  <c r="G69" i="1"/>
  <c r="H83" i="1"/>
  <c r="H102" i="1"/>
  <c r="G83" i="1"/>
  <c r="C124" i="1"/>
  <c r="C127" i="1"/>
  <c r="H69" i="1"/>
  <c r="H100" i="1"/>
  <c r="D105" i="1"/>
  <c r="C126" i="1"/>
  <c r="F105" i="1"/>
  <c r="E126" i="1"/>
  <c r="H105" i="1"/>
  <c r="G126" i="1"/>
  <c r="H109" i="1"/>
  <c r="H83" i="30"/>
  <c r="H102" i="30"/>
  <c r="H73" i="30"/>
  <c r="H74" i="30"/>
  <c r="H101" i="30"/>
  <c r="G74" i="30"/>
  <c r="I92" i="30"/>
  <c r="I93" i="30"/>
  <c r="G93" i="30"/>
  <c r="H93" i="30"/>
  <c r="H94" i="30"/>
  <c r="H103" i="30"/>
  <c r="G94" i="30"/>
  <c r="L94" i="30"/>
  <c r="F66" i="30"/>
  <c r="F56" i="30"/>
  <c r="F58" i="30"/>
  <c r="E40" i="30"/>
  <c r="E42" i="30"/>
  <c r="F59" i="30"/>
  <c r="F90" i="30"/>
  <c r="F86" i="30"/>
  <c r="F57" i="30"/>
  <c r="F80" i="30"/>
  <c r="F52" i="30"/>
  <c r="F54" i="30"/>
  <c r="F55" i="30"/>
  <c r="F87" i="30"/>
  <c r="F82" i="30"/>
  <c r="F88" i="30"/>
  <c r="F53" i="30"/>
  <c r="F65" i="30"/>
  <c r="F67" i="30"/>
  <c r="F89" i="30"/>
  <c r="E123" i="30"/>
  <c r="F72" i="30"/>
  <c r="F81" i="30"/>
  <c r="F77" i="30"/>
  <c r="F79" i="30"/>
  <c r="F73" i="30"/>
  <c r="G124" i="30"/>
  <c r="F68" i="30"/>
  <c r="F69" i="30"/>
  <c r="F100" i="30"/>
  <c r="G81" i="30"/>
  <c r="H81" i="30"/>
  <c r="D52" i="30"/>
  <c r="D82" i="30"/>
  <c r="D89" i="30"/>
  <c r="D78" i="30"/>
  <c r="D79" i="30"/>
  <c r="C40" i="30"/>
  <c r="C42" i="30"/>
  <c r="C124" i="30"/>
  <c r="D53" i="30"/>
  <c r="D88" i="30"/>
  <c r="E94" i="30"/>
  <c r="F78" i="30"/>
  <c r="G68" i="30"/>
  <c r="D65" i="30"/>
  <c r="D67" i="30"/>
  <c r="D69" i="30"/>
  <c r="D100" i="30"/>
  <c r="D86" i="30"/>
  <c r="D92" i="30"/>
  <c r="D94" i="30"/>
  <c r="D103" i="30"/>
  <c r="D55" i="30"/>
  <c r="D90" i="30"/>
  <c r="D57" i="30"/>
  <c r="D59" i="30"/>
  <c r="D66" i="30"/>
  <c r="D58" i="30"/>
  <c r="D77" i="30"/>
  <c r="C69" i="30"/>
  <c r="I42" i="30"/>
  <c r="I124" i="30"/>
  <c r="J92" i="29"/>
  <c r="I42" i="29"/>
  <c r="I124" i="29"/>
  <c r="J92" i="28"/>
  <c r="J94" i="28"/>
  <c r="J103" i="28"/>
  <c r="H115" i="1"/>
  <c r="E48" i="18"/>
  <c r="E125" i="18"/>
  <c r="G42" i="18"/>
  <c r="G124" i="18"/>
  <c r="I42" i="22"/>
  <c r="I124" i="22"/>
  <c r="I42" i="18"/>
  <c r="J109" i="1"/>
  <c r="J115" i="1"/>
  <c r="J112" i="1"/>
  <c r="I32" i="30"/>
  <c r="J68" i="30"/>
  <c r="I69" i="30"/>
  <c r="I78" i="30"/>
  <c r="I81" i="30"/>
  <c r="J81" i="30"/>
  <c r="H112" i="29"/>
  <c r="H111" i="29"/>
  <c r="H116" i="29"/>
  <c r="G128" i="29"/>
  <c r="G129" i="29"/>
  <c r="E125" i="29"/>
  <c r="E127" i="29"/>
  <c r="F109" i="29"/>
  <c r="D115" i="29"/>
  <c r="K116" i="29"/>
  <c r="J94" i="29"/>
  <c r="J103" i="29"/>
  <c r="I94" i="29"/>
  <c r="J69" i="29"/>
  <c r="J100" i="29"/>
  <c r="I32" i="29"/>
  <c r="J74" i="29"/>
  <c r="J101" i="29"/>
  <c r="I78" i="29"/>
  <c r="I81" i="29"/>
  <c r="F112" i="28"/>
  <c r="F111" i="28"/>
  <c r="D109" i="28"/>
  <c r="C125" i="28"/>
  <c r="C127" i="28"/>
  <c r="I123" i="28"/>
  <c r="J69" i="28"/>
  <c r="J100" i="28"/>
  <c r="I94" i="28"/>
  <c r="F116" i="28"/>
  <c r="E128" i="28"/>
  <c r="E129" i="28"/>
  <c r="I69" i="28"/>
  <c r="J74" i="28"/>
  <c r="J101" i="28"/>
  <c r="I78" i="28"/>
  <c r="I81" i="28"/>
  <c r="H109" i="28"/>
  <c r="C125" i="22"/>
  <c r="C127" i="22"/>
  <c r="D109" i="22"/>
  <c r="I46" i="22"/>
  <c r="I48" i="22"/>
  <c r="I125" i="22"/>
  <c r="G48" i="22"/>
  <c r="E48" i="22"/>
  <c r="J94" i="22"/>
  <c r="J103" i="22"/>
  <c r="I94" i="22"/>
  <c r="I26" i="22"/>
  <c r="I32" i="22"/>
  <c r="J69" i="22"/>
  <c r="J100" i="22"/>
  <c r="J74" i="22"/>
  <c r="J101" i="22"/>
  <c r="I78" i="22"/>
  <c r="I81" i="22"/>
  <c r="F58" i="18"/>
  <c r="F79" i="18"/>
  <c r="F55" i="18"/>
  <c r="D79" i="18"/>
  <c r="E73" i="18"/>
  <c r="E74" i="18"/>
  <c r="E35" i="18"/>
  <c r="E42" i="18"/>
  <c r="E124" i="18"/>
  <c r="E81" i="18"/>
  <c r="E83" i="18"/>
  <c r="E93" i="18"/>
  <c r="F93" i="18"/>
  <c r="I32" i="18"/>
  <c r="E78" i="18"/>
  <c r="F78" i="18"/>
  <c r="F77" i="18"/>
  <c r="F73" i="18"/>
  <c r="D87" i="18"/>
  <c r="D89" i="18"/>
  <c r="F53" i="18"/>
  <c r="G83" i="18"/>
  <c r="I93" i="18"/>
  <c r="J93" i="18"/>
  <c r="I68" i="18"/>
  <c r="D55" i="18"/>
  <c r="G32" i="18"/>
  <c r="H66" i="18"/>
  <c r="D54" i="18"/>
  <c r="D77" i="18"/>
  <c r="F82" i="18"/>
  <c r="C35" i="18"/>
  <c r="C42" i="18"/>
  <c r="C124" i="18"/>
  <c r="G68" i="18"/>
  <c r="I48" i="18"/>
  <c r="I125" i="18"/>
  <c r="I124" i="18"/>
  <c r="I73" i="18"/>
  <c r="J73" i="18"/>
  <c r="I78" i="18"/>
  <c r="J78" i="18"/>
  <c r="I81" i="18"/>
  <c r="G69" i="18"/>
  <c r="D56" i="18"/>
  <c r="D86" i="18"/>
  <c r="D59" i="18"/>
  <c r="F59" i="18"/>
  <c r="G48" i="18"/>
  <c r="D65" i="18"/>
  <c r="D90" i="18"/>
  <c r="D72" i="18"/>
  <c r="D57" i="18"/>
  <c r="F56" i="18"/>
  <c r="F86" i="18"/>
  <c r="F66" i="18"/>
  <c r="F54" i="18"/>
  <c r="D58" i="18"/>
  <c r="D52" i="18"/>
  <c r="D80" i="18"/>
  <c r="F80" i="18"/>
  <c r="F57" i="18"/>
  <c r="F88" i="18"/>
  <c r="F89" i="18"/>
  <c r="D66" i="18"/>
  <c r="H82" i="18"/>
  <c r="D53" i="18"/>
  <c r="D88" i="18"/>
  <c r="C123" i="18"/>
  <c r="D82" i="18"/>
  <c r="F87" i="18"/>
  <c r="F52" i="18"/>
  <c r="F65" i="18"/>
  <c r="F90" i="18"/>
  <c r="F72" i="18"/>
  <c r="G93" i="18"/>
  <c r="D78" i="18"/>
  <c r="G125" i="18"/>
  <c r="G94" i="18"/>
  <c r="G74" i="18"/>
  <c r="C68" i="18"/>
  <c r="C93" i="18"/>
  <c r="C73" i="18"/>
  <c r="F68" i="18"/>
  <c r="C81" i="18"/>
  <c r="D81" i="18"/>
  <c r="J93" i="30"/>
  <c r="I94" i="30"/>
  <c r="E124" i="30"/>
  <c r="E127" i="30"/>
  <c r="J73" i="30"/>
  <c r="D60" i="30"/>
  <c r="D99" i="30"/>
  <c r="D105" i="30"/>
  <c r="F74" i="30"/>
  <c r="F101" i="30"/>
  <c r="G69" i="30"/>
  <c r="H68" i="30"/>
  <c r="H69" i="30"/>
  <c r="H100" i="30"/>
  <c r="H105" i="30"/>
  <c r="F92" i="30"/>
  <c r="F94" i="30"/>
  <c r="F103" i="30"/>
  <c r="D83" i="30"/>
  <c r="D102" i="30"/>
  <c r="G83" i="30"/>
  <c r="N94" i="30"/>
  <c r="F83" i="30"/>
  <c r="F102" i="30"/>
  <c r="F60" i="30"/>
  <c r="F99" i="30"/>
  <c r="F105" i="30"/>
  <c r="E126" i="30"/>
  <c r="J89" i="30"/>
  <c r="J82" i="30"/>
  <c r="J54" i="30"/>
  <c r="J58" i="30"/>
  <c r="J90" i="30"/>
  <c r="J79" i="30"/>
  <c r="J77" i="30"/>
  <c r="J83" i="30"/>
  <c r="J102" i="30"/>
  <c r="J66" i="30"/>
  <c r="J55" i="30"/>
  <c r="J59" i="30"/>
  <c r="J86" i="30"/>
  <c r="J72" i="30"/>
  <c r="J57" i="30"/>
  <c r="J87" i="30"/>
  <c r="J91" i="30"/>
  <c r="J80" i="30"/>
  <c r="J65" i="30"/>
  <c r="J56" i="30"/>
  <c r="J52" i="30"/>
  <c r="J88" i="30"/>
  <c r="J53" i="30"/>
  <c r="J78" i="30"/>
  <c r="H112" i="1"/>
  <c r="H111" i="1"/>
  <c r="H116" i="1"/>
  <c r="G128" i="1"/>
  <c r="G129" i="1"/>
  <c r="H93" i="18"/>
  <c r="E94" i="18"/>
  <c r="H73" i="18"/>
  <c r="J81" i="18"/>
  <c r="I69" i="18"/>
  <c r="J68" i="18"/>
  <c r="H54" i="18"/>
  <c r="I123" i="18"/>
  <c r="J88" i="18"/>
  <c r="J82" i="18"/>
  <c r="J55" i="18"/>
  <c r="J59" i="18"/>
  <c r="J87" i="18"/>
  <c r="J54" i="18"/>
  <c r="J89" i="18"/>
  <c r="J79" i="18"/>
  <c r="J77" i="18"/>
  <c r="J66" i="18"/>
  <c r="J56" i="18"/>
  <c r="J53" i="18"/>
  <c r="J58" i="18"/>
  <c r="J90" i="18"/>
  <c r="J80" i="18"/>
  <c r="J65" i="18"/>
  <c r="J57" i="18"/>
  <c r="J52" i="18"/>
  <c r="J86" i="18"/>
  <c r="J72" i="18"/>
  <c r="J111" i="1"/>
  <c r="J116" i="1"/>
  <c r="I128" i="1"/>
  <c r="I129" i="1"/>
  <c r="C17" i="33"/>
  <c r="I123" i="30"/>
  <c r="I83" i="30"/>
  <c r="D22" i="34"/>
  <c r="G22" i="39"/>
  <c r="I123" i="29"/>
  <c r="D112" i="29"/>
  <c r="D111" i="29"/>
  <c r="D116" i="29"/>
  <c r="C128" i="29"/>
  <c r="C129" i="29"/>
  <c r="J83" i="29"/>
  <c r="J102" i="29"/>
  <c r="J105" i="29"/>
  <c r="I126" i="29"/>
  <c r="I83" i="29"/>
  <c r="F115" i="29"/>
  <c r="M118" i="29"/>
  <c r="J83" i="28"/>
  <c r="J102" i="28"/>
  <c r="J105" i="28"/>
  <c r="I83" i="28"/>
  <c r="H115" i="28"/>
  <c r="M116" i="28"/>
  <c r="D115" i="28"/>
  <c r="K116" i="28"/>
  <c r="I123" i="22"/>
  <c r="J83" i="22"/>
  <c r="J102" i="22"/>
  <c r="J105" i="22"/>
  <c r="I83" i="22"/>
  <c r="E125" i="22"/>
  <c r="E127" i="22"/>
  <c r="F109" i="22"/>
  <c r="D115" i="22"/>
  <c r="K116" i="22"/>
  <c r="H109" i="22"/>
  <c r="G125" i="22"/>
  <c r="G127" i="22"/>
  <c r="H78" i="18"/>
  <c r="F74" i="18"/>
  <c r="F101" i="18"/>
  <c r="H55" i="18"/>
  <c r="H65" i="18"/>
  <c r="H67" i="18"/>
  <c r="H86" i="18"/>
  <c r="H68" i="18"/>
  <c r="H79" i="18"/>
  <c r="H80" i="18"/>
  <c r="H72" i="18"/>
  <c r="H74" i="18"/>
  <c r="H101" i="18"/>
  <c r="H77" i="18"/>
  <c r="H83" i="18"/>
  <c r="H102" i="18"/>
  <c r="F81" i="18"/>
  <c r="F83" i="18"/>
  <c r="F102" i="18"/>
  <c r="D67" i="18"/>
  <c r="I94" i="18"/>
  <c r="H87" i="18"/>
  <c r="H56" i="18"/>
  <c r="H53" i="18"/>
  <c r="H57" i="18"/>
  <c r="H89" i="18"/>
  <c r="H88" i="18"/>
  <c r="G123" i="18"/>
  <c r="H81" i="18"/>
  <c r="H90" i="18"/>
  <c r="H58" i="18"/>
  <c r="H52" i="18"/>
  <c r="H59" i="18"/>
  <c r="I83" i="18"/>
  <c r="I74" i="18"/>
  <c r="J74" i="18"/>
  <c r="J101" i="18"/>
  <c r="F92" i="18"/>
  <c r="F94" i="18"/>
  <c r="F103" i="18"/>
  <c r="D60" i="18"/>
  <c r="D99" i="18"/>
  <c r="F67" i="18"/>
  <c r="F69" i="18"/>
  <c r="F100" i="18"/>
  <c r="D92" i="18"/>
  <c r="N94" i="18"/>
  <c r="F60" i="18"/>
  <c r="F99" i="18"/>
  <c r="D68" i="18"/>
  <c r="C69" i="18"/>
  <c r="D73" i="18"/>
  <c r="D74" i="18"/>
  <c r="D101" i="18"/>
  <c r="C74" i="18"/>
  <c r="D93" i="18"/>
  <c r="C94" i="18"/>
  <c r="C83" i="18"/>
  <c r="D83" i="18"/>
  <c r="D102" i="18"/>
  <c r="C126" i="30"/>
  <c r="C127" i="30"/>
  <c r="D109" i="30"/>
  <c r="D115" i="30"/>
  <c r="K116" i="30"/>
  <c r="J60" i="30"/>
  <c r="J99" i="30"/>
  <c r="J92" i="30"/>
  <c r="J94" i="30"/>
  <c r="J103" i="30"/>
  <c r="G126" i="30"/>
  <c r="G127" i="30"/>
  <c r="H109" i="30"/>
  <c r="J74" i="30"/>
  <c r="J101" i="30"/>
  <c r="J67" i="30"/>
  <c r="J69" i="30"/>
  <c r="J100" i="30"/>
  <c r="J105" i="30"/>
  <c r="F109" i="30"/>
  <c r="F115" i="30"/>
  <c r="M118" i="30"/>
  <c r="F112" i="30"/>
  <c r="H60" i="18"/>
  <c r="H99" i="18"/>
  <c r="H105" i="18"/>
  <c r="H109" i="18"/>
  <c r="H115" i="18"/>
  <c r="M118" i="18"/>
  <c r="H69" i="18"/>
  <c r="H100" i="18"/>
  <c r="I126" i="22"/>
  <c r="I127" i="22"/>
  <c r="J109" i="22"/>
  <c r="J115" i="22"/>
  <c r="J116" i="22"/>
  <c r="I128" i="22"/>
  <c r="F112" i="29"/>
  <c r="F111" i="29"/>
  <c r="F116" i="29"/>
  <c r="E128" i="29"/>
  <c r="E129" i="29"/>
  <c r="I127" i="29"/>
  <c r="J109" i="29"/>
  <c r="I126" i="28"/>
  <c r="I127" i="28"/>
  <c r="J109" i="28"/>
  <c r="H111" i="28"/>
  <c r="H116" i="28"/>
  <c r="G128" i="28"/>
  <c r="G129" i="28"/>
  <c r="H112" i="28"/>
  <c r="D111" i="28"/>
  <c r="D112" i="28"/>
  <c r="D111" i="22"/>
  <c r="D112" i="22"/>
  <c r="H115" i="22"/>
  <c r="M118" i="22"/>
  <c r="F115" i="22"/>
  <c r="M116" i="22"/>
  <c r="J67" i="18"/>
  <c r="J69" i="18"/>
  <c r="J100" i="18"/>
  <c r="H92" i="18"/>
  <c r="H94" i="18"/>
  <c r="H103" i="18"/>
  <c r="J60" i="18"/>
  <c r="J99" i="18"/>
  <c r="D94" i="18"/>
  <c r="D103" i="18"/>
  <c r="D69" i="18"/>
  <c r="D100" i="18"/>
  <c r="D105" i="18"/>
  <c r="C126" i="18"/>
  <c r="C127" i="18"/>
  <c r="J83" i="18"/>
  <c r="J102" i="18"/>
  <c r="J92" i="18"/>
  <c r="J94" i="18"/>
  <c r="J103" i="18"/>
  <c r="F105" i="18"/>
  <c r="L94" i="18"/>
  <c r="I126" i="30"/>
  <c r="I127" i="30"/>
  <c r="J109" i="30"/>
  <c r="F111" i="30"/>
  <c r="H115" i="30"/>
  <c r="M116" i="30"/>
  <c r="D111" i="30"/>
  <c r="D112" i="30"/>
  <c r="J115" i="30"/>
  <c r="J116" i="30"/>
  <c r="I128" i="30"/>
  <c r="I129" i="30"/>
  <c r="F116" i="30"/>
  <c r="E128" i="30"/>
  <c r="E129" i="30"/>
  <c r="D21" i="31"/>
  <c r="D22" i="39"/>
  <c r="J115" i="29"/>
  <c r="J116" i="29"/>
  <c r="I128" i="29"/>
  <c r="I129" i="29"/>
  <c r="D21" i="34"/>
  <c r="G21" i="39"/>
  <c r="J115" i="28"/>
  <c r="J116" i="28"/>
  <c r="I128" i="28"/>
  <c r="I129" i="28"/>
  <c r="D116" i="28"/>
  <c r="C128" i="28"/>
  <c r="C129" i="28"/>
  <c r="F112" i="22"/>
  <c r="F111" i="22"/>
  <c r="F116" i="22"/>
  <c r="E128" i="22"/>
  <c r="E129" i="22"/>
  <c r="G38" i="21"/>
  <c r="D116" i="22"/>
  <c r="C128" i="22"/>
  <c r="C129" i="22"/>
  <c r="I129" i="22"/>
  <c r="H111" i="22"/>
  <c r="H112" i="22"/>
  <c r="D109" i="18"/>
  <c r="J105" i="18"/>
  <c r="I126" i="18"/>
  <c r="I127" i="18"/>
  <c r="G126" i="18"/>
  <c r="G127" i="18"/>
  <c r="E126" i="18"/>
  <c r="E127" i="18"/>
  <c r="F109" i="18"/>
  <c r="F115" i="18"/>
  <c r="M116" i="18"/>
  <c r="F111" i="18"/>
  <c r="D115" i="18"/>
  <c r="K116" i="18"/>
  <c r="H112" i="18"/>
  <c r="H111" i="18"/>
  <c r="H116" i="18"/>
  <c r="G128" i="18"/>
  <c r="G129" i="18"/>
  <c r="H111" i="30"/>
  <c r="H116" i="30"/>
  <c r="G128" i="30"/>
  <c r="G129" i="30"/>
  <c r="H112" i="30"/>
  <c r="D116" i="30"/>
  <c r="C128" i="30"/>
  <c r="C129" i="30"/>
  <c r="D23" i="39"/>
  <c r="D22" i="31"/>
  <c r="H116" i="22"/>
  <c r="G128" i="22"/>
  <c r="G129" i="22"/>
  <c r="G41" i="33"/>
  <c r="G42" i="33"/>
  <c r="J109" i="18"/>
  <c r="F112" i="18"/>
  <c r="F116" i="18"/>
  <c r="E128" i="18"/>
  <c r="E129" i="18"/>
  <c r="D112" i="18"/>
  <c r="D111" i="18"/>
  <c r="D116" i="18"/>
  <c r="C128" i="18"/>
  <c r="C129" i="18"/>
  <c r="C28" i="33"/>
  <c r="F16" i="33"/>
  <c r="F40" i="33"/>
  <c r="G40" i="33"/>
  <c r="F34" i="33"/>
  <c r="G34" i="33"/>
  <c r="D16" i="33"/>
  <c r="C22" i="33"/>
  <c r="D23" i="34"/>
  <c r="G23" i="39"/>
  <c r="D13" i="21"/>
  <c r="J115" i="18"/>
  <c r="G37" i="21"/>
  <c r="G31" i="21"/>
  <c r="D25" i="21"/>
  <c r="F25" i="21"/>
  <c r="D19" i="21"/>
  <c r="F19" i="21"/>
  <c r="D22" i="33"/>
  <c r="F22" i="33"/>
  <c r="F28" i="33"/>
  <c r="D28" i="33"/>
  <c r="F13" i="21"/>
  <c r="J112" i="18"/>
  <c r="J111" i="18"/>
  <c r="J116" i="18"/>
  <c r="I128" i="18"/>
  <c r="I129" i="18"/>
  <c r="D115" i="1"/>
  <c r="K116" i="1"/>
  <c r="F109" i="1"/>
  <c r="F115" i="1"/>
  <c r="E124" i="1"/>
  <c r="E127" i="1"/>
  <c r="F32" i="21"/>
  <c r="G32" i="21"/>
  <c r="G33" i="21"/>
  <c r="B15" i="39"/>
  <c r="D15" i="39"/>
  <c r="C20" i="21"/>
  <c r="C26" i="21"/>
  <c r="C14" i="21"/>
  <c r="D17" i="33"/>
  <c r="D18" i="33"/>
  <c r="C23" i="33"/>
  <c r="D23" i="33"/>
  <c r="F35" i="33"/>
  <c r="G35" i="33"/>
  <c r="G36" i="33"/>
  <c r="C29" i="33"/>
  <c r="F17" i="33"/>
  <c r="D24" i="34"/>
  <c r="D23" i="31"/>
  <c r="G24" i="39"/>
  <c r="D24" i="39"/>
  <c r="F23" i="33"/>
  <c r="D24" i="33"/>
  <c r="B14" i="34"/>
  <c r="D14" i="34"/>
  <c r="G39" i="21"/>
  <c r="B16" i="31"/>
  <c r="D16" i="31"/>
  <c r="L116" i="1"/>
  <c r="D111" i="1"/>
  <c r="D116" i="1"/>
  <c r="C128" i="1"/>
  <c r="C129" i="1"/>
  <c r="D112" i="1"/>
  <c r="M116" i="1"/>
  <c r="H36" i="33"/>
  <c r="B13" i="34"/>
  <c r="D13" i="34"/>
  <c r="E12" i="39"/>
  <c r="G12" i="39"/>
  <c r="E15" i="39"/>
  <c r="G15" i="39"/>
  <c r="B16" i="34"/>
  <c r="D16" i="34"/>
  <c r="F20" i="21"/>
  <c r="D20" i="21"/>
  <c r="D21" i="21"/>
  <c r="B13" i="31"/>
  <c r="D13" i="31"/>
  <c r="D29" i="33"/>
  <c r="D30" i="33"/>
  <c r="F29" i="33"/>
  <c r="E13" i="39"/>
  <c r="G13" i="39"/>
  <c r="D14" i="21"/>
  <c r="D15" i="21"/>
  <c r="F14" i="21"/>
  <c r="F26" i="21"/>
  <c r="D26" i="21"/>
  <c r="D27" i="21"/>
  <c r="B16" i="39"/>
  <c r="D16" i="39"/>
  <c r="B15" i="31"/>
  <c r="D15" i="31"/>
  <c r="B13" i="39"/>
  <c r="D13" i="39"/>
  <c r="N116" i="1"/>
  <c r="F111" i="1"/>
  <c r="F116" i="1"/>
  <c r="E128" i="1"/>
  <c r="E129" i="1"/>
  <c r="F112" i="1"/>
  <c r="L117" i="1"/>
  <c r="B14" i="31"/>
  <c r="D14" i="31"/>
  <c r="B14" i="39"/>
  <c r="D14" i="39"/>
  <c r="E14" i="39"/>
  <c r="G14" i="39"/>
  <c r="B15" i="34"/>
  <c r="D15" i="34"/>
  <c r="B12" i="39"/>
  <c r="D12" i="39"/>
  <c r="B12" i="31"/>
  <c r="D12" i="31"/>
  <c r="D17" i="39"/>
  <c r="D25" i="39"/>
  <c r="D31" i="39"/>
  <c r="J31" i="39"/>
  <c r="I31" i="39"/>
  <c r="D17" i="31"/>
  <c r="D24" i="31"/>
  <c r="D25" i="31"/>
  <c r="D26" i="39"/>
  <c r="D28" i="31"/>
  <c r="D30" i="31"/>
  <c r="D31" i="31"/>
  <c r="D33" i="31"/>
  <c r="D33" i="39"/>
  <c r="C38" i="39"/>
  <c r="B38" i="39"/>
  <c r="G28" i="31"/>
  <c r="F28" i="31"/>
  <c r="G31" i="31"/>
  <c r="F31" i="31"/>
  <c r="K78" i="1"/>
  <c r="K122" i="1"/>
  <c r="J33" i="39"/>
  <c r="I33" i="39"/>
  <c r="D34" i="39"/>
  <c r="D45" i="39"/>
  <c r="H45" i="39"/>
  <c r="G30" i="31"/>
  <c r="F30" i="31"/>
  <c r="J34" i="39"/>
  <c r="I34" i="39"/>
  <c r="K78" i="18"/>
  <c r="G9" i="23"/>
  <c r="K18" i="19"/>
  <c r="K42" i="19"/>
  <c r="K122" i="29"/>
  <c r="K122" i="22"/>
  <c r="K78" i="29"/>
  <c r="K122" i="28"/>
  <c r="E33" i="31"/>
  <c r="M68" i="16"/>
  <c r="M53" i="16"/>
  <c r="M45" i="16"/>
  <c r="M29" i="16"/>
  <c r="I5" i="26"/>
  <c r="M104" i="16"/>
  <c r="M88" i="16"/>
  <c r="M75" i="16"/>
  <c r="K78" i="30"/>
  <c r="G9" i="25"/>
  <c r="L18" i="24"/>
  <c r="L3" i="24"/>
  <c r="K122" i="18"/>
  <c r="H11" i="26"/>
  <c r="K78" i="28"/>
  <c r="N84" i="16"/>
  <c r="K122" i="30"/>
  <c r="M3" i="16"/>
  <c r="K78" i="22"/>
  <c r="E16" i="39"/>
  <c r="G16" i="39"/>
  <c r="G17" i="39"/>
  <c r="G25" i="39"/>
  <c r="B17" i="34"/>
  <c r="D17" i="34"/>
  <c r="D18" i="34"/>
  <c r="D25" i="34"/>
  <c r="D26" i="34"/>
  <c r="D29" i="34"/>
  <c r="D31" i="34"/>
  <c r="D32" i="34"/>
  <c r="G26" i="39"/>
  <c r="B37" i="39"/>
  <c r="B39" i="39"/>
  <c r="G31" i="39"/>
  <c r="G33" i="39"/>
  <c r="G34" i="39"/>
  <c r="C37" i="39"/>
  <c r="C39" i="39"/>
  <c r="B43" i="39"/>
  <c r="B42" i="39"/>
  <c r="B44" i="39"/>
</calcChain>
</file>

<file path=xl/comments1.xml><?xml version="1.0" encoding="utf-8"?>
<comments xmlns="http://schemas.openxmlformats.org/spreadsheetml/2006/main">
  <authors>
    <author>realdp2008@hotmail.com</author>
  </authors>
  <commentList>
    <comment ref="E19" authorId="0" shapeId="0">
      <text>
        <r>
          <rPr>
            <b/>
            <sz val="9"/>
            <color indexed="81"/>
            <rFont val="Segoe UI"/>
            <family val="2"/>
          </rPr>
          <t>http://www.dutramaquinas.com.br/produtos/varredora-de-piso-manual-com-producao-de-2-800-m-h-km70-20-15171010?gclid=CjwKEAjwi4yuBRDX_vq07YyF7l8SJAAhm0rpw9mcZkG0zOPy5KzARTMUgyvRz-3Aqbg6J1FwSHGPzhoCzdrw_wcB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<sst xmlns="http://schemas.openxmlformats.org/spreadsheetml/2006/main" count="2570" uniqueCount="574">
  <si>
    <t>Dados complementares para composição dos custos referente à mão-de-obra</t>
  </si>
  <si>
    <t>Tipo de serviço (mesmo serviço com características distintas)</t>
  </si>
  <si>
    <t>Salário normativo da categoria profissional</t>
  </si>
  <si>
    <t>Data base da categoria (dia/mês/ano)</t>
  </si>
  <si>
    <t>MÓDULO 1 - COMPOSIÇÃO DA REMUNERAÇÃO</t>
  </si>
  <si>
    <t>Composição da Remuneração</t>
  </si>
  <si>
    <t>Valor (R$)</t>
  </si>
  <si>
    <t>A</t>
  </si>
  <si>
    <t>Salário Base</t>
  </si>
  <si>
    <t>B</t>
  </si>
  <si>
    <t>Adicional de periculosidade</t>
  </si>
  <si>
    <t>C</t>
  </si>
  <si>
    <t>Adicional de insalubridade</t>
  </si>
  <si>
    <t>D</t>
  </si>
  <si>
    <t>Adicional noturno</t>
  </si>
  <si>
    <t>E</t>
  </si>
  <si>
    <t>Hora noturna adicional</t>
  </si>
  <si>
    <t>F</t>
  </si>
  <si>
    <t>Adicional de hora extra</t>
  </si>
  <si>
    <t>G</t>
  </si>
  <si>
    <t>H</t>
  </si>
  <si>
    <t>Outros (especificar)</t>
  </si>
  <si>
    <t>Total da Remuneração</t>
  </si>
  <si>
    <t>MÓDULO 2 - BENEFÍCIOS MENSAIS E DIÁRIOS</t>
  </si>
  <si>
    <t>Benefícios Mensais e Diários</t>
  </si>
  <si>
    <t>Assistência médica e familiar</t>
  </si>
  <si>
    <t>Total de benefícios mensais e diários</t>
  </si>
  <si>
    <t>Insumos diversos</t>
  </si>
  <si>
    <t>Uniformes</t>
  </si>
  <si>
    <t>Total de Insumos Diversos:</t>
  </si>
  <si>
    <t>MÓDULO 4 - ENCARGOS SOCIAIS E TRABALHISTAS</t>
  </si>
  <si>
    <t>4.1</t>
  </si>
  <si>
    <t>Encargos previdenciários e FGTS</t>
  </si>
  <si>
    <t>%</t>
  </si>
  <si>
    <t>INSS</t>
  </si>
  <si>
    <t>SESI OU SESC</t>
  </si>
  <si>
    <t>SENAI OU SENAC</t>
  </si>
  <si>
    <t>INCRA</t>
  </si>
  <si>
    <t>Salário Educação</t>
  </si>
  <si>
    <t>FGTS</t>
  </si>
  <si>
    <t>SEBRAE</t>
  </si>
  <si>
    <t>Total</t>
  </si>
  <si>
    <t>4.2</t>
  </si>
  <si>
    <t>13º Salário</t>
  </si>
  <si>
    <t>Subtotal</t>
  </si>
  <si>
    <t>Submódulo 4.3 - Afastamento Maternidade</t>
  </si>
  <si>
    <t>4.3</t>
  </si>
  <si>
    <t>Afastamento Maternidade</t>
  </si>
  <si>
    <t>Incidência do submódulo 4.1 sobre afastamento maternidade</t>
  </si>
  <si>
    <t>4.4</t>
  </si>
  <si>
    <t>Provisão para Rescisão</t>
  </si>
  <si>
    <t>Aviso prévio indenizado</t>
  </si>
  <si>
    <t>Aviso prévio trabalhado</t>
  </si>
  <si>
    <t>Incidência do submódulo 4.1 s/aviso prévio trabalhado</t>
  </si>
  <si>
    <t>Total:</t>
  </si>
  <si>
    <t>Submódulo 4.5 - Custo de Reposição do Profissional Ausente</t>
  </si>
  <si>
    <t>4.5</t>
  </si>
  <si>
    <t>Composição do custo de Reposição do Profissional Ausente</t>
  </si>
  <si>
    <t>Ausência por doença</t>
  </si>
  <si>
    <t>Licença paternidade</t>
  </si>
  <si>
    <t>Ausências legais</t>
  </si>
  <si>
    <t>Ausência por acidente de trabalho</t>
  </si>
  <si>
    <t>Incidência do submódulo 4.1 sobre o Custo de Reposição</t>
  </si>
  <si>
    <t>QUADRO RESUMO - MÓDULO 4: ENCARGOS SOCIAIS E TRABALHISTAS</t>
  </si>
  <si>
    <t>Módulo 4 - Encargos Sociais e Trabalhistas</t>
  </si>
  <si>
    <t>Custo de Rescisão</t>
  </si>
  <si>
    <t>Custo de Reposição do Profissional Ausente</t>
  </si>
  <si>
    <t>4.6</t>
  </si>
  <si>
    <t>Outros (Especificar)</t>
  </si>
  <si>
    <t>MÓDULO 5 - CUSTOS INDIRETOS, TRIBUTOS E LUCRO</t>
  </si>
  <si>
    <t>Custos Indiretos, Tributos e Lucro</t>
  </si>
  <si>
    <t>Custos Indiretos</t>
  </si>
  <si>
    <t>Tributos</t>
  </si>
  <si>
    <r>
      <t xml:space="preserve">Nota(1): </t>
    </r>
    <r>
      <rPr>
        <sz val="11.5"/>
        <color indexed="8"/>
        <rFont val="Times New Roman"/>
        <family val="1"/>
      </rPr>
      <t>Custos indiretos, tributos e lucro por empregado.</t>
    </r>
  </si>
  <si>
    <r>
      <t xml:space="preserve">Nota(2): </t>
    </r>
    <r>
      <rPr>
        <sz val="11.5"/>
        <color indexed="8"/>
        <rFont val="Times New Roman"/>
        <family val="1"/>
      </rPr>
      <t>O valor referente a tributos é obtido aplicando-se o percentual sobre o valor do faturamento.</t>
    </r>
  </si>
  <si>
    <t>Quadro-resumo do Custo por empregado – (Valor por empregado)</t>
  </si>
  <si>
    <t>Mão-de-Obra vinculada à execução contratual (valor por empregado)</t>
  </si>
  <si>
    <t>(R$)</t>
  </si>
  <si>
    <t>Módulo 1 - Composição da Remuneração</t>
  </si>
  <si>
    <t>Módulo 2 - Benefícios Mensais e Diários</t>
  </si>
  <si>
    <t>Módulo 3 - Insumos Diversos (uniformes, materiais, equipamentos e outros).</t>
  </si>
  <si>
    <t>Subtotal (A + B + C + D):</t>
  </si>
  <si>
    <t>Módulo 5 - Custos Indiretos, Tributos e Lucro</t>
  </si>
  <si>
    <t>Valor total por empregado:</t>
  </si>
  <si>
    <t xml:space="preserve">Licitação nº </t>
  </si>
  <si>
    <t>Discriminação dos Serviços (dados referentes à contratação)</t>
  </si>
  <si>
    <t>Município/UF</t>
  </si>
  <si>
    <t>Brasília/DF</t>
  </si>
  <si>
    <t>Nº de meses de execução contratual</t>
  </si>
  <si>
    <t>12 meses</t>
  </si>
  <si>
    <t>Identificação do Serviço</t>
  </si>
  <si>
    <t>Tipo de Serviço</t>
  </si>
  <si>
    <t>Unidade de Medida</t>
  </si>
  <si>
    <t>Quantidade (total) a contratar (em função da unidade de medida)</t>
  </si>
  <si>
    <t>Auxílio Creche</t>
  </si>
  <si>
    <t>Submódulo 4.1 - Encargos previdenciários, FGTS e outras contribuições</t>
  </si>
  <si>
    <t>Submódulo 4.2 - 13º (décimo terceiro) Salário</t>
  </si>
  <si>
    <t>Incidência do Submódulo 4.1 sobre 13º (décimo terceiro) Salário</t>
  </si>
  <si>
    <t>Multa do FGTS e contribuições sociais s/aviso prévio indenizado</t>
  </si>
  <si>
    <t>Multa FGTS  e contribuições sociais do aviso prévio trabalhado</t>
  </si>
  <si>
    <t>Item</t>
  </si>
  <si>
    <t>Especificação</t>
  </si>
  <si>
    <t>Submódulo 4.4 – Provisão para Rescisão</t>
  </si>
  <si>
    <t>Galão</t>
  </si>
  <si>
    <t>Par</t>
  </si>
  <si>
    <t>SERVENTE</t>
  </si>
  <si>
    <t>Servente</t>
  </si>
  <si>
    <t>PRODUTIVIDADE</t>
  </si>
  <si>
    <t>Encarregado</t>
  </si>
  <si>
    <t>TOTAL</t>
  </si>
  <si>
    <t>ÁREA EXTERNA</t>
  </si>
  <si>
    <t>ESQUADRIAS - FACE INTERNA</t>
  </si>
  <si>
    <t>Nº Processo: 48000.00855/2015-51</t>
  </si>
  <si>
    <t>Pregão Eletrônico nº 19/2015</t>
  </si>
  <si>
    <t>Dia 11/08/2015  às 10 horas</t>
  </si>
  <si>
    <t>Data da apresentação da proposta</t>
  </si>
  <si>
    <t>CONVENÇÃO COLETIVA DE TRABALHO 2015/SEAC SINDISERVIÇOS</t>
  </si>
  <si>
    <t>2015/2015</t>
  </si>
  <si>
    <t>Categoria profissional (44 hs/semanais)</t>
  </si>
  <si>
    <t>Seguro de vida, invalidez e funeral (CCT Cláusula 17º)</t>
  </si>
  <si>
    <t>Salário Família</t>
  </si>
  <si>
    <t>Assistência Odontológica (Cláusula 18ª)</t>
  </si>
  <si>
    <t>MÓDULO 3 - INSUMOS DIVERSOS</t>
  </si>
  <si>
    <t>Ferramentas/Equipamentos</t>
  </si>
  <si>
    <t xml:space="preserve">Seguro acidente do trabalho </t>
  </si>
  <si>
    <t>13º Salário  e Adicional de Férias</t>
  </si>
  <si>
    <t>Adicional de Férias</t>
  </si>
  <si>
    <t>Afastamento Maternidade (0,074)</t>
  </si>
  <si>
    <t xml:space="preserve">Encargos Previdênciários, FGTS </t>
  </si>
  <si>
    <t>13º (décimo terceiro) Salário + Adicional de Férias</t>
  </si>
  <si>
    <r>
      <t xml:space="preserve">B.2  Tributos Estaduais - </t>
    </r>
    <r>
      <rPr>
        <b/>
        <sz val="11.5"/>
        <color indexed="8"/>
        <rFont val="Times New Roman"/>
        <family val="1"/>
      </rPr>
      <t>ISS (5%)</t>
    </r>
  </si>
  <si>
    <r>
      <t xml:space="preserve">B.1 Tributos Federais </t>
    </r>
    <r>
      <rPr>
        <b/>
        <sz val="11.5"/>
        <color indexed="8"/>
        <rFont val="Times New Roman"/>
        <family val="1"/>
      </rPr>
      <t>PIS (1,65) + CONFINS (7,60%)</t>
    </r>
  </si>
  <si>
    <t>B.3 Tributso Municipais (especificar)</t>
  </si>
  <si>
    <t>B.4 Outros Tributos (especificar)</t>
  </si>
  <si>
    <t>Lucro (8.65%) - Estudo TCU - TC 025.990/2008-2</t>
  </si>
  <si>
    <t xml:space="preserve">Anexo III – B </t>
  </si>
  <si>
    <t>Edifício Sede</t>
  </si>
  <si>
    <t>Áreas de Piso m2</t>
  </si>
  <si>
    <t>Interna I</t>
  </si>
  <si>
    <t>Interna II</t>
  </si>
  <si>
    <t>Externa</t>
  </si>
  <si>
    <t>Esquadria Externa Face Interna e Externa</t>
  </si>
  <si>
    <t>Fachada envidraçada - Face Externa</t>
  </si>
  <si>
    <t>Brises</t>
  </si>
  <si>
    <t>Fachada envidraçada Face Externa</t>
  </si>
  <si>
    <t>Esquadrias Face Interna</t>
  </si>
  <si>
    <t>ÁREA m2 (EDITAL)</t>
  </si>
  <si>
    <t>Cálculo de nº de Encarregados e Serventes com base na IN nº 02/2008</t>
  </si>
  <si>
    <t>ÁREAS</t>
  </si>
  <si>
    <t>CÁLCULO</t>
  </si>
  <si>
    <t>Fachada envidraçada - Face externa</t>
  </si>
  <si>
    <t>Nº Adotado</t>
  </si>
  <si>
    <t>SOMA</t>
  </si>
  <si>
    <t>ADOTADO</t>
  </si>
  <si>
    <t>Área pavimentos tipo MME (T, 1º, 4º, 5º, 6º, 7º, 8º e 9º) - (a)</t>
  </si>
  <si>
    <t>Área 1º SS (1.412 m²- Restaurante - Reprografia/Mtur)  (b)</t>
  </si>
  <si>
    <t xml:space="preserve">Área 2º SS (1.412 m²- áreas MTur)  (c) </t>
  </si>
  <si>
    <t>Área Adminstrativa da Garagem (4.196,05 m² - Piso rustico)  (d)</t>
  </si>
  <si>
    <t xml:space="preserve">Área Mezanino Engemil  e Limpeza (e) </t>
  </si>
  <si>
    <t>Área Mezanino Almoxarifado MME (f)</t>
  </si>
  <si>
    <t>Área Centro de Treinamento (g)</t>
  </si>
  <si>
    <t xml:space="preserve"> Sub Total = (a)+(b)+(c)+(d)+(e)+(f)+(g)</t>
  </si>
  <si>
    <t>Descontos de outras áreas de ambientes ocupados pelo Mtur (Protocolo, Transporte, Almoxarife, Mezanino)</t>
  </si>
  <si>
    <t>Área lavável do pavimento tipo ( 1.412m2) (a)</t>
  </si>
  <si>
    <t>Cálculo</t>
  </si>
  <si>
    <t>Área de Estacionamneto da Garagem (4.196,05 - 1722 m²)  (d)</t>
  </si>
  <si>
    <t>Área Calçadas/canteiros  (g)</t>
  </si>
  <si>
    <t>Área Gramados - lado oeste (h)</t>
  </si>
  <si>
    <t>Área Estacionamento Norte (i)</t>
  </si>
  <si>
    <t>Área Estacionamento N-2 (j)</t>
  </si>
  <si>
    <t>Área Rampa de acesso a Garagem (k)</t>
  </si>
  <si>
    <t xml:space="preserve">Área Cobertura (l) </t>
  </si>
  <si>
    <t xml:space="preserve"> Sub Total = (g)+(h)+(i)+(j)+(k)+(l) </t>
  </si>
  <si>
    <r>
      <t>1 Servente/1200</t>
    </r>
    <r>
      <rPr>
        <sz val="11"/>
        <rFont val="Times New Roman"/>
        <family val="1"/>
      </rPr>
      <t>m2/1 dia (8hs)</t>
    </r>
  </si>
  <si>
    <r>
      <t>1 Servente/6000</t>
    </r>
    <r>
      <rPr>
        <sz val="11"/>
        <rFont val="Times New Roman"/>
        <family val="1"/>
      </rPr>
      <t>m2/1 dia (8hs)</t>
    </r>
  </si>
  <si>
    <r>
      <t>1 Servente/220</t>
    </r>
    <r>
      <rPr>
        <sz val="11"/>
        <rFont val="Times New Roman"/>
        <family val="1"/>
      </rPr>
      <t>m2/15 dias (8hs)</t>
    </r>
  </si>
  <si>
    <r>
      <t>1 Servente/110</t>
    </r>
    <r>
      <rPr>
        <sz val="11"/>
        <rFont val="Times New Roman"/>
        <family val="1"/>
      </rPr>
      <t>m2/180 dias (8hs)</t>
    </r>
  </si>
  <si>
    <t>Área Interna - II Produtividade: servente/1.200ME - Piso rústico da Garagem</t>
  </si>
  <si>
    <t>Área Externa - Produtividade 1 servente/6.000m2</t>
  </si>
  <si>
    <t>Esquadrias/Face interna [(T, 1º, 4º, 5º, 6º, 7º, 8º e 9º)=8x(3x102)x2] + [(1ºSS  e 2ºSS)=2x(1x102)x2]</t>
  </si>
  <si>
    <t>Esquadrias - Face Interna</t>
  </si>
  <si>
    <t>Fachada Envidraçada - Face Externa</t>
  </si>
  <si>
    <t>Fachadas Leste e Oeste Envidraçada - Face Externa 2x(37,20 x 102,79)</t>
  </si>
  <si>
    <t>Esquadrias/Brises (externa)= 10x2,79x102,19</t>
  </si>
  <si>
    <t xml:space="preserve">Fachadas Cerâmicas Norte e Sul (102,69 x 17,58 m) </t>
  </si>
  <si>
    <t>Soma</t>
  </si>
  <si>
    <r>
      <t xml:space="preserve">  PLANLHA DE SERVIÇOS DE LIMPEZA E CONSERVAÇÃO EXECUTADOS DE FORMA CONTÍNUA NO ED. SEDE DO MME - </t>
    </r>
    <r>
      <rPr>
        <b/>
        <u/>
        <sz val="11"/>
        <color indexed="8"/>
        <rFont val="Times New Roman"/>
        <family val="1"/>
      </rPr>
      <t>LEVANTAMENTO DE ÁREAS</t>
    </r>
    <r>
      <rPr>
        <b/>
        <sz val="11"/>
        <color indexed="8"/>
        <rFont val="Times New Roman"/>
        <family val="1"/>
      </rPr>
      <t xml:space="preserve"> </t>
    </r>
  </si>
  <si>
    <t>ÁREA INTERNA I - Pisos laváveis e acarpertados</t>
  </si>
  <si>
    <t>Mão-de--obra</t>
  </si>
  <si>
    <t>Produtividade (1/m2</t>
  </si>
  <si>
    <t>Preço Homem Mês (R$)</t>
  </si>
  <si>
    <t>ÁREA INTERNA II - Pisos RÚSTICOS Garagem e 3º SS</t>
  </si>
  <si>
    <r>
      <t>1/(1200</t>
    </r>
    <r>
      <rPr>
        <sz val="11"/>
        <color indexed="10"/>
        <rFont val="Calibri"/>
        <family val="2"/>
      </rPr>
      <t>)</t>
    </r>
  </si>
  <si>
    <t>Não-de-Obra</t>
  </si>
  <si>
    <t>Produtividade (1/m2)               (a)</t>
  </si>
  <si>
    <t>Jornada de Trabalho mês (hopras)                (c )</t>
  </si>
  <si>
    <t>Frequência no mês (horas                             (b)</t>
  </si>
  <si>
    <t>Ki                           (d)=(a)x(b)x(c )</t>
  </si>
  <si>
    <t>Subtotal (R$/M2)</t>
  </si>
  <si>
    <t>1/(4x110)</t>
  </si>
  <si>
    <t>1/110</t>
  </si>
  <si>
    <t>1/1.148,4</t>
  </si>
  <si>
    <r>
      <t>1/(30x1.200</t>
    </r>
    <r>
      <rPr>
        <sz val="11"/>
        <color indexed="10"/>
        <rFont val="Calibri"/>
        <family val="2"/>
      </rPr>
      <t>)</t>
    </r>
  </si>
  <si>
    <t>JAUZEIRO</t>
  </si>
  <si>
    <t>POSTO</t>
  </si>
  <si>
    <t>1 (um)</t>
  </si>
  <si>
    <t>CATEGORIA PROFISSIONAL</t>
  </si>
  <si>
    <t>TIPO DE UNIFORME</t>
  </si>
  <si>
    <t>UNID</t>
  </si>
  <si>
    <t>LAVADOR DE AUTO</t>
  </si>
  <si>
    <t>JARDINEIRO</t>
  </si>
  <si>
    <t>MATERIAL DE LIMPEZA</t>
  </si>
  <si>
    <t xml:space="preserve">Material </t>
  </si>
  <si>
    <t>Und.</t>
  </si>
  <si>
    <t>R$ Unit.</t>
  </si>
  <si>
    <t>Quant. Mensal</t>
  </si>
  <si>
    <t xml:space="preserve">R$ Total </t>
  </si>
  <si>
    <t>L</t>
  </si>
  <si>
    <t>Un</t>
  </si>
  <si>
    <t>Disco natural blend pêlo de porco 510</t>
  </si>
  <si>
    <t>Disco polidor branco 350</t>
  </si>
  <si>
    <t>Disco polidor branco 410</t>
  </si>
  <si>
    <t>Disco polidor branco 510</t>
  </si>
  <si>
    <t>Disco removedor preto 350</t>
  </si>
  <si>
    <t>Disco removedor preto 410</t>
  </si>
  <si>
    <t>Disco removedor preto 510</t>
  </si>
  <si>
    <t>Disco removedor verde 410</t>
  </si>
  <si>
    <t>Disco removedor verde 510</t>
  </si>
  <si>
    <t>Pc</t>
  </si>
  <si>
    <t>Máscara respiratória PFF1 ksn sem válvula, cor azul. Apresentar na embalagem o C.A - Certificado de Aprovação emitido pelo Ministério do Trabalho.</t>
  </si>
  <si>
    <t>Cx</t>
  </si>
  <si>
    <t>Ouropel</t>
  </si>
  <si>
    <t>un</t>
  </si>
  <si>
    <t>kg</t>
  </si>
  <si>
    <t>Suporte lixa com flange 350</t>
  </si>
  <si>
    <t>Suporte lixa com flange 410</t>
  </si>
  <si>
    <t>Suporte lixa com flange 510</t>
  </si>
  <si>
    <t>Total de materiais de limpeza</t>
  </si>
  <si>
    <t>MATERIAL DE JARDINAGEM</t>
  </si>
  <si>
    <r>
      <t>Adubo Orgânico</t>
    </r>
    <r>
      <rPr>
        <sz val="11"/>
        <color theme="1"/>
        <rFont val="Calibri"/>
        <family val="2"/>
        <scheme val="minor"/>
      </rPr>
      <t>, esterco fresco, sem curtir de bovino proveniente de propriedade que não usa herbicida na pastagem e nem na produção de capim de corte que alimenta os animais. Esterco sem torrões e sem pedra ou outro material diferente de esterco. Aplicação em jardim, com prazo de validade. Fornecimento de embalagem de 25 litros.</t>
    </r>
  </si>
  <si>
    <t>Saco</t>
  </si>
  <si>
    <r>
      <t>Adubo Químico</t>
    </r>
    <r>
      <rPr>
        <sz val="11"/>
        <color theme="1"/>
        <rFont val="Calibri"/>
        <family val="2"/>
        <scheme val="minor"/>
      </rPr>
      <t>, aspecto físico pó/granulado, cor branca, composição básica NPK (4.14.8). Fornecimento de embalagem de 50 kg</t>
    </r>
  </si>
  <si>
    <r>
      <t xml:space="preserve">Antúrio, </t>
    </r>
    <r>
      <rPr>
        <i/>
        <sz val="11"/>
        <color indexed="8"/>
        <rFont val="Calibri"/>
        <family val="2"/>
      </rPr>
      <t>Anthurium Sp</t>
    </r>
    <r>
      <rPr>
        <b/>
        <sz val="11"/>
        <color indexed="8"/>
        <rFont val="Calibri"/>
        <family val="2"/>
      </rPr>
      <t>,</t>
    </r>
    <r>
      <rPr>
        <sz val="11"/>
        <color theme="1"/>
        <rFont val="Calibri"/>
        <family val="2"/>
        <scheme val="minor"/>
      </rPr>
      <t xml:space="preserve"> na cor branca e vermelha, muda tamanho aproximada de  1,20m, plantada  em vasos de plásticos . Planta para área interna.</t>
    </r>
  </si>
  <si>
    <r>
      <t>Argila expandida</t>
    </r>
    <r>
      <rPr>
        <sz val="11"/>
        <color theme="1"/>
        <rFont val="Calibri"/>
        <family val="2"/>
        <scheme val="minor"/>
      </rPr>
      <t xml:space="preserve"> para forração. Fornecimento de embalagem de 50 litros</t>
    </r>
  </si>
  <si>
    <t>preço do KG R$8,99</t>
  </si>
  <si>
    <r>
      <t>Calcário filler dolomítico</t>
    </r>
    <r>
      <rPr>
        <sz val="11"/>
        <color theme="1"/>
        <rFont val="Calibri"/>
        <family val="2"/>
        <scheme val="minor"/>
      </rPr>
      <t>, aspecto físico pó, composição PRN mínimo de 90%. Fornecimento de embalagem de  25 kg.</t>
    </r>
  </si>
  <si>
    <r>
      <t>Cascas pinos</t>
    </r>
    <r>
      <rPr>
        <sz val="11"/>
        <color theme="1"/>
        <rFont val="Calibri"/>
        <family val="2"/>
        <scheme val="minor"/>
      </rPr>
      <t>, forração de jardim. Para uso em forração de jardim, e vasos. Fornecimento de embalagem de 15 litros.</t>
    </r>
  </si>
  <si>
    <r>
      <t xml:space="preserve">Dracena tricolor, </t>
    </r>
    <r>
      <rPr>
        <i/>
        <sz val="11"/>
        <color indexed="8"/>
        <rFont val="Calibri"/>
        <family val="2"/>
      </rPr>
      <t>Dracaena marginata,</t>
    </r>
    <r>
      <rPr>
        <sz val="11"/>
        <color theme="1"/>
        <rFont val="Calibri"/>
        <family val="2"/>
        <scheme val="minor"/>
      </rPr>
      <t xml:space="preserve"> muda tamanho aproximada de  1,20, plantada  em vasos de plásticos. Planta para área externa com sol.</t>
    </r>
  </si>
  <si>
    <r>
      <t>Dracena verde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indexed="8"/>
        <rFont val="Calibri"/>
        <family val="2"/>
      </rPr>
      <t>Dracaena fragans,</t>
    </r>
    <r>
      <rPr>
        <sz val="11"/>
        <color theme="1"/>
        <rFont val="Calibri"/>
        <family val="2"/>
        <scheme val="minor"/>
      </rPr>
      <t xml:space="preserve"> muda tamanho aproximada de  1,20m, plantada  em vasos de plásticos.  Planta para área externa com sol.</t>
    </r>
  </si>
  <si>
    <r>
      <t xml:space="preserve">Formicida isca granulada, </t>
    </r>
    <r>
      <rPr>
        <sz val="11"/>
        <color theme="1"/>
        <rFont val="Calibri"/>
        <family val="2"/>
        <scheme val="minor"/>
      </rPr>
      <t>veneno contra formigas, isca pacote 500 gr</t>
    </r>
  </si>
  <si>
    <r>
      <t xml:space="preserve">Grama tipo batatais, </t>
    </r>
    <r>
      <rPr>
        <sz val="11"/>
        <color theme="1"/>
        <rFont val="Calibri"/>
        <family val="2"/>
        <scheme val="minor"/>
      </rPr>
      <t>folhas estreitas, de cor verde claro, aplicação jardim residencial/público, características adicionais resistência pragas/ervas daninhas.</t>
    </r>
  </si>
  <si>
    <t>M²</t>
  </si>
  <si>
    <r>
      <t xml:space="preserve">Herbácea Liriope Muscari, </t>
    </r>
    <r>
      <rPr>
        <sz val="11"/>
        <color theme="1"/>
        <rFont val="Calibri"/>
        <family val="2"/>
        <scheme val="minor"/>
      </rPr>
      <t>mudas em saquinhos.</t>
    </r>
  </si>
  <si>
    <r>
      <t xml:space="preserve">Herbácea Trandescantia Zebrina, </t>
    </r>
    <r>
      <rPr>
        <sz val="11"/>
        <color theme="1"/>
        <rFont val="Calibri"/>
        <family val="2"/>
        <scheme val="minor"/>
      </rPr>
      <t>mudas em saquinhos.</t>
    </r>
  </si>
  <si>
    <r>
      <t>Mata mato-</t>
    </r>
    <r>
      <rPr>
        <sz val="11"/>
        <color theme="1"/>
        <rFont val="Calibri"/>
        <family val="2"/>
        <scheme val="minor"/>
      </rPr>
      <t xml:space="preserve"> Glifosato, para controle de ervas daninhas. Fornecimento embalagem de 1 litro</t>
    </r>
  </si>
  <si>
    <r>
      <t>Palmeira Chamaedorea,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indexed="8"/>
        <rFont val="Calibri"/>
        <family val="2"/>
      </rPr>
      <t xml:space="preserve">Chamaedorea elegans, </t>
    </r>
    <r>
      <rPr>
        <sz val="11"/>
        <color theme="1"/>
        <rFont val="Calibri"/>
        <family val="2"/>
        <scheme val="minor"/>
      </rPr>
      <t>muda tamanho aproximada de  1,20m, plantada  em vasos de plásticos. Planta para área interna.</t>
    </r>
  </si>
  <si>
    <r>
      <t>Palmeira Rafis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indexed="8"/>
        <rFont val="Calibri"/>
        <family val="2"/>
      </rPr>
      <t xml:space="preserve">Rafis excelso, </t>
    </r>
    <r>
      <rPr>
        <sz val="11"/>
        <color theme="1"/>
        <rFont val="Calibri"/>
        <family val="2"/>
        <scheme val="minor"/>
      </rPr>
      <t>muda tamanho aproximada de 1,20m, plantada  em vasos de plásticos. Planta para área interna.</t>
    </r>
  </si>
  <si>
    <r>
      <t>Pata de elefante,</t>
    </r>
    <r>
      <rPr>
        <i/>
        <sz val="11"/>
        <color indexed="8"/>
        <rFont val="Calibri"/>
        <family val="2"/>
      </rPr>
      <t xml:space="preserve"> Beaucarnea recurvata, </t>
    </r>
    <r>
      <rPr>
        <sz val="11"/>
        <color theme="1"/>
        <rFont val="Calibri"/>
        <family val="2"/>
        <scheme val="minor"/>
      </rPr>
      <t xml:space="preserve"> muda tamanho aproximada de 1,20m plantada  em vasos de plásticos. Planta para área externa com sol.</t>
    </r>
  </si>
  <si>
    <r>
      <t>Prato para vaso,</t>
    </r>
    <r>
      <rPr>
        <sz val="11"/>
        <color theme="1"/>
        <rFont val="Calibri"/>
        <family val="2"/>
        <scheme val="minor"/>
      </rPr>
      <t xml:space="preserve"> em plástico preto, redondo, tamanho nº 11. Marca: Pó de fumo/Vitaplan, ou similar. Fornecimento de embalagem de 400 gramas</t>
    </r>
  </si>
  <si>
    <r>
      <t>Repelente natural pó de fumo,</t>
    </r>
    <r>
      <rPr>
        <sz val="11"/>
        <color theme="1"/>
        <rFont val="Calibri"/>
        <family val="2"/>
        <scheme val="minor"/>
      </rPr>
      <t xml:space="preserve"> para controle e prevenção de pragas.</t>
    </r>
  </si>
  <si>
    <r>
      <t>Seixo Branco -</t>
    </r>
    <r>
      <rPr>
        <sz val="11"/>
        <color theme="1"/>
        <rFont val="Calibri"/>
        <family val="2"/>
        <scheme val="minor"/>
      </rPr>
      <t xml:space="preserve"> De mármore rolado branco, rolado artificialmente. Para aplicação em forração de jardim, vasos e cachepôs. Fornecimento de embalagem de 15 kg,  nº 2.</t>
    </r>
  </si>
  <si>
    <r>
      <t>Separador de Grama</t>
    </r>
    <r>
      <rPr>
        <sz val="11"/>
        <color theme="1"/>
        <rFont val="Calibri"/>
        <family val="2"/>
        <scheme val="minor"/>
      </rPr>
      <t xml:space="preserve">, em poliuretano moldado reciclada, resistente e flexível, que permite moldar qualquer canteiro. </t>
    </r>
    <r>
      <rPr>
        <b/>
        <sz val="11"/>
        <color indexed="8"/>
        <rFont val="Calibri"/>
        <family val="2"/>
      </rPr>
      <t>Tamanho:</t>
    </r>
    <r>
      <rPr>
        <sz val="11"/>
        <color theme="1"/>
        <rFont val="Calibri"/>
        <family val="2"/>
        <scheme val="minor"/>
      </rPr>
      <t xml:space="preserve"> 5000 x 13 x 1,5 cm Fornecimento rolo com 50m na cor Verde, sem borda.</t>
    </r>
  </si>
  <si>
    <t>Rolo</t>
  </si>
  <si>
    <r>
      <t>Terra preta adubada</t>
    </r>
    <r>
      <rPr>
        <sz val="11"/>
        <color theme="1"/>
        <rFont val="Calibri"/>
        <family val="2"/>
        <scheme val="minor"/>
      </rPr>
      <t>. Terra vegetal, aplicação em plantas ornamentais, ingredientes matéria orgânica, dosagem terra preta- 70 per, adicionada ao esterco, esterilizada, atóxica e sem cheiro. Fornecimento embalagem de 25 kg.</t>
    </r>
  </si>
  <si>
    <r>
      <t>Terra vegetal vermelha</t>
    </r>
    <r>
      <rPr>
        <sz val="11"/>
        <color theme="1"/>
        <rFont val="Calibri"/>
        <family val="2"/>
        <scheme val="minor"/>
      </rPr>
      <t>, para plantio e capeamento de gramados, (não de subsolo) isenta de pedras, torrões, pragas, sementes e materiais estranhos. Fornecimento M³.</t>
    </r>
  </si>
  <si>
    <t>M³</t>
  </si>
  <si>
    <r>
      <t xml:space="preserve">Vaso cerâmica vitrificada, </t>
    </r>
    <r>
      <rPr>
        <sz val="11"/>
        <color theme="1"/>
        <rFont val="Calibri"/>
        <family val="2"/>
        <scheme val="minor"/>
      </rPr>
      <t>no acabamento externo, cor a definir</t>
    </r>
    <r>
      <rPr>
        <b/>
        <sz val="11"/>
        <color indexed="8"/>
        <rFont val="Calibri"/>
        <family val="2"/>
      </rPr>
      <t>,</t>
    </r>
    <r>
      <rPr>
        <sz val="11"/>
        <color theme="1"/>
        <rFont val="Calibri"/>
        <family val="2"/>
        <scheme val="minor"/>
      </rPr>
      <t xml:space="preserve"> com quatro rodízios de silicone acopladas para facilitar o deslocamento do vaso e aguentar mais de 80kg. Medida aproximadas: 40x40x46 (comprimento x largura x altura)</t>
    </r>
  </si>
  <si>
    <r>
      <t>Vaso plástico redondo</t>
    </r>
    <r>
      <rPr>
        <sz val="11"/>
        <color theme="1"/>
        <rFont val="Calibri"/>
        <family val="2"/>
        <scheme val="minor"/>
      </rPr>
      <t>, preto, para mudas</t>
    </r>
    <r>
      <rPr>
        <b/>
        <sz val="11"/>
        <color indexed="8"/>
        <rFont val="Calibri"/>
        <family val="2"/>
      </rPr>
      <t>.</t>
    </r>
    <r>
      <rPr>
        <sz val="11"/>
        <color theme="1"/>
        <rFont val="Calibri"/>
        <family val="2"/>
        <scheme val="minor"/>
      </rPr>
      <t xml:space="preserve"> Medidas aproximadas:</t>
    </r>
    <r>
      <rPr>
        <b/>
        <sz val="11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31x26x21cm (boca x altura x base).</t>
    </r>
  </si>
  <si>
    <t xml:space="preserve">Total Jardinagem </t>
  </si>
  <si>
    <t>JAUZEIROS (02 TRABALHADORES)</t>
  </si>
  <si>
    <t>Descrição</t>
  </si>
  <si>
    <t xml:space="preserve">Quant. Anual </t>
  </si>
  <si>
    <t>R$ Total</t>
  </si>
  <si>
    <t>M</t>
  </si>
  <si>
    <t xml:space="preserve">Rolo </t>
  </si>
  <si>
    <t xml:space="preserve">Valor Total Anual </t>
  </si>
  <si>
    <t xml:space="preserve">Valor Total Mensal </t>
  </si>
  <si>
    <t>Valor total Mensal p/ empregado</t>
  </si>
  <si>
    <t>EQUIPAMENTO LIMPEZA</t>
  </si>
  <si>
    <t>Unid.</t>
  </si>
  <si>
    <t>Quant.</t>
  </si>
  <si>
    <r>
      <t xml:space="preserve">Diluidor para líquidos concentrados - DHD 03, </t>
    </r>
    <r>
      <rPr>
        <sz val="11"/>
        <color indexed="8"/>
        <rFont val="Calibri"/>
        <family val="2"/>
      </rPr>
      <t>sistema de diluição do tipo venturi, dilui produto concentrado deixando-o para uso, sendo necessário apenas o acionamento da vávula de diluição. Para diluição de três produtos respectivamente.Modelo Tron/Renko ou similar.</t>
    </r>
  </si>
  <si>
    <r>
      <t xml:space="preserve">Relógio de Ponto eletrônico Prisma Super Fácil R02 – com leitora Biométria, </t>
    </r>
    <r>
      <rPr>
        <sz val="11"/>
        <color indexed="8"/>
        <rFont val="Calibri"/>
        <family val="2"/>
      </rPr>
      <t>incluso software para controle do ponto, treinamento, instalação, configuração do equipamento e bobina de papel. Homologado pelo Ministério do Trabalho e Emprego, segundo normas da Portaria 1510/2009.Marca: Henry ou similar.</t>
    </r>
  </si>
  <si>
    <t>Aspirador de água e pó. Marca: Electrolux GT3000 Pro 1300 W) ou similar</t>
  </si>
  <si>
    <t>Aspirador de pó com filtro de água, Sistema de Higienização de Ambientes e Purificação do Ar VIVENSO EXCLUSIV. Com Extratora – SEK. Marca: Pró-Áqua ou similar.</t>
  </si>
  <si>
    <t>Carro funcional América com uma bolsa, comprimento: 116cm, largura: 57cm, altura: 100cm, Peso: 18kg</t>
  </si>
  <si>
    <t>Cavalete sinalização de piso molhado, em PVC, indicação de piso molhado, cor amarelo.</t>
  </si>
  <si>
    <t>Enceradeira industrial 350. Marca: Bandeirante ou similar.</t>
  </si>
  <si>
    <t>Enceradeira industrial 410.Marca: Bandeirante ou similar.</t>
  </si>
  <si>
    <t>Enceradeira industrial 510.Marca: Bandeirante ou similar.</t>
  </si>
  <si>
    <t>Escada extensiva em alumínio com 19 degraus</t>
  </si>
  <si>
    <t>Extensão elétrica completa, com 30 m cabo PP – 2 x 2.5 mm – com 3 tomadas de pólos mais terra.</t>
  </si>
  <si>
    <t>Polidora de pisos UHS Ultra High Speed, 1600 rpm.Marca:  Platinum UHS 1600/Plataforma ou similar.</t>
  </si>
  <si>
    <r>
      <t>Lavadora de alta pressão profissional,</t>
    </r>
    <r>
      <rPr>
        <sz val="11"/>
        <color indexed="8"/>
        <rFont val="Calibri"/>
        <family val="2"/>
      </rPr>
      <t xml:space="preserve"> HD 585, 1600 libras, 220 v, com alça e rodas para transporte.Modelo karcher ou similar.</t>
    </r>
  </si>
  <si>
    <t>EQUIPAMENTO JARDINAGEM</t>
  </si>
  <si>
    <r>
      <t>Carrinho de mão</t>
    </r>
    <r>
      <rPr>
        <sz val="11"/>
        <color indexed="8"/>
        <rFont val="Calibri"/>
        <family val="2"/>
      </rPr>
      <t>, caçamba metálica chapa 18, com capacidade para no mínimo 60 litros, roda em aro de disco e pneu com câmara de ar, braço com tubos inteiriços, cor preto. Marca: Tramontina ou similar.</t>
    </r>
  </si>
  <si>
    <r>
      <t>Enxada,</t>
    </r>
    <r>
      <rPr>
        <sz val="11"/>
        <color indexed="8"/>
        <rFont val="Calibri"/>
        <family val="2"/>
      </rPr>
      <t xml:space="preserve"> largura média 25 cm, com cabo. Marca: Tramontina ou similar.</t>
    </r>
  </si>
  <si>
    <r>
      <t>Esguicho para mangueira,</t>
    </r>
    <r>
      <rPr>
        <sz val="11"/>
        <color indexed="8"/>
        <rFont val="Calibri"/>
        <family val="2"/>
      </rPr>
      <t xml:space="preserve"> tipo pistola rosca ¾”, com jato regulável. Marca: Vonder ou similar.</t>
    </r>
  </si>
  <si>
    <r>
      <t xml:space="preserve">Espigão em metal,  </t>
    </r>
    <r>
      <rPr>
        <sz val="11"/>
        <color indexed="8"/>
        <rFont val="Calibri"/>
        <family val="2"/>
      </rPr>
      <t>para adaptar  mangueira de ¾.</t>
    </r>
  </si>
  <si>
    <r>
      <t>Facão</t>
    </r>
    <r>
      <rPr>
        <sz val="11"/>
        <color indexed="8"/>
        <rFont val="Calibri"/>
        <family val="2"/>
      </rPr>
      <t xml:space="preserve"> para mato 20”, com cabo de madeira. Marca: Vonder ou similar.</t>
    </r>
  </si>
  <si>
    <r>
      <t>Lima</t>
    </r>
    <r>
      <rPr>
        <sz val="11"/>
        <color indexed="8"/>
        <rFont val="Calibri"/>
        <family val="2"/>
      </rPr>
      <t xml:space="preserve"> para amolar enxada.Marca: Stareett ou similar.</t>
    </r>
  </si>
  <si>
    <r>
      <t xml:space="preserve">Mangueira ¾” trançada em duas camadas, </t>
    </r>
    <r>
      <rPr>
        <sz val="11"/>
        <color indexed="23"/>
        <rFont val="Calibri"/>
        <family val="2"/>
      </rPr>
      <t xml:space="preserve"> </t>
    </r>
    <r>
      <rPr>
        <sz val="11"/>
        <color indexed="8"/>
        <rFont val="Calibri"/>
        <family val="2"/>
      </rPr>
      <t>uma camada interna de PVC, com diâmetro ¾” x 2,6 mm, rolo com 50 metros.</t>
    </r>
  </si>
  <si>
    <r>
      <t>Pá de bico,</t>
    </r>
    <r>
      <rPr>
        <sz val="11"/>
        <color indexed="8"/>
        <rFont val="Calibri"/>
        <family val="2"/>
      </rPr>
      <t xml:space="preserve"> com cabo. Marca: Tramontina ou similar.</t>
    </r>
  </si>
  <si>
    <r>
      <t>Pulverizador compressão prévia,</t>
    </r>
    <r>
      <rPr>
        <sz val="11"/>
        <color indexed="8"/>
        <rFont val="Calibri"/>
        <family val="2"/>
      </rPr>
      <t xml:space="preserve"> capacidade 1,2 litros. Marca: Guarany ou similar.</t>
    </r>
  </si>
  <si>
    <r>
      <t>Pulverizador costal,</t>
    </r>
    <r>
      <rPr>
        <sz val="11"/>
        <color indexed="8"/>
        <rFont val="Calibri"/>
        <family val="2"/>
      </rPr>
      <t xml:space="preserve"> manual, de alavanca, amarelo, capacidade 10 litros. Marca: Guarany ou similar.</t>
    </r>
  </si>
  <si>
    <r>
      <t>Rastelo ancinho</t>
    </r>
    <r>
      <rPr>
        <sz val="11"/>
        <color indexed="8"/>
        <rFont val="Calibri"/>
        <family val="2"/>
      </rPr>
      <t>, ferro, 12 dentes,  com cabo. Marca: Tramontina ou similar.</t>
    </r>
  </si>
  <si>
    <r>
      <t>Regador de plástico</t>
    </r>
    <r>
      <rPr>
        <sz val="11"/>
        <color indexed="8"/>
        <rFont val="Calibri"/>
        <family val="2"/>
      </rPr>
      <t>, capacidade 20 litros. Marca: Eccofer ou similar.</t>
    </r>
  </si>
  <si>
    <t>Roçadeira a gasolina. Marca: FS 85 STIHL ou similar</t>
  </si>
  <si>
    <r>
      <t>Sacho coração,</t>
    </r>
    <r>
      <rPr>
        <sz val="11"/>
        <color indexed="8"/>
        <rFont val="Calibri"/>
        <family val="2"/>
      </rPr>
      <t xml:space="preserve"> com cabo de madeira de 43cm. </t>
    </r>
    <r>
      <rPr>
        <sz val="11"/>
        <color indexed="8"/>
        <rFont val="Calibri"/>
        <family val="2"/>
      </rPr>
      <t xml:space="preserve">Marca: </t>
    </r>
    <r>
      <rPr>
        <sz val="11"/>
        <color indexed="8"/>
        <rFont val="Calibri"/>
        <family val="2"/>
      </rPr>
      <t>Tramontina ou similar.</t>
    </r>
  </si>
  <si>
    <r>
      <t>Serrote curvo pequeno,</t>
    </r>
    <r>
      <rPr>
        <sz val="11"/>
        <color indexed="8"/>
        <rFont val="Calibri"/>
        <family val="2"/>
      </rPr>
      <t xml:space="preserve"> pequeno para podas de galhos. Marca: Tramontina ou similar.</t>
    </r>
  </si>
  <si>
    <r>
      <t>Tesoura pequena,</t>
    </r>
    <r>
      <rPr>
        <sz val="11"/>
        <color indexed="8"/>
        <rFont val="Calibri"/>
        <family val="2"/>
      </rPr>
      <t xml:space="preserve"> para podas. Marca: Tramontina ou similar.</t>
    </r>
  </si>
  <si>
    <r>
      <t>Varredeira de piso manual</t>
    </r>
    <r>
      <rPr>
        <sz val="11"/>
        <color indexed="8"/>
        <rFont val="Calibri"/>
        <family val="2"/>
      </rPr>
      <t>, 2 vassouras, modelo S 650  Marca: Kärcher ou similar</t>
    </r>
  </si>
  <si>
    <r>
      <t>Vassoura plástica verde,</t>
    </r>
    <r>
      <rPr>
        <sz val="11"/>
        <color indexed="8"/>
        <rFont val="Calibri"/>
        <family val="2"/>
      </rPr>
      <t xml:space="preserve"> para varredura de gramados, 22 dentes, com cabo.</t>
    </r>
  </si>
  <si>
    <t>VALOR ANUAL</t>
  </si>
  <si>
    <t>VALOR MENSAL</t>
  </si>
  <si>
    <t>VALOR MENSAL P/ EMPREGADO</t>
  </si>
  <si>
    <t>Item 11.2.5 do Edital</t>
  </si>
  <si>
    <t>E.S</t>
  </si>
  <si>
    <t>ENCARREGADO</t>
  </si>
  <si>
    <t>CARREGADOR</t>
  </si>
  <si>
    <r>
      <t>1/(30x6000</t>
    </r>
    <r>
      <rPr>
        <sz val="11"/>
        <color indexed="10"/>
        <rFont val="Calibri"/>
        <family val="2"/>
      </rPr>
      <t>)</t>
    </r>
  </si>
  <si>
    <r>
      <t>1/(6000</t>
    </r>
    <r>
      <rPr>
        <sz val="11"/>
        <color indexed="10"/>
        <rFont val="Calibri"/>
        <family val="2"/>
      </rPr>
      <t>)</t>
    </r>
  </si>
  <si>
    <t/>
  </si>
  <si>
    <t>ESQUADRIAS - FACE EXTERNA</t>
  </si>
  <si>
    <t>1/220</t>
  </si>
  <si>
    <t>1/(30x220)</t>
  </si>
  <si>
    <t>1/191,4</t>
  </si>
  <si>
    <t>A - POR ÁREA</t>
  </si>
  <si>
    <t>Tipo de Área</t>
  </si>
  <si>
    <t>Preço Mensal Unitário      (R$/M2)</t>
  </si>
  <si>
    <t>Área (M2)</t>
  </si>
  <si>
    <t>Subtotal (R$)</t>
  </si>
  <si>
    <t>ÁREA INTERNA I</t>
  </si>
  <si>
    <t>ÁREA INTERAN II</t>
  </si>
  <si>
    <t>ESQUADRIA - Face Interna</t>
  </si>
  <si>
    <t>FACHADA ENVIDRAÇADA - Face Externa</t>
  </si>
  <si>
    <t>Subtotal A</t>
  </si>
  <si>
    <t>MINISTÉRIO DE MINAS E ENERGIA</t>
  </si>
  <si>
    <t>B. POR CATEGORIA FUNCIONAL</t>
  </si>
  <si>
    <t>Categoria Funcional</t>
  </si>
  <si>
    <t>Quantidade</t>
  </si>
  <si>
    <t>Preço Unitário (R$)</t>
  </si>
  <si>
    <t>Preço Parcial</t>
  </si>
  <si>
    <t>Jardineiro</t>
  </si>
  <si>
    <t>Lavador de auto</t>
  </si>
  <si>
    <t>Carregador de Móveis</t>
  </si>
  <si>
    <t>Total Mensal (subtotal A + Subtotal B)</t>
  </si>
  <si>
    <t>VALOR ANUAL DOS SERVIÇOS - Mão de Obra</t>
  </si>
  <si>
    <t>VALOR MENSAL DA MÃO-DE-OBRA</t>
  </si>
  <si>
    <t>VALOR MENSAL DO MATERIAL</t>
  </si>
  <si>
    <r>
      <t>Água sanitária</t>
    </r>
    <r>
      <rPr>
        <sz val="9"/>
        <color indexed="8"/>
        <rFont val="Times New Roman"/>
        <family val="1"/>
      </rPr>
      <t>, composição hidróxido de sódio e água, princípio ativo hipoclorito de sódio 2,0% a 2,5% de cloro ativo. Normas técnicas: registros na ANVISA, INMETRO, Ministério da Saúde. Constar na embalagem do produto informações: composição, fabricante, número do lote, data de fabricação, validade, entre outras. Lacre inviolado. Fornecimento embalagem de 1 Litro. Marca: Kboa ou similar.</t>
    </r>
  </si>
  <si>
    <r>
      <t>Álcool gel refil</t>
    </r>
    <r>
      <rPr>
        <sz val="9"/>
        <color indexed="8"/>
        <rFont val="Times New Roman"/>
        <family val="1"/>
      </rPr>
      <t xml:space="preserve"> 70° GL, antiséptico, glicerinado com hidratante de Aloe Vera, para higienização das mãos. Refil especialmente desenvolvido para uso em saboneteiras. Normas técnicas: registros na ANVISA, INMETRO, Ministério da Saúde. Constar na embalagem do produto informações: composição, fabricante, número do lote, data de fabricação, validade, entre outras. Lacre inviolado. Fornecimento embalagem refil de 800 ml.</t>
    </r>
  </si>
  <si>
    <r>
      <t>Álcool</t>
    </r>
    <r>
      <rPr>
        <sz val="9"/>
        <color indexed="8"/>
        <rFont val="Times New Roman"/>
        <family val="1"/>
      </rPr>
      <t>, etílico hidratado 70 INPM, baixo teor de acidez e aldeídos, indicado especialmente para limpeza de superfícies. Normas técnicas: registro no INMETRO, Ministério da Saúde.  Constar na embalagem do produto informações: composição, fabricante, número do lote, data de fabricação, validade, entre outras. Lacre inviolado. Fornecimento embalagem de 1 Litro.</t>
    </r>
  </si>
  <si>
    <r>
      <t>Balde,</t>
    </r>
    <r>
      <rPr>
        <sz val="9"/>
        <color indexed="8"/>
        <rFont val="Times New Roman"/>
        <family val="1"/>
      </rPr>
      <t xml:space="preserve"> em Polipropileno, para uso geral, capacidade de 08 litros, com alça de metal de alta resistência.</t>
    </r>
  </si>
  <si>
    <r>
      <t>Balde,</t>
    </r>
    <r>
      <rPr>
        <sz val="9"/>
        <color indexed="8"/>
        <rFont val="Times New Roman"/>
        <family val="1"/>
      </rPr>
      <t xml:space="preserve"> em Polipropileno, para uso geral, capacidade de 12 litros, com alça de metal de alta resistência.</t>
    </r>
  </si>
  <si>
    <r>
      <t>Brilha Inox</t>
    </r>
    <r>
      <rPr>
        <sz val="9"/>
        <color indexed="8"/>
        <rFont val="Times New Roman"/>
        <family val="1"/>
      </rPr>
      <t>, Spray, para limpeza de superfícies de aço inox, alumínio e peças cromadas. Fornecimento embalagem frasco de 500 g. Marca: Scotch Brite ou similar.</t>
    </r>
  </si>
  <si>
    <r>
      <t>Cera liquida acrílica para piso</t>
    </r>
    <r>
      <rPr>
        <sz val="9"/>
        <color indexed="8"/>
        <rFont val="Times New Roman"/>
        <family val="1"/>
      </rPr>
      <t>, pronto uso, incolor, auto brilho, alto tráfego, antiderrapante, floral. Constar na embalagem do produto informações: composição, fabricante, número do lote, data de fabricação, validade, entre outras. Lacre inviolado. Fornecimento embalagem galão de 5 litros. Marca: Resgate/Ingleza ou similar.</t>
    </r>
  </si>
  <si>
    <r>
      <t>Cera líquida Pretita,</t>
    </r>
    <r>
      <rPr>
        <sz val="9"/>
        <color indexed="8"/>
        <rFont val="Times New Roman"/>
        <family val="1"/>
      </rPr>
      <t xml:space="preserve"> elaborada especialmente para dar brilho em pneus, </t>
    </r>
    <r>
      <rPr>
        <b/>
        <sz val="9"/>
        <color indexed="8"/>
        <rFont val="Times New Roman"/>
        <family val="1"/>
      </rPr>
      <t>superfícies escuras impermeabilizadas ou laváveis</t>
    </r>
    <r>
      <rPr>
        <sz val="9"/>
        <color indexed="8"/>
        <rFont val="Times New Roman"/>
        <family val="1"/>
      </rPr>
      <t>. Constar na embalagem do produto informações: composição, fabricante, número do lote, data de fabricação, validade, entre outras. Lacre inviolado. Fornecimento embalagem galão de 5 litros. Marca: Inglesa ou similar.</t>
    </r>
  </si>
  <si>
    <r>
      <t>Cera pastosa para lustrar veículos</t>
    </r>
    <r>
      <rPr>
        <sz val="9"/>
        <color indexed="8"/>
        <rFont val="Times New Roman"/>
        <family val="1"/>
      </rPr>
      <t>, de fácil brilho. Fornecimento embalagem de 200 gr. Marca: Indy ou similar.</t>
    </r>
  </si>
  <si>
    <r>
      <t>Desentupidor de pia</t>
    </r>
    <r>
      <rPr>
        <sz val="9"/>
        <color indexed="8"/>
        <rFont val="Times New Roman"/>
        <family val="1"/>
      </rPr>
      <t xml:space="preserve"> para banheiros, cabo de madeira tamanho médio.</t>
    </r>
  </si>
  <si>
    <r>
      <t>Desentupidor de vaso</t>
    </r>
    <r>
      <rPr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Times New Roman"/>
        <family val="1"/>
      </rPr>
      <t>sanitário</t>
    </r>
    <r>
      <rPr>
        <sz val="9"/>
        <color indexed="8"/>
        <rFont val="Times New Roman"/>
        <family val="1"/>
      </rPr>
      <t>, cabo de madeira tamanho grande.</t>
    </r>
  </si>
  <si>
    <r>
      <t xml:space="preserve">Desinfetante concentrado biodegradável, </t>
    </r>
    <r>
      <rPr>
        <sz val="9"/>
        <color indexed="8"/>
        <rFont val="Times New Roman"/>
        <family val="1"/>
      </rPr>
      <t>limpa, desinfeta, sanitiza e perfuma ambientes, atóxico, alto rendimento, fragrâncias lavanda, floral, marine. Constar na embalagem do produto informações: composição, fabricante, número do lote, data de fabricação, validade, entre outras.  Lacre inviolado. Fornecimento embalagem galão de 5 litros. Marca: Bry Plus/Inglesa ou similar.</t>
    </r>
  </si>
  <si>
    <r>
      <t>Desodorizador de ar aerosol,</t>
    </r>
    <r>
      <rPr>
        <sz val="9"/>
        <color indexed="8"/>
        <rFont val="Times New Roman"/>
        <family val="1"/>
      </rPr>
      <t xml:space="preserve"> aromatizante de ambientes em geral, biodegradável, fragrância: lavanda, floral, jasmim, talco entre outras. Fornecimento embalagem frasco de  360 ml. Marca: Gleid ou similar.</t>
    </r>
  </si>
  <si>
    <r>
      <t>Detergente automotivo shampoo neutro concentrado</t>
    </r>
    <r>
      <rPr>
        <sz val="9"/>
        <color indexed="8"/>
        <rFont val="Times New Roman"/>
        <family val="1"/>
      </rPr>
      <t>, para lavagem de veículos, 1/100. Constar na embalagem do produto informações: composição, fabricante, número do lote, data de fabricação, validade, entre outras. Lacre inviolado. Marca: SH 1000/Start ou similar. Fornecimento embalagem galão de 5 litros.</t>
    </r>
  </si>
  <si>
    <r>
      <t xml:space="preserve">Detergente limpa cerâmica e azulejo concentrado, </t>
    </r>
    <r>
      <rPr>
        <sz val="9"/>
        <color indexed="8"/>
        <rFont val="Times New Roman"/>
        <family val="1"/>
      </rPr>
      <t>elaborado para remover sujeiras, manchas e incrustações em superfícies cerâmicas pisos e azulejos, cor azul, odor perfumado, acidez: 3,6 – 4,0 ml (NaOH 0,2N). Constar na embalagem do produto informações: composição, fabricante, número do lote, data de fabricação, validade, entre outras. Lacre inviolado. Fornecimento embalagem galão de 5 litros. Marca: Azulim/Start ou similar.</t>
    </r>
  </si>
  <si>
    <r>
      <t>Detergente líquido para piso concentrado</t>
    </r>
    <r>
      <rPr>
        <sz val="9"/>
        <color indexed="8"/>
        <rFont val="Times New Roman"/>
        <family val="1"/>
      </rPr>
      <t>, com PH neutro, sem perfume, sabão liquido  utilizado na limpeza de pisos e paredes ou qualquer superfície lavável. Constar na embalagem do produto informações: composição, fabricante, número do lote, data de fabricação, validade, entre outras. Lacre inviolado. Fornecimento embalagem galão de 5 litros. Marca: Officer ou similar.</t>
    </r>
  </si>
  <si>
    <r>
      <t>Disco roxo diamante restaurar</t>
    </r>
    <r>
      <rPr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Times New Roman"/>
        <family val="1"/>
      </rPr>
      <t>510</t>
    </r>
  </si>
  <si>
    <r>
      <t>Dispenser papel higiênico tipo rolão</t>
    </r>
    <r>
      <rPr>
        <sz val="9"/>
        <color indexed="8"/>
        <rFont val="Times New Roman"/>
        <family val="1"/>
      </rPr>
      <t>, em ABS de alta resistência, Sistema de abertura e fechamento por chave, transparente, kit para fixação na parede contendo buchas e parafusos. Medidas: largura 140mm, altura 310mm, profundidade 260mm.</t>
    </r>
  </si>
  <si>
    <r>
      <t>Dispenser papel toalha</t>
    </r>
    <r>
      <rPr>
        <sz val="9"/>
        <color indexed="8"/>
        <rFont val="Times New Roman"/>
        <family val="1"/>
      </rPr>
      <t>, para papel interfolhada 2 ou 3 dobras, em plástico ABS, transparente, com visor, Sistema de abertura e fechamento por chave, em plástico ABS, kit para fixação na parede contendo buchas e parafusos. Medidas: largura 260mm, altura 300mm, profundidade 135mm.</t>
    </r>
  </si>
  <si>
    <r>
      <t>Dispenser para sabonete liquido com reservatorio</t>
    </r>
    <r>
      <rPr>
        <sz val="9"/>
        <color indexed="8"/>
        <rFont val="Times New Roman"/>
        <family val="1"/>
      </rPr>
      <t>, em plastico ABS, para uso de sabondetes líquidos de galão, transparente, com fechadura, chave e kit para fixacao na parede contendo buchas e parafusos, medidas largura 105mm, altura 255mm, profundidade 110mm. Capacidade do reservatório 800 ml.</t>
    </r>
  </si>
  <si>
    <r>
      <t>Escova de Nylon 410</t>
    </r>
    <r>
      <rPr>
        <sz val="9"/>
        <color indexed="8"/>
        <rFont val="Times New Roman"/>
        <family val="1"/>
      </rPr>
      <t xml:space="preserve"> enceradeira profissional</t>
    </r>
  </si>
  <si>
    <r>
      <t>Escova de Nylon 510</t>
    </r>
    <r>
      <rPr>
        <sz val="9"/>
        <color indexed="8"/>
        <rFont val="Times New Roman"/>
        <family val="1"/>
      </rPr>
      <t xml:space="preserve"> enceradeira profissional</t>
    </r>
  </si>
  <si>
    <r>
      <t xml:space="preserve">Escova de nylon oval, </t>
    </r>
    <r>
      <rPr>
        <sz val="9"/>
        <color indexed="8"/>
        <rFont val="Times New Roman"/>
        <family val="1"/>
      </rPr>
      <t xml:space="preserve"> para limpeza manual.</t>
    </r>
  </si>
  <si>
    <r>
      <t>Espanador de pó</t>
    </r>
    <r>
      <rPr>
        <sz val="9"/>
        <color indexed="8"/>
        <rFont val="Times New Roman"/>
        <family val="1"/>
      </rPr>
      <t>, com cabo plástico, pena, tamanho grande.</t>
    </r>
  </si>
  <si>
    <r>
      <t>Espátula</t>
    </r>
    <r>
      <rPr>
        <sz val="9"/>
        <color indexed="8"/>
        <rFont val="Times New Roman"/>
        <family val="1"/>
      </rPr>
      <t>,</t>
    </r>
    <r>
      <rPr>
        <b/>
        <sz val="9"/>
        <color indexed="8"/>
        <rFont val="Times New Roman"/>
        <family val="1"/>
      </rPr>
      <t xml:space="preserve"> </t>
    </r>
    <r>
      <rPr>
        <sz val="9"/>
        <color indexed="8"/>
        <rFont val="Times New Roman"/>
        <family val="1"/>
      </rPr>
      <t>em aço carbono de alta qualidade, largura da lâmina no mínimo de 7 cm, cabo de madeira.</t>
    </r>
  </si>
  <si>
    <r>
      <t xml:space="preserve">Esponja de lã de aço, </t>
    </r>
    <r>
      <rPr>
        <sz val="9"/>
        <color indexed="8"/>
        <rFont val="Times New Roman"/>
        <family val="1"/>
      </rPr>
      <t>pacote 60 g com 8 unidades. Constar na embalagem do produto informações: composição, fabricante, número do lote, data de fabricação, validade, entre outras. Fornecimento pacote com 8 unidades. Marca: Bombril ou similar.</t>
    </r>
  </si>
  <si>
    <r>
      <t>Esponja Lava Carro,</t>
    </r>
    <r>
      <rPr>
        <sz val="9"/>
        <color indexed="8"/>
        <rFont val="Times New Roman"/>
        <family val="1"/>
      </rPr>
      <t xml:space="preserve"> esponja para lavagem de veiculos, macia. Medidas aproximadas 13 x 20 x 6 cm. Marca: Superpro Bettanin ou similar.</t>
    </r>
  </si>
  <si>
    <r>
      <t>Esponja tipo dupla face</t>
    </r>
    <r>
      <rPr>
        <sz val="9"/>
        <color indexed="8"/>
        <rFont val="Times New Roman"/>
        <family val="1"/>
      </rPr>
      <t>, de espuma e manta abrasiva de alta qualidade. Marca: Scotch Brite ou similar.</t>
    </r>
  </si>
  <si>
    <r>
      <t>Estopa para polimento</t>
    </r>
    <r>
      <rPr>
        <sz val="9"/>
        <color indexed="8"/>
        <rFont val="Times New Roman"/>
        <family val="1"/>
      </rPr>
      <t>, branca, macia de primeira qualidade, fios longos 100% de algodão. Fornecimento embalagem pacote com 500 gr.</t>
    </r>
  </si>
  <si>
    <r>
      <t>Fibra para suporte LT verde</t>
    </r>
    <r>
      <rPr>
        <sz val="9"/>
        <color indexed="8"/>
        <rFont val="Times New Roman"/>
        <family val="1"/>
      </rPr>
      <t>,</t>
    </r>
    <r>
      <rPr>
        <b/>
        <sz val="9"/>
        <color indexed="8"/>
        <rFont val="Times New Roman"/>
        <family val="1"/>
      </rPr>
      <t xml:space="preserve"> </t>
    </r>
    <r>
      <rPr>
        <sz val="9"/>
        <color indexed="8"/>
        <rFont val="Times New Roman"/>
        <family val="1"/>
      </rPr>
      <t>fibra sintética com abrasivo. Medidas: 230mm x 102mm. Marca: 3M ou similar.</t>
    </r>
  </si>
  <si>
    <r>
      <t>Fita adesiva dupla face</t>
    </r>
    <r>
      <rPr>
        <sz val="9"/>
        <color indexed="8"/>
        <rFont val="Times New Roman"/>
        <family val="1"/>
      </rPr>
      <t>,</t>
    </r>
    <r>
      <rPr>
        <b/>
        <sz val="9"/>
        <color indexed="8"/>
        <rFont val="Times New Roman"/>
        <family val="1"/>
      </rPr>
      <t xml:space="preserve"> </t>
    </r>
    <r>
      <rPr>
        <sz val="9"/>
        <color indexed="8"/>
        <rFont val="Times New Roman"/>
        <family val="1"/>
      </rPr>
      <t>fixa forte VHB, 25mm x 20m, transparente. Marca: 3M ou similar.</t>
    </r>
  </si>
  <si>
    <r>
      <t>Flanela,</t>
    </r>
    <r>
      <rPr>
        <sz val="9"/>
        <color indexed="8"/>
        <rFont val="Times New Roman"/>
        <family val="1"/>
      </rPr>
      <t xml:space="preserve"> para limpeza, de primeira qualidade, na cor branca, dimensões mínimas de 40 x 60 cm, overlocadas nas bordas, com etiqueta de identificação das dimensões e demais informações do produto.</t>
    </r>
  </si>
  <si>
    <r>
      <t>Hidratante e limpador de couro automotivo,</t>
    </r>
    <r>
      <rPr>
        <sz val="9"/>
        <color indexed="8"/>
        <rFont val="Times New Roman"/>
        <family val="1"/>
      </rPr>
      <t xml:space="preserve"> para limpeza e conservação de couros. </t>
    </r>
    <r>
      <rPr>
        <b/>
        <sz val="9"/>
        <color indexed="8"/>
        <rFont val="Times New Roman"/>
        <family val="1"/>
      </rPr>
      <t>F</t>
    </r>
    <r>
      <rPr>
        <sz val="9"/>
        <color indexed="8"/>
        <rFont val="Times New Roman"/>
        <family val="1"/>
      </rPr>
      <t>ornecimento embalagem frasco com gatilho de 710 ml. Marca:  Mothers Reflections ou similar.</t>
    </r>
  </si>
  <si>
    <r>
      <t xml:space="preserve">Impermeabilizante acrílica concentrado, UHS, </t>
    </r>
    <r>
      <rPr>
        <sz val="9"/>
        <color indexed="8"/>
        <rFont val="Times New Roman"/>
        <family val="1"/>
      </rPr>
      <t>indicado para impermeabilização de pisos de alto tráfico, acabamento acrílico base água, alto teor de sólidos (28%) acabamento acrílico metalizado, liquido, cor branca levemente amarelada, antiderrapante. Constar na embalagem do produto informações: composição, fabricante, número do lote, data de fabricação, validade, entre outras. Lacre inviolado. Fornecimento embalagem galão de 5 litros. Marca: Twister UHS ou similar. Galão 5 lt</t>
    </r>
  </si>
  <si>
    <r>
      <t xml:space="preserve">Inseticida, </t>
    </r>
    <r>
      <rPr>
        <sz val="9"/>
        <color indexed="8"/>
        <rFont val="Times New Roman"/>
        <family val="1"/>
      </rPr>
      <t>aerossol multi. Fornecimento embalagem frasco de 300 ml.</t>
    </r>
  </si>
  <si>
    <r>
      <t>Limpa carpete</t>
    </r>
    <r>
      <rPr>
        <sz val="9"/>
        <color indexed="8"/>
        <rFont val="Times New Roman"/>
        <family val="1"/>
      </rPr>
      <t>, neutro, espuma controlada, para limpeza de carpetes e tapetes. Constar na embalagem do produto informações: composição, fabricante, número do lote, data de fabricação, validade, entre outras. Lacre inviolado. Fornecimento embalagem galão de 5 litros. Marca Marca: Start ou similar.</t>
    </r>
  </si>
  <si>
    <r>
      <t>Limpa vidro,</t>
    </r>
    <r>
      <rPr>
        <sz val="9"/>
        <color indexed="8"/>
        <rFont val="Times New Roman"/>
        <family val="1"/>
      </rPr>
      <t xml:space="preserve"> líquido incolor. Constar na embalagem do produto informações: composição, fabricante, número do lote, data de fabricação, validade, entre outras. Lacre inviolado. Fornecimento embalagem frasco de 500 ml.</t>
    </r>
  </si>
  <si>
    <r>
      <t>Limpador multiuso</t>
    </r>
    <r>
      <rPr>
        <sz val="9"/>
        <color indexed="8"/>
        <rFont val="Times New Roman"/>
        <family val="1"/>
      </rPr>
      <t>, instantâneo, alquil benzeno, sulfonato de sódio, coadjuvantes, fragrância e água. Constar na embalagem do produto informações: composição, fabricante, número do lote, data de fabricação, validade, entre outras. Lacre inviolado. Fornecimento embalagem frasco de 500 ml. Marca: Veja Original ou similar.</t>
    </r>
  </si>
  <si>
    <r>
      <t>Lustra móveis,</t>
    </r>
    <r>
      <rPr>
        <sz val="9"/>
        <color indexed="8"/>
        <rFont val="Times New Roman"/>
        <family val="1"/>
      </rPr>
      <t xml:space="preserve"> a base de silicone, brilho e limpeza sem engordurar, Fragrância  lavanda. Constar na embalagem do produto informações: composição, fabricante, número do lote, data de fabricação, validade, entre outras. Lacre inviolado. Fornecimento embalagem frasco de 200 ml. Marca: Poliflor ou similar.</t>
    </r>
  </si>
  <si>
    <r>
      <t xml:space="preserve">Luva de borracha, </t>
    </r>
    <r>
      <rPr>
        <sz val="9"/>
        <color indexed="8"/>
        <rFont val="Times New Roman"/>
        <family val="1"/>
      </rPr>
      <t xml:space="preserve">látex com forro, antiderrapante na palma e nos dedos, forradas com flocos de algodão. Apresentar na embalagem o </t>
    </r>
    <r>
      <rPr>
        <b/>
        <sz val="9"/>
        <color indexed="8"/>
        <rFont val="Times New Roman"/>
        <family val="1"/>
      </rPr>
      <t>C.A – Certificado de Aprovação</t>
    </r>
    <r>
      <rPr>
        <sz val="9"/>
        <color indexed="8"/>
        <rFont val="Times New Roman"/>
        <family val="1"/>
      </rPr>
      <t xml:space="preserve"> emitido pelo Ministério do Trabalho. Fornecimento embalagem par. Tam: P</t>
    </r>
  </si>
  <si>
    <r>
      <t xml:space="preserve">Luva de borracha, </t>
    </r>
    <r>
      <rPr>
        <sz val="9"/>
        <color indexed="8"/>
        <rFont val="Times New Roman"/>
        <family val="1"/>
      </rPr>
      <t xml:space="preserve">látex com forro, antiderrapante na palma e nos dedos, forradas com flocos de algodão. Apresentar na embalagem o </t>
    </r>
    <r>
      <rPr>
        <b/>
        <sz val="9"/>
        <color indexed="8"/>
        <rFont val="Times New Roman"/>
        <family val="1"/>
      </rPr>
      <t>C.A – Certificado de Aprovação</t>
    </r>
    <r>
      <rPr>
        <sz val="9"/>
        <color indexed="8"/>
        <rFont val="Times New Roman"/>
        <family val="1"/>
      </rPr>
      <t xml:space="preserve"> emitido pelo Ministério do Trabalho. Fornecimento embalagem par. Tam: M</t>
    </r>
  </si>
  <si>
    <r>
      <t xml:space="preserve">Luva de borracha, </t>
    </r>
    <r>
      <rPr>
        <sz val="9"/>
        <color indexed="8"/>
        <rFont val="Times New Roman"/>
        <family val="1"/>
      </rPr>
      <t xml:space="preserve">látex com forro, antiderrapante na palma e nos dedos, forradas com flocos de algodão. Apresentar na embalagem o </t>
    </r>
    <r>
      <rPr>
        <b/>
        <sz val="9"/>
        <color indexed="8"/>
        <rFont val="Times New Roman"/>
        <family val="1"/>
      </rPr>
      <t>C.A – Certificado de Aprovação</t>
    </r>
    <r>
      <rPr>
        <sz val="9"/>
        <color indexed="8"/>
        <rFont val="Times New Roman"/>
        <family val="1"/>
      </rPr>
      <t xml:space="preserve"> emitido pelo Ministério do Trabalho. Fornecimento embalagem par. Tam: G</t>
    </r>
  </si>
  <si>
    <r>
      <t xml:space="preserve">Luva nitrílica nitrasol, </t>
    </r>
    <r>
      <rPr>
        <sz val="9"/>
        <color indexed="8"/>
        <rFont val="Times New Roman"/>
        <family val="1"/>
      </rPr>
      <t xml:space="preserve">Altamente resistente a produtos químicos, com excelente resistência mecânica a rasgo, perfuração, corte e abrasão. Alta flexibilidade oferecendo o máximo de conforto ao usuário, possui palma antiderrapante que facilita o manuseio seguro de objetos secos ou molhados, medindo 33 cm de comprimento. </t>
    </r>
    <r>
      <rPr>
        <b/>
        <sz val="9"/>
        <color indexed="8"/>
        <rFont val="Times New Roman"/>
        <family val="1"/>
      </rPr>
      <t>C.A – Certificado de Aprovação</t>
    </r>
    <r>
      <rPr>
        <sz val="9"/>
        <color indexed="8"/>
        <rFont val="Times New Roman"/>
        <family val="1"/>
      </rPr>
      <t xml:space="preserve"> emitido pelo Ministério do Trabalho. Fornecimento embalagem par.</t>
    </r>
  </si>
  <si>
    <r>
      <t>Luva vaqueta total petroleira</t>
    </r>
    <r>
      <rPr>
        <sz val="9"/>
        <color indexed="8"/>
        <rFont val="Times New Roman"/>
        <family val="1"/>
      </rPr>
      <t>, Luva de segurança confeccionada em vaqueta, com punho 7 cm,  reforço na palma e face palmar dos dedos, tira de reforço entre os dedos polegar e indicador, tirante elástico para ajuste no dorso.</t>
    </r>
    <r>
      <rPr>
        <b/>
        <sz val="9"/>
        <color indexed="8"/>
        <rFont val="Times New Roman"/>
        <family val="1"/>
      </rPr>
      <t xml:space="preserve"> </t>
    </r>
    <r>
      <rPr>
        <sz val="9"/>
        <color indexed="8"/>
        <rFont val="Times New Roman"/>
        <family val="1"/>
      </rPr>
      <t xml:space="preserve">Proteção das mãos do usuário contra agentes abrasivos e escoriantes. acabamento em orvelok. Apresentar na embalagem o </t>
    </r>
    <r>
      <rPr>
        <b/>
        <sz val="9"/>
        <color indexed="8"/>
        <rFont val="Times New Roman"/>
        <family val="1"/>
      </rPr>
      <t>C.A – Certificado de Aprovação</t>
    </r>
    <r>
      <rPr>
        <sz val="9"/>
        <color indexed="8"/>
        <rFont val="Times New Roman"/>
        <family val="1"/>
      </rPr>
      <t xml:space="preserve"> emitido pelo Ministério do Trabalho. Fornecimento embalagem par.</t>
    </r>
  </si>
  <si>
    <r>
      <t xml:space="preserve">Luvas de jardinagem, vaqueta mista em </t>
    </r>
    <r>
      <rPr>
        <sz val="9"/>
        <color indexed="8"/>
        <rFont val="Times New Roman"/>
        <family val="1"/>
      </rPr>
      <t xml:space="preserve">couro raspa e lona Apresentar na embalagem o </t>
    </r>
    <r>
      <rPr>
        <b/>
        <sz val="9"/>
        <color indexed="8"/>
        <rFont val="Times New Roman"/>
        <family val="1"/>
      </rPr>
      <t>C.A – Certificado de Aprovação</t>
    </r>
    <r>
      <rPr>
        <sz val="9"/>
        <color indexed="8"/>
        <rFont val="Times New Roman"/>
        <family val="1"/>
      </rPr>
      <t xml:space="preserve"> emitido pelo Ministério do Trabalho. Fornecimento embalagem par.</t>
    </r>
  </si>
  <si>
    <r>
      <t xml:space="preserve">Máscara respirador AIR SAN com filtro A1B1 VO, </t>
    </r>
    <r>
      <rPr>
        <sz val="9"/>
        <color indexed="8"/>
        <rFont val="Times New Roman"/>
        <family val="1"/>
      </rPr>
      <t xml:space="preserve">ajuste através de tirante elástico com suporte na nuca, preso pelas alças laterais. Apresentar na embalagem o </t>
    </r>
    <r>
      <rPr>
        <b/>
        <sz val="9"/>
        <color indexed="8"/>
        <rFont val="Times New Roman"/>
        <family val="1"/>
      </rPr>
      <t>C.A - Certificado de Aprovação</t>
    </r>
    <r>
      <rPr>
        <sz val="9"/>
        <color indexed="8"/>
        <rFont val="Times New Roman"/>
        <family val="1"/>
      </rPr>
      <t xml:space="preserve"> emitido pelo Ministério do Trabalho</t>
    </r>
  </si>
  <si>
    <r>
      <t xml:space="preserve">Máscara respiratória PFF1 </t>
    </r>
    <r>
      <rPr>
        <sz val="9"/>
        <rFont val="Times New Roman"/>
        <family val="1"/>
      </rPr>
      <t>ksn</t>
    </r>
    <r>
      <rPr>
        <b/>
        <sz val="9"/>
        <color indexed="8"/>
        <rFont val="Times New Roman"/>
        <family val="1"/>
      </rPr>
      <t xml:space="preserve"> com válvula, </t>
    </r>
    <r>
      <rPr>
        <sz val="9"/>
        <rFont val="Times New Roman"/>
        <family val="1"/>
      </rPr>
      <t xml:space="preserve">cor azul. </t>
    </r>
    <r>
      <rPr>
        <sz val="9"/>
        <color indexed="8"/>
        <rFont val="Times New Roman"/>
        <family val="1"/>
      </rPr>
      <t xml:space="preserve"> Apresentar na embalagem o </t>
    </r>
    <r>
      <rPr>
        <b/>
        <sz val="9"/>
        <color indexed="8"/>
        <rFont val="Times New Roman"/>
        <family val="1"/>
      </rPr>
      <t>C.A – Certificado de Aprovação</t>
    </r>
    <r>
      <rPr>
        <sz val="9"/>
        <color indexed="8"/>
        <rFont val="Times New Roman"/>
        <family val="1"/>
      </rPr>
      <t xml:space="preserve"> emitido pelo Ministério do Trabalho.</t>
    </r>
  </si>
  <si>
    <r>
      <t>Massa de polir nº 02 base água,</t>
    </r>
    <r>
      <rPr>
        <sz val="9"/>
        <color indexed="8"/>
        <rFont val="Times New Roman"/>
        <family val="1"/>
      </rPr>
      <t xml:space="preserve"> i</t>
    </r>
    <r>
      <rPr>
        <b/>
        <sz val="9"/>
        <color indexed="8"/>
        <rFont val="Times New Roman"/>
        <family val="1"/>
      </rPr>
      <t>ndicada para pinturas manchadas e oxidadas pela ação de raios solares. Fornecimento embalagem pote de 1 kg.</t>
    </r>
  </si>
  <si>
    <r>
      <t>Óculos de segurança,</t>
    </r>
    <r>
      <rPr>
        <sz val="9"/>
        <color indexed="8"/>
        <rFont val="Times New Roman"/>
        <family val="1"/>
      </rPr>
      <t xml:space="preserve"> Constituído de armação e visor confeccionado em uma única peça de policarbonato incolor, resistente, confortável, não deve distorcer imagens ou limitar o campo visual. </t>
    </r>
    <r>
      <rPr>
        <b/>
        <sz val="9"/>
        <color indexed="8"/>
        <rFont val="Times New Roman"/>
        <family val="1"/>
      </rPr>
      <t>C.A - Certificado de Aprovação</t>
    </r>
    <r>
      <rPr>
        <sz val="9"/>
        <color indexed="8"/>
        <rFont val="Times New Roman"/>
        <family val="1"/>
      </rPr>
      <t xml:space="preserve"> emitido pelo Ministério do Trabalho.</t>
    </r>
  </si>
  <si>
    <r>
      <t>Óleo de peroba,</t>
    </r>
    <r>
      <rPr>
        <sz val="9"/>
        <color indexed="8"/>
        <rFont val="Times New Roman"/>
        <family val="1"/>
      </rPr>
      <t xml:space="preserve"> limpa, lustra e renova moveis de madeira. Fornecimento embalagem frasco de 100ml. Marca: Peroba ou similar.</t>
    </r>
  </si>
  <si>
    <r>
      <t xml:space="preserve">Óleo de silicone automotivo, </t>
    </r>
    <r>
      <rPr>
        <sz val="9"/>
        <color indexed="8"/>
        <rFont val="Times New Roman"/>
        <family val="1"/>
      </rPr>
      <t>para limpar, dar brilho e proteger as superfícies de borracha. Fornecimento embalagem frasco de 100ml. Marca: Indy ou similar.</t>
    </r>
  </si>
  <si>
    <r>
      <t xml:space="preserve">Óleo Lubrificante WD-40, </t>
    </r>
    <r>
      <rPr>
        <sz val="9"/>
        <color indexed="8"/>
        <rFont val="Times New Roman"/>
        <family val="1"/>
      </rPr>
      <t>aerossol,</t>
    </r>
    <r>
      <rPr>
        <b/>
        <sz val="9"/>
        <color indexed="8"/>
        <rFont val="Times New Roman"/>
        <family val="1"/>
      </rPr>
      <t xml:space="preserve"> </t>
    </r>
    <r>
      <rPr>
        <sz val="9"/>
        <color indexed="8"/>
        <rFont val="Times New Roman"/>
        <family val="1"/>
      </rPr>
      <t>inibidor de corrosão e prolipelente. Fornecimento embalagem lata spray de 300ml.</t>
    </r>
  </si>
  <si>
    <r>
      <t xml:space="preserve">Pá de lixo em metal, </t>
    </r>
    <r>
      <rPr>
        <sz val="9"/>
        <color indexed="8"/>
        <rFont val="Times New Roman"/>
        <family val="1"/>
      </rPr>
      <t>cabo em madeira longo.</t>
    </r>
  </si>
  <si>
    <r>
      <t xml:space="preserve">Pá de lixo em plastico, </t>
    </r>
    <r>
      <rPr>
        <sz val="9"/>
        <color indexed="8"/>
        <rFont val="Times New Roman"/>
        <family val="1"/>
      </rPr>
      <t>cabo curto.</t>
    </r>
  </si>
  <si>
    <r>
      <t xml:space="preserve">Pano de chão, </t>
    </r>
    <r>
      <rPr>
        <sz val="9"/>
        <color indexed="8"/>
        <rFont val="Times New Roman"/>
        <family val="1"/>
      </rPr>
      <t>saco alvejado, grosso, duplo, com barrado, 100% algodão, dimensões mínimas 45x70 cm, com etiqueta de identificação do tamanho e demais informações do produto.</t>
    </r>
  </si>
  <si>
    <r>
      <t>Papel higiênico rolão</t>
    </r>
    <r>
      <rPr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Times New Roman"/>
        <family val="1"/>
      </rPr>
      <t>folha dupla,</t>
    </r>
    <r>
      <rPr>
        <sz val="9"/>
        <color indexed="8"/>
        <rFont val="Times New Roman"/>
        <family val="1"/>
      </rPr>
      <t xml:space="preserve"> 100% celulose virgem, branco, extra luxo, macio, embalado em caixa de papelão com 08 rolos de 10cm x 250m. Constar na embalagem do produto informações: composição, fabricante, número do lote, data de fabricação, validade, entre outras. Fornecimento caixa com 8 rolos. Marca: Jofel ou similar.</t>
    </r>
  </si>
  <si>
    <r>
      <t>Papel toalha interfolhado 2 dobras,</t>
    </r>
    <r>
      <rPr>
        <sz val="9"/>
        <color indexed="8"/>
        <rFont val="Times New Roman"/>
        <family val="1"/>
      </rPr>
      <t xml:space="preserve"> 100% celulose virgem, extra luxo, papel branco de primeira qualidade, medindo 22,5 x 20 cm,  caixa  contendo 8 pacotes de 250 folhas em cada, totalizando 2000 folhas. Constar  na embalagem do produto informações: composição, fabricante, número do lote, data de fabricação, validade, entre outras. Fornecimento embalagem caixa com 2000 folhas. Marca: Ouropel Premium ou similar.</t>
    </r>
  </si>
  <si>
    <r>
      <t xml:space="preserve">Pedra sanitária com suporte, </t>
    </r>
    <r>
      <rPr>
        <sz val="9"/>
        <color indexed="8"/>
        <rFont val="Times New Roman"/>
        <family val="1"/>
      </rPr>
      <t>aromatizante, 25 g.</t>
    </r>
  </si>
  <si>
    <r>
      <t xml:space="preserve">Pincel grande, </t>
    </r>
    <r>
      <rPr>
        <sz val="9"/>
        <color indexed="8"/>
        <rFont val="Times New Roman"/>
        <family val="1"/>
      </rPr>
      <t>formato duplo, cabo plástico, 3 Polegadas.</t>
    </r>
  </si>
  <si>
    <r>
      <t xml:space="preserve">Pincel pequeno, </t>
    </r>
    <r>
      <rPr>
        <sz val="9"/>
        <color indexed="8"/>
        <rFont val="Times New Roman"/>
        <family val="1"/>
      </rPr>
      <t>formato duplo, cabo plástico, 1 Polegadas.</t>
    </r>
  </si>
  <si>
    <r>
      <t>Protetor Auricular</t>
    </r>
    <r>
      <rPr>
        <sz val="9"/>
        <color indexed="8"/>
        <rFont val="Times New Roman"/>
        <family val="1"/>
      </rPr>
      <t xml:space="preserve">, do tipo inserção pré-moldado, de silicone, com cordão de pvc, 15 dB (NRRsf), acompanha caixa com clipe para armazenamento. </t>
    </r>
    <r>
      <rPr>
        <b/>
        <sz val="9"/>
        <color indexed="8"/>
        <rFont val="Times New Roman"/>
        <family val="1"/>
      </rPr>
      <t>C.A – Certificado de Aprovação</t>
    </r>
    <r>
      <rPr>
        <sz val="9"/>
        <color indexed="8"/>
        <rFont val="Times New Roman"/>
        <family val="1"/>
      </rPr>
      <t xml:space="preserve"> emitido pelo Ministério do Trabalho.</t>
    </r>
  </si>
  <si>
    <r>
      <t xml:space="preserve">Protetor solar, </t>
    </r>
    <r>
      <rPr>
        <sz val="9"/>
        <color indexed="8"/>
        <rFont val="Times New Roman"/>
        <family val="1"/>
      </rPr>
      <t>proteção contra os raios UVA e UVB-FPS 30. Fornecimento embalagem frasco 350 ml. Marca: Sundown ou similar.</t>
    </r>
  </si>
  <si>
    <r>
      <t>Querosene,</t>
    </r>
    <r>
      <rPr>
        <sz val="9"/>
        <color indexed="8"/>
        <rFont val="Times New Roman"/>
        <family val="1"/>
      </rPr>
      <t xml:space="preserve"> Constar no rótulo informações do produto, composição, fabricante, número do lote, data de fabricação e validade, com registro na ANVISA. Fornecimento embalagem de 1 Litro.</t>
    </r>
  </si>
  <si>
    <r>
      <t xml:space="preserve">Refil  para aplicador de cera 45 cm, </t>
    </r>
    <r>
      <rPr>
        <sz val="9"/>
        <color indexed="8"/>
        <rFont val="Times New Roman"/>
        <family val="1"/>
      </rPr>
      <t>em tecido acrílico ou microfibra, lavável.</t>
    </r>
  </si>
  <si>
    <r>
      <t xml:space="preserve">Removedor de ceras concentrado </t>
    </r>
    <r>
      <rPr>
        <sz val="9"/>
        <color indexed="8"/>
        <rFont val="Times New Roman"/>
        <family val="1"/>
      </rPr>
      <t>removedor de ceras naturais, acrílicas e sistemas HS/UHS indicado para todos os tipos de pisos laváveis. Não contém amoníaco, Constar na embalagem do produto informações: composição, fabricante, número do lote, data de fabricação, validade, entre outras. Lacre inviolado. Fornecimento embalagem galão de 5 litros. Marca:   RemoWax Ultra R8/Ingleza ou similar.</t>
    </r>
  </si>
  <si>
    <r>
      <t>Reservatório para Dispenser</t>
    </r>
    <r>
      <rPr>
        <sz val="9"/>
        <color indexed="8"/>
        <rFont val="Times New Roman"/>
        <family val="1"/>
      </rPr>
      <t xml:space="preserve"> de Sabonete Liquido, </t>
    </r>
    <r>
      <rPr>
        <b/>
        <sz val="9"/>
        <color indexed="8"/>
        <rFont val="Times New Roman"/>
        <family val="1"/>
      </rPr>
      <t xml:space="preserve"> </t>
    </r>
    <r>
      <rPr>
        <sz val="9"/>
        <color indexed="8"/>
        <rFont val="Times New Roman"/>
        <family val="1"/>
      </rPr>
      <t>refil,</t>
    </r>
    <r>
      <rPr>
        <b/>
        <sz val="9"/>
        <color indexed="8"/>
        <rFont val="Times New Roman"/>
        <family val="1"/>
      </rPr>
      <t xml:space="preserve">  </t>
    </r>
    <r>
      <rPr>
        <sz val="9"/>
        <color indexed="8"/>
        <rFont val="Times New Roman"/>
        <family val="1"/>
      </rPr>
      <t>Capacidade 800 ml.</t>
    </r>
  </si>
  <si>
    <r>
      <t xml:space="preserve">Restaurador de piso concentrado, </t>
    </r>
    <r>
      <rPr>
        <sz val="9"/>
        <color indexed="8"/>
        <rFont val="Times New Roman"/>
        <family val="1"/>
      </rPr>
      <t>produto para restauração de piso, sistema metálic HS 40. Constar na embalagem do produto informações: composição, fabricante, número do lote, data de fabricação, validade, entre outras. Lacre inviolado. Fornecimento embalagem galão de 5 litros. Marca: Johnson Diversey ou similar.</t>
    </r>
  </si>
  <si>
    <r>
      <t xml:space="preserve">Rodo aplicador de cera 45 cm, </t>
    </r>
    <r>
      <rPr>
        <sz val="9"/>
        <color indexed="8"/>
        <rFont val="Times New Roman"/>
        <family val="1"/>
      </rPr>
      <t>cabo em alumínio, sistema de fixação mola-trava, permite fácil colocação do cabo e sistema de angulação (180º).</t>
    </r>
  </si>
  <si>
    <r>
      <t>Rodo de  madeira de 40 cm,</t>
    </r>
    <r>
      <rPr>
        <sz val="9"/>
        <color indexed="8"/>
        <rFont val="Times New Roman"/>
        <family val="1"/>
      </rPr>
      <t xml:space="preserve"> com borracha dupla e colorida, cabo plastificado.</t>
    </r>
  </si>
  <si>
    <r>
      <t>Rodo de madeira de 60 cm,</t>
    </r>
    <r>
      <rPr>
        <sz val="9"/>
        <color indexed="8"/>
        <rFont val="Times New Roman"/>
        <family val="1"/>
      </rPr>
      <t xml:space="preserve"> com borracha dupla e colorida, cabo plastificado.</t>
    </r>
  </si>
  <si>
    <r>
      <t>Sabão em barra neutro</t>
    </r>
    <r>
      <rPr>
        <sz val="9"/>
        <color indexed="8"/>
        <rFont val="Times New Roman"/>
        <family val="1"/>
      </rPr>
      <t>, 200g glicerinado, 100% biodegradável. Constar na embalagem do produto informações: composição, fabricante, número do lote, data de fabricação, validade, entre outras. Fornecimento barra de 200g. Marca: Ypê ou similar.</t>
    </r>
  </si>
  <si>
    <r>
      <t xml:space="preserve">Sabão em pó, </t>
    </r>
    <r>
      <rPr>
        <sz val="9"/>
        <color indexed="8"/>
        <rFont val="Times New Roman"/>
        <family val="1"/>
      </rPr>
      <t>composto de tensoativo aniônico, coadjuvantes, sinergista, branqueador óptico, tamponantes, corante, essência, carga, água, alquil benzeno sulfonato de sódio. Constar na embalagem do produto informações: composição, fabricante, número do lote, data de fabricação, validade, entre outras. Lacre inviolado. Fornecimento embalagem de 1 kg. Marca: Minuano ou similar.</t>
    </r>
  </si>
  <si>
    <r>
      <t xml:space="preserve">Sabonete liquido concentrado biodegradável, </t>
    </r>
    <r>
      <rPr>
        <sz val="9"/>
        <color indexed="8"/>
        <rFont val="Times New Roman"/>
        <family val="1"/>
      </rPr>
      <t>pronto para uso, perolado, glicerinado, com formulação balanceada, ph neutro, fragrância erva doce, para saboneteiras tipo dispenser. Constar na embalagem do produto informações: composição, fabricante, número do lote, data de fabricação, validade, entre outras. Lacre inviolado. Fornecimento embalagem galão de 5 litros. Marca: Premisse/Soft ou similar.</t>
    </r>
  </si>
  <si>
    <r>
      <t>Saco descartável para aspirador de pó</t>
    </r>
    <r>
      <rPr>
        <sz val="9"/>
        <color indexed="8"/>
        <rFont val="Times New Roman"/>
        <family val="1"/>
      </rPr>
      <t>. Aspirador Profissional. Fornecimento embalagem pacote com 3 un.</t>
    </r>
  </si>
  <si>
    <r>
      <t>Saco  plástico para lixo branco leitoso,</t>
    </r>
    <r>
      <rPr>
        <sz val="9"/>
        <color indexed="8"/>
        <rFont val="Times New Roman"/>
        <family val="1"/>
      </rPr>
      <t xml:space="preserve">  60 litros, resistente, 8 micras, pacote com 100 un. Fornecimento embalagem pacote com 100 un.</t>
    </r>
  </si>
  <si>
    <r>
      <t>Saco plástico para  lixo preto,</t>
    </r>
    <r>
      <rPr>
        <sz val="9"/>
        <color indexed="8"/>
        <rFont val="Times New Roman"/>
        <family val="1"/>
      </rPr>
      <t xml:space="preserve">  100 litros  resistente, 10 micras, pacote com 100 un. Fornecimento embalagem pacote com 100 un.</t>
    </r>
  </si>
  <si>
    <r>
      <t>Saco plástico para lixo azul,</t>
    </r>
    <r>
      <rPr>
        <sz val="9"/>
        <color indexed="8"/>
        <rFont val="Times New Roman"/>
        <family val="1"/>
      </rPr>
      <t xml:space="preserve"> 100 litros, resistente, 10 micras, pacote com 100 un. Fornecimento embalagem pacote com 100 un.</t>
    </r>
  </si>
  <si>
    <r>
      <t>Saco plástico para lixo marrom,</t>
    </r>
    <r>
      <rPr>
        <sz val="9"/>
        <color indexed="8"/>
        <rFont val="Times New Roman"/>
        <family val="1"/>
      </rPr>
      <t xml:space="preserve">  100 litros, resistente, 10 micras, pacote com 100 un. Fornecimento embalagem pacote com 100 un.</t>
    </r>
  </si>
  <si>
    <r>
      <t>Saco plástico para lixo vermelho,</t>
    </r>
    <r>
      <rPr>
        <sz val="9"/>
        <color indexed="8"/>
        <rFont val="Times New Roman"/>
        <family val="1"/>
      </rPr>
      <t xml:space="preserve">  100 litros, resistente, 10 micras, pacote com 100 un. Fornecimento embalagem pacote com 100 un.</t>
    </r>
  </si>
  <si>
    <r>
      <t xml:space="preserve">Saponáceo Cremoso, </t>
    </r>
    <r>
      <rPr>
        <sz val="9"/>
        <color indexed="8"/>
        <rFont val="Times New Roman"/>
        <family val="1"/>
      </rPr>
      <t>sapólio radium sem cloro, fragrância lavanda. Fornecimento embalagem frasco de 300ml. Marca: Bombril ou similar.</t>
    </r>
  </si>
  <si>
    <r>
      <t xml:space="preserve">Selador para pisos, </t>
    </r>
    <r>
      <rPr>
        <sz val="9"/>
        <color indexed="8"/>
        <rFont val="Times New Roman"/>
        <family val="1"/>
      </rPr>
      <t>selador de alto rendimento para fechamento dos poros de pisos para ser usado como base antes da aplicação de ceras acrílicas e UHS de alto tráfego. Constar na embalagem do produto informações: composição, fabricante, número do lote, data de fabricação, validade, entre outras. Lacre inviolado. Fornecimento embalagem galão de 5 litros. Marca: Start ou similar.</t>
    </r>
  </si>
  <si>
    <r>
      <t>Suporte de fibra LT</t>
    </r>
    <r>
      <rPr>
        <sz val="9"/>
        <color indexed="8"/>
        <rFont val="Times New Roman"/>
        <family val="1"/>
      </rPr>
      <t xml:space="preserve"> com sistema de fixação do cabo através de rosca universal, fabricado em plástico de alta resistência, moldado com ganchos para fixação das fibras de fimpeza, com cabo.</t>
    </r>
  </si>
  <si>
    <r>
      <t xml:space="preserve">Tela para mictório perfumada, </t>
    </r>
    <r>
      <rPr>
        <sz val="9"/>
        <color indexed="8"/>
        <rFont val="Times New Roman"/>
        <family val="1"/>
      </rPr>
      <t>Indicada para amenizar os odores de toaletes masculinos. Marca: Premisse ou similar.</t>
    </r>
  </si>
  <si>
    <r>
      <t>Vaselina líquida incolor,</t>
    </r>
    <r>
      <rPr>
        <sz val="9"/>
        <color indexed="8"/>
        <rFont val="Times New Roman"/>
        <family val="1"/>
      </rPr>
      <t xml:space="preserve"> para limpeza das estruturas em aço inox externa. Constar na embalagem do produto informações: composição, fabricante, número do lote, data de fabricação, validade, entre outras. Lacre inviolado. Fornecimento embalagem de 1 Litro.</t>
    </r>
  </si>
  <si>
    <r>
      <t>Vassoura  de pelo sintético 40 cm,</t>
    </r>
    <r>
      <rPr>
        <sz val="9"/>
        <color indexed="8"/>
        <rFont val="Times New Roman"/>
        <family val="1"/>
      </rPr>
      <t xml:space="preserve">  com cabo plastificado contendo rosca.</t>
    </r>
  </si>
  <si>
    <r>
      <t>Vassoura  de pelo sintético 60 cm,</t>
    </r>
    <r>
      <rPr>
        <sz val="9"/>
        <color indexed="8"/>
        <rFont val="Times New Roman"/>
        <family val="1"/>
      </rPr>
      <t xml:space="preserve">  com cabo plastificado contendo rosca.</t>
    </r>
  </si>
  <si>
    <r>
      <t>Vassoura gari 60 cm,</t>
    </r>
    <r>
      <rPr>
        <sz val="9"/>
        <color indexed="8"/>
        <rFont val="Times New Roman"/>
        <family val="1"/>
      </rPr>
      <t xml:space="preserve"> com cabo,  4 carreiras de  cerdas de piaçava natural, base madeira.</t>
    </r>
  </si>
  <si>
    <r>
      <t xml:space="preserve">Vassoura Piaçava sintético, </t>
    </r>
    <r>
      <rPr>
        <sz val="9"/>
        <color indexed="8"/>
        <rFont val="Times New Roman"/>
        <family val="1"/>
      </rPr>
      <t>cabo plastificado com rosca.</t>
    </r>
  </si>
  <si>
    <r>
      <t>Vassourinha sanitária,</t>
    </r>
    <r>
      <rPr>
        <sz val="9"/>
        <color indexed="8"/>
        <rFont val="Times New Roman"/>
        <family val="1"/>
      </rPr>
      <t xml:space="preserve"> com cerdas retas, cabo de plástico, tamanho mínimo 33 x 4,3 cm.</t>
    </r>
  </si>
  <si>
    <r>
      <t>Abraçadeiras para  mangueira</t>
    </r>
    <r>
      <rPr>
        <sz val="8.5"/>
        <color indexed="8"/>
        <rFont val="Times New Roman"/>
        <family val="1"/>
      </rPr>
      <t xml:space="preserve"> ¾, em aço carbono.</t>
    </r>
  </si>
  <si>
    <r>
      <t xml:space="preserve">Alicate universal 8” </t>
    </r>
    <r>
      <rPr>
        <sz val="8.5"/>
        <color indexed="8"/>
        <rFont val="Times New Roman"/>
        <family val="1"/>
      </rPr>
      <t>em aço carbono especial forjado e temperado. Marca: Tramontina ou similar.</t>
    </r>
  </si>
  <si>
    <r>
      <t>Balancim individual,</t>
    </r>
    <r>
      <rPr>
        <sz val="8.5"/>
        <color indexed="8"/>
        <rFont val="Times New Roman"/>
        <family val="1"/>
      </rPr>
      <t xml:space="preserve"> cadeira suspensa por cabo de aço, utilizada para lavagem de fachadas, capacidade de carga 120 kg, incluso o peso do operador, sistema de freio absoluto pluss, com banco de fibra. Atende a NR 18 do Ministério do Trabalho. </t>
    </r>
  </si>
  <si>
    <r>
      <t xml:space="preserve">Cabo de aço </t>
    </r>
    <r>
      <rPr>
        <sz val="8.5"/>
        <color indexed="8"/>
        <rFont val="Times New Roman"/>
        <family val="1"/>
      </rPr>
      <t xml:space="preserve"> galvanizado ¼” (6,4 mm) 6x19 AA. Fornecimento: em metros.</t>
    </r>
  </si>
  <si>
    <r>
      <t xml:space="preserve">Capacete, </t>
    </r>
    <r>
      <rPr>
        <sz val="8.5"/>
        <color indexed="8"/>
        <rFont val="Times New Roman"/>
        <family val="1"/>
      </rPr>
      <t>de Segurança, tipo Aba Frontal,  Classe B, com nervura no casco e com fendas laterais para acoplagem de acessórios, cor amarela, protetor auditivo e protetor facial, com suspensão e carneira plástica, regulagem de tamanho com ajuste simples e tira absorvedora de suor em espuma coberta de material sintético, com ou sem jugular ajustável, confeccionada em tira de tecido sintético e fixada na carneira e/ou separada com fechamento com velcro. De acordo com as normas da ABNT e certificação junto ao INMETRO.</t>
    </r>
  </si>
  <si>
    <r>
      <t>Chave de fenda,</t>
    </r>
    <r>
      <rPr>
        <sz val="8.5"/>
        <color indexed="8"/>
        <rFont val="Times New Roman"/>
        <family val="1"/>
      </rPr>
      <t xml:space="preserve"> tamanho média. Marca: Tramontina ou similar.</t>
    </r>
  </si>
  <si>
    <r>
      <t xml:space="preserve">Cinto de segurança tipo paraquedista, </t>
    </r>
    <r>
      <rPr>
        <sz val="8.5"/>
        <color indexed="8"/>
        <rFont val="Times New Roman"/>
        <family val="1"/>
      </rPr>
      <t xml:space="preserve">cinturão de segurança tipo paraquedista, confeccionado em cadarço de material sintético (poliéster) na </t>
    </r>
    <r>
      <rPr>
        <b/>
        <sz val="8.5"/>
        <color indexed="8"/>
        <rFont val="Times New Roman"/>
        <family val="1"/>
      </rPr>
      <t>cor laranja e preta</t>
    </r>
    <r>
      <rPr>
        <sz val="8.5"/>
        <color indexed="8"/>
        <rFont val="Times New Roman"/>
        <family val="1"/>
      </rPr>
      <t>, dotado de 05 fivelas duplas sem pino, confeccionados em aço, sendo 01 para ajuste na correia de cintura, 02 utilizadas para ajuste das pernas e duas utilizadas para ajuste do suspensório. Possui uma meia-argola em d, em aço estampado, sendo fixa ao cinto através de costura reforçada. Possui 02 laços frontais de material sintético, utilizados para ancoragem e está localizados na altura do peito. De acordo com as normas da  ABNT.</t>
    </r>
  </si>
  <si>
    <r>
      <t xml:space="preserve">Corda para rapel estática 12mm, </t>
    </r>
    <r>
      <rPr>
        <sz val="8.5"/>
        <color indexed="8"/>
        <rFont val="Times New Roman"/>
        <family val="1"/>
      </rPr>
      <t>rolo com 100 metros.</t>
    </r>
  </si>
  <si>
    <r>
      <t xml:space="preserve">Extensão telescópica, </t>
    </r>
    <r>
      <rPr>
        <sz val="8.5"/>
        <color indexed="8"/>
        <rFont val="Times New Roman"/>
        <family val="1"/>
      </rPr>
      <t>para alcance de 6m, com 3 estágios de 2 mt, fabricado em alumínio anodizado.</t>
    </r>
  </si>
  <si>
    <r>
      <t xml:space="preserve">Mangueira ¾” trançada flexivel cristal, </t>
    </r>
    <r>
      <rPr>
        <sz val="8.5"/>
        <color indexed="8"/>
        <rFont val="Times New Roman"/>
        <family val="1"/>
      </rPr>
      <t xml:space="preserve">siliconada,  em </t>
    </r>
    <r>
      <rPr>
        <b/>
        <sz val="8.5"/>
        <color indexed="8"/>
        <rFont val="Times New Roman"/>
        <family val="1"/>
      </rPr>
      <t xml:space="preserve"> </t>
    </r>
    <r>
      <rPr>
        <sz val="8.5"/>
        <color indexed="8"/>
        <rFont val="Times New Roman"/>
        <family val="1"/>
      </rPr>
      <t>polipropileno com diâmetro ¾” x 2,5 mm, rolo com 50 metros.</t>
    </r>
  </si>
  <si>
    <r>
      <t xml:space="preserve">Mosquetão tipo D oval, </t>
    </r>
    <r>
      <rPr>
        <sz val="8.5"/>
        <color indexed="8"/>
        <rFont val="Times New Roman"/>
        <family val="1"/>
      </rPr>
      <t>de aço com rosca MOAC-R-25-GV, forjado em aço Carbono com trava dupla roscada.</t>
    </r>
  </si>
  <si>
    <r>
      <t xml:space="preserve">Trava queda, </t>
    </r>
    <r>
      <rPr>
        <sz val="8.5"/>
        <color indexed="8"/>
        <rFont val="Times New Roman"/>
        <family val="1"/>
      </rPr>
      <t>para cabo de corda estática</t>
    </r>
    <r>
      <rPr>
        <b/>
        <sz val="8.5"/>
        <color indexed="8"/>
        <rFont val="Times New Roman"/>
        <family val="1"/>
      </rPr>
      <t xml:space="preserve"> </t>
    </r>
    <r>
      <rPr>
        <sz val="8.5"/>
        <color indexed="8"/>
        <rFont val="Times New Roman"/>
        <family val="1"/>
      </rPr>
      <t>de</t>
    </r>
    <r>
      <rPr>
        <b/>
        <sz val="8.5"/>
        <color indexed="8"/>
        <rFont val="Times New Roman"/>
        <family val="1"/>
      </rPr>
      <t xml:space="preserve"> </t>
    </r>
    <r>
      <rPr>
        <sz val="8.5"/>
        <color indexed="8"/>
        <rFont val="Times New Roman"/>
        <family val="1"/>
      </rPr>
      <t xml:space="preserve"> 12mm, em aço carbono, alavanca de posicionamento, para subir e descer livremente, duplo travamento no corpo. </t>
    </r>
  </si>
  <si>
    <t>menor</t>
  </si>
  <si>
    <t>Férias</t>
  </si>
  <si>
    <t>Jauzeiro</t>
  </si>
  <si>
    <t>1 Servente/900m2/1 dia (8hs)</t>
  </si>
  <si>
    <t>Área Interna - I Produtividade : 1 servente/900m2 - Pisos Laváveis e ou acarpetados</t>
  </si>
  <si>
    <t>Área Interna I - Produtividade : 1/Servente/900m2 - Pisos Laváveis e ou acarpetados</t>
  </si>
  <si>
    <t>Lavadora / Secadora de pisos à Bateria 460MM - BD530 BAT - Karcher*</t>
  </si>
  <si>
    <r>
      <t>(**) PRODUTIVIDADE ALTERADA EM CONFORMIDADE COM O DISPOSTO NO ARTIGO 22º DA INSTRUÇÃO NORMATIVA SLTI/MPOG Nº 02, DE 30/04/2008 E SUAS ALTERAÇÕES, E EM CONFORMIDADE</t>
    </r>
    <r>
      <rPr>
        <b/>
        <sz val="10"/>
        <color indexed="8"/>
        <rFont val="Arial"/>
        <family val="2"/>
      </rPr>
      <t xml:space="preserve"> COM OS ITENS 4.5.2 PÁGINA 05  E 6.2.2 DA PÁGINA 08 DO EDITAL E, APÓS</t>
    </r>
    <r>
      <rPr>
        <b/>
        <sz val="10"/>
        <rFont val="Arial"/>
        <family val="2"/>
      </rPr>
      <t xml:space="preserve">A VISTORIA REALIZADA PELO RESPONSÁVEL TÉCNICO, VERIFICOU-SE QUE A UTILIZAÇÃO DE 1 LAVADOURA E SECADOURA DE PISO MODELO KARCHER B 60 W  SERÁ AUMENTADA A PRODUTIVIDADE DAS ÁREAS, SENDO QUE A ÁREA INTERNA TEVE SUA PRODUTIVIDADE ALTERADA PARA 900M²  POR SERVENTE PERFAZENDO UM TOTAL DE </t>
    </r>
    <r>
      <rPr>
        <b/>
        <sz val="10"/>
        <color indexed="10"/>
        <rFont val="Arial"/>
        <family val="2"/>
      </rPr>
      <t>23 SERVENTES, 2 JAUZEIROS, 1 ENCARREGADOS.</t>
    </r>
  </si>
  <si>
    <t>Treinamento específico na área de atuação e de sustentabItem 11.2.5 do Edital</t>
  </si>
  <si>
    <t>Nota (1) - Os percentuais dos encargos previdenciários e FGTS são aqueles estabelecidos pela legislação vigente.</t>
  </si>
  <si>
    <t>Nota (2) - Percentuais incidentes sobre a remuneração.</t>
  </si>
  <si>
    <t>21,5*24</t>
  </si>
  <si>
    <t>UNIFORMES (EM R$)</t>
  </si>
  <si>
    <t>QUANT. PESSOAS</t>
  </si>
  <si>
    <t>PREÇO UNIT. MÉDIO</t>
  </si>
  <si>
    <t>PREÇO TOTAL ANUAL</t>
  </si>
  <si>
    <t>PREÇO MENSAL POR CATEGORIA</t>
  </si>
  <si>
    <t>SERVENTE E CARREGADOR DE MÓVEIS.</t>
  </si>
  <si>
    <t>CALÇA</t>
  </si>
  <si>
    <t>Peça</t>
  </si>
  <si>
    <t>CAMISETA MANGA CURTA</t>
  </si>
  <si>
    <t>CAMISETA MANGA LONGA</t>
  </si>
  <si>
    <t>BOTA DE SEGURANÇA</t>
  </si>
  <si>
    <t>CASACO DE FRIO</t>
  </si>
  <si>
    <t>MEIA</t>
  </si>
  <si>
    <t>CRACHÁ.</t>
  </si>
  <si>
    <t xml:space="preserve">ENCARREGADA </t>
  </si>
  <si>
    <t>CALÇA FEMININA</t>
  </si>
  <si>
    <t xml:space="preserve">CAMISA </t>
  </si>
  <si>
    <t>CINTO FEMININO</t>
  </si>
  <si>
    <t xml:space="preserve">SAPATO FEMININO </t>
  </si>
  <si>
    <t>CRACHÁ</t>
  </si>
  <si>
    <t>BOTA DE PVC CANO CURTO</t>
  </si>
  <si>
    <t>CALÇA JEANS</t>
  </si>
  <si>
    <t xml:space="preserve">CAPA (TIPO MOTOQUEIRO) </t>
  </si>
  <si>
    <t>BOTA DE PVC CANO LONGO</t>
  </si>
  <si>
    <t xml:space="preserve">AVENTAL </t>
  </si>
  <si>
    <t xml:space="preserve">CRACHÁ </t>
  </si>
  <si>
    <t>AVENTAL</t>
  </si>
  <si>
    <t xml:space="preserve">BONÉ ÁRABE </t>
  </si>
  <si>
    <t>CAPA DE CHUVA</t>
  </si>
  <si>
    <t>TOTAL GERAL ANUAL</t>
  </si>
  <si>
    <t>TOTAL GERAL MENSAL</t>
  </si>
  <si>
    <t>QUANT.ANUAL</t>
  </si>
  <si>
    <t>Incidência do submódulo 4.1 sobre aviso prévio indenizado</t>
  </si>
  <si>
    <t>VALOR DO LANCE</t>
  </si>
  <si>
    <t xml:space="preserve"> PLANILHA DE COMPOSIÇÃO DE CUSTOS E FORMAÇÃO DE PREÇOS</t>
  </si>
  <si>
    <t>AUX. TRANSPORTE</t>
  </si>
  <si>
    <t xml:space="preserve">Lucro </t>
  </si>
  <si>
    <t>AUX.TRANSPORTE</t>
  </si>
  <si>
    <r>
      <t>1/(30x6000</t>
    </r>
    <r>
      <rPr>
        <sz val="11"/>
        <rFont val="Calibri"/>
        <family val="2"/>
      </rPr>
      <t>)</t>
    </r>
  </si>
  <si>
    <r>
      <t>1/(6000</t>
    </r>
    <r>
      <rPr>
        <sz val="11"/>
        <rFont val="Calibri"/>
        <family val="2"/>
      </rPr>
      <t>)</t>
    </r>
  </si>
  <si>
    <r>
      <t>1/(30x</t>
    </r>
    <r>
      <rPr>
        <sz val="11"/>
        <rFont val="Calibri"/>
        <family val="2"/>
      </rPr>
      <t>900</t>
    </r>
    <r>
      <rPr>
        <sz val="11"/>
        <rFont val="Calibri"/>
        <family val="2"/>
      </rPr>
      <t>)</t>
    </r>
  </si>
  <si>
    <r>
      <t>1/(</t>
    </r>
    <r>
      <rPr>
        <sz val="11"/>
        <rFont val="Calibri"/>
        <family val="2"/>
      </rPr>
      <t>900</t>
    </r>
    <r>
      <rPr>
        <sz val="11"/>
        <rFont val="Calibri"/>
        <family val="2"/>
      </rPr>
      <t>)</t>
    </r>
  </si>
  <si>
    <t>PLANILHA DE COMPOSIÇÃO DE CUSTOS E FORMAÇÃO DE PREÇOS</t>
  </si>
  <si>
    <t>Treinamento específico na área de atuação e de sustentabilidade Item 11.2.5 do Edital</t>
  </si>
  <si>
    <t>[</t>
  </si>
  <si>
    <t>Preço Mensal Unitário Repactuado   (R$/M2)</t>
  </si>
  <si>
    <t>QTDE</t>
  </si>
  <si>
    <t>CONTRATO Nº 19/2015-MME</t>
  </si>
  <si>
    <t>B -  POR CATEGORIA FUNCIONAL</t>
  </si>
  <si>
    <t>VALOR MENSAL ATUAL</t>
  </si>
  <si>
    <t>VALOR MENSAL REPACTUADO</t>
  </si>
  <si>
    <t>Subtotal B</t>
  </si>
  <si>
    <t>Total Mensal (Subtotal A + Subtotal B)</t>
  </si>
  <si>
    <t>TOTAL GERAL MENSAL (MÃO DE OBRA + MATERIAL)</t>
  </si>
  <si>
    <t>TOTAL GERAL ANUAL (MÃO DE OBRA +MATERIAL)</t>
  </si>
  <si>
    <t>VALOR (R$)</t>
  </si>
  <si>
    <t>DESCRIÇÃO</t>
  </si>
  <si>
    <t>VALOR ATUAL</t>
  </si>
  <si>
    <t>VALOR REPACTUADO</t>
  </si>
  <si>
    <t>QUADRO RESUMO</t>
  </si>
  <si>
    <t>PROCESSO Nº 48000.000855/2015-51</t>
  </si>
  <si>
    <t>TOTAL GERAL ANUAL (MÃO DE OBRA + MATERIAL)</t>
  </si>
  <si>
    <t>MINSTÉRIO DE MINAS E ENERGIA</t>
  </si>
  <si>
    <t>SECRETARIA EXECUTIVA</t>
  </si>
  <si>
    <t>SUBSECRETARIA DE PLANEJAMENTO, ORÇAMENTO E ADMNISTRAÇÃO</t>
  </si>
  <si>
    <t>COORDENAÇÃO GERAL DE COMPRAS E CONTRATOS</t>
  </si>
  <si>
    <t>COORDENAÇÃO DE ADMNISTRAÇÃO DE CONTRATOS</t>
  </si>
  <si>
    <t>CONTRATO nº 19/2015-MME</t>
  </si>
  <si>
    <t>SUBSECRETARIA DEPLANEJAMENTO, ORÇAMENTO E ADMNISTRAÇÃO</t>
  </si>
  <si>
    <t>SUBSECRETARIA DE PALANEJAMENTO, ORÇAMENTO E ADMINISTRAÇÃO</t>
  </si>
  <si>
    <t>COORDENAÇÃO DE ADMINISTRAÇÃO DE CONTRATOS</t>
  </si>
  <si>
    <t>(MÃO DE OBRA + MATERIAL)</t>
  </si>
  <si>
    <t>VALOR ANUAL DOS SERVIÇOS DE MÃO DE OBRA</t>
  </si>
  <si>
    <t>Diferença Mensal:     (Mão de Obra)</t>
  </si>
  <si>
    <t>(Mão de Obra + Material)</t>
  </si>
  <si>
    <t>REPACTUAÇÃO</t>
  </si>
  <si>
    <t>Assistência Odontológica (Cláusula 18ª) - R$ 5,00</t>
  </si>
  <si>
    <t>Dados complementares para composição dos custos referente à mão de obra</t>
  </si>
  <si>
    <t xml:space="preserve">JAUZEIRO </t>
  </si>
  <si>
    <t>R$</t>
  </si>
  <si>
    <t xml:space="preserve">JARDINEIRO </t>
  </si>
  <si>
    <t>Assistência Odontológica (Cláusula 18ª) R$ 5,00</t>
  </si>
  <si>
    <t xml:space="preserve">CARREGADOR </t>
  </si>
  <si>
    <t>Incidência do Submódulo 4.1 sobre 13º + Adicional de Férias</t>
  </si>
  <si>
    <t>Incidência do Submódulo 4.1 sobre 13º  + Adicional de Férias</t>
  </si>
  <si>
    <t xml:space="preserve">Salário Família </t>
  </si>
  <si>
    <t>VALOR TOTAL DO ORÇAMENTO:</t>
  </si>
  <si>
    <t>SUBSECRETARIA DE PLANEJAMENTO, ORÇAMENTO E ADMINISTRAÇÃO</t>
  </si>
  <si>
    <t>COORDENAÇÃO DE ADMINISTRAÇÃO DE  CONTRATOS</t>
  </si>
  <si>
    <t>Treinamento específico na área de atuação e de sustentab                 Item 11.2.5 do Edital</t>
  </si>
  <si>
    <r>
      <rPr>
        <u/>
        <sz val="11"/>
        <color indexed="10"/>
        <rFont val="Calibri"/>
        <family val="2"/>
      </rPr>
      <t xml:space="preserve"> REAJUSTE PRECLUSO</t>
    </r>
    <r>
      <rPr>
        <sz val="11"/>
        <color indexed="10"/>
        <rFont val="Calibri"/>
        <family val="2"/>
      </rPr>
      <t xml:space="preserve">  MANTER VALOR ANTERIOR   </t>
    </r>
  </si>
  <si>
    <t>ANO: 2017</t>
  </si>
  <si>
    <r>
      <rPr>
        <b/>
        <u/>
        <sz val="12"/>
        <color indexed="8"/>
        <rFont val="Calibri"/>
        <family val="2"/>
      </rPr>
      <t>ORÇAMENTO:</t>
    </r>
    <r>
      <rPr>
        <b/>
        <sz val="12"/>
        <color indexed="8"/>
        <rFont val="Calibri"/>
        <family val="2"/>
      </rPr>
      <t xml:space="preserve"> Obs: considerando a  concessão da Repactuação partir de 01/01/2017</t>
    </r>
  </si>
  <si>
    <r>
      <t>(**) PRODUTIVIDADE ALTERADA EM CONFORMIDADE COM O DISPOSTO NO ARTIGO 22º DA INSTRUÇÃO NORMATIVA SLTI/MPOG Nº 02, DE 30/04/2008 E SUAS ALTERAÇÕES, E EM CONFORMIDADE</t>
    </r>
    <r>
      <rPr>
        <b/>
        <sz val="10"/>
        <color indexed="8"/>
        <rFont val="Arial"/>
        <family val="2"/>
      </rPr>
      <t xml:space="preserve"> COM OS ITENS 4.5.2 PÁGINA 05  E 6.2.2 DA PÁGINA 08 DO EDITAL E, APÓS</t>
    </r>
    <r>
      <rPr>
        <b/>
        <sz val="10"/>
        <rFont val="Arial"/>
        <family val="2"/>
      </rPr>
      <t xml:space="preserve">A VISTORIA REALIZADA PELO RESPONSÁVEL TÉCNICO, VERIFICOU-SE QUE A UTILIZAÇÃO DE 1 LAVADOURA E SECADOURA DE PISO MODELO KARCHER B 60 W  SERÁ AUMENTADA A PRODUTIVIDADE DAS ÁREAS, SENDO QUE A ÁREA INTERNA TEVE SUA PRODUTIVIDADE ALTERADA PARA 900M²  POR SERVENTE PERFAZENDO UM TOTAL DE </t>
    </r>
    <r>
      <rPr>
        <b/>
        <sz val="10"/>
        <color indexed="10"/>
        <rFont val="Arial"/>
        <family val="2"/>
      </rPr>
      <t>23 SERVENTES, 2 JAUZEIROS, 1 ENCARREGADO.</t>
    </r>
  </si>
  <si>
    <t>01 de Janeiro-2017 a Agosto-2017</t>
  </si>
  <si>
    <t>01 de Setembro-2017 a 10-Set-2017</t>
  </si>
  <si>
    <t>Jornada de Trabalho mês (horas)                       (c )</t>
  </si>
  <si>
    <t>Frequência no mês (horas)                                    (b)</t>
  </si>
  <si>
    <t>Jornada de Trabalho mês (horas)                        (c )</t>
  </si>
  <si>
    <r>
      <rPr>
        <sz val="11.5"/>
        <rFont val="Times New Roman"/>
        <family val="1"/>
      </rPr>
      <t xml:space="preserve">Transporte </t>
    </r>
    <r>
      <rPr>
        <b/>
        <sz val="11.5"/>
        <rFont val="Times New Roman"/>
        <family val="1"/>
      </rPr>
      <t>{20,7365X2(R$5,00+R$2,50)-6%}</t>
    </r>
  </si>
  <si>
    <r>
      <t>Auxílio alimentação (vales, cesta básica etc.) -</t>
    </r>
    <r>
      <rPr>
        <b/>
        <sz val="11.5"/>
        <color indexed="10"/>
        <rFont val="Times New Roman"/>
        <family val="1"/>
      </rPr>
      <t xml:space="preserve"> </t>
    </r>
    <r>
      <rPr>
        <b/>
        <sz val="11.5"/>
        <rFont val="Times New Roman"/>
        <family val="1"/>
      </rPr>
      <t>R$ 29,50</t>
    </r>
  </si>
  <si>
    <r>
      <t xml:space="preserve">Transporte </t>
    </r>
    <r>
      <rPr>
        <b/>
        <sz val="11.5"/>
        <rFont val="Times New Roman"/>
        <family val="1"/>
      </rPr>
      <t>{20,7365X2(R$5,00+R$2,50)-6%}</t>
    </r>
  </si>
  <si>
    <r>
      <t>Auxílio alimentação (vales, cesta básica etc.) -</t>
    </r>
    <r>
      <rPr>
        <b/>
        <sz val="11.5"/>
        <rFont val="Times New Roman"/>
        <family val="1"/>
      </rPr>
      <t xml:space="preserve"> R$ 29,50</t>
    </r>
  </si>
  <si>
    <t>1 Encarregado/30 serventes</t>
  </si>
  <si>
    <r>
      <t>1/(30x</t>
    </r>
    <r>
      <rPr>
        <sz val="11"/>
        <rFont val="Calibri"/>
        <family val="2"/>
      </rPr>
      <t>900</t>
    </r>
    <r>
      <rPr>
        <sz val="11"/>
        <rFont val="Calibri"/>
        <family val="2"/>
      </rPr>
      <t>)</t>
    </r>
  </si>
  <si>
    <r>
      <t>1/(</t>
    </r>
    <r>
      <rPr>
        <sz val="11"/>
        <rFont val="Calibri"/>
        <family val="2"/>
      </rPr>
      <t>900</t>
    </r>
    <r>
      <rPr>
        <sz val="11"/>
        <rFont val="Calibri"/>
        <family val="2"/>
      </rPr>
      <t>)</t>
    </r>
  </si>
  <si>
    <r>
      <t>1/(30x1.200</t>
    </r>
    <r>
      <rPr>
        <sz val="11"/>
        <rFont val="Calibri"/>
        <family val="2"/>
      </rPr>
      <t>)</t>
    </r>
  </si>
  <si>
    <r>
      <t>1/(1200</t>
    </r>
    <r>
      <rPr>
        <sz val="11"/>
        <rFont val="Calibri"/>
        <family val="2"/>
      </rPr>
      <t>)</t>
    </r>
  </si>
  <si>
    <r>
      <t>PLANILHA PREÇO MENSAL UNITÁRIO POR M2 -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ATUAL</t>
    </r>
  </si>
  <si>
    <r>
      <t>PLANILHA DE PREÇO MENSLA UNITÁRIO POR M2 -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REPACTUADO</t>
    </r>
  </si>
  <si>
    <r>
      <rPr>
        <b/>
        <u/>
        <sz val="7.5"/>
        <color indexed="10"/>
        <rFont val="Times New Roman"/>
        <family val="1"/>
      </rPr>
      <t xml:space="preserve"> REAJUSTE PRECLUSO</t>
    </r>
    <r>
      <rPr>
        <b/>
        <sz val="7.5"/>
        <color indexed="10"/>
        <rFont val="Times New Roman"/>
        <family val="1"/>
      </rPr>
      <t xml:space="preserve">  MANTER VALOR ANTERIOR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</si>
</sst>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0000"/>
    <numFmt numFmtId="166" formatCode="0.00000000"/>
    <numFmt numFmtId="167" formatCode="0.000000000"/>
    <numFmt numFmtId="168" formatCode="0.0000000000"/>
    <numFmt numFmtId="169" formatCode="0.0%"/>
    <numFmt numFmtId="170" formatCode="#,##0.000000000_ ;\-#,##0.000000000\ "/>
    <numFmt numFmtId="171" formatCode="_-* #,##0_-;\-* #,##0_-;_-* &quot;-&quot;??_-;_-@_-"/>
    <numFmt numFmtId="172" formatCode="&quot;R$&quot;\ #,##0.00;[Red]&quot;R$&quot;\ #,##0.00"/>
    <numFmt numFmtId="173" formatCode="&quot;R$&quot;\ #,##0.00"/>
  </numFmts>
  <fonts count="7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.5"/>
      <color indexed="8"/>
      <name val="Times New Roman"/>
      <family val="1"/>
    </font>
    <font>
      <b/>
      <sz val="11"/>
      <color indexed="8"/>
      <name val="Calibri"/>
      <family val="2"/>
    </font>
    <font>
      <b/>
      <sz val="11.5"/>
      <color indexed="8"/>
      <name val="Times New Roman"/>
      <family val="1"/>
    </font>
    <font>
      <sz val="11"/>
      <color indexed="8"/>
      <name val="Calibri"/>
      <family val="2"/>
    </font>
    <font>
      <sz val="11.5"/>
      <color indexed="8"/>
      <name val="Times New Roman"/>
      <family val="1"/>
    </font>
    <font>
      <b/>
      <sz val="11.5"/>
      <color indexed="8"/>
      <name val="Times New Roman"/>
      <family val="1"/>
    </font>
    <font>
      <b/>
      <sz val="14"/>
      <color indexed="8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b/>
      <sz val="10.5"/>
      <color indexed="8"/>
      <name val="Arial"/>
      <family val="2"/>
    </font>
    <font>
      <b/>
      <sz val="11"/>
      <color indexed="8"/>
      <name val="Times New Roman"/>
      <family val="1"/>
    </font>
    <font>
      <b/>
      <sz val="11"/>
      <color indexed="8"/>
      <name val="Calibri"/>
      <family val="2"/>
    </font>
    <font>
      <sz val="8.5"/>
      <color indexed="8"/>
      <name val="Times New Roman"/>
      <family val="1"/>
    </font>
    <font>
      <sz val="11"/>
      <name val="Times New Roman"/>
      <family val="1"/>
    </font>
    <font>
      <b/>
      <sz val="8.5"/>
      <color indexed="8"/>
      <name val="Times New Roman"/>
      <family val="1"/>
    </font>
    <font>
      <b/>
      <u/>
      <sz val="11"/>
      <color indexed="8"/>
      <name val="Times New Roman"/>
      <family val="1"/>
    </font>
    <font>
      <b/>
      <sz val="9"/>
      <color indexed="8"/>
      <name val="Times New Roman"/>
      <family val="1"/>
    </font>
    <font>
      <sz val="11"/>
      <color indexed="10"/>
      <name val="Calibri"/>
      <family val="2"/>
    </font>
    <font>
      <b/>
      <sz val="11.5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i/>
      <sz val="11"/>
      <color indexed="8"/>
      <name val="Calibri"/>
      <family val="2"/>
    </font>
    <font>
      <sz val="11"/>
      <color indexed="23"/>
      <name val="Calibri"/>
      <family val="2"/>
    </font>
    <font>
      <sz val="10"/>
      <name val="Times New Roman"/>
      <family val="1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sz val="11"/>
      <name val="Calibri"/>
      <family val="2"/>
    </font>
    <font>
      <b/>
      <sz val="10"/>
      <color indexed="8"/>
      <name val="Times New Roman"/>
      <family val="1"/>
    </font>
    <font>
      <b/>
      <sz val="12"/>
      <color indexed="8"/>
      <name val="Calibri"/>
      <family val="2"/>
    </font>
    <font>
      <b/>
      <u/>
      <sz val="12"/>
      <color indexed="8"/>
      <name val="Calibri"/>
      <family val="2"/>
    </font>
    <font>
      <sz val="11.5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1.5"/>
      <color indexed="10"/>
      <name val="Times New Roman"/>
      <family val="1"/>
    </font>
    <font>
      <b/>
      <sz val="11"/>
      <color indexed="10"/>
      <name val="Calibri"/>
      <family val="2"/>
    </font>
    <font>
      <b/>
      <sz val="11"/>
      <name val="Times New Roman"/>
      <family val="1"/>
    </font>
    <font>
      <u/>
      <sz val="11"/>
      <color indexed="10"/>
      <name val="Calibri"/>
      <family val="2"/>
    </font>
    <font>
      <b/>
      <sz val="11"/>
      <name val="Calibri"/>
      <family val="2"/>
    </font>
    <font>
      <b/>
      <u/>
      <sz val="7.5"/>
      <color indexed="10"/>
      <name val="Times New Roman"/>
      <family val="1"/>
    </font>
    <font>
      <b/>
      <sz val="7.5"/>
      <color indexed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8.5"/>
      <color theme="1"/>
      <name val="Times New Roman"/>
      <family val="1"/>
    </font>
    <font>
      <sz val="8.5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1"/>
      <color rgb="FFFF0000"/>
      <name val="Calibri"/>
      <family val="2"/>
      <scheme val="minor"/>
    </font>
    <font>
      <b/>
      <sz val="9"/>
      <color rgb="FFFF0000"/>
      <name val="Times New Roman"/>
      <family val="1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.5"/>
      <color rgb="FFFF0000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.5"/>
      <color rgb="FFFF0000"/>
      <name val="Times New Roman"/>
      <family val="1"/>
    </font>
    <font>
      <sz val="11"/>
      <color rgb="FF0000FF"/>
      <name val="Times New Roman"/>
      <family val="1"/>
    </font>
    <font>
      <b/>
      <u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7.5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9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811">
    <xf numFmtId="0" fontId="0" fillId="0" borderId="0" xfId="0"/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164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164" fontId="6" fillId="0" borderId="1" xfId="2" applyFont="1" applyBorder="1" applyAlignment="1">
      <alignment horizontal="justify" vertical="center" wrapText="1"/>
    </xf>
    <xf numFmtId="10" fontId="6" fillId="0" borderId="1" xfId="3" applyNumberFormat="1" applyFont="1" applyBorder="1" applyAlignment="1">
      <alignment horizontal="center" vertical="center" wrapText="1"/>
    </xf>
    <xf numFmtId="10" fontId="7" fillId="0" borderId="1" xfId="3" applyNumberFormat="1" applyFont="1" applyBorder="1" applyAlignment="1">
      <alignment horizontal="center" vertical="center" wrapText="1"/>
    </xf>
    <xf numFmtId="0" fontId="11" fillId="0" borderId="0" xfId="0" applyFont="1"/>
    <xf numFmtId="0" fontId="11" fillId="2" borderId="0" xfId="0" applyFont="1" applyFill="1"/>
    <xf numFmtId="0" fontId="13" fillId="2" borderId="2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/>
    <xf numFmtId="4" fontId="11" fillId="2" borderId="1" xfId="0" applyNumberFormat="1" applyFont="1" applyFill="1" applyBorder="1"/>
    <xf numFmtId="0" fontId="13" fillId="2" borderId="1" xfId="0" applyFont="1" applyFill="1" applyBorder="1" applyAlignment="1">
      <alignment horizontal="center"/>
    </xf>
    <xf numFmtId="43" fontId="13" fillId="2" borderId="1" xfId="4" applyFont="1" applyFill="1" applyBorder="1"/>
    <xf numFmtId="43" fontId="13" fillId="2" borderId="3" xfId="4" applyFont="1" applyFill="1" applyBorder="1"/>
    <xf numFmtId="0" fontId="13" fillId="2" borderId="4" xfId="0" applyFont="1" applyFill="1" applyBorder="1"/>
    <xf numFmtId="4" fontId="11" fillId="2" borderId="4" xfId="0" applyNumberFormat="1" applyFont="1" applyFill="1" applyBorder="1"/>
    <xf numFmtId="0" fontId="13" fillId="2" borderId="0" xfId="0" applyFont="1" applyFill="1" applyAlignment="1">
      <alignment vertical="center"/>
    </xf>
    <xf numFmtId="0" fontId="13" fillId="2" borderId="5" xfId="0" applyFont="1" applyFill="1" applyBorder="1" applyAlignment="1"/>
    <xf numFmtId="0" fontId="13" fillId="2" borderId="6" xfId="0" applyFont="1" applyFill="1" applyBorder="1"/>
    <xf numFmtId="0" fontId="13" fillId="2" borderId="7" xfId="0" applyFont="1" applyFill="1" applyBorder="1" applyAlignment="1">
      <alignment horizontal="center"/>
    </xf>
    <xf numFmtId="0" fontId="11" fillId="2" borderId="8" xfId="0" applyFont="1" applyFill="1" applyBorder="1"/>
    <xf numFmtId="0" fontId="11" fillId="2" borderId="9" xfId="0" applyFont="1" applyFill="1" applyBorder="1"/>
    <xf numFmtId="0" fontId="11" fillId="2" borderId="10" xfId="0" applyFont="1" applyFill="1" applyBorder="1"/>
    <xf numFmtId="0" fontId="11" fillId="2" borderId="11" xfId="0" applyFont="1" applyFill="1" applyBorder="1"/>
    <xf numFmtId="0" fontId="13" fillId="2" borderId="2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43" fontId="13" fillId="2" borderId="13" xfId="4" applyFont="1" applyFill="1" applyBorder="1" applyAlignment="1">
      <alignment horizontal="center"/>
    </xf>
    <xf numFmtId="43" fontId="11" fillId="2" borderId="3" xfId="4" applyFont="1" applyFill="1" applyBorder="1"/>
    <xf numFmtId="43" fontId="11" fillId="0" borderId="3" xfId="4" applyFont="1" applyBorder="1"/>
    <xf numFmtId="43" fontId="13" fillId="0" borderId="3" xfId="4" applyFont="1" applyBorder="1"/>
    <xf numFmtId="43" fontId="11" fillId="0" borderId="12" xfId="4" applyFont="1" applyBorder="1"/>
    <xf numFmtId="43" fontId="11" fillId="0" borderId="0" xfId="4" applyFont="1"/>
    <xf numFmtId="164" fontId="11" fillId="0" borderId="1" xfId="2" applyFont="1" applyBorder="1"/>
    <xf numFmtId="43" fontId="11" fillId="0" borderId="1" xfId="4" applyFont="1" applyBorder="1"/>
    <xf numFmtId="43" fontId="13" fillId="0" borderId="1" xfId="4" applyFont="1" applyBorder="1"/>
    <xf numFmtId="43" fontId="13" fillId="0" borderId="0" xfId="4" applyFont="1"/>
    <xf numFmtId="43" fontId="11" fillId="0" borderId="7" xfId="4" applyFont="1" applyBorder="1"/>
    <xf numFmtId="43" fontId="13" fillId="0" borderId="12" xfId="0" applyNumberFormat="1" applyFont="1" applyBorder="1"/>
    <xf numFmtId="0" fontId="13" fillId="2" borderId="0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center"/>
    </xf>
    <xf numFmtId="164" fontId="47" fillId="0" borderId="1" xfId="2" applyFont="1" applyBorder="1"/>
    <xf numFmtId="164" fontId="47" fillId="0" borderId="14" xfId="2" applyFont="1" applyBorder="1"/>
    <xf numFmtId="164" fontId="21" fillId="0" borderId="1" xfId="2" applyFont="1" applyBorder="1" applyAlignment="1">
      <alignment horizontal="justify" vertical="center" wrapText="1"/>
    </xf>
    <xf numFmtId="0" fontId="0" fillId="0" borderId="0" xfId="0" applyBorder="1"/>
    <xf numFmtId="0" fontId="0" fillId="0" borderId="15" xfId="0" applyBorder="1" applyAlignment="1"/>
    <xf numFmtId="0" fontId="0" fillId="0" borderId="16" xfId="0" applyBorder="1" applyAlignment="1"/>
    <xf numFmtId="0" fontId="52" fillId="3" borderId="0" xfId="0" applyFont="1" applyFill="1"/>
    <xf numFmtId="164" fontId="4" fillId="0" borderId="1" xfId="2" applyFont="1" applyBorder="1" applyAlignment="1">
      <alignment horizontal="justify" vertical="center" wrapText="1"/>
    </xf>
    <xf numFmtId="164" fontId="51" fillId="0" borderId="0" xfId="2" applyFont="1"/>
    <xf numFmtId="10" fontId="47" fillId="0" borderId="0" xfId="3" applyNumberFormat="1" applyFont="1"/>
    <xf numFmtId="10" fontId="51" fillId="0" borderId="0" xfId="0" applyNumberFormat="1" applyFont="1"/>
    <xf numFmtId="2" fontId="0" fillId="0" borderId="0" xfId="0" applyNumberFormat="1"/>
    <xf numFmtId="165" fontId="0" fillId="0" borderId="0" xfId="0" applyNumberFormat="1"/>
    <xf numFmtId="164" fontId="0" fillId="0" borderId="1" xfId="0" applyNumberFormat="1" applyBorder="1"/>
    <xf numFmtId="164" fontId="0" fillId="0" borderId="14" xfId="0" applyNumberFormat="1" applyBorder="1"/>
    <xf numFmtId="0" fontId="0" fillId="0" borderId="0" xfId="0" quotePrefix="1"/>
    <xf numFmtId="168" fontId="0" fillId="0" borderId="0" xfId="0" applyNumberFormat="1"/>
    <xf numFmtId="166" fontId="0" fillId="0" borderId="1" xfId="0" applyNumberFormat="1" applyBorder="1"/>
    <xf numFmtId="168" fontId="0" fillId="0" borderId="1" xfId="0" applyNumberFormat="1" applyBorder="1"/>
    <xf numFmtId="0" fontId="51" fillId="0" borderId="0" xfId="0" applyFont="1"/>
    <xf numFmtId="0" fontId="51" fillId="0" borderId="1" xfId="0" applyFont="1" applyBorder="1"/>
    <xf numFmtId="168" fontId="0" fillId="0" borderId="14" xfId="0" applyNumberFormat="1" applyBorder="1"/>
    <xf numFmtId="0" fontId="51" fillId="4" borderId="0" xfId="0" applyFont="1" applyFill="1"/>
    <xf numFmtId="0" fontId="0" fillId="4" borderId="0" xfId="0" applyFill="1"/>
    <xf numFmtId="0" fontId="5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43" fontId="47" fillId="0" borderId="1" xfId="4" applyFont="1" applyBorder="1"/>
    <xf numFmtId="43" fontId="11" fillId="2" borderId="12" xfId="4" applyFont="1" applyFill="1" applyBorder="1"/>
    <xf numFmtId="0" fontId="53" fillId="0" borderId="0" xfId="0" applyFont="1" applyAlignment="1">
      <alignment vertical="center"/>
    </xf>
    <xf numFmtId="0" fontId="54" fillId="0" borderId="1" xfId="0" applyFont="1" applyBorder="1" applyAlignment="1">
      <alignment horizontal="center" vertical="center"/>
    </xf>
    <xf numFmtId="164" fontId="54" fillId="0" borderId="1" xfId="2" applyFont="1" applyBorder="1" applyAlignment="1">
      <alignment horizontal="center" vertical="center" wrapText="1"/>
    </xf>
    <xf numFmtId="0" fontId="54" fillId="0" borderId="0" xfId="0" applyFont="1" applyAlignment="1">
      <alignment vertical="center"/>
    </xf>
    <xf numFmtId="0" fontId="53" fillId="4" borderId="1" xfId="0" applyFont="1" applyFill="1" applyBorder="1" applyAlignment="1">
      <alignment horizontal="center" vertical="center" wrapText="1"/>
    </xf>
    <xf numFmtId="0" fontId="54" fillId="4" borderId="1" xfId="0" applyFont="1" applyFill="1" applyBorder="1" applyAlignment="1">
      <alignment horizontal="justify" vertical="center" wrapText="1"/>
    </xf>
    <xf numFmtId="164" fontId="53" fillId="4" borderId="1" xfId="2" applyFont="1" applyFill="1" applyBorder="1" applyAlignment="1">
      <alignment horizontal="center" vertical="center" wrapText="1"/>
    </xf>
    <xf numFmtId="0" fontId="53" fillId="4" borderId="0" xfId="0" applyFont="1" applyFill="1" applyAlignment="1">
      <alignment vertical="center"/>
    </xf>
    <xf numFmtId="0" fontId="53" fillId="0" borderId="1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justify" vertical="center" wrapText="1"/>
    </xf>
    <xf numFmtId="164" fontId="53" fillId="0" borderId="1" xfId="2" applyFont="1" applyBorder="1" applyAlignment="1">
      <alignment horizontal="center" vertical="center" wrapText="1"/>
    </xf>
    <xf numFmtId="0" fontId="54" fillId="4" borderId="1" xfId="0" applyFont="1" applyFill="1" applyBorder="1" applyAlignment="1">
      <alignment vertical="center" wrapText="1"/>
    </xf>
    <xf numFmtId="0" fontId="54" fillId="0" borderId="1" xfId="0" applyFont="1" applyBorder="1" applyAlignment="1">
      <alignment vertical="center" wrapText="1"/>
    </xf>
    <xf numFmtId="0" fontId="24" fillId="4" borderId="1" xfId="1" applyFont="1" applyFill="1" applyBorder="1" applyAlignment="1">
      <alignment horizontal="justify" vertical="center" wrapText="1"/>
    </xf>
    <xf numFmtId="0" fontId="53" fillId="4" borderId="14" xfId="0" applyFont="1" applyFill="1" applyBorder="1" applyAlignment="1">
      <alignment horizontal="center" vertical="center" wrapText="1"/>
    </xf>
    <xf numFmtId="0" fontId="53" fillId="0" borderId="0" xfId="0" applyFont="1" applyAlignment="1">
      <alignment horizontal="center" vertical="center"/>
    </xf>
    <xf numFmtId="0" fontId="54" fillId="0" borderId="17" xfId="0" applyFont="1" applyBorder="1" applyAlignment="1">
      <alignment horizontal="center" vertical="center"/>
    </xf>
    <xf numFmtId="164" fontId="54" fillId="0" borderId="0" xfId="0" applyNumberFormat="1" applyFont="1" applyAlignment="1">
      <alignment vertical="center"/>
    </xf>
    <xf numFmtId="0" fontId="51" fillId="4" borderId="1" xfId="0" applyFont="1" applyFill="1" applyBorder="1" applyAlignment="1">
      <alignment horizontal="center" vertical="center" wrapText="1"/>
    </xf>
    <xf numFmtId="0" fontId="51" fillId="4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center" vertical="center" wrapText="1"/>
    </xf>
    <xf numFmtId="164" fontId="16" fillId="4" borderId="1" xfId="2" applyFont="1" applyFill="1" applyBorder="1" applyAlignment="1">
      <alignment vertical="center"/>
    </xf>
    <xf numFmtId="164" fontId="0" fillId="4" borderId="1" xfId="0" applyNumberFormat="1" applyFont="1" applyFill="1" applyBorder="1" applyAlignment="1">
      <alignment vertical="center"/>
    </xf>
    <xf numFmtId="0" fontId="0" fillId="4" borderId="0" xfId="0" applyFont="1" applyFill="1" applyAlignment="1">
      <alignment vertical="center"/>
    </xf>
    <xf numFmtId="0" fontId="51" fillId="4" borderId="1" xfId="0" applyFont="1" applyFill="1" applyBorder="1" applyAlignment="1">
      <alignment horizontal="center" vertical="center"/>
    </xf>
    <xf numFmtId="164" fontId="51" fillId="4" borderId="1" xfId="2" applyFont="1" applyFill="1" applyBorder="1" applyAlignment="1">
      <alignment horizontal="center" vertical="center"/>
    </xf>
    <xf numFmtId="164" fontId="51" fillId="4" borderId="1" xfId="2" applyFont="1" applyFill="1" applyBorder="1" applyAlignment="1">
      <alignment horizontal="center" vertical="center" wrapText="1"/>
    </xf>
    <xf numFmtId="0" fontId="51" fillId="4" borderId="1" xfId="0" applyFont="1" applyFill="1" applyBorder="1" applyAlignment="1">
      <alignment horizontal="justify" vertical="center" wrapText="1"/>
    </xf>
    <xf numFmtId="164" fontId="16" fillId="4" borderId="1" xfId="2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justify" vertical="center" wrapText="1"/>
    </xf>
    <xf numFmtId="0" fontId="0" fillId="4" borderId="14" xfId="0" applyFont="1" applyFill="1" applyBorder="1" applyAlignment="1">
      <alignment horizontal="justify" vertical="center" wrapText="1"/>
    </xf>
    <xf numFmtId="0" fontId="0" fillId="4" borderId="14" xfId="0" applyFont="1" applyFill="1" applyBorder="1" applyAlignment="1">
      <alignment horizontal="center" vertical="center" wrapText="1"/>
    </xf>
    <xf numFmtId="164" fontId="0" fillId="4" borderId="14" xfId="0" applyNumberFormat="1" applyFont="1" applyFill="1" applyBorder="1" applyAlignment="1">
      <alignment vertical="center"/>
    </xf>
    <xf numFmtId="0" fontId="51" fillId="4" borderId="0" xfId="0" applyFont="1" applyFill="1" applyAlignment="1">
      <alignment vertical="center"/>
    </xf>
    <xf numFmtId="164" fontId="51" fillId="4" borderId="18" xfId="0" applyNumberFormat="1" applyFont="1" applyFill="1" applyBorder="1" applyAlignment="1">
      <alignment vertical="center"/>
    </xf>
    <xf numFmtId="164" fontId="47" fillId="4" borderId="0" xfId="2" applyFont="1" applyFill="1" applyAlignment="1">
      <alignment vertical="center"/>
    </xf>
    <xf numFmtId="0" fontId="55" fillId="0" borderId="1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justify" vertical="center" wrapText="1"/>
    </xf>
    <xf numFmtId="0" fontId="56" fillId="0" borderId="1" xfId="0" applyFont="1" applyBorder="1" applyAlignment="1">
      <alignment horizontal="center" vertical="center" wrapText="1"/>
    </xf>
    <xf numFmtId="164" fontId="56" fillId="0" borderId="1" xfId="2" applyFont="1" applyBorder="1" applyAlignment="1">
      <alignment horizontal="center" vertical="center" wrapText="1"/>
    </xf>
    <xf numFmtId="164" fontId="57" fillId="0" borderId="1" xfId="2" applyFont="1" applyBorder="1" applyAlignment="1">
      <alignment horizontal="center" vertical="center" wrapText="1"/>
    </xf>
    <xf numFmtId="0" fontId="55" fillId="0" borderId="1" xfId="0" applyFont="1" applyBorder="1" applyAlignment="1">
      <alignment vertical="center" wrapText="1"/>
    </xf>
    <xf numFmtId="0" fontId="51" fillId="5" borderId="0" xfId="0" applyFont="1" applyFill="1" applyBorder="1" applyAlignment="1">
      <alignment vertical="center"/>
    </xf>
    <xf numFmtId="0" fontId="0" fillId="4" borderId="1" xfId="0" applyFont="1" applyFill="1" applyBorder="1" applyAlignment="1">
      <alignment horizontal="center" vertical="center"/>
    </xf>
    <xf numFmtId="164" fontId="58" fillId="4" borderId="1" xfId="2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vertical="center" wrapText="1"/>
    </xf>
    <xf numFmtId="164" fontId="51" fillId="4" borderId="19" xfId="0" applyNumberFormat="1" applyFont="1" applyFill="1" applyBorder="1" applyAlignment="1">
      <alignment vertical="center"/>
    </xf>
    <xf numFmtId="164" fontId="51" fillId="4" borderId="1" xfId="0" applyNumberFormat="1" applyFont="1" applyFill="1" applyBorder="1" applyAlignment="1">
      <alignment vertical="center"/>
    </xf>
    <xf numFmtId="0" fontId="51" fillId="4" borderId="1" xfId="0" applyFont="1" applyFill="1" applyBorder="1" applyAlignment="1">
      <alignment vertical="center"/>
    </xf>
    <xf numFmtId="164" fontId="16" fillId="4" borderId="1" xfId="2" applyFont="1" applyFill="1" applyBorder="1" applyAlignment="1">
      <alignment horizontal="center" vertical="center"/>
    </xf>
    <xf numFmtId="164" fontId="47" fillId="4" borderId="1" xfId="2" applyFont="1" applyFill="1" applyBorder="1" applyAlignment="1">
      <alignment horizontal="center" vertical="center"/>
    </xf>
    <xf numFmtId="0" fontId="0" fillId="4" borderId="15" xfId="0" applyFont="1" applyFill="1" applyBorder="1" applyAlignment="1">
      <alignment horizontal="center" vertical="center" wrapText="1"/>
    </xf>
    <xf numFmtId="43" fontId="0" fillId="4" borderId="1" xfId="0" applyNumberFormat="1" applyFont="1" applyFill="1" applyBorder="1" applyAlignment="1">
      <alignment vertical="center"/>
    </xf>
    <xf numFmtId="0" fontId="27" fillId="4" borderId="1" xfId="0" applyFont="1" applyFill="1" applyBorder="1" applyAlignment="1">
      <alignment vertical="center"/>
    </xf>
    <xf numFmtId="164" fontId="51" fillId="0" borderId="7" xfId="0" applyNumberFormat="1" applyFont="1" applyBorder="1"/>
    <xf numFmtId="164" fontId="51" fillId="0" borderId="3" xfId="0" applyNumberFormat="1" applyFont="1" applyBorder="1"/>
    <xf numFmtId="164" fontId="51" fillId="0" borderId="12" xfId="0" applyNumberFormat="1" applyFont="1" applyBorder="1"/>
    <xf numFmtId="164" fontId="47" fillId="0" borderId="0" xfId="2" applyFont="1"/>
    <xf numFmtId="169" fontId="47" fillId="0" borderId="0" xfId="3" applyNumberFormat="1" applyFont="1"/>
    <xf numFmtId="10" fontId="51" fillId="6" borderId="0" xfId="0" applyNumberFormat="1" applyFont="1" applyFill="1"/>
    <xf numFmtId="164" fontId="53" fillId="4" borderId="0" xfId="0" applyNumberFormat="1" applyFont="1" applyFill="1" applyAlignment="1">
      <alignment vertical="center"/>
    </xf>
    <xf numFmtId="164" fontId="0" fillId="4" borderId="0" xfId="0" applyNumberFormat="1" applyFont="1" applyFill="1" applyAlignment="1">
      <alignment vertical="center"/>
    </xf>
    <xf numFmtId="0" fontId="48" fillId="0" borderId="0" xfId="0" applyFont="1"/>
    <xf numFmtId="170" fontId="48" fillId="0" borderId="0" xfId="4" applyNumberFormat="1" applyFont="1"/>
    <xf numFmtId="164" fontId="48" fillId="0" borderId="0" xfId="2" applyFont="1"/>
    <xf numFmtId="164" fontId="59" fillId="0" borderId="0" xfId="0" applyNumberFormat="1" applyFont="1"/>
    <xf numFmtId="167" fontId="48" fillId="0" borderId="0" xfId="0" applyNumberFormat="1" applyFont="1"/>
    <xf numFmtId="2" fontId="48" fillId="0" borderId="0" xfId="0" applyNumberFormat="1" applyFont="1"/>
    <xf numFmtId="166" fontId="48" fillId="0" borderId="0" xfId="0" applyNumberFormat="1" applyFont="1"/>
    <xf numFmtId="165" fontId="48" fillId="0" borderId="0" xfId="0" applyNumberFormat="1" applyFont="1"/>
    <xf numFmtId="168" fontId="48" fillId="0" borderId="0" xfId="0" applyNumberFormat="1" applyFont="1"/>
    <xf numFmtId="0" fontId="60" fillId="2" borderId="10" xfId="0" applyFont="1" applyFill="1" applyBorder="1"/>
    <xf numFmtId="0" fontId="0" fillId="4" borderId="0" xfId="0" applyFont="1" applyFill="1"/>
    <xf numFmtId="0" fontId="0" fillId="4" borderId="0" xfId="0" applyFill="1" applyBorder="1"/>
    <xf numFmtId="0" fontId="2" fillId="0" borderId="1" xfId="0" applyFont="1" applyBorder="1" applyAlignment="1">
      <alignment vertical="center" wrapText="1"/>
    </xf>
    <xf numFmtId="0" fontId="61" fillId="0" borderId="0" xfId="0" applyFont="1" applyAlignment="1">
      <alignment vertical="center" wrapText="1"/>
    </xf>
    <xf numFmtId="0" fontId="56" fillId="7" borderId="2" xfId="0" applyFont="1" applyFill="1" applyBorder="1" applyAlignment="1">
      <alignment horizontal="justify" vertical="center" wrapText="1"/>
    </xf>
    <xf numFmtId="0" fontId="56" fillId="0" borderId="2" xfId="0" applyFont="1" applyBorder="1" applyAlignment="1">
      <alignment horizontal="center" vertical="center" wrapText="1"/>
    </xf>
    <xf numFmtId="0" fontId="56" fillId="7" borderId="2" xfId="0" applyFont="1" applyFill="1" applyBorder="1" applyAlignment="1">
      <alignment horizontal="center" vertical="center" wrapText="1"/>
    </xf>
    <xf numFmtId="164" fontId="56" fillId="7" borderId="2" xfId="2" applyFont="1" applyFill="1" applyBorder="1" applyAlignment="1">
      <alignment horizontal="right" vertical="center"/>
    </xf>
    <xf numFmtId="164" fontId="56" fillId="7" borderId="2" xfId="2" applyFont="1" applyFill="1" applyBorder="1" applyAlignment="1">
      <alignment vertical="center"/>
    </xf>
    <xf numFmtId="0" fontId="56" fillId="7" borderId="1" xfId="0" applyFont="1" applyFill="1" applyBorder="1" applyAlignment="1">
      <alignment vertical="center" wrapText="1"/>
    </xf>
    <xf numFmtId="0" fontId="56" fillId="7" borderId="1" xfId="0" applyFont="1" applyFill="1" applyBorder="1" applyAlignment="1">
      <alignment horizontal="center" vertical="center" wrapText="1"/>
    </xf>
    <xf numFmtId="164" fontId="56" fillId="7" borderId="1" xfId="2" applyFont="1" applyFill="1" applyBorder="1" applyAlignment="1">
      <alignment horizontal="right" vertical="center"/>
    </xf>
    <xf numFmtId="164" fontId="56" fillId="7" borderId="1" xfId="2" applyFont="1" applyFill="1" applyBorder="1" applyAlignment="1">
      <alignment vertical="center"/>
    </xf>
    <xf numFmtId="0" fontId="56" fillId="7" borderId="1" xfId="0" applyFont="1" applyFill="1" applyBorder="1" applyAlignment="1">
      <alignment horizontal="justify" vertical="center" wrapText="1"/>
    </xf>
    <xf numFmtId="0" fontId="56" fillId="7" borderId="4" xfId="0" applyFont="1" applyFill="1" applyBorder="1" applyAlignment="1">
      <alignment vertical="center" wrapText="1"/>
    </xf>
    <xf numFmtId="0" fontId="56" fillId="0" borderId="4" xfId="0" applyFont="1" applyBorder="1" applyAlignment="1">
      <alignment horizontal="center" vertical="center" wrapText="1"/>
    </xf>
    <xf numFmtId="0" fontId="56" fillId="7" borderId="4" xfId="0" applyFont="1" applyFill="1" applyBorder="1" applyAlignment="1">
      <alignment horizontal="center" vertical="center" wrapText="1"/>
    </xf>
    <xf numFmtId="164" fontId="56" fillId="7" borderId="4" xfId="2" applyFont="1" applyFill="1" applyBorder="1" applyAlignment="1">
      <alignment horizontal="right" vertical="center"/>
    </xf>
    <xf numFmtId="164" fontId="56" fillId="7" borderId="4" xfId="2" applyFont="1" applyFill="1" applyBorder="1" applyAlignment="1">
      <alignment vertical="center"/>
    </xf>
    <xf numFmtId="0" fontId="56" fillId="7" borderId="2" xfId="0" applyFont="1" applyFill="1" applyBorder="1" applyAlignment="1">
      <alignment vertical="center" wrapText="1"/>
    </xf>
    <xf numFmtId="0" fontId="56" fillId="7" borderId="4" xfId="0" applyFont="1" applyFill="1" applyBorder="1" applyAlignment="1">
      <alignment horizontal="justify" vertical="center" wrapText="1"/>
    </xf>
    <xf numFmtId="164" fontId="47" fillId="0" borderId="0" xfId="2" applyFont="1"/>
    <xf numFmtId="164" fontId="53" fillId="0" borderId="0" xfId="0" applyNumberFormat="1" applyFont="1" applyAlignment="1">
      <alignment vertical="center"/>
    </xf>
    <xf numFmtId="164" fontId="47" fillId="0" borderId="0" xfId="2" applyFont="1"/>
    <xf numFmtId="164" fontId="62" fillId="0" borderId="0" xfId="0" applyNumberFormat="1" applyFont="1" applyAlignment="1">
      <alignment vertical="center" wrapText="1"/>
    </xf>
    <xf numFmtId="0" fontId="63" fillId="0" borderId="0" xfId="0" applyFont="1"/>
    <xf numFmtId="164" fontId="53" fillId="0" borderId="0" xfId="2" applyFont="1" applyBorder="1" applyAlignment="1">
      <alignment horizontal="center" vertical="center"/>
    </xf>
    <xf numFmtId="164" fontId="54" fillId="0" borderId="15" xfId="2" applyFont="1" applyBorder="1" applyAlignment="1">
      <alignment horizontal="center" vertical="center" wrapText="1"/>
    </xf>
    <xf numFmtId="164" fontId="53" fillId="4" borderId="15" xfId="2" applyFont="1" applyFill="1" applyBorder="1" applyAlignment="1">
      <alignment horizontal="center" vertical="center" wrapText="1"/>
    </xf>
    <xf numFmtId="164" fontId="53" fillId="0" borderId="15" xfId="2" applyFont="1" applyBorder="1" applyAlignment="1">
      <alignment horizontal="center" vertical="center" wrapText="1"/>
    </xf>
    <xf numFmtId="164" fontId="53" fillId="0" borderId="1" xfId="2" applyFont="1" applyBorder="1" applyAlignment="1">
      <alignment horizontal="center" vertical="center"/>
    </xf>
    <xf numFmtId="164" fontId="53" fillId="0" borderId="1" xfId="2" applyFont="1" applyBorder="1" applyAlignment="1">
      <alignment vertical="center"/>
    </xf>
    <xf numFmtId="164" fontId="54" fillId="0" borderId="14" xfId="2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164" fontId="53" fillId="0" borderId="0" xfId="2" applyFont="1" applyBorder="1" applyAlignment="1">
      <alignment vertical="center"/>
    </xf>
    <xf numFmtId="0" fontId="54" fillId="0" borderId="0" xfId="0" applyFont="1" applyBorder="1" applyAlignment="1">
      <alignment horizontal="center" vertical="center"/>
    </xf>
    <xf numFmtId="164" fontId="53" fillId="4" borderId="0" xfId="0" applyNumberFormat="1" applyFont="1" applyFill="1" applyBorder="1" applyAlignment="1">
      <alignment horizontal="center" vertical="center" wrapText="1"/>
    </xf>
    <xf numFmtId="164" fontId="54" fillId="0" borderId="0" xfId="0" applyNumberFormat="1" applyFont="1" applyBorder="1" applyAlignment="1">
      <alignment horizontal="center" vertical="center"/>
    </xf>
    <xf numFmtId="164" fontId="53" fillId="0" borderId="0" xfId="0" applyNumberFormat="1" applyFont="1" applyBorder="1" applyAlignment="1">
      <alignment vertical="center"/>
    </xf>
    <xf numFmtId="164" fontId="64" fillId="0" borderId="0" xfId="0" applyNumberFormat="1" applyFont="1" applyBorder="1" applyAlignment="1">
      <alignment horizontal="center" vertical="center"/>
    </xf>
    <xf numFmtId="164" fontId="51" fillId="4" borderId="0" xfId="0" applyNumberFormat="1" applyFont="1" applyFill="1" applyAlignment="1">
      <alignment vertical="center"/>
    </xf>
    <xf numFmtId="0" fontId="51" fillId="4" borderId="0" xfId="0" applyFont="1" applyFill="1" applyBorder="1" applyAlignment="1">
      <alignment horizontal="center" vertical="center"/>
    </xf>
    <xf numFmtId="164" fontId="51" fillId="4" borderId="0" xfId="2" applyFont="1" applyFill="1" applyBorder="1" applyAlignment="1">
      <alignment horizontal="center" vertical="center" wrapText="1"/>
    </xf>
    <xf numFmtId="164" fontId="0" fillId="4" borderId="0" xfId="0" applyNumberFormat="1" applyFont="1" applyFill="1" applyBorder="1" applyAlignment="1">
      <alignment vertical="center"/>
    </xf>
    <xf numFmtId="164" fontId="51" fillId="4" borderId="0" xfId="0" applyNumberFormat="1" applyFont="1" applyFill="1" applyBorder="1" applyAlignment="1">
      <alignment vertical="center"/>
    </xf>
    <xf numFmtId="0" fontId="51" fillId="4" borderId="0" xfId="0" applyFont="1" applyFill="1" applyBorder="1" applyAlignment="1">
      <alignment horizontal="center" vertical="center" wrapText="1"/>
    </xf>
    <xf numFmtId="164" fontId="0" fillId="4" borderId="1" xfId="0" applyNumberFormat="1" applyFont="1" applyFill="1" applyBorder="1" applyAlignment="1">
      <alignment horizontal="center" vertical="center" wrapText="1"/>
    </xf>
    <xf numFmtId="164" fontId="47" fillId="4" borderId="0" xfId="2" applyFont="1" applyFill="1" applyBorder="1" applyAlignment="1">
      <alignment horizontal="center" vertical="center"/>
    </xf>
    <xf numFmtId="164" fontId="16" fillId="4" borderId="0" xfId="2" applyFont="1" applyFill="1" applyBorder="1" applyAlignment="1">
      <alignment horizontal="center" vertical="center"/>
    </xf>
    <xf numFmtId="164" fontId="16" fillId="4" borderId="0" xfId="2" applyFont="1" applyFill="1" applyBorder="1" applyAlignment="1">
      <alignment vertical="center"/>
    </xf>
    <xf numFmtId="43" fontId="0" fillId="4" borderId="0" xfId="0" applyNumberFormat="1" applyFont="1" applyFill="1" applyBorder="1" applyAlignment="1">
      <alignment vertical="center"/>
    </xf>
    <xf numFmtId="0" fontId="54" fillId="0" borderId="15" xfId="0" applyFont="1" applyBorder="1" applyAlignment="1">
      <alignment horizontal="center" vertical="center"/>
    </xf>
    <xf numFmtId="0" fontId="53" fillId="4" borderId="15" xfId="0" applyFont="1" applyFill="1" applyBorder="1" applyAlignment="1">
      <alignment horizontal="center" vertical="center" wrapText="1"/>
    </xf>
    <xf numFmtId="0" fontId="53" fillId="0" borderId="15" xfId="0" applyFont="1" applyBorder="1" applyAlignment="1">
      <alignment horizontal="center" vertical="center" wrapText="1"/>
    </xf>
    <xf numFmtId="0" fontId="53" fillId="4" borderId="20" xfId="0" applyFont="1" applyFill="1" applyBorder="1" applyAlignment="1">
      <alignment horizontal="center" vertical="center" wrapText="1"/>
    </xf>
    <xf numFmtId="0" fontId="54" fillId="0" borderId="21" xfId="0" applyFont="1" applyBorder="1" applyAlignment="1">
      <alignment horizontal="center" vertical="center"/>
    </xf>
    <xf numFmtId="0" fontId="53" fillId="4" borderId="21" xfId="0" applyFont="1" applyFill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4" borderId="22" xfId="0" applyFont="1" applyFill="1" applyBorder="1" applyAlignment="1">
      <alignment horizontal="center" vertical="center" wrapText="1"/>
    </xf>
    <xf numFmtId="164" fontId="53" fillId="4" borderId="1" xfId="0" applyNumberFormat="1" applyFont="1" applyFill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/>
    </xf>
    <xf numFmtId="0" fontId="54" fillId="0" borderId="23" xfId="0" applyFont="1" applyBorder="1" applyAlignment="1">
      <alignment horizontal="center" vertical="center"/>
    </xf>
    <xf numFmtId="0" fontId="54" fillId="0" borderId="14" xfId="0" applyFont="1" applyBorder="1" applyAlignment="1">
      <alignment horizontal="center" vertical="center"/>
    </xf>
    <xf numFmtId="0" fontId="53" fillId="0" borderId="19" xfId="0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10" fontId="6" fillId="4" borderId="1" xfId="3" applyNumberFormat="1" applyFont="1" applyFill="1" applyBorder="1" applyAlignment="1">
      <alignment horizontal="center" vertical="center" wrapText="1"/>
    </xf>
    <xf numFmtId="0" fontId="0" fillId="0" borderId="24" xfId="0" applyBorder="1"/>
    <xf numFmtId="0" fontId="65" fillId="0" borderId="1" xfId="0" applyFont="1" applyBorder="1" applyAlignment="1">
      <alignment horizontal="center"/>
    </xf>
    <xf numFmtId="0" fontId="65" fillId="0" borderId="14" xfId="0" applyFont="1" applyBorder="1" applyAlignment="1">
      <alignment horizontal="center"/>
    </xf>
    <xf numFmtId="0" fontId="66" fillId="4" borderId="0" xfId="0" applyFont="1" applyFill="1" applyAlignment="1">
      <alignment horizontal="center"/>
    </xf>
    <xf numFmtId="0" fontId="6" fillId="0" borderId="10" xfId="0" applyFont="1" applyBorder="1" applyAlignment="1">
      <alignment horizontal="justify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0" fontId="4" fillId="0" borderId="1" xfId="3" applyNumberFormat="1" applyFont="1" applyBorder="1" applyAlignment="1">
      <alignment horizontal="center" vertical="center" wrapText="1"/>
    </xf>
    <xf numFmtId="164" fontId="4" fillId="0" borderId="1" xfId="2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10" fontId="4" fillId="4" borderId="1" xfId="3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4" fontId="6" fillId="4" borderId="1" xfId="2" applyFont="1" applyFill="1" applyBorder="1" applyAlignment="1">
      <alignment horizontal="justify" vertical="center" wrapText="1"/>
    </xf>
    <xf numFmtId="0" fontId="0" fillId="0" borderId="10" xfId="0" applyBorder="1"/>
    <xf numFmtId="0" fontId="22" fillId="0" borderId="1" xfId="0" applyFont="1" applyBorder="1" applyAlignment="1">
      <alignment vertical="center" wrapText="1"/>
    </xf>
    <xf numFmtId="0" fontId="9" fillId="0" borderId="10" xfId="0" applyFont="1" applyBorder="1" applyAlignment="1">
      <alignment horizontal="justify" vertical="center"/>
    </xf>
    <xf numFmtId="0" fontId="11" fillId="0" borderId="1" xfId="0" applyFont="1" applyBorder="1" applyAlignment="1">
      <alignment vertical="center" wrapText="1"/>
    </xf>
    <xf numFmtId="0" fontId="6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68" fillId="4" borderId="0" xfId="0" applyFont="1" applyFill="1"/>
    <xf numFmtId="0" fontId="69" fillId="4" borderId="0" xfId="0" applyFont="1" applyFill="1"/>
    <xf numFmtId="0" fontId="69" fillId="0" borderId="0" xfId="0" applyFont="1"/>
    <xf numFmtId="0" fontId="69" fillId="0" borderId="1" xfId="0" applyFont="1" applyBorder="1"/>
    <xf numFmtId="164" fontId="69" fillId="0" borderId="1" xfId="0" applyNumberFormat="1" applyFont="1" applyBorder="1"/>
    <xf numFmtId="43" fontId="69" fillId="0" borderId="1" xfId="4" applyFont="1" applyBorder="1"/>
    <xf numFmtId="164" fontId="69" fillId="0" borderId="1" xfId="2" applyFont="1" applyBorder="1"/>
    <xf numFmtId="0" fontId="68" fillId="0" borderId="1" xfId="0" applyFont="1" applyBorder="1"/>
    <xf numFmtId="0" fontId="68" fillId="0" borderId="1" xfId="0" applyFont="1" applyBorder="1" applyAlignment="1">
      <alignment horizontal="center"/>
    </xf>
    <xf numFmtId="0" fontId="69" fillId="0" borderId="1" xfId="0" applyFont="1" applyBorder="1" applyAlignment="1">
      <alignment horizontal="center"/>
    </xf>
    <xf numFmtId="164" fontId="68" fillId="0" borderId="3" xfId="0" applyNumberFormat="1" applyFont="1" applyBorder="1"/>
    <xf numFmtId="164" fontId="68" fillId="0" borderId="12" xfId="0" applyNumberFormat="1" applyFont="1" applyBorder="1"/>
    <xf numFmtId="0" fontId="69" fillId="0" borderId="0" xfId="0" applyFont="1" applyAlignment="1">
      <alignment horizontal="left"/>
    </xf>
    <xf numFmtId="0" fontId="68" fillId="4" borderId="0" xfId="0" applyFont="1" applyFill="1" applyAlignment="1">
      <alignment horizontal="center"/>
    </xf>
    <xf numFmtId="164" fontId="69" fillId="0" borderId="25" xfId="2" applyFont="1" applyBorder="1"/>
    <xf numFmtId="0" fontId="68" fillId="0" borderId="21" xfId="0" applyFont="1" applyBorder="1" applyAlignment="1">
      <alignment horizontal="center"/>
    </xf>
    <xf numFmtId="0" fontId="68" fillId="0" borderId="25" xfId="0" applyFont="1" applyBorder="1" applyAlignment="1">
      <alignment horizontal="center"/>
    </xf>
    <xf numFmtId="0" fontId="68" fillId="4" borderId="0" xfId="0" applyFont="1" applyFill="1" applyBorder="1" applyAlignment="1">
      <alignment horizontal="right"/>
    </xf>
    <xf numFmtId="164" fontId="68" fillId="4" borderId="0" xfId="0" applyNumberFormat="1" applyFont="1" applyFill="1" applyBorder="1"/>
    <xf numFmtId="172" fontId="68" fillId="4" borderId="0" xfId="0" applyNumberFormat="1" applyFont="1" applyFill="1" applyBorder="1"/>
    <xf numFmtId="164" fontId="69" fillId="0" borderId="21" xfId="2" applyNumberFormat="1" applyFont="1" applyBorder="1"/>
    <xf numFmtId="164" fontId="48" fillId="0" borderId="0" xfId="0" applyNumberFormat="1" applyFont="1"/>
    <xf numFmtId="0" fontId="68" fillId="4" borderId="0" xfId="0" applyFont="1" applyFill="1" applyAlignment="1">
      <alignment horizontal="center" vertical="center"/>
    </xf>
    <xf numFmtId="0" fontId="68" fillId="4" borderId="0" xfId="0" applyFont="1" applyFill="1" applyBorder="1" applyAlignment="1">
      <alignment horizontal="center" vertical="center"/>
    </xf>
    <xf numFmtId="164" fontId="68" fillId="0" borderId="1" xfId="2" applyFont="1" applyBorder="1"/>
    <xf numFmtId="164" fontId="68" fillId="4" borderId="1" xfId="0" applyNumberFormat="1" applyFont="1" applyFill="1" applyBorder="1"/>
    <xf numFmtId="164" fontId="68" fillId="4" borderId="25" xfId="0" applyNumberFormat="1" applyFont="1" applyFill="1" applyBorder="1"/>
    <xf numFmtId="164" fontId="68" fillId="0" borderId="25" xfId="0" applyNumberFormat="1" applyFont="1" applyBorder="1"/>
    <xf numFmtId="164" fontId="68" fillId="4" borderId="21" xfId="0" applyNumberFormat="1" applyFont="1" applyFill="1" applyBorder="1"/>
    <xf numFmtId="0" fontId="68" fillId="4" borderId="20" xfId="0" applyFont="1" applyFill="1" applyBorder="1" applyAlignment="1">
      <alignment horizontal="left"/>
    </xf>
    <xf numFmtId="0" fontId="68" fillId="4" borderId="26" xfId="0" applyFont="1" applyFill="1" applyBorder="1" applyAlignment="1">
      <alignment horizontal="left"/>
    </xf>
    <xf numFmtId="164" fontId="68" fillId="4" borderId="26" xfId="0" applyNumberFormat="1" applyFont="1" applyFill="1" applyBorder="1"/>
    <xf numFmtId="164" fontId="68" fillId="4" borderId="26" xfId="0" applyNumberFormat="1" applyFont="1" applyFill="1" applyBorder="1" applyAlignment="1"/>
    <xf numFmtId="0" fontId="0" fillId="4" borderId="26" xfId="0" applyFill="1" applyBorder="1" applyAlignment="1"/>
    <xf numFmtId="164" fontId="68" fillId="4" borderId="22" xfId="0" applyNumberFormat="1" applyFont="1" applyFill="1" applyBorder="1"/>
    <xf numFmtId="0" fontId="68" fillId="0" borderId="3" xfId="0" applyFont="1" applyBorder="1" applyAlignment="1">
      <alignment horizontal="center"/>
    </xf>
    <xf numFmtId="164" fontId="68" fillId="0" borderId="27" xfId="0" applyNumberFormat="1" applyFont="1" applyBorder="1"/>
    <xf numFmtId="0" fontId="69" fillId="0" borderId="28" xfId="0" applyFont="1" applyBorder="1"/>
    <xf numFmtId="164" fontId="51" fillId="4" borderId="1" xfId="0" applyNumberFormat="1" applyFont="1" applyFill="1" applyBorder="1"/>
    <xf numFmtId="0" fontId="0" fillId="0" borderId="8" xfId="0" applyBorder="1"/>
    <xf numFmtId="0" fontId="0" fillId="0" borderId="9" xfId="0" applyBorder="1"/>
    <xf numFmtId="0" fontId="0" fillId="0" borderId="17" xfId="0" applyBorder="1"/>
    <xf numFmtId="0" fontId="66" fillId="4" borderId="0" xfId="0" applyFont="1" applyFill="1" applyAlignment="1">
      <alignment horizontal="center" vertical="center"/>
    </xf>
    <xf numFmtId="0" fontId="0" fillId="4" borderId="0" xfId="0" applyFont="1" applyFill="1" applyAlignment="1">
      <alignment horizontal="left" vertical="center"/>
    </xf>
    <xf numFmtId="0" fontId="0" fillId="0" borderId="29" xfId="0" applyBorder="1"/>
    <xf numFmtId="0" fontId="51" fillId="0" borderId="30" xfId="0" applyFont="1" applyBorder="1"/>
    <xf numFmtId="0" fontId="0" fillId="0" borderId="31" xfId="0" applyBorder="1"/>
    <xf numFmtId="0" fontId="0" fillId="0" borderId="32" xfId="0" applyBorder="1"/>
    <xf numFmtId="164" fontId="47" fillId="0" borderId="3" xfId="2" applyFont="1" applyBorder="1"/>
    <xf numFmtId="0" fontId="51" fillId="0" borderId="33" xfId="0" applyFont="1" applyBorder="1"/>
    <xf numFmtId="0" fontId="51" fillId="0" borderId="10" xfId="0" applyFont="1" applyBorder="1"/>
    <xf numFmtId="0" fontId="51" fillId="0" borderId="3" xfId="0" applyFont="1" applyBorder="1" applyAlignment="1">
      <alignment horizontal="center"/>
    </xf>
    <xf numFmtId="164" fontId="51" fillId="4" borderId="3" xfId="0" applyNumberFormat="1" applyFont="1" applyFill="1" applyBorder="1"/>
    <xf numFmtId="0" fontId="0" fillId="0" borderId="34" xfId="0" applyBorder="1"/>
    <xf numFmtId="0" fontId="0" fillId="0" borderId="35" xfId="0" applyBorder="1"/>
    <xf numFmtId="0" fontId="51" fillId="4" borderId="0" xfId="0" applyFont="1" applyFill="1" applyAlignment="1">
      <alignment horizontal="left"/>
    </xf>
    <xf numFmtId="0" fontId="51" fillId="4" borderId="0" xfId="0" applyFont="1" applyFill="1" applyAlignment="1"/>
    <xf numFmtId="0" fontId="0" fillId="0" borderId="0" xfId="0" applyAlignment="1"/>
    <xf numFmtId="0" fontId="70" fillId="4" borderId="0" xfId="0" applyFont="1" applyFill="1" applyBorder="1" applyAlignment="1">
      <alignment horizontal="center"/>
    </xf>
    <xf numFmtId="164" fontId="51" fillId="4" borderId="0" xfId="0" applyNumberFormat="1" applyFont="1" applyFill="1" applyBorder="1"/>
    <xf numFmtId="0" fontId="51" fillId="0" borderId="9" xfId="0" applyFont="1" applyBorder="1"/>
    <xf numFmtId="164" fontId="51" fillId="4" borderId="21" xfId="0" applyNumberFormat="1" applyFont="1" applyFill="1" applyBorder="1"/>
    <xf numFmtId="0" fontId="68" fillId="0" borderId="0" xfId="0" applyFont="1" applyBorder="1" applyAlignment="1">
      <alignment horizontal="left"/>
    </xf>
    <xf numFmtId="164" fontId="68" fillId="0" borderId="0" xfId="0" applyNumberFormat="1" applyFont="1" applyBorder="1"/>
    <xf numFmtId="164" fontId="68" fillId="0" borderId="0" xfId="0" applyNumberFormat="1" applyFont="1" applyBorder="1" applyAlignment="1"/>
    <xf numFmtId="0" fontId="0" fillId="0" borderId="0" xfId="0" applyBorder="1" applyAlignment="1"/>
    <xf numFmtId="0" fontId="69" fillId="0" borderId="0" xfId="0" applyFont="1" applyBorder="1" applyAlignment="1">
      <alignment horizontal="left"/>
    </xf>
    <xf numFmtId="173" fontId="69" fillId="0" borderId="0" xfId="0" applyNumberFormat="1" applyFont="1" applyBorder="1" applyAlignment="1">
      <alignment horizontal="right"/>
    </xf>
    <xf numFmtId="164" fontId="69" fillId="0" borderId="0" xfId="0" applyNumberFormat="1" applyFont="1" applyBorder="1"/>
    <xf numFmtId="164" fontId="69" fillId="0" borderId="0" xfId="0" applyNumberFormat="1" applyFont="1" applyBorder="1" applyAlignment="1"/>
    <xf numFmtId="0" fontId="0" fillId="0" borderId="0" xfId="0" applyFont="1" applyBorder="1" applyAlignment="1"/>
    <xf numFmtId="0" fontId="2" fillId="0" borderId="1" xfId="0" applyFont="1" applyBorder="1" applyAlignment="1">
      <alignment horizontal="center" vertical="center" wrapText="1"/>
    </xf>
    <xf numFmtId="10" fontId="37" fillId="0" borderId="1" xfId="3" applyNumberFormat="1" applyFont="1" applyBorder="1" applyAlignment="1">
      <alignment horizontal="center" vertical="center" wrapText="1"/>
    </xf>
    <xf numFmtId="10" fontId="21" fillId="0" borderId="1" xfId="3" applyNumberFormat="1" applyFont="1" applyBorder="1" applyAlignment="1">
      <alignment horizontal="center" vertical="center" wrapText="1"/>
    </xf>
    <xf numFmtId="10" fontId="21" fillId="4" borderId="1" xfId="3" applyNumberFormat="1" applyFont="1" applyFill="1" applyBorder="1" applyAlignment="1">
      <alignment horizontal="center" vertical="center" wrapText="1"/>
    </xf>
    <xf numFmtId="164" fontId="51" fillId="0" borderId="1" xfId="2" applyFont="1" applyBorder="1"/>
    <xf numFmtId="10" fontId="47" fillId="0" borderId="1" xfId="3" applyNumberFormat="1" applyFont="1" applyBorder="1"/>
    <xf numFmtId="164" fontId="51" fillId="0" borderId="36" xfId="2" applyFont="1" applyBorder="1"/>
    <xf numFmtId="164" fontId="60" fillId="0" borderId="1" xfId="0" applyNumberFormat="1" applyFont="1" applyBorder="1"/>
    <xf numFmtId="0" fontId="60" fillId="0" borderId="1" xfId="0" applyFont="1" applyBorder="1"/>
    <xf numFmtId="164" fontId="4" fillId="0" borderId="1" xfId="0" applyNumberFormat="1" applyFont="1" applyBorder="1" applyAlignment="1">
      <alignment horizontal="center" vertical="center" wrapText="1"/>
    </xf>
    <xf numFmtId="164" fontId="2" fillId="0" borderId="1" xfId="2" applyFont="1" applyBorder="1" applyAlignment="1">
      <alignment horizontal="justify" vertical="center" wrapText="1"/>
    </xf>
    <xf numFmtId="0" fontId="60" fillId="0" borderId="0" xfId="0" applyFont="1" applyBorder="1"/>
    <xf numFmtId="10" fontId="2" fillId="0" borderId="1" xfId="3" applyNumberFormat="1" applyFont="1" applyBorder="1" applyAlignment="1">
      <alignment horizontal="center" vertical="center" wrapText="1"/>
    </xf>
    <xf numFmtId="10" fontId="2" fillId="4" borderId="1" xfId="3" applyNumberFormat="1" applyFont="1" applyFill="1" applyBorder="1" applyAlignment="1">
      <alignment horizontal="center" vertical="center" wrapText="1"/>
    </xf>
    <xf numFmtId="0" fontId="61" fillId="0" borderId="1" xfId="0" applyFont="1" applyBorder="1"/>
    <xf numFmtId="164" fontId="37" fillId="0" borderId="1" xfId="2" applyFont="1" applyBorder="1" applyAlignment="1">
      <alignment horizontal="justify" vertical="center" wrapText="1"/>
    </xf>
    <xf numFmtId="173" fontId="69" fillId="0" borderId="1" xfId="0" applyNumberFormat="1" applyFont="1" applyBorder="1" applyAlignment="1">
      <alignment horizontal="right"/>
    </xf>
    <xf numFmtId="173" fontId="71" fillId="0" borderId="1" xfId="0" applyNumberFormat="1" applyFont="1" applyBorder="1" applyAlignment="1">
      <alignment horizontal="right"/>
    </xf>
    <xf numFmtId="173" fontId="68" fillId="0" borderId="1" xfId="0" applyNumberFormat="1" applyFont="1" applyBorder="1" applyAlignment="1">
      <alignment horizontal="right"/>
    </xf>
    <xf numFmtId="164" fontId="37" fillId="0" borderId="1" xfId="0" applyNumberFormat="1" applyFont="1" applyBorder="1" applyAlignment="1">
      <alignment horizontal="justify" vertical="center" wrapText="1"/>
    </xf>
    <xf numFmtId="14" fontId="37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10" fontId="37" fillId="4" borderId="1" xfId="3" applyNumberFormat="1" applyFont="1" applyFill="1" applyBorder="1" applyAlignment="1">
      <alignment horizontal="center" vertical="center" wrapText="1"/>
    </xf>
    <xf numFmtId="164" fontId="21" fillId="4" borderId="1" xfId="2" applyFont="1" applyFill="1" applyBorder="1" applyAlignment="1">
      <alignment horizontal="justify" vertical="center" wrapText="1"/>
    </xf>
    <xf numFmtId="164" fontId="37" fillId="4" borderId="1" xfId="2" applyFont="1" applyFill="1" applyBorder="1" applyAlignment="1">
      <alignment horizontal="justify" vertical="center" wrapText="1"/>
    </xf>
    <xf numFmtId="164" fontId="21" fillId="4" borderId="1" xfId="2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64" fontId="4" fillId="4" borderId="1" xfId="2" applyFont="1" applyFill="1" applyBorder="1" applyAlignment="1">
      <alignment horizontal="center" vertical="center" wrapText="1"/>
    </xf>
    <xf numFmtId="0" fontId="65" fillId="0" borderId="1" xfId="0" applyFont="1" applyBorder="1"/>
    <xf numFmtId="14" fontId="21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/>
    <xf numFmtId="0" fontId="27" fillId="0" borderId="1" xfId="0" applyFont="1" applyBorder="1" applyAlignment="1">
      <alignment horizontal="center" vertical="center" wrapText="1"/>
    </xf>
    <xf numFmtId="0" fontId="0" fillId="8" borderId="1" xfId="0" applyFill="1" applyBorder="1"/>
    <xf numFmtId="0" fontId="51" fillId="9" borderId="1" xfId="0" applyFont="1" applyFill="1" applyBorder="1" applyAlignment="1">
      <alignment horizontal="center" vertical="center"/>
    </xf>
    <xf numFmtId="0" fontId="51" fillId="9" borderId="1" xfId="0" applyFont="1" applyFill="1" applyBorder="1" applyAlignment="1">
      <alignment horizontal="center" vertical="center" wrapText="1"/>
    </xf>
    <xf numFmtId="0" fontId="51" fillId="9" borderId="10" xfId="0" applyFont="1" applyFill="1" applyBorder="1" applyAlignment="1">
      <alignment horizontal="center" vertical="center"/>
    </xf>
    <xf numFmtId="0" fontId="51" fillId="9" borderId="3" xfId="0" applyFont="1" applyFill="1" applyBorder="1" applyAlignment="1">
      <alignment horizontal="center" vertical="center"/>
    </xf>
    <xf numFmtId="0" fontId="68" fillId="9" borderId="1" xfId="0" applyFont="1" applyFill="1" applyBorder="1" applyAlignment="1">
      <alignment horizontal="center" vertical="center"/>
    </xf>
    <xf numFmtId="0" fontId="68" fillId="9" borderId="1" xfId="0" applyFont="1" applyFill="1" applyBorder="1" applyAlignment="1">
      <alignment horizontal="center" vertical="center" wrapText="1"/>
    </xf>
    <xf numFmtId="0" fontId="68" fillId="9" borderId="25" xfId="0" applyFont="1" applyFill="1" applyBorder="1" applyAlignment="1">
      <alignment horizontal="center" vertical="center"/>
    </xf>
    <xf numFmtId="0" fontId="0" fillId="9" borderId="1" xfId="0" applyFill="1" applyBorder="1"/>
    <xf numFmtId="0" fontId="0" fillId="9" borderId="1" xfId="0" applyFill="1" applyBorder="1" applyAlignment="1">
      <alignment horizontal="center" wrapText="1"/>
    </xf>
    <xf numFmtId="0" fontId="14" fillId="9" borderId="1" xfId="0" applyFont="1" applyFill="1" applyBorder="1"/>
    <xf numFmtId="0" fontId="14" fillId="9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 wrapText="1"/>
    </xf>
    <xf numFmtId="164" fontId="51" fillId="10" borderId="37" xfId="0" applyNumberFormat="1" applyFont="1" applyFill="1" applyBorder="1"/>
    <xf numFmtId="164" fontId="51" fillId="10" borderId="37" xfId="2" applyFont="1" applyFill="1" applyBorder="1"/>
    <xf numFmtId="164" fontId="37" fillId="0" borderId="1" xfId="2" applyFont="1" applyFill="1" applyBorder="1" applyAlignment="1">
      <alignment horizontal="justify" vertical="center" wrapText="1"/>
    </xf>
    <xf numFmtId="164" fontId="21" fillId="0" borderId="1" xfId="2" applyFont="1" applyFill="1" applyBorder="1" applyAlignment="1">
      <alignment horizontal="justify" vertical="center" wrapText="1"/>
    </xf>
    <xf numFmtId="0" fontId="37" fillId="0" borderId="1" xfId="0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14" fontId="37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0" fillId="0" borderId="0" xfId="0" applyFill="1" applyBorder="1"/>
    <xf numFmtId="164" fontId="4" fillId="0" borderId="1" xfId="2" applyFont="1" applyFill="1" applyBorder="1" applyAlignment="1">
      <alignment horizontal="center" vertical="center" wrapText="1"/>
    </xf>
    <xf numFmtId="10" fontId="37" fillId="0" borderId="1" xfId="3" applyNumberFormat="1" applyFont="1" applyFill="1" applyBorder="1" applyAlignment="1">
      <alignment horizontal="center" vertical="center" wrapText="1"/>
    </xf>
    <xf numFmtId="10" fontId="21" fillId="0" borderId="1" xfId="3" applyNumberFormat="1" applyFont="1" applyFill="1" applyBorder="1" applyAlignment="1">
      <alignment horizontal="center" vertical="center" wrapText="1"/>
    </xf>
    <xf numFmtId="164" fontId="72" fillId="0" borderId="1" xfId="2" applyFont="1" applyFill="1" applyBorder="1" applyAlignment="1">
      <alignment horizontal="justify" vertical="center" wrapText="1"/>
    </xf>
    <xf numFmtId="164" fontId="37" fillId="0" borderId="3" xfId="2" applyFont="1" applyFill="1" applyBorder="1" applyAlignment="1">
      <alignment horizontal="justify" vertical="center" wrapText="1"/>
    </xf>
    <xf numFmtId="164" fontId="21" fillId="0" borderId="3" xfId="2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vertical="center" wrapText="1"/>
    </xf>
    <xf numFmtId="10" fontId="6" fillId="0" borderId="1" xfId="3" applyNumberFormat="1" applyFont="1" applyFill="1" applyBorder="1" applyAlignment="1">
      <alignment horizontal="center" vertical="center" wrapText="1"/>
    </xf>
    <xf numFmtId="164" fontId="6" fillId="0" borderId="1" xfId="2" applyFont="1" applyFill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164" fontId="21" fillId="0" borderId="3" xfId="2" applyFont="1" applyFill="1" applyBorder="1" applyAlignment="1">
      <alignment horizontal="right" vertical="center" wrapText="1"/>
    </xf>
    <xf numFmtId="164" fontId="65" fillId="0" borderId="3" xfId="0" applyNumberFormat="1" applyFont="1" applyFill="1" applyBorder="1"/>
    <xf numFmtId="0" fontId="65" fillId="0" borderId="3" xfId="0" applyFont="1" applyFill="1" applyBorder="1"/>
    <xf numFmtId="0" fontId="6" fillId="0" borderId="1" xfId="0" applyFont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37" fillId="0" borderId="1" xfId="0" applyFont="1" applyBorder="1" applyAlignment="1">
      <alignment horizontal="justify" vertical="center" wrapText="1"/>
    </xf>
    <xf numFmtId="0" fontId="0" fillId="0" borderId="1" xfId="0" applyFill="1" applyBorder="1"/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65" fillId="0" borderId="1" xfId="0" applyFont="1" applyFill="1" applyBorder="1"/>
    <xf numFmtId="0" fontId="37" fillId="0" borderId="1" xfId="0" applyFont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50" fillId="0" borderId="1" xfId="0" applyFont="1" applyFill="1" applyBorder="1"/>
    <xf numFmtId="0" fontId="6" fillId="4" borderId="1" xfId="0" applyFont="1" applyFill="1" applyBorder="1" applyAlignment="1">
      <alignment horizontal="justify" vertical="center" wrapText="1"/>
    </xf>
    <xf numFmtId="0" fontId="65" fillId="4" borderId="1" xfId="0" applyFont="1" applyFill="1" applyBorder="1"/>
    <xf numFmtId="164" fontId="65" fillId="0" borderId="1" xfId="0" applyNumberFormat="1" applyFont="1" applyBorder="1"/>
    <xf numFmtId="0" fontId="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37" fillId="4" borderId="1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164" fontId="21" fillId="0" borderId="1" xfId="2" applyFont="1" applyBorder="1" applyAlignment="1">
      <alignment horizontal="right" vertical="center" wrapText="1"/>
    </xf>
    <xf numFmtId="164" fontId="21" fillId="0" borderId="1" xfId="2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justify" vertical="center"/>
    </xf>
    <xf numFmtId="164" fontId="37" fillId="0" borderId="1" xfId="0" applyNumberFormat="1" applyFont="1" applyFill="1" applyBorder="1" applyAlignment="1">
      <alignment horizontal="justify" vertical="center" wrapText="1"/>
    </xf>
    <xf numFmtId="164" fontId="65" fillId="0" borderId="1" xfId="0" applyNumberFormat="1" applyFont="1" applyFill="1" applyBorder="1"/>
    <xf numFmtId="0" fontId="37" fillId="0" borderId="1" xfId="0" applyFont="1" applyFill="1" applyBorder="1" applyAlignment="1">
      <alignment horizontal="justify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164" fontId="21" fillId="4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65" fillId="9" borderId="1" xfId="0" applyFont="1" applyFill="1" applyBorder="1"/>
    <xf numFmtId="0" fontId="7" fillId="9" borderId="1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164" fontId="4" fillId="9" borderId="1" xfId="2" applyFont="1" applyFill="1" applyBorder="1" applyAlignment="1">
      <alignment horizontal="center" vertical="center" wrapText="1"/>
    </xf>
    <xf numFmtId="164" fontId="21" fillId="9" borderId="1" xfId="2" applyFont="1" applyFill="1" applyBorder="1" applyAlignment="1">
      <alignment horizontal="center" vertical="center" wrapText="1"/>
    </xf>
    <xf numFmtId="43" fontId="47" fillId="9" borderId="1" xfId="4" applyFont="1" applyFill="1" applyBorder="1"/>
    <xf numFmtId="173" fontId="51" fillId="9" borderId="1" xfId="0" applyNumberFormat="1" applyFont="1" applyFill="1" applyBorder="1"/>
    <xf numFmtId="10" fontId="7" fillId="9" borderId="1" xfId="3" applyNumberFormat="1" applyFont="1" applyFill="1" applyBorder="1" applyAlignment="1">
      <alignment horizontal="center" vertical="center" wrapText="1"/>
    </xf>
    <xf numFmtId="164" fontId="7" fillId="9" borderId="1" xfId="2" applyFont="1" applyFill="1" applyBorder="1" applyAlignment="1">
      <alignment horizontal="justify" vertical="center" wrapText="1"/>
    </xf>
    <xf numFmtId="10" fontId="21" fillId="9" borderId="1" xfId="3" applyNumberFormat="1" applyFont="1" applyFill="1" applyBorder="1" applyAlignment="1">
      <alignment horizontal="center" vertical="center" wrapText="1"/>
    </xf>
    <xf numFmtId="164" fontId="21" fillId="9" borderId="1" xfId="2" applyFont="1" applyFill="1" applyBorder="1" applyAlignment="1">
      <alignment horizontal="justify" vertical="center" wrapText="1"/>
    </xf>
    <xf numFmtId="164" fontId="4" fillId="9" borderId="1" xfId="0" applyNumberFormat="1" applyFont="1" applyFill="1" applyBorder="1" applyAlignment="1">
      <alignment horizontal="center" vertical="center" wrapText="1"/>
    </xf>
    <xf numFmtId="164" fontId="21" fillId="9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justify" vertical="center"/>
    </xf>
    <xf numFmtId="0" fontId="2" fillId="4" borderId="10" xfId="0" applyFont="1" applyFill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/>
    </xf>
    <xf numFmtId="164" fontId="16" fillId="0" borderId="1" xfId="0" applyNumberFormat="1" applyFont="1" applyBorder="1"/>
    <xf numFmtId="0" fontId="8" fillId="0" borderId="10" xfId="0" applyFont="1" applyBorder="1" applyAlignment="1">
      <alignment horizontal="justify" vertical="center"/>
    </xf>
    <xf numFmtId="0" fontId="60" fillId="0" borderId="1" xfId="0" applyFont="1" applyBorder="1" applyAlignment="1">
      <alignment horizontal="center"/>
    </xf>
    <xf numFmtId="0" fontId="73" fillId="0" borderId="1" xfId="0" applyFont="1" applyBorder="1"/>
    <xf numFmtId="0" fontId="4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65" fillId="9" borderId="3" xfId="0" applyFont="1" applyFill="1" applyBorder="1"/>
    <xf numFmtId="0" fontId="7" fillId="9" borderId="10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164" fontId="21" fillId="9" borderId="3" xfId="2" applyFont="1" applyFill="1" applyBorder="1" applyAlignment="1">
      <alignment horizontal="justify" vertical="center" wrapText="1"/>
    </xf>
    <xf numFmtId="164" fontId="21" fillId="9" borderId="3" xfId="2" applyFont="1" applyFill="1" applyBorder="1" applyAlignment="1">
      <alignment horizontal="center" vertical="center" wrapText="1"/>
    </xf>
    <xf numFmtId="164" fontId="21" fillId="9" borderId="3" xfId="0" applyNumberFormat="1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0" fillId="0" borderId="3" xfId="0" applyFill="1" applyBorder="1"/>
    <xf numFmtId="0" fontId="38" fillId="0" borderId="3" xfId="0" applyFont="1" applyFill="1" applyBorder="1" applyAlignment="1">
      <alignment horizontal="left" vertical="center"/>
    </xf>
    <xf numFmtId="0" fontId="37" fillId="0" borderId="3" xfId="0" applyFont="1" applyFill="1" applyBorder="1" applyAlignment="1">
      <alignment horizontal="left" vertical="center" wrapText="1"/>
    </xf>
    <xf numFmtId="164" fontId="21" fillId="0" borderId="3" xfId="2" applyFont="1" applyFill="1" applyBorder="1" applyAlignment="1">
      <alignment horizontal="center" vertical="center" wrapText="1"/>
    </xf>
    <xf numFmtId="0" fontId="38" fillId="0" borderId="3" xfId="0" applyFont="1" applyFill="1" applyBorder="1" applyAlignment="1">
      <alignment horizontal="center" vertical="center"/>
    </xf>
    <xf numFmtId="164" fontId="21" fillId="0" borderId="3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left" vertical="center"/>
    </xf>
    <xf numFmtId="0" fontId="39" fillId="0" borderId="3" xfId="0" applyFont="1" applyFill="1" applyBorder="1" applyAlignment="1">
      <alignment horizontal="center" vertical="center"/>
    </xf>
    <xf numFmtId="164" fontId="16" fillId="0" borderId="3" xfId="0" applyNumberFormat="1" applyFont="1" applyFill="1" applyBorder="1"/>
    <xf numFmtId="0" fontId="16" fillId="0" borderId="3" xfId="0" applyFont="1" applyFill="1" applyBorder="1"/>
    <xf numFmtId="0" fontId="50" fillId="0" borderId="1" xfId="0" applyFont="1" applyFill="1" applyBorder="1" applyAlignment="1">
      <alignment vertical="center" wrapText="1"/>
    </xf>
    <xf numFmtId="164" fontId="51" fillId="0" borderId="18" xfId="2" applyFont="1" applyBorder="1"/>
    <xf numFmtId="164" fontId="51" fillId="0" borderId="18" xfId="2" applyNumberFormat="1" applyFont="1" applyBorder="1"/>
    <xf numFmtId="0" fontId="60" fillId="0" borderId="1" xfId="0" applyFont="1" applyFill="1" applyBorder="1"/>
    <xf numFmtId="0" fontId="60" fillId="0" borderId="3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16" fillId="0" borderId="1" xfId="0" applyFont="1" applyFill="1" applyBorder="1"/>
    <xf numFmtId="0" fontId="27" fillId="0" borderId="1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/>
    </xf>
    <xf numFmtId="0" fontId="42" fillId="0" borderId="3" xfId="0" applyFont="1" applyFill="1" applyBorder="1" applyAlignment="1">
      <alignment horizontal="center" vertical="center"/>
    </xf>
    <xf numFmtId="0" fontId="60" fillId="0" borderId="0" xfId="0" applyFont="1" applyFill="1" applyBorder="1"/>
    <xf numFmtId="0" fontId="60" fillId="9" borderId="1" xfId="0" applyFont="1" applyFill="1" applyBorder="1"/>
    <xf numFmtId="0" fontId="16" fillId="9" borderId="1" xfId="0" applyFont="1" applyFill="1" applyBorder="1"/>
    <xf numFmtId="0" fontId="16" fillId="9" borderId="3" xfId="0" applyFont="1" applyFill="1" applyBorder="1"/>
    <xf numFmtId="10" fontId="4" fillId="9" borderId="1" xfId="3" applyNumberFormat="1" applyFont="1" applyFill="1" applyBorder="1" applyAlignment="1">
      <alignment horizontal="center" vertical="center" wrapText="1"/>
    </xf>
    <xf numFmtId="164" fontId="4" fillId="9" borderId="1" xfId="2" applyFont="1" applyFill="1" applyBorder="1" applyAlignment="1">
      <alignment horizontal="justify" vertical="center" wrapText="1"/>
    </xf>
    <xf numFmtId="164" fontId="37" fillId="0" borderId="3" xfId="0" applyNumberFormat="1" applyFont="1" applyFill="1" applyBorder="1" applyAlignment="1">
      <alignment horizontal="justify" vertical="center" wrapText="1"/>
    </xf>
    <xf numFmtId="0" fontId="8" fillId="0" borderId="3" xfId="0" applyFont="1" applyBorder="1" applyAlignment="1">
      <alignment horizontal="left" vertical="center"/>
    </xf>
    <xf numFmtId="164" fontId="69" fillId="0" borderId="1" xfId="0" applyNumberFormat="1" applyFont="1" applyFill="1" applyBorder="1"/>
    <xf numFmtId="164" fontId="69" fillId="0" borderId="25" xfId="2" applyFont="1" applyFill="1" applyBorder="1"/>
    <xf numFmtId="164" fontId="0" fillId="0" borderId="1" xfId="0" applyNumberFormat="1" applyFill="1" applyBorder="1"/>
    <xf numFmtId="164" fontId="0" fillId="0" borderId="14" xfId="0" applyNumberFormat="1" applyFill="1" applyBorder="1"/>
    <xf numFmtId="0" fontId="21" fillId="9" borderId="1" xfId="0" applyFont="1" applyFill="1" applyBorder="1" applyAlignment="1">
      <alignment horizontal="center" vertical="center" wrapText="1"/>
    </xf>
    <xf numFmtId="164" fontId="65" fillId="0" borderId="14" xfId="0" applyNumberFormat="1" applyFont="1" applyFill="1" applyBorder="1"/>
    <xf numFmtId="0" fontId="50" fillId="0" borderId="0" xfId="0" applyFont="1" applyFill="1" applyAlignment="1">
      <alignment horizontal="center"/>
    </xf>
    <xf numFmtId="43" fontId="50" fillId="0" borderId="0" xfId="4" applyFont="1" applyFill="1"/>
    <xf numFmtId="164" fontId="69" fillId="0" borderId="21" xfId="2" applyNumberFormat="1" applyFont="1" applyFill="1" applyBorder="1"/>
    <xf numFmtId="49" fontId="74" fillId="11" borderId="0" xfId="0" applyNumberFormat="1" applyFont="1" applyFill="1" applyBorder="1" applyAlignment="1">
      <alignment horizontal="left"/>
    </xf>
    <xf numFmtId="0" fontId="68" fillId="11" borderId="0" xfId="0" applyFont="1" applyFill="1" applyBorder="1" applyAlignment="1">
      <alignment horizontal="left"/>
    </xf>
    <xf numFmtId="43" fontId="11" fillId="9" borderId="18" xfId="0" applyNumberFormat="1" applyFont="1" applyFill="1" applyBorder="1"/>
    <xf numFmtId="171" fontId="11" fillId="9" borderId="18" xfId="0" applyNumberFormat="1" applyFont="1" applyFill="1" applyBorder="1"/>
    <xf numFmtId="164" fontId="56" fillId="9" borderId="19" xfId="2" applyFont="1" applyFill="1" applyBorder="1" applyAlignment="1">
      <alignment vertical="center"/>
    </xf>
    <xf numFmtId="164" fontId="56" fillId="9" borderId="19" xfId="2" applyFont="1" applyFill="1" applyBorder="1" applyAlignment="1">
      <alignment horizontal="center" vertical="center"/>
    </xf>
    <xf numFmtId="164" fontId="55" fillId="9" borderId="1" xfId="2" applyFont="1" applyFill="1" applyBorder="1" applyAlignment="1">
      <alignment vertical="center"/>
    </xf>
    <xf numFmtId="164" fontId="55" fillId="9" borderId="1" xfId="2" applyFont="1" applyFill="1" applyBorder="1" applyAlignment="1">
      <alignment horizontal="center" vertical="center"/>
    </xf>
    <xf numFmtId="164" fontId="55" fillId="9" borderId="1" xfId="2" applyFont="1" applyFill="1" applyBorder="1" applyAlignment="1">
      <alignment horizontal="center" vertical="center" wrapText="1"/>
    </xf>
    <xf numFmtId="164" fontId="55" fillId="9" borderId="14" xfId="2" applyFont="1" applyFill="1" applyBorder="1" applyAlignment="1">
      <alignment horizontal="center" vertical="center" wrapText="1"/>
    </xf>
    <xf numFmtId="164" fontId="16" fillId="9" borderId="1" xfId="2" applyFont="1" applyFill="1" applyBorder="1"/>
    <xf numFmtId="164" fontId="0" fillId="9" borderId="1" xfId="0" applyNumberFormat="1" applyFill="1" applyBorder="1"/>
    <xf numFmtId="0" fontId="51" fillId="9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vertical="center"/>
    </xf>
    <xf numFmtId="0" fontId="37" fillId="0" borderId="1" xfId="0" applyFont="1" applyBorder="1" applyAlignment="1">
      <alignment vertical="center" wrapText="1"/>
    </xf>
    <xf numFmtId="164" fontId="21" fillId="0" borderId="1" xfId="2" applyFont="1" applyFill="1" applyBorder="1" applyAlignment="1">
      <alignment horizontal="center" vertical="center" wrapText="1"/>
    </xf>
    <xf numFmtId="0" fontId="37" fillId="0" borderId="10" xfId="0" applyFont="1" applyBorder="1" applyAlignment="1">
      <alignment horizontal="justify" vertical="center" wrapText="1"/>
    </xf>
    <xf numFmtId="0" fontId="37" fillId="4" borderId="1" xfId="0" applyFont="1" applyFill="1" applyBorder="1" applyAlignment="1">
      <alignment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right"/>
    </xf>
    <xf numFmtId="164" fontId="37" fillId="0" borderId="1" xfId="0" applyNumberFormat="1" applyFont="1" applyFill="1" applyBorder="1" applyAlignment="1">
      <alignment horizontal="justify" vertical="center" wrapText="1"/>
    </xf>
    <xf numFmtId="164" fontId="4" fillId="9" borderId="1" xfId="0" applyNumberFormat="1" applyFont="1" applyFill="1" applyBorder="1" applyAlignment="1">
      <alignment vertical="center" wrapText="1"/>
    </xf>
    <xf numFmtId="0" fontId="0" fillId="9" borderId="1" xfId="0" applyFill="1" applyBorder="1" applyAlignment="1">
      <alignment vertical="center" wrapText="1"/>
    </xf>
    <xf numFmtId="164" fontId="6" fillId="0" borderId="1" xfId="0" applyNumberFormat="1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164" fontId="21" fillId="9" borderId="1" xfId="0" applyNumberFormat="1" applyFont="1" applyFill="1" applyBorder="1" applyAlignment="1">
      <alignment vertical="center" wrapText="1"/>
    </xf>
    <xf numFmtId="0" fontId="65" fillId="9" borderId="1" xfId="0" applyFont="1" applyFill="1" applyBorder="1" applyAlignment="1">
      <alignment vertical="center" wrapText="1"/>
    </xf>
    <xf numFmtId="164" fontId="37" fillId="0" borderId="1" xfId="0" applyNumberFormat="1" applyFont="1" applyBorder="1" applyAlignment="1">
      <alignment horizontal="justify" vertical="center" wrapText="1"/>
    </xf>
    <xf numFmtId="0" fontId="37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164" fontId="4" fillId="9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7" fillId="11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34" fillId="0" borderId="15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14" fontId="21" fillId="11" borderId="15" xfId="0" applyNumberFormat="1" applyFont="1" applyFill="1" applyBorder="1" applyAlignment="1">
      <alignment horizontal="center" vertical="center" wrapText="1"/>
    </xf>
    <xf numFmtId="14" fontId="21" fillId="11" borderId="21" xfId="0" applyNumberFormat="1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14" fontId="37" fillId="0" borderId="15" xfId="0" applyNumberFormat="1" applyFont="1" applyBorder="1" applyAlignment="1">
      <alignment horizontal="center" vertical="center" wrapText="1"/>
    </xf>
    <xf numFmtId="14" fontId="37" fillId="0" borderId="2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77" fillId="0" borderId="14" xfId="0" applyFont="1" applyFill="1" applyBorder="1" applyAlignment="1">
      <alignment horizontal="center" vertical="center" wrapText="1"/>
    </xf>
    <xf numFmtId="0" fontId="77" fillId="0" borderId="19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 wrapText="1"/>
    </xf>
    <xf numFmtId="0" fontId="7" fillId="9" borderId="16" xfId="0" applyFont="1" applyFill="1" applyBorder="1" applyAlignment="1">
      <alignment horizontal="center" vertical="center" wrapText="1"/>
    </xf>
    <xf numFmtId="0" fontId="7" fillId="9" borderId="2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164" fontId="21" fillId="9" borderId="4" xfId="0" applyNumberFormat="1" applyFont="1" applyFill="1" applyBorder="1" applyAlignment="1">
      <alignment vertical="center" wrapText="1"/>
    </xf>
    <xf numFmtId="0" fontId="65" fillId="9" borderId="4" xfId="0" applyFont="1" applyFill="1" applyBorder="1" applyAlignment="1">
      <alignment vertical="center" wrapText="1"/>
    </xf>
    <xf numFmtId="0" fontId="7" fillId="9" borderId="11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164" fontId="4" fillId="9" borderId="4" xfId="0" applyNumberFormat="1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9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/>
    </xf>
    <xf numFmtId="0" fontId="4" fillId="11" borderId="10" xfId="0" applyFont="1" applyFill="1" applyBorder="1" applyAlignment="1">
      <alignment horizontal="center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164" fontId="4" fillId="9" borderId="4" xfId="0" applyNumberFormat="1" applyFont="1" applyFill="1" applyBorder="1" applyAlignment="1">
      <alignment vertical="center" wrapText="1"/>
    </xf>
    <xf numFmtId="0" fontId="0" fillId="9" borderId="4" xfId="0" applyFill="1" applyBorder="1" applyAlignment="1">
      <alignment vertical="center" wrapText="1"/>
    </xf>
    <xf numFmtId="0" fontId="37" fillId="0" borderId="3" xfId="0" applyFont="1" applyFill="1" applyBorder="1" applyAlignment="1">
      <alignment horizontal="justify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65" fillId="9" borderId="12" xfId="0" applyFont="1" applyFill="1" applyBorder="1" applyAlignment="1">
      <alignment vertical="center" wrapText="1"/>
    </xf>
    <xf numFmtId="14" fontId="21" fillId="11" borderId="1" xfId="0" applyNumberFormat="1" applyFont="1" applyFill="1" applyBorder="1" applyAlignment="1">
      <alignment horizontal="center" vertical="center" wrapText="1"/>
    </xf>
    <xf numFmtId="14" fontId="21" fillId="11" borderId="3" xfId="0" applyNumberFormat="1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34" fillId="0" borderId="10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50" fillId="0" borderId="14" xfId="0" applyFont="1" applyFill="1" applyBorder="1" applyAlignment="1">
      <alignment horizontal="center" vertical="center" wrapText="1"/>
    </xf>
    <xf numFmtId="0" fontId="50" fillId="0" borderId="19" xfId="0" applyFont="1" applyFill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4" fillId="9" borderId="38" xfId="0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center" vertical="center" wrapText="1"/>
    </xf>
    <xf numFmtId="0" fontId="4" fillId="9" borderId="3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9" borderId="38" xfId="0" applyFont="1" applyFill="1" applyBorder="1" applyAlignment="1">
      <alignment horizontal="center" vertical="center" wrapText="1"/>
    </xf>
    <xf numFmtId="0" fontId="7" fillId="9" borderId="39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8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34" fillId="0" borderId="38" xfId="0" applyFont="1" applyBorder="1" applyAlignment="1">
      <alignment horizontal="center" vertical="center"/>
    </xf>
    <xf numFmtId="0" fontId="34" fillId="0" borderId="39" xfId="0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 wrapText="1"/>
    </xf>
    <xf numFmtId="0" fontId="16" fillId="9" borderId="4" xfId="0" applyFont="1" applyFill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22" fillId="0" borderId="1" xfId="0" applyNumberFormat="1" applyFont="1" applyBorder="1" applyAlignment="1">
      <alignment horizontal="justify" vertical="center" wrapText="1"/>
    </xf>
    <xf numFmtId="0" fontId="22" fillId="0" borderId="1" xfId="0" applyFont="1" applyBorder="1" applyAlignment="1">
      <alignment horizontal="justify" vertical="center" wrapText="1"/>
    </xf>
    <xf numFmtId="0" fontId="16" fillId="9" borderId="12" xfId="0" applyFont="1" applyFill="1" applyBorder="1" applyAlignment="1">
      <alignment vertical="center" wrapText="1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3" fillId="9" borderId="23" xfId="0" applyFont="1" applyFill="1" applyBorder="1" applyAlignment="1">
      <alignment horizontal="center" wrapText="1"/>
    </xf>
    <xf numFmtId="0" fontId="13" fillId="9" borderId="5" xfId="0" applyFont="1" applyFill="1" applyBorder="1" applyAlignment="1">
      <alignment horizontal="center" wrapText="1"/>
    </xf>
    <xf numFmtId="0" fontId="13" fillId="9" borderId="40" xfId="0" applyFont="1" applyFill="1" applyBorder="1" applyAlignment="1">
      <alignment horizontal="center" wrapText="1"/>
    </xf>
    <xf numFmtId="0" fontId="13" fillId="9" borderId="41" xfId="0" applyFont="1" applyFill="1" applyBorder="1" applyAlignment="1">
      <alignment horizontal="center" wrapText="1"/>
    </xf>
    <xf numFmtId="0" fontId="13" fillId="9" borderId="42" xfId="0" applyFont="1" applyFill="1" applyBorder="1" applyAlignment="1">
      <alignment horizontal="center" wrapText="1"/>
    </xf>
    <xf numFmtId="0" fontId="13" fillId="9" borderId="43" xfId="0" applyFont="1" applyFill="1" applyBorder="1" applyAlignment="1">
      <alignment horizont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3" fillId="9" borderId="8" xfId="0" applyFont="1" applyFill="1" applyBorder="1" applyAlignment="1">
      <alignment horizontal="center"/>
    </xf>
    <xf numFmtId="0" fontId="13" fillId="9" borderId="9" xfId="0" applyFont="1" applyFill="1" applyBorder="1" applyAlignment="1">
      <alignment horizontal="center"/>
    </xf>
    <xf numFmtId="0" fontId="13" fillId="9" borderId="17" xfId="0" applyFont="1" applyFill="1" applyBorder="1" applyAlignment="1">
      <alignment horizontal="center"/>
    </xf>
    <xf numFmtId="0" fontId="11" fillId="0" borderId="0" xfId="0" applyFont="1" applyBorder="1" applyAlignment="1"/>
    <xf numFmtId="0" fontId="13" fillId="2" borderId="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1" fillId="0" borderId="11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/>
    </xf>
    <xf numFmtId="0" fontId="13" fillId="9" borderId="1" xfId="0" applyFont="1" applyFill="1" applyBorder="1" applyAlignment="1">
      <alignment horizontal="center"/>
    </xf>
    <xf numFmtId="0" fontId="11" fillId="0" borderId="5" xfId="0" applyFont="1" applyBorder="1" applyAlignment="1">
      <alignment horizontal="left"/>
    </xf>
    <xf numFmtId="0" fontId="13" fillId="9" borderId="23" xfId="0" applyFont="1" applyFill="1" applyBorder="1" applyAlignment="1">
      <alignment horizontal="center"/>
    </xf>
    <xf numFmtId="0" fontId="13" fillId="9" borderId="5" xfId="0" applyFont="1" applyFill="1" applyBorder="1" applyAlignment="1">
      <alignment horizontal="center"/>
    </xf>
    <xf numFmtId="0" fontId="13" fillId="9" borderId="40" xfId="0" applyFont="1" applyFill="1" applyBorder="1" applyAlignment="1">
      <alignment horizontal="center"/>
    </xf>
    <xf numFmtId="0" fontId="11" fillId="2" borderId="38" xfId="0" applyFont="1" applyFill="1" applyBorder="1" applyAlignment="1">
      <alignment horizontal="left"/>
    </xf>
    <xf numFmtId="0" fontId="13" fillId="2" borderId="16" xfId="0" applyFont="1" applyFill="1" applyBorder="1" applyAlignment="1">
      <alignment horizontal="left"/>
    </xf>
    <xf numFmtId="0" fontId="13" fillId="2" borderId="21" xfId="0" applyFont="1" applyFill="1" applyBorder="1" applyAlignment="1">
      <alignment horizontal="left"/>
    </xf>
    <xf numFmtId="0" fontId="13" fillId="2" borderId="38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/>
    </xf>
    <xf numFmtId="0" fontId="13" fillId="2" borderId="39" xfId="0" applyFont="1" applyFill="1" applyBorder="1" applyAlignment="1">
      <alignment horizontal="center"/>
    </xf>
    <xf numFmtId="0" fontId="75" fillId="9" borderId="6" xfId="0" applyFont="1" applyFill="1" applyBorder="1" applyAlignment="1">
      <alignment horizontal="center"/>
    </xf>
    <xf numFmtId="0" fontId="75" fillId="9" borderId="2" xfId="0" applyFont="1" applyFill="1" applyBorder="1" applyAlignment="1">
      <alignment horizontal="center"/>
    </xf>
    <xf numFmtId="0" fontId="75" fillId="9" borderId="7" xfId="0" applyFont="1" applyFill="1" applyBorder="1" applyAlignment="1">
      <alignment horizontal="center"/>
    </xf>
    <xf numFmtId="4" fontId="13" fillId="11" borderId="4" xfId="0" applyNumberFormat="1" applyFont="1" applyFill="1" applyBorder="1" applyAlignment="1">
      <alignment horizontal="center"/>
    </xf>
    <xf numFmtId="4" fontId="13" fillId="11" borderId="12" xfId="0" applyNumberFormat="1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3" fillId="11" borderId="8" xfId="0" applyFont="1" applyFill="1" applyBorder="1" applyAlignment="1">
      <alignment horizontal="center"/>
    </xf>
    <xf numFmtId="0" fontId="13" fillId="11" borderId="9" xfId="0" applyFont="1" applyFill="1" applyBorder="1" applyAlignment="1">
      <alignment horizontal="center"/>
    </xf>
    <xf numFmtId="0" fontId="13" fillId="11" borderId="17" xfId="0" applyFont="1" applyFill="1" applyBorder="1" applyAlignment="1">
      <alignment horizontal="center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75" fillId="9" borderId="8" xfId="0" applyFont="1" applyFill="1" applyBorder="1" applyAlignment="1">
      <alignment horizontal="center"/>
    </xf>
    <xf numFmtId="0" fontId="75" fillId="9" borderId="9" xfId="0" applyFont="1" applyFill="1" applyBorder="1" applyAlignment="1">
      <alignment horizontal="center"/>
    </xf>
    <xf numFmtId="0" fontId="75" fillId="9" borderId="17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55" fillId="7" borderId="6" xfId="0" applyFont="1" applyFill="1" applyBorder="1" applyAlignment="1">
      <alignment horizontal="center" vertical="center" wrapText="1"/>
    </xf>
    <xf numFmtId="0" fontId="55" fillId="7" borderId="10" xfId="0" applyFont="1" applyFill="1" applyBorder="1" applyAlignment="1">
      <alignment horizontal="center" vertical="center" wrapText="1"/>
    </xf>
    <xf numFmtId="0" fontId="55" fillId="7" borderId="11" xfId="0" applyFont="1" applyFill="1" applyBorder="1" applyAlignment="1">
      <alignment horizontal="center" vertical="center" wrapText="1"/>
    </xf>
    <xf numFmtId="164" fontId="55" fillId="7" borderId="7" xfId="2" applyFont="1" applyFill="1" applyBorder="1" applyAlignment="1">
      <alignment horizontal="center" vertical="center"/>
    </xf>
    <xf numFmtId="164" fontId="55" fillId="7" borderId="3" xfId="2" applyFont="1" applyFill="1" applyBorder="1" applyAlignment="1">
      <alignment horizontal="center" vertical="center"/>
    </xf>
    <xf numFmtId="164" fontId="55" fillId="7" borderId="12" xfId="2" applyFont="1" applyFill="1" applyBorder="1" applyAlignment="1">
      <alignment horizontal="center" vertical="center"/>
    </xf>
    <xf numFmtId="0" fontId="56" fillId="9" borderId="19" xfId="0" applyFont="1" applyFill="1" applyBorder="1" applyAlignment="1">
      <alignment horizontal="center" vertical="center" wrapText="1"/>
    </xf>
    <xf numFmtId="0" fontId="55" fillId="9" borderId="1" xfId="0" applyFont="1" applyFill="1" applyBorder="1" applyAlignment="1">
      <alignment horizontal="center" vertical="center" wrapText="1"/>
    </xf>
    <xf numFmtId="0" fontId="55" fillId="9" borderId="14" xfId="0" applyFont="1" applyFill="1" applyBorder="1" applyAlignment="1">
      <alignment horizontal="center" vertical="center" wrapText="1"/>
    </xf>
    <xf numFmtId="164" fontId="55" fillId="9" borderId="1" xfId="2" applyFont="1" applyFill="1" applyBorder="1" applyAlignment="1">
      <alignment horizontal="center" vertical="center" wrapText="1"/>
    </xf>
    <xf numFmtId="164" fontId="55" fillId="9" borderId="14" xfId="2" applyFont="1" applyFill="1" applyBorder="1" applyAlignment="1">
      <alignment horizontal="center" vertical="center" wrapText="1"/>
    </xf>
    <xf numFmtId="0" fontId="54" fillId="0" borderId="36" xfId="0" applyFont="1" applyBorder="1" applyAlignment="1">
      <alignment horizontal="center" vertical="center"/>
    </xf>
    <xf numFmtId="0" fontId="51" fillId="4" borderId="15" xfId="0" applyFont="1" applyFill="1" applyBorder="1" applyAlignment="1">
      <alignment horizontal="center" vertical="center"/>
    </xf>
    <xf numFmtId="0" fontId="51" fillId="4" borderId="16" xfId="0" applyFont="1" applyFill="1" applyBorder="1" applyAlignment="1">
      <alignment horizontal="center" vertical="center"/>
    </xf>
    <xf numFmtId="0" fontId="51" fillId="4" borderId="21" xfId="0" applyFont="1" applyFill="1" applyBorder="1" applyAlignment="1">
      <alignment horizontal="center" vertical="center"/>
    </xf>
    <xf numFmtId="0" fontId="51" fillId="4" borderId="19" xfId="0" applyFont="1" applyFill="1" applyBorder="1" applyAlignment="1">
      <alignment horizontal="center" vertical="center"/>
    </xf>
    <xf numFmtId="0" fontId="51" fillId="4" borderId="1" xfId="0" applyFont="1" applyFill="1" applyBorder="1" applyAlignment="1">
      <alignment horizontal="center" vertical="center"/>
    </xf>
    <xf numFmtId="0" fontId="51" fillId="4" borderId="8" xfId="0" applyFont="1" applyFill="1" applyBorder="1" applyAlignment="1">
      <alignment horizontal="center" vertical="center"/>
    </xf>
    <xf numFmtId="0" fontId="51" fillId="4" borderId="9" xfId="0" applyFont="1" applyFill="1" applyBorder="1" applyAlignment="1">
      <alignment horizontal="center" vertical="center"/>
    </xf>
    <xf numFmtId="0" fontId="51" fillId="4" borderId="17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51" fillId="5" borderId="0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51" fillId="9" borderId="1" xfId="0" applyFont="1" applyFill="1" applyBorder="1" applyAlignment="1">
      <alignment horizontal="center" vertical="center"/>
    </xf>
    <xf numFmtId="0" fontId="51" fillId="0" borderId="36" xfId="0" applyFont="1" applyBorder="1" applyAlignment="1">
      <alignment horizontal="center"/>
    </xf>
    <xf numFmtId="0" fontId="76" fillId="4" borderId="1" xfId="0" applyFont="1" applyFill="1" applyBorder="1" applyAlignment="1">
      <alignment horizontal="center" vertical="center" wrapText="1"/>
    </xf>
    <xf numFmtId="0" fontId="76" fillId="4" borderId="14" xfId="0" applyFont="1" applyFill="1" applyBorder="1" applyAlignment="1">
      <alignment horizontal="center" vertical="center" wrapText="1"/>
    </xf>
    <xf numFmtId="0" fontId="76" fillId="4" borderId="19" xfId="0" applyFont="1" applyFill="1" applyBorder="1" applyAlignment="1">
      <alignment horizontal="center" vertical="center" wrapText="1"/>
    </xf>
    <xf numFmtId="0" fontId="14" fillId="8" borderId="23" xfId="0" applyFont="1" applyFill="1" applyBorder="1" applyAlignment="1">
      <alignment horizontal="center"/>
    </xf>
    <xf numFmtId="0" fontId="14" fillId="8" borderId="5" xfId="0" applyFont="1" applyFill="1" applyBorder="1" applyAlignment="1">
      <alignment horizontal="center"/>
    </xf>
    <xf numFmtId="0" fontId="14" fillId="8" borderId="40" xfId="0" applyFont="1" applyFill="1" applyBorder="1" applyAlignment="1">
      <alignment horizontal="center"/>
    </xf>
    <xf numFmtId="0" fontId="14" fillId="0" borderId="47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51" fillId="4" borderId="0" xfId="0" applyFont="1" applyFill="1" applyAlignment="1"/>
    <xf numFmtId="0" fontId="0" fillId="0" borderId="0" xfId="0" applyAlignment="1"/>
    <xf numFmtId="0" fontId="51" fillId="0" borderId="0" xfId="0" applyFont="1" applyAlignment="1">
      <alignment horizontal="center"/>
    </xf>
    <xf numFmtId="0" fontId="30" fillId="0" borderId="0" xfId="0" applyFont="1" applyAlignment="1">
      <alignment horizontal="justify" vertical="center" wrapText="1"/>
    </xf>
    <xf numFmtId="0" fontId="66" fillId="4" borderId="0" xfId="0" applyFont="1" applyFill="1" applyAlignment="1">
      <alignment horizontal="center"/>
    </xf>
    <xf numFmtId="0" fontId="51" fillId="0" borderId="47" xfId="0" applyFont="1" applyBorder="1" applyAlignment="1">
      <alignment horizontal="center"/>
    </xf>
    <xf numFmtId="0" fontId="51" fillId="0" borderId="48" xfId="0" applyFont="1" applyBorder="1" applyAlignment="1">
      <alignment horizontal="center"/>
    </xf>
    <xf numFmtId="0" fontId="14" fillId="8" borderId="1" xfId="0" applyFont="1" applyFill="1" applyBorder="1" applyAlignment="1">
      <alignment horizontal="center"/>
    </xf>
    <xf numFmtId="0" fontId="51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1" fillId="0" borderId="0" xfId="0" applyFont="1" applyAlignment="1">
      <alignment horizontal="left"/>
    </xf>
    <xf numFmtId="0" fontId="68" fillId="4" borderId="15" xfId="0" applyFont="1" applyFill="1" applyBorder="1" applyAlignment="1">
      <alignment horizontal="left"/>
    </xf>
    <xf numFmtId="0" fontId="0" fillId="4" borderId="16" xfId="0" applyFill="1" applyBorder="1" applyAlignment="1">
      <alignment horizontal="left"/>
    </xf>
    <xf numFmtId="0" fontId="0" fillId="4" borderId="21" xfId="0" applyFill="1" applyBorder="1" applyAlignment="1">
      <alignment horizontal="left"/>
    </xf>
    <xf numFmtId="164" fontId="68" fillId="4" borderId="15" xfId="0" applyNumberFormat="1" applyFont="1" applyFill="1" applyBorder="1" applyAlignment="1"/>
    <xf numFmtId="0" fontId="0" fillId="4" borderId="21" xfId="0" applyFill="1" applyBorder="1" applyAlignment="1"/>
    <xf numFmtId="172" fontId="68" fillId="4" borderId="49" xfId="0" applyNumberFormat="1" applyFont="1" applyFill="1" applyBorder="1" applyAlignment="1"/>
    <xf numFmtId="0" fontId="0" fillId="4" borderId="16" xfId="0" applyFill="1" applyBorder="1" applyAlignment="1"/>
    <xf numFmtId="0" fontId="68" fillId="0" borderId="10" xfId="0" applyFont="1" applyBorder="1" applyAlignment="1">
      <alignment horizontal="left"/>
    </xf>
    <xf numFmtId="0" fontId="68" fillId="0" borderId="1" xfId="0" applyFont="1" applyBorder="1" applyAlignment="1">
      <alignment horizontal="left"/>
    </xf>
    <xf numFmtId="0" fontId="69" fillId="0" borderId="49" xfId="0" applyFont="1" applyBorder="1" applyAlignment="1"/>
    <xf numFmtId="0" fontId="0" fillId="0" borderId="21" xfId="0" applyBorder="1" applyAlignment="1"/>
    <xf numFmtId="0" fontId="68" fillId="0" borderId="50" xfId="0" applyFont="1" applyBorder="1" applyAlignment="1">
      <alignment horizontal="center"/>
    </xf>
    <xf numFmtId="0" fontId="51" fillId="0" borderId="51" xfId="0" applyFont="1" applyBorder="1" applyAlignment="1">
      <alignment horizontal="center"/>
    </xf>
    <xf numFmtId="0" fontId="68" fillId="0" borderId="49" xfId="0" applyFont="1" applyBorder="1" applyAlignment="1">
      <alignment horizontal="center"/>
    </xf>
    <xf numFmtId="0" fontId="51" fillId="0" borderId="16" xfId="0" applyFont="1" applyBorder="1" applyAlignment="1">
      <alignment horizontal="center"/>
    </xf>
    <xf numFmtId="0" fontId="51" fillId="0" borderId="21" xfId="0" applyFont="1" applyBorder="1" applyAlignment="1">
      <alignment horizontal="center"/>
    </xf>
    <xf numFmtId="164" fontId="69" fillId="0" borderId="49" xfId="2" applyFont="1" applyBorder="1" applyAlignment="1"/>
    <xf numFmtId="0" fontId="35" fillId="0" borderId="0" xfId="0" applyFont="1" applyBorder="1" applyAlignment="1">
      <alignment horizontal="left"/>
    </xf>
    <xf numFmtId="0" fontId="68" fillId="0" borderId="0" xfId="0" applyFont="1" applyBorder="1" applyAlignment="1">
      <alignment horizontal="left"/>
    </xf>
    <xf numFmtId="0" fontId="68" fillId="0" borderId="11" xfId="0" applyFont="1" applyBorder="1" applyAlignment="1">
      <alignment horizontal="left"/>
    </xf>
    <xf numFmtId="0" fontId="68" fillId="0" borderId="4" xfId="0" applyFont="1" applyBorder="1" applyAlignment="1">
      <alignment horizontal="left"/>
    </xf>
    <xf numFmtId="164" fontId="68" fillId="0" borderId="49" xfId="0" applyNumberFormat="1" applyFont="1" applyBorder="1" applyAlignment="1"/>
    <xf numFmtId="164" fontId="68" fillId="0" borderId="52" xfId="0" applyNumberFormat="1" applyFont="1" applyBorder="1" applyAlignment="1"/>
    <xf numFmtId="0" fontId="0" fillId="0" borderId="53" xfId="0" applyBorder="1" applyAlignment="1"/>
    <xf numFmtId="0" fontId="68" fillId="0" borderId="16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51" fillId="0" borderId="54" xfId="0" applyFont="1" applyBorder="1" applyAlignment="1">
      <alignment horizontal="center"/>
    </xf>
    <xf numFmtId="0" fontId="68" fillId="0" borderId="38" xfId="0" applyFont="1" applyBorder="1" applyAlignment="1">
      <alignment horizontal="center"/>
    </xf>
    <xf numFmtId="0" fontId="68" fillId="4" borderId="16" xfId="0" applyFont="1" applyFill="1" applyBorder="1" applyAlignment="1">
      <alignment horizontal="left"/>
    </xf>
    <xf numFmtId="0" fontId="68" fillId="4" borderId="21" xfId="0" applyFont="1" applyFill="1" applyBorder="1" applyAlignment="1">
      <alignment horizontal="left"/>
    </xf>
    <xf numFmtId="0" fontId="68" fillId="0" borderId="55" xfId="0" applyFont="1" applyBorder="1" applyAlignment="1">
      <alignment horizontal="center"/>
    </xf>
    <xf numFmtId="0" fontId="51" fillId="0" borderId="56" xfId="0" applyFont="1" applyBorder="1" applyAlignment="1">
      <alignment horizontal="center"/>
    </xf>
    <xf numFmtId="0" fontId="68" fillId="4" borderId="8" xfId="0" applyFont="1" applyFill="1" applyBorder="1" applyAlignment="1">
      <alignment horizontal="center"/>
    </xf>
    <xf numFmtId="0" fontId="68" fillId="4" borderId="9" xfId="0" applyFont="1" applyFill="1" applyBorder="1" applyAlignment="1">
      <alignment horizontal="center"/>
    </xf>
    <xf numFmtId="0" fontId="0" fillId="0" borderId="9" xfId="0" applyBorder="1" applyAlignment="1"/>
    <xf numFmtId="0" fontId="0" fillId="0" borderId="17" xfId="0" applyBorder="1" applyAlignment="1"/>
    <xf numFmtId="0" fontId="68" fillId="4" borderId="0" xfId="0" applyFont="1" applyFill="1" applyAlignment="1">
      <alignment horizontal="left"/>
    </xf>
    <xf numFmtId="0" fontId="51" fillId="0" borderId="6" xfId="0" applyFont="1" applyBorder="1" applyAlignment="1">
      <alignment horizontal="left"/>
    </xf>
    <xf numFmtId="0" fontId="51" fillId="0" borderId="2" xfId="0" applyFont="1" applyBorder="1" applyAlignment="1">
      <alignment horizontal="left"/>
    </xf>
    <xf numFmtId="0" fontId="51" fillId="0" borderId="10" xfId="0" applyFont="1" applyBorder="1" applyAlignment="1">
      <alignment horizontal="left"/>
    </xf>
    <xf numFmtId="0" fontId="51" fillId="0" borderId="1" xfId="0" applyFont="1" applyBorder="1" applyAlignment="1">
      <alignment horizontal="left"/>
    </xf>
    <xf numFmtId="0" fontId="51" fillId="0" borderId="11" xfId="0" applyFont="1" applyBorder="1" applyAlignment="1">
      <alignment horizontal="left"/>
    </xf>
    <xf numFmtId="0" fontId="51" fillId="0" borderId="4" xfId="0" applyFont="1" applyBorder="1" applyAlignment="1">
      <alignment horizontal="left"/>
    </xf>
    <xf numFmtId="0" fontId="51" fillId="4" borderId="38" xfId="0" applyFont="1" applyFill="1" applyBorder="1" applyAlignment="1">
      <alignment horizontal="center"/>
    </xf>
    <xf numFmtId="0" fontId="51" fillId="4" borderId="16" xfId="0" applyFont="1" applyFill="1" applyBorder="1" applyAlignment="1">
      <alignment horizontal="center"/>
    </xf>
    <xf numFmtId="0" fontId="51" fillId="4" borderId="21" xfId="0" applyFont="1" applyFill="1" applyBorder="1" applyAlignment="1">
      <alignment horizontal="center"/>
    </xf>
    <xf numFmtId="0" fontId="51" fillId="0" borderId="8" xfId="0" applyFont="1" applyBorder="1" applyAlignment="1">
      <alignment horizontal="center"/>
    </xf>
    <xf numFmtId="0" fontId="51" fillId="0" borderId="9" xfId="0" applyFont="1" applyBorder="1" applyAlignment="1">
      <alignment horizontal="center"/>
    </xf>
    <xf numFmtId="0" fontId="51" fillId="0" borderId="17" xfId="0" applyFont="1" applyBorder="1" applyAlignment="1">
      <alignment horizontal="center"/>
    </xf>
    <xf numFmtId="0" fontId="68" fillId="4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51" fillId="4" borderId="1" xfId="0" applyFont="1" applyFill="1" applyBorder="1" applyAlignment="1">
      <alignment horizontal="right"/>
    </xf>
    <xf numFmtId="0" fontId="51" fillId="4" borderId="15" xfId="0" applyFont="1" applyFill="1" applyBorder="1" applyAlignment="1">
      <alignment horizontal="center"/>
    </xf>
    <xf numFmtId="0" fontId="51" fillId="0" borderId="15" xfId="0" applyFont="1" applyBorder="1" applyAlignment="1"/>
    <xf numFmtId="0" fontId="51" fillId="0" borderId="16" xfId="0" applyFont="1" applyBorder="1" applyAlignment="1"/>
    <xf numFmtId="0" fontId="51" fillId="0" borderId="21" xfId="0" applyFont="1" applyBorder="1" applyAlignment="1"/>
  </cellXfs>
  <cellStyles count="5">
    <cellStyle name="Hiperlink" xfId="1" builtinId="8"/>
    <cellStyle name="Moeda" xfId="2" builtinId="4"/>
    <cellStyle name="Normal" xfId="0" builtinId="0"/>
    <cellStyle name="Porcentagem" xfId="3" builtinId="5"/>
    <cellStyle name="Vírgula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superepi.com.br/pesquisa/?p=ks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0"/>
  <sheetViews>
    <sheetView view="pageBreakPreview" topLeftCell="A85" zoomScale="80" zoomScaleNormal="100" zoomScaleSheetLayoutView="80" workbookViewId="0">
      <selection activeCell="Q20" sqref="Q20"/>
    </sheetView>
  </sheetViews>
  <sheetFormatPr defaultRowHeight="15" x14ac:dyDescent="0.25"/>
  <cols>
    <col min="1" max="1" width="14.85546875" customWidth="1"/>
    <col min="2" max="2" width="58" customWidth="1"/>
    <col min="3" max="3" width="22" hidden="1" customWidth="1"/>
    <col min="4" max="4" width="23.140625" hidden="1" customWidth="1"/>
    <col min="5" max="5" width="10.5703125" hidden="1" customWidth="1"/>
    <col min="6" max="6" width="14.42578125" hidden="1" customWidth="1"/>
    <col min="7" max="7" width="22" customWidth="1"/>
    <col min="8" max="8" width="22.42578125" customWidth="1"/>
    <col min="9" max="9" width="19.85546875" customWidth="1"/>
    <col min="10" max="10" width="20.7109375" customWidth="1"/>
    <col min="11" max="11" width="13.85546875" customWidth="1"/>
    <col min="12" max="12" width="13.28515625" bestFit="1" customWidth="1"/>
    <col min="13" max="13" width="13.140625" customWidth="1"/>
    <col min="14" max="14" width="13.28515625" bestFit="1" customWidth="1"/>
  </cols>
  <sheetData>
    <row r="1" spans="1:10" x14ac:dyDescent="0.25">
      <c r="A1" s="524" t="s">
        <v>337</v>
      </c>
      <c r="B1" s="524"/>
      <c r="C1" s="524"/>
      <c r="D1" s="524"/>
      <c r="E1" s="524"/>
      <c r="F1" s="524"/>
      <c r="G1" s="524"/>
      <c r="H1" s="524"/>
      <c r="I1" s="524"/>
      <c r="J1" s="524"/>
    </row>
    <row r="2" spans="1:10" ht="8.25" customHeight="1" x14ac:dyDescent="0.25">
      <c r="A2" s="555"/>
      <c r="B2" s="556"/>
      <c r="C2" s="556"/>
      <c r="D2" s="556"/>
      <c r="E2" s="556"/>
      <c r="F2" s="556"/>
      <c r="G2" s="556"/>
      <c r="H2" s="556"/>
      <c r="I2" s="556"/>
      <c r="J2" s="557"/>
    </row>
    <row r="3" spans="1:10" ht="19.5" customHeight="1" x14ac:dyDescent="0.25">
      <c r="A3" s="537" t="s">
        <v>497</v>
      </c>
      <c r="B3" s="538"/>
      <c r="C3" s="538"/>
      <c r="D3" s="538"/>
      <c r="E3" s="538"/>
      <c r="F3" s="538"/>
      <c r="G3" s="538"/>
      <c r="H3" s="538"/>
      <c r="I3" s="538"/>
      <c r="J3" s="539"/>
    </row>
    <row r="4" spans="1:10" x14ac:dyDescent="0.25">
      <c r="A4" s="540" t="s">
        <v>112</v>
      </c>
      <c r="B4" s="541"/>
      <c r="C4" s="541"/>
      <c r="D4" s="541"/>
      <c r="E4" s="541"/>
      <c r="F4" s="541"/>
      <c r="G4" s="541"/>
      <c r="H4" s="541"/>
      <c r="I4" s="541"/>
      <c r="J4" s="542"/>
    </row>
    <row r="5" spans="1:10" x14ac:dyDescent="0.25">
      <c r="A5" s="1" t="s">
        <v>84</v>
      </c>
      <c r="B5" s="533" t="s">
        <v>113</v>
      </c>
      <c r="C5" s="533"/>
      <c r="D5" s="3"/>
      <c r="E5" s="3"/>
      <c r="F5" s="3"/>
      <c r="G5" s="3"/>
      <c r="H5" s="3"/>
      <c r="I5" s="389"/>
      <c r="J5" s="389"/>
    </row>
    <row r="6" spans="1:10" x14ac:dyDescent="0.25">
      <c r="A6" s="552" t="s">
        <v>114</v>
      </c>
      <c r="B6" s="553"/>
      <c r="C6" s="553"/>
      <c r="D6" s="3"/>
      <c r="E6" s="3"/>
      <c r="F6" s="3"/>
      <c r="G6" s="3"/>
      <c r="H6" s="3"/>
      <c r="I6" s="389"/>
      <c r="J6" s="389"/>
    </row>
    <row r="7" spans="1:10" x14ac:dyDescent="0.25">
      <c r="A7" s="384"/>
      <c r="B7" s="384"/>
      <c r="C7" s="384"/>
      <c r="D7" s="3"/>
      <c r="E7" s="3"/>
      <c r="F7" s="3"/>
      <c r="G7" s="384"/>
      <c r="H7" s="3"/>
      <c r="I7" s="391"/>
      <c r="J7" s="389"/>
    </row>
    <row r="8" spans="1:10" x14ac:dyDescent="0.25">
      <c r="A8" s="554" t="s">
        <v>85</v>
      </c>
      <c r="B8" s="554"/>
      <c r="C8" s="554"/>
      <c r="D8" s="3"/>
      <c r="E8" s="3"/>
      <c r="F8" s="3"/>
      <c r="G8" s="3"/>
      <c r="H8" s="3"/>
      <c r="I8" s="389"/>
      <c r="J8" s="389"/>
    </row>
    <row r="9" spans="1:10" x14ac:dyDescent="0.25">
      <c r="A9" s="6" t="s">
        <v>7</v>
      </c>
      <c r="B9" s="7" t="s">
        <v>115</v>
      </c>
      <c r="C9" s="232">
        <v>42227</v>
      </c>
      <c r="D9" s="3"/>
      <c r="E9" s="392">
        <v>42283</v>
      </c>
      <c r="F9" s="3"/>
      <c r="G9" s="550">
        <v>42423</v>
      </c>
      <c r="H9" s="551"/>
      <c r="I9" s="546">
        <v>42815</v>
      </c>
      <c r="J9" s="547"/>
    </row>
    <row r="10" spans="1:10" x14ac:dyDescent="0.25">
      <c r="A10" s="6" t="s">
        <v>9</v>
      </c>
      <c r="B10" s="7" t="s">
        <v>86</v>
      </c>
      <c r="C10" s="2" t="s">
        <v>87</v>
      </c>
      <c r="D10" s="3"/>
      <c r="E10" s="2" t="s">
        <v>87</v>
      </c>
      <c r="F10" s="3"/>
      <c r="G10" s="333" t="s">
        <v>87</v>
      </c>
      <c r="H10" s="343"/>
      <c r="I10" s="364" t="str">
        <f>G10</f>
        <v>Brasília/DF</v>
      </c>
      <c r="J10" s="393"/>
    </row>
    <row r="11" spans="1:10" ht="42.75" x14ac:dyDescent="0.25">
      <c r="A11" s="6" t="s">
        <v>11</v>
      </c>
      <c r="B11" s="7" t="s">
        <v>116</v>
      </c>
      <c r="C11" s="312" t="s">
        <v>117</v>
      </c>
      <c r="D11" s="3"/>
      <c r="E11" s="238" t="s">
        <v>498</v>
      </c>
      <c r="F11" s="3"/>
      <c r="G11" s="334" t="s">
        <v>538</v>
      </c>
      <c r="H11" s="343"/>
      <c r="I11" s="548" t="str">
        <f>G11</f>
        <v>REPACTUAÇÃO</v>
      </c>
      <c r="J11" s="549"/>
    </row>
    <row r="12" spans="1:10" x14ac:dyDescent="0.25">
      <c r="A12" s="6" t="s">
        <v>13</v>
      </c>
      <c r="B12" s="7" t="s">
        <v>88</v>
      </c>
      <c r="C12" s="2" t="s">
        <v>89</v>
      </c>
      <c r="D12" s="3"/>
      <c r="E12" s="2" t="s">
        <v>89</v>
      </c>
      <c r="F12" s="3"/>
      <c r="G12" s="333" t="s">
        <v>89</v>
      </c>
      <c r="H12" s="343"/>
      <c r="I12" s="364" t="str">
        <f>G12</f>
        <v>12 meses</v>
      </c>
      <c r="J12" s="393"/>
    </row>
    <row r="13" spans="1:10" ht="9" customHeight="1" x14ac:dyDescent="0.25">
      <c r="A13" s="384"/>
      <c r="B13" s="384"/>
      <c r="C13" s="384"/>
      <c r="D13" s="3"/>
      <c r="E13" s="384"/>
      <c r="F13" s="3"/>
      <c r="G13" s="394"/>
      <c r="H13" s="343"/>
      <c r="I13" s="395"/>
      <c r="J13" s="393"/>
    </row>
    <row r="14" spans="1:10" x14ac:dyDescent="0.25">
      <c r="A14" s="528" t="s">
        <v>90</v>
      </c>
      <c r="B14" s="528"/>
      <c r="C14" s="528"/>
      <c r="D14" s="3"/>
      <c r="E14" s="3"/>
      <c r="F14" s="3"/>
      <c r="G14" s="343"/>
      <c r="H14" s="343"/>
      <c r="I14" s="393"/>
      <c r="J14" s="393"/>
    </row>
    <row r="15" spans="1:10" ht="54.75" customHeight="1" x14ac:dyDescent="0.25">
      <c r="A15" s="533" t="s">
        <v>91</v>
      </c>
      <c r="B15" s="533"/>
      <c r="C15" s="5" t="s">
        <v>92</v>
      </c>
      <c r="D15" s="5" t="s">
        <v>93</v>
      </c>
      <c r="E15" s="5" t="s">
        <v>92</v>
      </c>
      <c r="F15" s="5" t="s">
        <v>93</v>
      </c>
      <c r="G15" s="334" t="s">
        <v>92</v>
      </c>
      <c r="H15" s="334" t="s">
        <v>93</v>
      </c>
      <c r="I15" s="367" t="str">
        <f>G15</f>
        <v>Unidade de Medida</v>
      </c>
      <c r="J15" s="367" t="str">
        <f>H15</f>
        <v>Quantidade (total) a contratar (em função da unidade de medida)</v>
      </c>
    </row>
    <row r="16" spans="1:10" x14ac:dyDescent="0.25">
      <c r="A16" s="535" t="s">
        <v>105</v>
      </c>
      <c r="B16" s="535"/>
      <c r="C16" s="2" t="s">
        <v>204</v>
      </c>
      <c r="D16" s="2" t="s">
        <v>205</v>
      </c>
      <c r="E16" s="2" t="s">
        <v>204</v>
      </c>
      <c r="F16" s="2" t="s">
        <v>205</v>
      </c>
      <c r="G16" s="333" t="s">
        <v>204</v>
      </c>
      <c r="H16" s="333" t="s">
        <v>205</v>
      </c>
      <c r="I16" s="364" t="str">
        <f>G16</f>
        <v>POSTO</v>
      </c>
      <c r="J16" s="364" t="str">
        <f>H16</f>
        <v>1 (um)</v>
      </c>
    </row>
    <row r="17" spans="1:10" x14ac:dyDescent="0.25">
      <c r="A17" s="543"/>
      <c r="B17" s="544"/>
      <c r="C17" s="544"/>
      <c r="D17" s="544"/>
      <c r="E17" s="544"/>
      <c r="F17" s="544"/>
      <c r="G17" s="544"/>
      <c r="H17" s="544"/>
      <c r="I17" s="544"/>
      <c r="J17" s="545"/>
    </row>
    <row r="18" spans="1:10" ht="19.5" customHeight="1" x14ac:dyDescent="0.25">
      <c r="A18" s="566" t="s">
        <v>0</v>
      </c>
      <c r="B18" s="567"/>
      <c r="C18" s="567"/>
      <c r="D18" s="567"/>
      <c r="E18" s="567"/>
      <c r="F18" s="567"/>
      <c r="G18" s="567"/>
      <c r="H18" s="567"/>
      <c r="I18" s="567"/>
      <c r="J18" s="568"/>
    </row>
    <row r="19" spans="1:10" ht="30" x14ac:dyDescent="0.25">
      <c r="A19" s="2">
        <v>1</v>
      </c>
      <c r="B19" s="224" t="s">
        <v>1</v>
      </c>
      <c r="C19" s="2" t="str">
        <f>A16</f>
        <v>SERVENTE</v>
      </c>
      <c r="D19" s="3"/>
      <c r="E19" s="2" t="s">
        <v>105</v>
      </c>
      <c r="F19" s="3"/>
      <c r="G19" s="333" t="str">
        <f>C19</f>
        <v>SERVENTE</v>
      </c>
      <c r="H19" s="343"/>
      <c r="I19" s="364" t="str">
        <f>G19</f>
        <v>SERVENTE</v>
      </c>
      <c r="J19" s="397"/>
    </row>
    <row r="20" spans="1:10" x14ac:dyDescent="0.25">
      <c r="A20" s="2">
        <v>2</v>
      </c>
      <c r="B20" s="224" t="s">
        <v>2</v>
      </c>
      <c r="C20" s="222">
        <v>952.22</v>
      </c>
      <c r="D20" s="3"/>
      <c r="E20" s="222">
        <v>952.22</v>
      </c>
      <c r="F20" s="3"/>
      <c r="G20" s="335">
        <v>1052.2</v>
      </c>
      <c r="H20" s="343"/>
      <c r="I20" s="365">
        <v>1121.33</v>
      </c>
      <c r="J20" s="397"/>
    </row>
    <row r="21" spans="1:10" ht="30" x14ac:dyDescent="0.25">
      <c r="A21" s="2">
        <v>3</v>
      </c>
      <c r="B21" s="224" t="s">
        <v>118</v>
      </c>
      <c r="C21" s="2" t="str">
        <f>A16</f>
        <v>SERVENTE</v>
      </c>
      <c r="D21" s="3"/>
      <c r="E21" s="2" t="s">
        <v>105</v>
      </c>
      <c r="F21" s="3"/>
      <c r="G21" s="333" t="str">
        <f>C19</f>
        <v>SERVENTE</v>
      </c>
      <c r="H21" s="343"/>
      <c r="I21" s="364" t="str">
        <f>G21</f>
        <v>SERVENTE</v>
      </c>
      <c r="J21" s="397"/>
    </row>
    <row r="22" spans="1:10" x14ac:dyDescent="0.25">
      <c r="A22" s="2">
        <v>4</v>
      </c>
      <c r="B22" s="224" t="s">
        <v>3</v>
      </c>
      <c r="C22" s="232">
        <v>42005</v>
      </c>
      <c r="D22" s="3"/>
      <c r="E22" s="3"/>
      <c r="F22" s="3"/>
      <c r="G22" s="332"/>
      <c r="H22" s="343"/>
      <c r="I22" s="366"/>
      <c r="J22" s="397"/>
    </row>
    <row r="23" spans="1:10" ht="18.75" x14ac:dyDescent="0.25">
      <c r="A23" s="534" t="s">
        <v>4</v>
      </c>
      <c r="B23" s="534"/>
      <c r="C23" s="534"/>
      <c r="D23" s="3"/>
      <c r="E23" s="3"/>
      <c r="F23" s="3"/>
      <c r="G23" s="343"/>
      <c r="H23" s="343"/>
      <c r="I23" s="393"/>
      <c r="J23" s="393"/>
    </row>
    <row r="24" spans="1:10" ht="21" customHeight="1" x14ac:dyDescent="0.25">
      <c r="A24" s="426">
        <v>1</v>
      </c>
      <c r="B24" s="426" t="s">
        <v>5</v>
      </c>
      <c r="C24" s="426" t="s">
        <v>6</v>
      </c>
      <c r="D24" s="355"/>
      <c r="E24" s="426" t="s">
        <v>6</v>
      </c>
      <c r="F24" s="355"/>
      <c r="G24" s="427" t="s">
        <v>6</v>
      </c>
      <c r="H24" s="425"/>
      <c r="I24" s="427" t="str">
        <f>G24</f>
        <v>Valor (R$)</v>
      </c>
      <c r="J24" s="425"/>
    </row>
    <row r="25" spans="1:10" x14ac:dyDescent="0.25">
      <c r="A25" s="6" t="s">
        <v>7</v>
      </c>
      <c r="B25" s="7" t="s">
        <v>8</v>
      </c>
      <c r="C25" s="8">
        <f>C20</f>
        <v>952.22</v>
      </c>
      <c r="D25" s="3"/>
      <c r="E25" s="8">
        <f>E20</f>
        <v>952.22</v>
      </c>
      <c r="F25" s="3"/>
      <c r="G25" s="327">
        <f>G20</f>
        <v>1052.2</v>
      </c>
      <c r="H25" s="343"/>
      <c r="I25" s="363">
        <f>I20</f>
        <v>1121.33</v>
      </c>
      <c r="J25" s="393"/>
    </row>
    <row r="26" spans="1:10" x14ac:dyDescent="0.25">
      <c r="A26" s="6" t="s">
        <v>9</v>
      </c>
      <c r="B26" s="7" t="s">
        <v>10</v>
      </c>
      <c r="C26" s="8"/>
      <c r="D26" s="3"/>
      <c r="E26" s="8"/>
      <c r="F26" s="3"/>
      <c r="G26" s="327"/>
      <c r="H26" s="343"/>
      <c r="I26" s="362"/>
      <c r="J26" s="393"/>
    </row>
    <row r="27" spans="1:10" x14ac:dyDescent="0.25">
      <c r="A27" s="6" t="s">
        <v>11</v>
      </c>
      <c r="B27" s="7" t="s">
        <v>12</v>
      </c>
      <c r="C27" s="8"/>
      <c r="D27" s="3"/>
      <c r="E27" s="8"/>
      <c r="F27" s="3"/>
      <c r="G27" s="327"/>
      <c r="H27" s="343"/>
      <c r="I27" s="362"/>
      <c r="J27" s="393"/>
    </row>
    <row r="28" spans="1:10" x14ac:dyDescent="0.25">
      <c r="A28" s="6" t="s">
        <v>13</v>
      </c>
      <c r="B28" s="7" t="s">
        <v>14</v>
      </c>
      <c r="C28" s="8"/>
      <c r="D28" s="3"/>
      <c r="E28" s="8"/>
      <c r="F28" s="3"/>
      <c r="G28" s="327"/>
      <c r="H28" s="343"/>
      <c r="I28" s="362"/>
      <c r="J28" s="393"/>
    </row>
    <row r="29" spans="1:10" x14ac:dyDescent="0.25">
      <c r="A29" s="6" t="s">
        <v>15</v>
      </c>
      <c r="B29" s="7" t="s">
        <v>16</v>
      </c>
      <c r="C29" s="8"/>
      <c r="D29" s="3"/>
      <c r="E29" s="8"/>
      <c r="F29" s="3"/>
      <c r="G29" s="327"/>
      <c r="H29" s="343"/>
      <c r="I29" s="362"/>
      <c r="J29" s="393"/>
    </row>
    <row r="30" spans="1:10" x14ac:dyDescent="0.25">
      <c r="A30" s="6" t="s">
        <v>17</v>
      </c>
      <c r="B30" s="7" t="s">
        <v>18</v>
      </c>
      <c r="C30" s="8"/>
      <c r="D30" s="3"/>
      <c r="E30" s="8"/>
      <c r="F30" s="3"/>
      <c r="G30" s="327"/>
      <c r="H30" s="343"/>
      <c r="I30" s="362"/>
      <c r="J30" s="393"/>
    </row>
    <row r="31" spans="1:10" x14ac:dyDescent="0.25">
      <c r="A31" s="6" t="s">
        <v>19</v>
      </c>
      <c r="B31" s="7" t="s">
        <v>21</v>
      </c>
      <c r="C31" s="8"/>
      <c r="D31" s="3"/>
      <c r="E31" s="8"/>
      <c r="F31" s="3"/>
      <c r="G31" s="327"/>
      <c r="H31" s="343"/>
      <c r="I31" s="362"/>
      <c r="J31" s="393"/>
    </row>
    <row r="32" spans="1:10" x14ac:dyDescent="0.25">
      <c r="A32" s="526" t="s">
        <v>22</v>
      </c>
      <c r="B32" s="526"/>
      <c r="C32" s="428">
        <f>SUM(C25:C31)</f>
        <v>952.22</v>
      </c>
      <c r="D32" s="355"/>
      <c r="E32" s="428">
        <f>SUM(E25:E31)</f>
        <v>952.22</v>
      </c>
      <c r="F32" s="355"/>
      <c r="G32" s="429">
        <f>SUM(G25:G31)</f>
        <v>1052.2</v>
      </c>
      <c r="H32" s="425"/>
      <c r="I32" s="429">
        <f>SUM(I25:I31)</f>
        <v>1121.33</v>
      </c>
      <c r="J32" s="425"/>
    </row>
    <row r="33" spans="1:14" ht="18.75" x14ac:dyDescent="0.25">
      <c r="A33" s="534" t="s">
        <v>23</v>
      </c>
      <c r="B33" s="534"/>
      <c r="C33" s="534"/>
      <c r="D33" s="3"/>
      <c r="E33" s="3"/>
      <c r="F33" s="3"/>
      <c r="G33" s="343"/>
      <c r="H33" s="343"/>
      <c r="I33" s="393"/>
      <c r="J33" s="393"/>
    </row>
    <row r="34" spans="1:14" ht="21" customHeight="1" x14ac:dyDescent="0.25">
      <c r="A34" s="426">
        <v>2</v>
      </c>
      <c r="B34" s="426" t="s">
        <v>24</v>
      </c>
      <c r="C34" s="426" t="s">
        <v>6</v>
      </c>
      <c r="D34" s="430"/>
      <c r="E34" s="426" t="s">
        <v>6</v>
      </c>
      <c r="F34" s="430"/>
      <c r="G34" s="427" t="s">
        <v>6</v>
      </c>
      <c r="H34" s="425"/>
      <c r="I34" s="427" t="str">
        <f>G34</f>
        <v>Valor (R$)</v>
      </c>
      <c r="J34" s="425"/>
    </row>
    <row r="35" spans="1:14" ht="21" customHeight="1" x14ac:dyDescent="0.25">
      <c r="A35" s="6" t="s">
        <v>7</v>
      </c>
      <c r="B35" s="509" t="s">
        <v>562</v>
      </c>
      <c r="C35" s="53">
        <f>K35-L35</f>
        <v>129.49529999999999</v>
      </c>
      <c r="D35" s="3"/>
      <c r="E35" s="53">
        <f>M35-N35</f>
        <v>202.07305000000002</v>
      </c>
      <c r="F35" s="3"/>
      <c r="G35" s="338">
        <f>(12.5*20.7365)-G25*6%</f>
        <v>196.07425000000001</v>
      </c>
      <c r="H35" s="343"/>
      <c r="I35" s="338">
        <f>(15*20.7365)-I25*6%</f>
        <v>243.76770000000002</v>
      </c>
      <c r="J35" s="393">
        <v>243.77</v>
      </c>
      <c r="K35" s="174">
        <f>9*20.7365</f>
        <v>186.6285</v>
      </c>
      <c r="L35" s="4">
        <f>C20*6%</f>
        <v>57.133200000000002</v>
      </c>
      <c r="M35" s="174">
        <f>12.5*20.7365</f>
        <v>259.20625000000001</v>
      </c>
      <c r="N35" s="4">
        <f>E20*6%</f>
        <v>57.133200000000002</v>
      </c>
    </row>
    <row r="36" spans="1:14" x14ac:dyDescent="0.25">
      <c r="A36" s="6" t="s">
        <v>9</v>
      </c>
      <c r="B36" s="153" t="s">
        <v>563</v>
      </c>
      <c r="C36" s="8">
        <f>24*21.5</f>
        <v>516</v>
      </c>
      <c r="D36" s="3"/>
      <c r="E36" s="8">
        <f>24*21.5</f>
        <v>516</v>
      </c>
      <c r="F36" s="3"/>
      <c r="G36" s="338">
        <f>27.5*21.5</f>
        <v>591.25</v>
      </c>
      <c r="H36" s="343"/>
      <c r="I36" s="362">
        <f>29.5*21.5</f>
        <v>634.25</v>
      </c>
      <c r="J36" s="393"/>
      <c r="K36" t="s">
        <v>462</v>
      </c>
      <c r="M36" t="s">
        <v>462</v>
      </c>
    </row>
    <row r="37" spans="1:14" x14ac:dyDescent="0.25">
      <c r="A37" s="398" t="s">
        <v>11</v>
      </c>
      <c r="B37" s="340" t="s">
        <v>25</v>
      </c>
      <c r="C37" s="233">
        <v>0</v>
      </c>
      <c r="D37" s="3"/>
      <c r="E37" s="8">
        <v>0</v>
      </c>
      <c r="F37" s="3"/>
      <c r="G37" s="337"/>
      <c r="H37" s="343"/>
      <c r="I37" s="363"/>
      <c r="J37" s="393"/>
    </row>
    <row r="38" spans="1:14" x14ac:dyDescent="0.25">
      <c r="A38" s="398" t="s">
        <v>13</v>
      </c>
      <c r="B38" s="340" t="s">
        <v>94</v>
      </c>
      <c r="C38" s="233"/>
      <c r="D38" s="3"/>
      <c r="E38" s="8"/>
      <c r="F38" s="3"/>
      <c r="G38" s="338"/>
      <c r="H38" s="343"/>
      <c r="I38" s="362"/>
      <c r="J38" s="393"/>
    </row>
    <row r="39" spans="1:14" x14ac:dyDescent="0.25">
      <c r="A39" s="398" t="s">
        <v>15</v>
      </c>
      <c r="B39" s="340" t="s">
        <v>119</v>
      </c>
      <c r="C39" s="233">
        <v>2.5</v>
      </c>
      <c r="D39" s="3"/>
      <c r="E39" s="8">
        <v>2.5</v>
      </c>
      <c r="F39" s="3"/>
      <c r="G39" s="338">
        <v>2.5</v>
      </c>
      <c r="H39" s="343"/>
      <c r="I39" s="362">
        <v>2.5</v>
      </c>
      <c r="J39" s="393"/>
    </row>
    <row r="40" spans="1:14" x14ac:dyDescent="0.25">
      <c r="A40" s="398" t="s">
        <v>17</v>
      </c>
      <c r="B40" s="341" t="s">
        <v>548</v>
      </c>
      <c r="C40" s="233">
        <f>C25*C88</f>
        <v>0.190444</v>
      </c>
      <c r="D40" s="3"/>
      <c r="E40" s="8">
        <f>E25*E88</f>
        <v>0.190444</v>
      </c>
      <c r="F40" s="3"/>
      <c r="G40" s="338"/>
      <c r="H40" s="343"/>
      <c r="I40" s="362">
        <f>G40</f>
        <v>0</v>
      </c>
      <c r="J40" s="397"/>
    </row>
    <row r="41" spans="1:14" x14ac:dyDescent="0.25">
      <c r="A41" s="398" t="s">
        <v>19</v>
      </c>
      <c r="B41" s="341" t="s">
        <v>539</v>
      </c>
      <c r="C41" s="233">
        <v>4.5</v>
      </c>
      <c r="D41" s="3"/>
      <c r="E41" s="8">
        <v>4.5</v>
      </c>
      <c r="F41" s="3"/>
      <c r="G41" s="338">
        <v>5</v>
      </c>
      <c r="H41" s="343"/>
      <c r="I41" s="362">
        <f>G41</f>
        <v>5</v>
      </c>
      <c r="J41" s="393"/>
    </row>
    <row r="42" spans="1:14" x14ac:dyDescent="0.25">
      <c r="A42" s="529" t="s">
        <v>26</v>
      </c>
      <c r="B42" s="529"/>
      <c r="C42" s="342">
        <f>SUM(C35:C41)</f>
        <v>652.685744</v>
      </c>
      <c r="D42" s="347"/>
      <c r="E42" s="371">
        <f>SUM(E35:E41)</f>
        <v>725.26349399999992</v>
      </c>
      <c r="F42" s="347"/>
      <c r="G42" s="339">
        <f>SUM(G35:G41)</f>
        <v>794.82425000000001</v>
      </c>
      <c r="H42" s="393"/>
      <c r="I42" s="510">
        <f>SUM(I35:I41)</f>
        <v>885.51769999999999</v>
      </c>
      <c r="J42" s="393"/>
    </row>
    <row r="43" spans="1:14" ht="18.75" x14ac:dyDescent="0.25">
      <c r="A43" s="536" t="s">
        <v>122</v>
      </c>
      <c r="B43" s="536"/>
      <c r="C43" s="536"/>
      <c r="D43" s="3"/>
      <c r="E43" s="3"/>
      <c r="F43" s="3"/>
      <c r="G43" s="399"/>
      <c r="H43" s="343"/>
      <c r="I43" s="393"/>
      <c r="J43" s="393"/>
    </row>
    <row r="44" spans="1:14" ht="21.75" customHeight="1" x14ac:dyDescent="0.25">
      <c r="A44" s="426">
        <v>3</v>
      </c>
      <c r="B44" s="426" t="s">
        <v>27</v>
      </c>
      <c r="C44" s="426" t="s">
        <v>6</v>
      </c>
      <c r="D44" s="355"/>
      <c r="E44" s="426" t="s">
        <v>6</v>
      </c>
      <c r="F44" s="355"/>
      <c r="G44" s="427" t="s">
        <v>6</v>
      </c>
      <c r="H44" s="425"/>
      <c r="I44" s="427" t="str">
        <f>G44</f>
        <v>Valor (R$)</v>
      </c>
      <c r="J44" s="425"/>
    </row>
    <row r="45" spans="1:14" ht="15" customHeight="1" x14ac:dyDescent="0.25">
      <c r="A45" s="398" t="s">
        <v>7</v>
      </c>
      <c r="B45" s="340" t="s">
        <v>28</v>
      </c>
      <c r="C45" s="233">
        <f>UNIFORMES!H8</f>
        <v>24.433333333333334</v>
      </c>
      <c r="D45" s="3"/>
      <c r="E45" s="8">
        <f>UNIFORMES!H8</f>
        <v>24.433333333333334</v>
      </c>
      <c r="F45" s="3"/>
      <c r="G45" s="338">
        <f>UNIFORMES!H8</f>
        <v>24.433333333333334</v>
      </c>
      <c r="H45" s="343"/>
      <c r="I45" s="362">
        <v>24.43</v>
      </c>
      <c r="J45" s="558" t="s">
        <v>573</v>
      </c>
    </row>
    <row r="46" spans="1:14" x14ac:dyDescent="0.25">
      <c r="A46" s="398" t="s">
        <v>9</v>
      </c>
      <c r="B46" s="340" t="s">
        <v>123</v>
      </c>
      <c r="C46" s="233">
        <f>'EQUIPTO LIMPEZA'!F19</f>
        <v>122.27447199497425</v>
      </c>
      <c r="D46" s="64"/>
      <c r="E46" s="8">
        <v>122.27</v>
      </c>
      <c r="F46" s="64"/>
      <c r="G46" s="338">
        <v>122.27</v>
      </c>
      <c r="H46" s="400"/>
      <c r="I46" s="362">
        <v>122.27</v>
      </c>
      <c r="J46" s="559"/>
      <c r="K46" s="4"/>
      <c r="M46" s="4"/>
    </row>
    <row r="47" spans="1:14" ht="30" x14ac:dyDescent="0.25">
      <c r="A47" s="398" t="s">
        <v>11</v>
      </c>
      <c r="B47" s="341" t="s">
        <v>552</v>
      </c>
      <c r="C47" s="233">
        <v>2.9950000000000001</v>
      </c>
      <c r="D47" s="3"/>
      <c r="E47" s="233">
        <v>3</v>
      </c>
      <c r="F47" s="3"/>
      <c r="G47" s="338">
        <v>3</v>
      </c>
      <c r="H47" s="343"/>
      <c r="I47" s="362">
        <v>3</v>
      </c>
      <c r="J47" s="467"/>
      <c r="K47" s="57" t="s">
        <v>316</v>
      </c>
      <c r="M47" s="57" t="s">
        <v>316</v>
      </c>
    </row>
    <row r="48" spans="1:14" x14ac:dyDescent="0.25">
      <c r="A48" s="526" t="s">
        <v>29</v>
      </c>
      <c r="B48" s="526"/>
      <c r="C48" s="428">
        <f>SUM(C45:C47)</f>
        <v>149.70280532830759</v>
      </c>
      <c r="D48" s="355"/>
      <c r="E48" s="431">
        <f>SUM(E45:E47)</f>
        <v>149.70333333333332</v>
      </c>
      <c r="F48" s="355"/>
      <c r="G48" s="429">
        <f>SUM(G45:G47)</f>
        <v>149.70333333333332</v>
      </c>
      <c r="H48" s="425"/>
      <c r="I48" s="429">
        <f>SUM(I45:I47)</f>
        <v>149.69999999999999</v>
      </c>
      <c r="J48" s="425"/>
    </row>
    <row r="49" spans="1:10" ht="18.75" x14ac:dyDescent="0.25">
      <c r="A49" s="534" t="s">
        <v>30</v>
      </c>
      <c r="B49" s="534"/>
      <c r="C49" s="534"/>
      <c r="D49" s="3"/>
      <c r="E49" s="3"/>
      <c r="F49" s="3"/>
      <c r="G49" s="343"/>
      <c r="H49" s="343"/>
      <c r="I49" s="393"/>
      <c r="J49" s="393"/>
    </row>
    <row r="50" spans="1:10" ht="18.75" x14ac:dyDescent="0.25">
      <c r="A50" s="569" t="s">
        <v>95</v>
      </c>
      <c r="B50" s="570"/>
      <c r="C50" s="570"/>
      <c r="D50" s="570"/>
      <c r="E50" s="570"/>
      <c r="F50" s="570"/>
      <c r="G50" s="570"/>
      <c r="H50" s="570"/>
      <c r="I50" s="570"/>
      <c r="J50" s="571"/>
    </row>
    <row r="51" spans="1:10" x14ac:dyDescent="0.25">
      <c r="A51" s="426" t="s">
        <v>31</v>
      </c>
      <c r="B51" s="426" t="s">
        <v>32</v>
      </c>
      <c r="C51" s="426" t="s">
        <v>33</v>
      </c>
      <c r="D51" s="426" t="s">
        <v>6</v>
      </c>
      <c r="E51" s="426" t="s">
        <v>33</v>
      </c>
      <c r="F51" s="426" t="s">
        <v>6</v>
      </c>
      <c r="G51" s="427" t="s">
        <v>33</v>
      </c>
      <c r="H51" s="427" t="s">
        <v>6</v>
      </c>
      <c r="I51" s="427" t="str">
        <f>G51</f>
        <v>%</v>
      </c>
      <c r="J51" s="427" t="str">
        <f>H51</f>
        <v>Valor (R$)</v>
      </c>
    </row>
    <row r="52" spans="1:10" x14ac:dyDescent="0.25">
      <c r="A52" s="2" t="s">
        <v>7</v>
      </c>
      <c r="B52" s="7" t="s">
        <v>34</v>
      </c>
      <c r="C52" s="9">
        <v>0.2</v>
      </c>
      <c r="D52" s="8">
        <f t="shared" ref="D52:D59" si="0">C52*$C$32</f>
        <v>190.44400000000002</v>
      </c>
      <c r="E52" s="9">
        <v>0.2</v>
      </c>
      <c r="F52" s="8">
        <f t="shared" ref="F52:F59" si="1">E52*$C$32</f>
        <v>190.44400000000002</v>
      </c>
      <c r="G52" s="313">
        <v>0.2</v>
      </c>
      <c r="H52" s="327">
        <f t="shared" ref="H52:H59" si="2">G52*$G$32</f>
        <v>210.44000000000003</v>
      </c>
      <c r="I52" s="372">
        <v>0.2</v>
      </c>
      <c r="J52" s="362">
        <f>I52*$I$32</f>
        <v>224.26599999999999</v>
      </c>
    </row>
    <row r="53" spans="1:10" x14ac:dyDescent="0.25">
      <c r="A53" s="2" t="s">
        <v>9</v>
      </c>
      <c r="B53" s="7" t="s">
        <v>35</v>
      </c>
      <c r="C53" s="9">
        <v>1.4999999999999999E-2</v>
      </c>
      <c r="D53" s="8">
        <f t="shared" si="0"/>
        <v>14.283300000000001</v>
      </c>
      <c r="E53" s="9">
        <v>1.4999999999999999E-2</v>
      </c>
      <c r="F53" s="8">
        <f t="shared" si="1"/>
        <v>14.283300000000001</v>
      </c>
      <c r="G53" s="313">
        <v>1.4999999999999999E-2</v>
      </c>
      <c r="H53" s="327">
        <f t="shared" si="2"/>
        <v>15.782999999999999</v>
      </c>
      <c r="I53" s="372">
        <v>1.4999999999999999E-2</v>
      </c>
      <c r="J53" s="362">
        <f t="shared" ref="J53:J59" si="3">I53*$I$32</f>
        <v>16.819949999999999</v>
      </c>
    </row>
    <row r="54" spans="1:10" x14ac:dyDescent="0.25">
      <c r="A54" s="2" t="s">
        <v>11</v>
      </c>
      <c r="B54" s="7" t="s">
        <v>36</v>
      </c>
      <c r="C54" s="9">
        <v>0.01</v>
      </c>
      <c r="D54" s="8">
        <f t="shared" si="0"/>
        <v>9.5221999999999998</v>
      </c>
      <c r="E54" s="9">
        <v>0.01</v>
      </c>
      <c r="F54" s="8">
        <f t="shared" si="1"/>
        <v>9.5221999999999998</v>
      </c>
      <c r="G54" s="313">
        <v>0.01</v>
      </c>
      <c r="H54" s="327">
        <f t="shared" si="2"/>
        <v>10.522</v>
      </c>
      <c r="I54" s="372">
        <v>0.01</v>
      </c>
      <c r="J54" s="362">
        <f t="shared" si="3"/>
        <v>11.2133</v>
      </c>
    </row>
    <row r="55" spans="1:10" x14ac:dyDescent="0.25">
      <c r="A55" s="2" t="s">
        <v>13</v>
      </c>
      <c r="B55" s="7" t="s">
        <v>37</v>
      </c>
      <c r="C55" s="9">
        <v>2E-3</v>
      </c>
      <c r="D55" s="8">
        <f t="shared" si="0"/>
        <v>1.9044400000000001</v>
      </c>
      <c r="E55" s="9">
        <v>2E-3</v>
      </c>
      <c r="F55" s="8">
        <f t="shared" si="1"/>
        <v>1.9044400000000001</v>
      </c>
      <c r="G55" s="313">
        <v>2E-3</v>
      </c>
      <c r="H55" s="327">
        <f t="shared" si="2"/>
        <v>2.1044</v>
      </c>
      <c r="I55" s="372">
        <v>2E-3</v>
      </c>
      <c r="J55" s="362">
        <f t="shared" si="3"/>
        <v>2.2426599999999999</v>
      </c>
    </row>
    <row r="56" spans="1:10" x14ac:dyDescent="0.25">
      <c r="A56" s="2" t="s">
        <v>15</v>
      </c>
      <c r="B56" s="6" t="s">
        <v>38</v>
      </c>
      <c r="C56" s="9">
        <v>2.5000000000000001E-2</v>
      </c>
      <c r="D56" s="8">
        <f t="shared" si="0"/>
        <v>23.805500000000002</v>
      </c>
      <c r="E56" s="9">
        <v>2.5000000000000001E-2</v>
      </c>
      <c r="F56" s="8">
        <f t="shared" si="1"/>
        <v>23.805500000000002</v>
      </c>
      <c r="G56" s="313">
        <v>2.5000000000000001E-2</v>
      </c>
      <c r="H56" s="327">
        <f t="shared" si="2"/>
        <v>26.305000000000003</v>
      </c>
      <c r="I56" s="372">
        <v>2.5000000000000001E-2</v>
      </c>
      <c r="J56" s="362">
        <f t="shared" si="3"/>
        <v>28.033249999999999</v>
      </c>
    </row>
    <row r="57" spans="1:10" x14ac:dyDescent="0.25">
      <c r="A57" s="2" t="s">
        <v>17</v>
      </c>
      <c r="B57" s="7" t="s">
        <v>39</v>
      </c>
      <c r="C57" s="9">
        <v>0.08</v>
      </c>
      <c r="D57" s="8">
        <f t="shared" si="0"/>
        <v>76.177599999999998</v>
      </c>
      <c r="E57" s="9">
        <v>0.08</v>
      </c>
      <c r="F57" s="8">
        <f t="shared" si="1"/>
        <v>76.177599999999998</v>
      </c>
      <c r="G57" s="313">
        <v>0.08</v>
      </c>
      <c r="H57" s="327">
        <f t="shared" si="2"/>
        <v>84.176000000000002</v>
      </c>
      <c r="I57" s="372">
        <v>0.08</v>
      </c>
      <c r="J57" s="362">
        <f t="shared" si="3"/>
        <v>89.706400000000002</v>
      </c>
    </row>
    <row r="58" spans="1:10" x14ac:dyDescent="0.25">
      <c r="A58" s="2" t="s">
        <v>19</v>
      </c>
      <c r="B58" s="340" t="s">
        <v>124</v>
      </c>
      <c r="C58" s="9">
        <v>1.52E-2</v>
      </c>
      <c r="D58" s="8">
        <f t="shared" si="0"/>
        <v>14.473744</v>
      </c>
      <c r="E58" s="9">
        <v>1.52E-2</v>
      </c>
      <c r="F58" s="8">
        <f t="shared" si="1"/>
        <v>14.473744</v>
      </c>
      <c r="G58" s="336">
        <v>1.66E-2</v>
      </c>
      <c r="H58" s="327">
        <f t="shared" si="2"/>
        <v>17.466520000000003</v>
      </c>
      <c r="I58" s="372">
        <v>1.66E-2</v>
      </c>
      <c r="J58" s="362">
        <f t="shared" si="3"/>
        <v>18.614077999999999</v>
      </c>
    </row>
    <row r="59" spans="1:10" x14ac:dyDescent="0.25">
      <c r="A59" s="2" t="s">
        <v>20</v>
      </c>
      <c r="B59" s="340" t="s">
        <v>40</v>
      </c>
      <c r="C59" s="9">
        <v>6.0000000000000001E-3</v>
      </c>
      <c r="D59" s="8">
        <f t="shared" si="0"/>
        <v>5.7133200000000004</v>
      </c>
      <c r="E59" s="9">
        <v>6.0000000000000001E-3</v>
      </c>
      <c r="F59" s="8">
        <f t="shared" si="1"/>
        <v>5.7133200000000004</v>
      </c>
      <c r="G59" s="313">
        <v>6.0000000000000001E-3</v>
      </c>
      <c r="H59" s="327">
        <f t="shared" si="2"/>
        <v>6.3132000000000001</v>
      </c>
      <c r="I59" s="372">
        <v>6.0000000000000001E-3</v>
      </c>
      <c r="J59" s="362">
        <f t="shared" si="3"/>
        <v>6.7279799999999996</v>
      </c>
    </row>
    <row r="60" spans="1:10" x14ac:dyDescent="0.25">
      <c r="A60" s="526" t="s">
        <v>41</v>
      </c>
      <c r="B60" s="526"/>
      <c r="C60" s="432">
        <f t="shared" ref="C60:H60" si="4">SUM(C52:C59)</f>
        <v>0.35320000000000007</v>
      </c>
      <c r="D60" s="433">
        <f t="shared" si="4"/>
        <v>336.32410400000003</v>
      </c>
      <c r="E60" s="432">
        <f t="shared" si="4"/>
        <v>0.35320000000000007</v>
      </c>
      <c r="F60" s="433">
        <f t="shared" si="4"/>
        <v>336.32410400000003</v>
      </c>
      <c r="G60" s="434">
        <f t="shared" si="4"/>
        <v>0.35460000000000008</v>
      </c>
      <c r="H60" s="435">
        <f t="shared" si="4"/>
        <v>373.11011999999999</v>
      </c>
      <c r="I60" s="434">
        <f>G60</f>
        <v>0.35460000000000008</v>
      </c>
      <c r="J60" s="435">
        <f>SUM(J52:J59)</f>
        <v>397.62361800000002</v>
      </c>
    </row>
    <row r="61" spans="1:10" s="151" customFormat="1" x14ac:dyDescent="0.25">
      <c r="A61" s="530" t="s">
        <v>460</v>
      </c>
      <c r="B61" s="530"/>
      <c r="C61" s="530"/>
      <c r="D61" s="530"/>
      <c r="E61" s="404"/>
      <c r="F61" s="404"/>
      <c r="G61" s="405"/>
      <c r="H61" s="405"/>
      <c r="I61" s="406"/>
      <c r="J61" s="406"/>
    </row>
    <row r="62" spans="1:10" s="151" customFormat="1" x14ac:dyDescent="0.25">
      <c r="A62" s="530" t="s">
        <v>461</v>
      </c>
      <c r="B62" s="530"/>
      <c r="C62" s="530"/>
      <c r="D62" s="530"/>
      <c r="E62" s="404"/>
      <c r="F62" s="404"/>
      <c r="G62" s="405"/>
      <c r="H62" s="405"/>
      <c r="I62" s="406"/>
      <c r="J62" s="406"/>
    </row>
    <row r="63" spans="1:10" ht="18.75" x14ac:dyDescent="0.25">
      <c r="A63" s="569" t="s">
        <v>96</v>
      </c>
      <c r="B63" s="570"/>
      <c r="C63" s="570"/>
      <c r="D63" s="570"/>
      <c r="E63" s="570"/>
      <c r="F63" s="570"/>
      <c r="G63" s="570"/>
      <c r="H63" s="570"/>
      <c r="I63" s="570"/>
      <c r="J63" s="571"/>
    </row>
    <row r="64" spans="1:10" x14ac:dyDescent="0.25">
      <c r="A64" s="426" t="s">
        <v>42</v>
      </c>
      <c r="B64" s="426" t="s">
        <v>125</v>
      </c>
      <c r="C64" s="426" t="s">
        <v>33</v>
      </c>
      <c r="D64" s="426" t="s">
        <v>6</v>
      </c>
      <c r="E64" s="426" t="s">
        <v>33</v>
      </c>
      <c r="F64" s="426" t="s">
        <v>6</v>
      </c>
      <c r="G64" s="427" t="s">
        <v>33</v>
      </c>
      <c r="H64" s="427" t="s">
        <v>6</v>
      </c>
      <c r="I64" s="427" t="str">
        <f>G64</f>
        <v>%</v>
      </c>
      <c r="J64" s="427" t="str">
        <f>H64</f>
        <v>Valor (R$)</v>
      </c>
    </row>
    <row r="65" spans="1:13" x14ac:dyDescent="0.25">
      <c r="A65" s="407" t="s">
        <v>7</v>
      </c>
      <c r="B65" s="377" t="s">
        <v>43</v>
      </c>
      <c r="C65" s="378">
        <v>8.3299999999999999E-2</v>
      </c>
      <c r="D65" s="379">
        <f>C65*$C$32</f>
        <v>79.319925999999995</v>
      </c>
      <c r="E65" s="378">
        <v>8.3299999999999999E-2</v>
      </c>
      <c r="F65" s="379">
        <f>E65*$C$32</f>
        <v>79.319925999999995</v>
      </c>
      <c r="G65" s="372">
        <v>8.3299999999999999E-2</v>
      </c>
      <c r="H65" s="362">
        <f>G65*$G$32</f>
        <v>87.648260000000008</v>
      </c>
      <c r="I65" s="372">
        <v>8.3299999999999999E-2</v>
      </c>
      <c r="J65" s="362">
        <f>I65*$I$32</f>
        <v>93.406788999999989</v>
      </c>
    </row>
    <row r="66" spans="1:13" x14ac:dyDescent="0.25">
      <c r="A66" s="2" t="s">
        <v>9</v>
      </c>
      <c r="B66" s="7" t="s">
        <v>126</v>
      </c>
      <c r="C66" s="216">
        <v>2.7799999999999998E-2</v>
      </c>
      <c r="D66" s="8">
        <f>C66*$C$32</f>
        <v>26.471716000000001</v>
      </c>
      <c r="E66" s="216">
        <v>2.7799999999999998E-2</v>
      </c>
      <c r="F66" s="8">
        <f>E66*$C$32</f>
        <v>26.471716000000001</v>
      </c>
      <c r="G66" s="336">
        <v>2.7799999999999998E-2</v>
      </c>
      <c r="H66" s="327">
        <f>G66*$G$32</f>
        <v>29.251159999999999</v>
      </c>
      <c r="I66" s="372">
        <v>2.7799999999999998E-2</v>
      </c>
      <c r="J66" s="362">
        <f>I66*$I$32</f>
        <v>31.172973999999996</v>
      </c>
    </row>
    <row r="67" spans="1:13" x14ac:dyDescent="0.25">
      <c r="A67" s="2"/>
      <c r="B67" s="5" t="s">
        <v>44</v>
      </c>
      <c r="C67" s="10">
        <f t="shared" ref="C67:H67" si="5">SUM(C65:C66)</f>
        <v>0.1111</v>
      </c>
      <c r="D67" s="58">
        <f t="shared" si="5"/>
        <v>105.791642</v>
      </c>
      <c r="E67" s="10">
        <f t="shared" si="5"/>
        <v>0.1111</v>
      </c>
      <c r="F67" s="58">
        <f t="shared" si="5"/>
        <v>105.791642</v>
      </c>
      <c r="G67" s="314">
        <f t="shared" si="5"/>
        <v>0.1111</v>
      </c>
      <c r="H67" s="53">
        <f t="shared" si="5"/>
        <v>116.89942000000001</v>
      </c>
      <c r="I67" s="373">
        <f>SUM(I65:I66)</f>
        <v>0.1111</v>
      </c>
      <c r="J67" s="363">
        <f>SUM(J65:J66)</f>
        <v>124.57976299999999</v>
      </c>
    </row>
    <row r="68" spans="1:13" ht="28.5" x14ac:dyDescent="0.25">
      <c r="A68" s="2" t="s">
        <v>9</v>
      </c>
      <c r="B68" s="380" t="s">
        <v>547</v>
      </c>
      <c r="C68" s="9">
        <f>C60*C67</f>
        <v>3.9240520000000008E-2</v>
      </c>
      <c r="D68" s="8">
        <f>C68*$C$32</f>
        <v>37.365607954400005</v>
      </c>
      <c r="E68" s="9">
        <f>E60*E67</f>
        <v>3.9240520000000008E-2</v>
      </c>
      <c r="F68" s="8">
        <f>E68*$C$32</f>
        <v>37.365607954400005</v>
      </c>
      <c r="G68" s="313">
        <f>G60*G67</f>
        <v>3.9396060000000011E-2</v>
      </c>
      <c r="H68" s="327">
        <f>G68*$G$32</f>
        <v>41.452534332000013</v>
      </c>
      <c r="I68" s="372">
        <f>I60*I67</f>
        <v>3.9396060000000011E-2</v>
      </c>
      <c r="J68" s="362">
        <f>I68*$I$32</f>
        <v>44.175983959800007</v>
      </c>
    </row>
    <row r="69" spans="1:13" x14ac:dyDescent="0.25">
      <c r="A69" s="526" t="s">
        <v>41</v>
      </c>
      <c r="B69" s="526"/>
      <c r="C69" s="432">
        <f t="shared" ref="C69:H69" si="6">SUM(C68,C67)</f>
        <v>0.15034052000000001</v>
      </c>
      <c r="D69" s="428">
        <f t="shared" si="6"/>
        <v>143.15724995440002</v>
      </c>
      <c r="E69" s="432">
        <f t="shared" si="6"/>
        <v>0.15034052000000001</v>
      </c>
      <c r="F69" s="428">
        <f t="shared" si="6"/>
        <v>143.15724995440002</v>
      </c>
      <c r="G69" s="434">
        <f t="shared" si="6"/>
        <v>0.15049606000000001</v>
      </c>
      <c r="H69" s="429">
        <f t="shared" si="6"/>
        <v>158.35195433200002</v>
      </c>
      <c r="I69" s="434">
        <f>SUM(I67:I68)</f>
        <v>0.15049606000000001</v>
      </c>
      <c r="J69" s="429">
        <f>SUM(J67:J68)</f>
        <v>168.75574695979998</v>
      </c>
    </row>
    <row r="70" spans="1:13" ht="18.75" x14ac:dyDescent="0.25">
      <c r="A70" s="569" t="s">
        <v>45</v>
      </c>
      <c r="B70" s="570"/>
      <c r="C70" s="570"/>
      <c r="D70" s="570"/>
      <c r="E70" s="570"/>
      <c r="F70" s="570"/>
      <c r="G70" s="570"/>
      <c r="H70" s="570"/>
      <c r="I70" s="570"/>
      <c r="J70" s="571"/>
    </row>
    <row r="71" spans="1:13" x14ac:dyDescent="0.25">
      <c r="A71" s="426" t="s">
        <v>46</v>
      </c>
      <c r="B71" s="426" t="s">
        <v>47</v>
      </c>
      <c r="C71" s="426" t="s">
        <v>33</v>
      </c>
      <c r="D71" s="426" t="s">
        <v>6</v>
      </c>
      <c r="E71" s="426" t="s">
        <v>33</v>
      </c>
      <c r="F71" s="426" t="s">
        <v>6</v>
      </c>
      <c r="G71" s="427" t="s">
        <v>33</v>
      </c>
      <c r="H71" s="427" t="s">
        <v>6</v>
      </c>
      <c r="I71" s="427" t="str">
        <f>G71</f>
        <v>%</v>
      </c>
      <c r="J71" s="427" t="str">
        <f>H71</f>
        <v>Valor (R$)</v>
      </c>
    </row>
    <row r="72" spans="1:13" x14ac:dyDescent="0.25">
      <c r="A72" s="2" t="s">
        <v>7</v>
      </c>
      <c r="B72" s="7" t="s">
        <v>127</v>
      </c>
      <c r="C72" s="9">
        <v>7.3999999999999999E-4</v>
      </c>
      <c r="D72" s="8">
        <f>C72*$C$32</f>
        <v>0.70464280000000001</v>
      </c>
      <c r="E72" s="9">
        <v>7.3999999999999999E-4</v>
      </c>
      <c r="F72" s="8">
        <f>E72*$C$32</f>
        <v>0.70464280000000001</v>
      </c>
      <c r="G72" s="313">
        <v>7.3999999999999999E-4</v>
      </c>
      <c r="H72" s="327">
        <f>G72*$G$32</f>
        <v>0.77862799999999999</v>
      </c>
      <c r="I72" s="372">
        <v>7.3999999999999999E-4</v>
      </c>
      <c r="J72" s="362">
        <f>I72*$I$32</f>
        <v>0.82978419999999997</v>
      </c>
    </row>
    <row r="73" spans="1:13" ht="28.5" x14ac:dyDescent="0.25">
      <c r="A73" s="2" t="s">
        <v>9</v>
      </c>
      <c r="B73" s="380" t="s">
        <v>48</v>
      </c>
      <c r="C73" s="9">
        <f>C60*C72</f>
        <v>2.6136800000000005E-4</v>
      </c>
      <c r="D73" s="8">
        <f>C73*$C$32</f>
        <v>0.24887983696000004</v>
      </c>
      <c r="E73" s="9">
        <f>E60*E72</f>
        <v>2.6136800000000005E-4</v>
      </c>
      <c r="F73" s="8">
        <f>E73*$C$32</f>
        <v>0.24887983696000004</v>
      </c>
      <c r="G73" s="313">
        <f>G60*G72</f>
        <v>2.6240400000000004E-4</v>
      </c>
      <c r="H73" s="327">
        <f>G73*$G$32</f>
        <v>0.27610148880000007</v>
      </c>
      <c r="I73" s="372">
        <f>I60*I72</f>
        <v>2.6240400000000004E-4</v>
      </c>
      <c r="J73" s="362">
        <f>I73*$I$32</f>
        <v>0.29424147732000006</v>
      </c>
    </row>
    <row r="74" spans="1:13" x14ac:dyDescent="0.25">
      <c r="A74" s="526" t="s">
        <v>41</v>
      </c>
      <c r="B74" s="526"/>
      <c r="C74" s="432">
        <f t="shared" ref="C74:H74" si="7">SUM(C73,C72)</f>
        <v>1.0013680000000001E-3</v>
      </c>
      <c r="D74" s="428">
        <f t="shared" si="7"/>
        <v>0.95352263696000006</v>
      </c>
      <c r="E74" s="432">
        <f t="shared" si="7"/>
        <v>1.0013680000000001E-3</v>
      </c>
      <c r="F74" s="428">
        <f t="shared" si="7"/>
        <v>0.95352263696000006</v>
      </c>
      <c r="G74" s="434">
        <f t="shared" si="7"/>
        <v>1.0024040000000001E-3</v>
      </c>
      <c r="H74" s="429">
        <f t="shared" si="7"/>
        <v>1.0547294888000001</v>
      </c>
      <c r="I74" s="434">
        <f>SUM(I72:I73)</f>
        <v>1.0024040000000001E-3</v>
      </c>
      <c r="J74" s="429">
        <f>SUM(J72:J73)</f>
        <v>1.1240256773200001</v>
      </c>
    </row>
    <row r="75" spans="1:13" ht="18.75" x14ac:dyDescent="0.25">
      <c r="A75" s="569" t="s">
        <v>102</v>
      </c>
      <c r="B75" s="570"/>
      <c r="C75" s="570"/>
      <c r="D75" s="570"/>
      <c r="E75" s="570"/>
      <c r="F75" s="570"/>
      <c r="G75" s="570"/>
      <c r="H75" s="570"/>
      <c r="I75" s="570"/>
      <c r="J75" s="571"/>
    </row>
    <row r="76" spans="1:13" x14ac:dyDescent="0.25">
      <c r="A76" s="426" t="s">
        <v>49</v>
      </c>
      <c r="B76" s="426" t="s">
        <v>50</v>
      </c>
      <c r="C76" s="426" t="s">
        <v>33</v>
      </c>
      <c r="D76" s="426" t="s">
        <v>6</v>
      </c>
      <c r="E76" s="426" t="s">
        <v>33</v>
      </c>
      <c r="F76" s="426" t="s">
        <v>6</v>
      </c>
      <c r="G76" s="427" t="s">
        <v>33</v>
      </c>
      <c r="H76" s="427" t="s">
        <v>6</v>
      </c>
      <c r="I76" s="427" t="str">
        <f>G76</f>
        <v>%</v>
      </c>
      <c r="J76" s="427" t="str">
        <f>H76</f>
        <v>Valor (R$)</v>
      </c>
    </row>
    <row r="77" spans="1:13" x14ac:dyDescent="0.25">
      <c r="A77" s="2" t="s">
        <v>7</v>
      </c>
      <c r="B77" s="7" t="s">
        <v>51</v>
      </c>
      <c r="C77" s="9">
        <v>4.1599999999999998E-2</v>
      </c>
      <c r="D77" s="8">
        <f t="shared" ref="D77:D82" si="8">C77*$C$32</f>
        <v>39.612352000000001</v>
      </c>
      <c r="E77" s="9">
        <v>4.1599999999999998E-2</v>
      </c>
      <c r="F77" s="8">
        <f t="shared" ref="F77:F82" si="9">E77*$C$32</f>
        <v>39.612352000000001</v>
      </c>
      <c r="G77" s="313">
        <v>4.1599999999999998E-2</v>
      </c>
      <c r="H77" s="327">
        <f t="shared" ref="H77:H82" si="10">G77*$G$32</f>
        <v>43.771520000000002</v>
      </c>
      <c r="I77" s="372">
        <v>4.1599999999999998E-2</v>
      </c>
      <c r="J77" s="362">
        <f t="shared" ref="J77:J82" si="11">I77*$I$32</f>
        <v>46.647327999999995</v>
      </c>
    </row>
    <row r="78" spans="1:13" x14ac:dyDescent="0.25">
      <c r="A78" s="2" t="s">
        <v>9</v>
      </c>
      <c r="B78" s="380" t="s">
        <v>495</v>
      </c>
      <c r="C78" s="9">
        <f>C60*C77</f>
        <v>1.4693120000000002E-2</v>
      </c>
      <c r="D78" s="8">
        <f>C78*$C$32</f>
        <v>13.991082726400002</v>
      </c>
      <c r="E78" s="9">
        <f>E60*E77</f>
        <v>1.4693120000000002E-2</v>
      </c>
      <c r="F78" s="8">
        <f t="shared" si="9"/>
        <v>13.991082726400002</v>
      </c>
      <c r="G78" s="313">
        <f>G60*G77</f>
        <v>1.4751360000000003E-2</v>
      </c>
      <c r="H78" s="327">
        <f t="shared" si="10"/>
        <v>15.521380992000005</v>
      </c>
      <c r="I78" s="372">
        <f>I60*I77</f>
        <v>1.4751360000000003E-2</v>
      </c>
      <c r="J78" s="362">
        <f t="shared" si="11"/>
        <v>16.541142508800004</v>
      </c>
      <c r="K78" s="4">
        <f>'$ TOTAL ATUAL'!D33</f>
        <v>-133463.52000000002</v>
      </c>
      <c r="M78" s="4">
        <f>'$ TOTAL ATUAL'!F33</f>
        <v>0</v>
      </c>
    </row>
    <row r="79" spans="1:13" x14ac:dyDescent="0.25">
      <c r="A79" s="2" t="s">
        <v>11</v>
      </c>
      <c r="B79" s="7" t="s">
        <v>98</v>
      </c>
      <c r="C79" s="216">
        <v>2.0799999999999999E-2</v>
      </c>
      <c r="D79" s="8">
        <f t="shared" si="8"/>
        <v>19.806176000000001</v>
      </c>
      <c r="E79" s="216">
        <v>2.0799999999999999E-2</v>
      </c>
      <c r="F79" s="8">
        <f t="shared" si="9"/>
        <v>19.806176000000001</v>
      </c>
      <c r="G79" s="336">
        <v>2.0799999999999999E-2</v>
      </c>
      <c r="H79" s="327">
        <f t="shared" si="10"/>
        <v>21.885760000000001</v>
      </c>
      <c r="I79" s="372">
        <v>2.0799999999999999E-2</v>
      </c>
      <c r="J79" s="362">
        <f t="shared" si="11"/>
        <v>23.323663999999997</v>
      </c>
    </row>
    <row r="80" spans="1:13" x14ac:dyDescent="0.25">
      <c r="A80" s="2" t="s">
        <v>13</v>
      </c>
      <c r="B80" s="7" t="s">
        <v>52</v>
      </c>
      <c r="C80" s="216">
        <v>2.0000000000000001E-4</v>
      </c>
      <c r="D80" s="8">
        <f t="shared" si="8"/>
        <v>0.190444</v>
      </c>
      <c r="E80" s="216">
        <v>2.0000000000000001E-4</v>
      </c>
      <c r="F80" s="8">
        <f t="shared" si="9"/>
        <v>0.190444</v>
      </c>
      <c r="G80" s="336">
        <v>2.0000000000000001E-4</v>
      </c>
      <c r="H80" s="327">
        <f t="shared" si="10"/>
        <v>0.21044000000000002</v>
      </c>
      <c r="I80" s="372">
        <v>2.0000000000000001E-4</v>
      </c>
      <c r="J80" s="362">
        <f t="shared" si="11"/>
        <v>0.22426599999999999</v>
      </c>
    </row>
    <row r="81" spans="1:14" x14ac:dyDescent="0.25">
      <c r="A81" s="2" t="s">
        <v>15</v>
      </c>
      <c r="B81" s="380" t="s">
        <v>53</v>
      </c>
      <c r="C81" s="9">
        <f>C60*C80</f>
        <v>7.0640000000000015E-5</v>
      </c>
      <c r="D81" s="8">
        <f>C81*$C$32</f>
        <v>6.7264820800000014E-2</v>
      </c>
      <c r="E81" s="9">
        <f>E60*E80</f>
        <v>7.0640000000000015E-5</v>
      </c>
      <c r="F81" s="8">
        <f t="shared" si="9"/>
        <v>6.7264820800000014E-2</v>
      </c>
      <c r="G81" s="313">
        <f>G60*G80</f>
        <v>7.0920000000000019E-5</v>
      </c>
      <c r="H81" s="327">
        <f t="shared" si="10"/>
        <v>7.4622024000000023E-2</v>
      </c>
      <c r="I81" s="372">
        <f>I60*I80</f>
        <v>7.0920000000000019E-5</v>
      </c>
      <c r="J81" s="362">
        <f t="shared" si="11"/>
        <v>7.9524723600000014E-2</v>
      </c>
    </row>
    <row r="82" spans="1:14" x14ac:dyDescent="0.25">
      <c r="A82" s="2" t="s">
        <v>17</v>
      </c>
      <c r="B82" s="224" t="s">
        <v>99</v>
      </c>
      <c r="C82" s="9">
        <v>9.7000000000000003E-3</v>
      </c>
      <c r="D82" s="8">
        <f t="shared" si="8"/>
        <v>9.2365340000000007</v>
      </c>
      <c r="E82" s="9">
        <v>9.7000000000000003E-3</v>
      </c>
      <c r="F82" s="8">
        <f t="shared" si="9"/>
        <v>9.2365340000000007</v>
      </c>
      <c r="G82" s="313">
        <v>9.7000000000000003E-3</v>
      </c>
      <c r="H82" s="327">
        <f t="shared" si="10"/>
        <v>10.206340000000001</v>
      </c>
      <c r="I82" s="372">
        <f>G82</f>
        <v>9.7000000000000003E-3</v>
      </c>
      <c r="J82" s="362">
        <f t="shared" si="11"/>
        <v>10.876901</v>
      </c>
    </row>
    <row r="83" spans="1:14" x14ac:dyDescent="0.25">
      <c r="A83" s="526" t="s">
        <v>54</v>
      </c>
      <c r="B83" s="526"/>
      <c r="C83" s="432">
        <f t="shared" ref="C83:H83" si="12">SUM(C77:C82)</f>
        <v>8.7063760000000004E-2</v>
      </c>
      <c r="D83" s="428">
        <f t="shared" si="12"/>
        <v>82.903853547200015</v>
      </c>
      <c r="E83" s="432">
        <f t="shared" si="12"/>
        <v>8.7063760000000004E-2</v>
      </c>
      <c r="F83" s="428">
        <f t="shared" si="12"/>
        <v>82.903853547200015</v>
      </c>
      <c r="G83" s="434">
        <f t="shared" si="12"/>
        <v>8.712228000000001E-2</v>
      </c>
      <c r="H83" s="429">
        <f t="shared" si="12"/>
        <v>91.670063016000014</v>
      </c>
      <c r="I83" s="434">
        <f>G83</f>
        <v>8.712228000000001E-2</v>
      </c>
      <c r="J83" s="429">
        <f>SUM(J77:J82)</f>
        <v>97.692826232399995</v>
      </c>
    </row>
    <row r="84" spans="1:14" ht="18.75" x14ac:dyDescent="0.25">
      <c r="A84" s="534" t="s">
        <v>55</v>
      </c>
      <c r="B84" s="534"/>
      <c r="C84" s="534"/>
      <c r="D84" s="534"/>
      <c r="E84" s="534"/>
      <c r="F84" s="534"/>
      <c r="G84" s="534"/>
      <c r="H84" s="534"/>
      <c r="I84" s="534"/>
      <c r="J84" s="534"/>
    </row>
    <row r="85" spans="1:14" ht="28.5" x14ac:dyDescent="0.25">
      <c r="A85" s="426" t="s">
        <v>56</v>
      </c>
      <c r="B85" s="426" t="s">
        <v>57</v>
      </c>
      <c r="C85" s="426" t="s">
        <v>33</v>
      </c>
      <c r="D85" s="426" t="s">
        <v>6</v>
      </c>
      <c r="E85" s="426" t="s">
        <v>33</v>
      </c>
      <c r="F85" s="426" t="s">
        <v>6</v>
      </c>
      <c r="G85" s="427" t="s">
        <v>33</v>
      </c>
      <c r="H85" s="427" t="s">
        <v>6</v>
      </c>
      <c r="I85" s="427" t="str">
        <f>G85</f>
        <v>%</v>
      </c>
      <c r="J85" s="427" t="str">
        <f>H85</f>
        <v>Valor (R$)</v>
      </c>
    </row>
    <row r="86" spans="1:14" x14ac:dyDescent="0.25">
      <c r="A86" s="2" t="s">
        <v>7</v>
      </c>
      <c r="B86" s="153" t="s">
        <v>452</v>
      </c>
      <c r="C86" s="9">
        <v>0.1111</v>
      </c>
      <c r="D86" s="8">
        <f>C86*$C$32</f>
        <v>105.79164200000001</v>
      </c>
      <c r="E86" s="9">
        <v>0.1111</v>
      </c>
      <c r="F86" s="8">
        <f>E86*$C$32</f>
        <v>105.79164200000001</v>
      </c>
      <c r="G86" s="336">
        <v>0.1111</v>
      </c>
      <c r="H86" s="327">
        <f>G86*$G$32</f>
        <v>116.89942000000001</v>
      </c>
      <c r="I86" s="372">
        <v>0.1111</v>
      </c>
      <c r="J86" s="362">
        <f>I86*$I$32</f>
        <v>124.579763</v>
      </c>
    </row>
    <row r="87" spans="1:14" x14ac:dyDescent="0.25">
      <c r="A87" s="2" t="s">
        <v>9</v>
      </c>
      <c r="B87" s="7" t="s">
        <v>58</v>
      </c>
      <c r="C87" s="9">
        <v>1.3899999999999999E-2</v>
      </c>
      <c r="D87" s="8">
        <f>C87*$C$32</f>
        <v>13.235858</v>
      </c>
      <c r="E87" s="9">
        <v>1.3899999999999999E-2</v>
      </c>
      <c r="F87" s="8">
        <f>E87*$C$32</f>
        <v>13.235858</v>
      </c>
      <c r="G87" s="336">
        <v>1.3899999999999999E-2</v>
      </c>
      <c r="H87" s="327">
        <f>G87*$G$32</f>
        <v>14.625579999999999</v>
      </c>
      <c r="I87" s="372">
        <v>1.3899999999999999E-2</v>
      </c>
      <c r="J87" s="362">
        <f>I87*$I$32</f>
        <v>15.586486999999998</v>
      </c>
    </row>
    <row r="88" spans="1:14" x14ac:dyDescent="0.25">
      <c r="A88" s="2" t="s">
        <v>11</v>
      </c>
      <c r="B88" s="7" t="s">
        <v>59</v>
      </c>
      <c r="C88" s="9">
        <v>2.0000000000000001E-4</v>
      </c>
      <c r="D88" s="8">
        <f>C88*$C$32</f>
        <v>0.190444</v>
      </c>
      <c r="E88" s="9">
        <v>2.0000000000000001E-4</v>
      </c>
      <c r="F88" s="8">
        <f>E88*$C$32</f>
        <v>0.190444</v>
      </c>
      <c r="G88" s="336">
        <v>2.0000000000000001E-4</v>
      </c>
      <c r="H88" s="327">
        <f>G88*$G$32</f>
        <v>0.21044000000000002</v>
      </c>
      <c r="I88" s="372">
        <v>2.0000000000000001E-4</v>
      </c>
      <c r="J88" s="362">
        <f>I88*$I$32</f>
        <v>0.22426599999999999</v>
      </c>
    </row>
    <row r="89" spans="1:14" x14ac:dyDescent="0.25">
      <c r="A89" s="2" t="s">
        <v>13</v>
      </c>
      <c r="B89" s="7" t="s">
        <v>60</v>
      </c>
      <c r="C89" s="9">
        <v>2.8E-3</v>
      </c>
      <c r="D89" s="8">
        <f>C89*$C$32</f>
        <v>2.6662159999999999</v>
      </c>
      <c r="E89" s="9">
        <v>2.8E-3</v>
      </c>
      <c r="F89" s="8">
        <f>E89*$C$32</f>
        <v>2.6662159999999999</v>
      </c>
      <c r="G89" s="336">
        <v>2.8E-3</v>
      </c>
      <c r="H89" s="327">
        <f>G89*$G$32</f>
        <v>2.9461599999999999</v>
      </c>
      <c r="I89" s="372">
        <v>2.8E-3</v>
      </c>
      <c r="J89" s="362">
        <f>I89*$I$32</f>
        <v>3.1397239999999997</v>
      </c>
    </row>
    <row r="90" spans="1:14" x14ac:dyDescent="0.25">
      <c r="A90" s="2" t="s">
        <v>15</v>
      </c>
      <c r="B90" s="7" t="s">
        <v>61</v>
      </c>
      <c r="C90" s="9">
        <v>3.3E-3</v>
      </c>
      <c r="D90" s="8">
        <f>C90*$C$32</f>
        <v>3.1423260000000002</v>
      </c>
      <c r="E90" s="9">
        <v>3.3E-3</v>
      </c>
      <c r="F90" s="8">
        <f>E90*$C$32</f>
        <v>3.1423260000000002</v>
      </c>
      <c r="G90" s="336">
        <v>3.3E-3</v>
      </c>
      <c r="H90" s="327">
        <f>G90*$G$32</f>
        <v>3.4722600000000003</v>
      </c>
      <c r="I90" s="372">
        <v>3.3E-3</v>
      </c>
      <c r="J90" s="362">
        <f>I90*$I$32</f>
        <v>3.7003889999999999</v>
      </c>
    </row>
    <row r="91" spans="1:14" x14ac:dyDescent="0.25">
      <c r="A91" s="2" t="s">
        <v>17</v>
      </c>
      <c r="B91" s="7" t="s">
        <v>21</v>
      </c>
      <c r="C91" s="9"/>
      <c r="D91" s="8"/>
      <c r="E91" s="9"/>
      <c r="F91" s="8"/>
      <c r="G91" s="336"/>
      <c r="H91" s="327"/>
      <c r="I91" s="372"/>
      <c r="J91" s="362"/>
    </row>
    <row r="92" spans="1:14" x14ac:dyDescent="0.25">
      <c r="A92" s="2"/>
      <c r="B92" s="5" t="s">
        <v>44</v>
      </c>
      <c r="C92" s="225">
        <f t="shared" ref="C92:H92" si="13">SUM(C86:C91)</f>
        <v>0.1313</v>
      </c>
      <c r="D92" s="226">
        <f t="shared" si="13"/>
        <v>125.02648600000001</v>
      </c>
      <c r="E92" s="225">
        <f t="shared" si="13"/>
        <v>0.1313</v>
      </c>
      <c r="F92" s="226">
        <f t="shared" si="13"/>
        <v>125.02648600000001</v>
      </c>
      <c r="G92" s="315">
        <f t="shared" si="13"/>
        <v>0.1313</v>
      </c>
      <c r="H92" s="410">
        <f t="shared" si="13"/>
        <v>138.15386000000001</v>
      </c>
      <c r="I92" s="373">
        <f>SUM(I86:I91)</f>
        <v>0.1313</v>
      </c>
      <c r="J92" s="411">
        <f>SUM(J86:J91)</f>
        <v>147.23062899999999</v>
      </c>
    </row>
    <row r="93" spans="1:14" x14ac:dyDescent="0.25">
      <c r="A93" s="2" t="s">
        <v>19</v>
      </c>
      <c r="B93" s="380" t="s">
        <v>62</v>
      </c>
      <c r="C93" s="9">
        <f>C60*C92</f>
        <v>4.6375160000000012E-2</v>
      </c>
      <c r="D93" s="8">
        <f>C93*$C$32</f>
        <v>44.159354855200014</v>
      </c>
      <c r="E93" s="9">
        <f>E60*E92</f>
        <v>4.6375160000000012E-2</v>
      </c>
      <c r="F93" s="8">
        <f>E93*$C$32</f>
        <v>44.159354855200014</v>
      </c>
      <c r="G93" s="336">
        <f>(G60*G92)</f>
        <v>4.6558980000000014E-2</v>
      </c>
      <c r="H93" s="327">
        <f>G93*$G$32</f>
        <v>48.989358756000016</v>
      </c>
      <c r="I93" s="372">
        <f>(I60*I92)</f>
        <v>4.6558980000000014E-2</v>
      </c>
      <c r="J93" s="362">
        <f>I93*$I$32</f>
        <v>52.207981043400011</v>
      </c>
    </row>
    <row r="94" spans="1:14" x14ac:dyDescent="0.25">
      <c r="A94" s="526" t="s">
        <v>54</v>
      </c>
      <c r="B94" s="526"/>
      <c r="C94" s="432">
        <f t="shared" ref="C94:H94" si="14">SUM(C92:C93)</f>
        <v>0.17767516</v>
      </c>
      <c r="D94" s="428">
        <f t="shared" si="14"/>
        <v>169.18584085520001</v>
      </c>
      <c r="E94" s="432">
        <f t="shared" si="14"/>
        <v>0.17767516</v>
      </c>
      <c r="F94" s="428">
        <f t="shared" si="14"/>
        <v>169.18584085520001</v>
      </c>
      <c r="G94" s="434">
        <f t="shared" si="14"/>
        <v>0.17785898</v>
      </c>
      <c r="H94" s="429">
        <f t="shared" si="14"/>
        <v>187.14321875600001</v>
      </c>
      <c r="I94" s="434">
        <f>SUM(I92:I93)</f>
        <v>0.17785898</v>
      </c>
      <c r="J94" s="429">
        <f>SUM(J92:J93)</f>
        <v>199.43861004339999</v>
      </c>
      <c r="K94" t="s">
        <v>317</v>
      </c>
      <c r="L94" s="138">
        <f>SUM(C94+C83+C74+C69+C60)</f>
        <v>0.76928080800000009</v>
      </c>
      <c r="M94" t="s">
        <v>317</v>
      </c>
      <c r="N94" s="138">
        <f>SUM(G94+G83+G74+G69+G60)</f>
        <v>0.77107972400000002</v>
      </c>
    </row>
    <row r="95" spans="1:14" x14ac:dyDescent="0.25">
      <c r="A95" s="412"/>
      <c r="B95" s="3"/>
      <c r="C95" s="3"/>
      <c r="D95" s="3"/>
      <c r="E95" s="3"/>
      <c r="F95" s="3"/>
      <c r="G95" s="343"/>
      <c r="H95" s="343"/>
      <c r="I95" s="393"/>
      <c r="J95" s="393"/>
    </row>
    <row r="96" spans="1:14" x14ac:dyDescent="0.25">
      <c r="A96" s="560" t="s">
        <v>63</v>
      </c>
      <c r="B96" s="561"/>
      <c r="C96" s="561"/>
      <c r="D96" s="561"/>
      <c r="E96" s="561"/>
      <c r="F96" s="561"/>
      <c r="G96" s="561"/>
      <c r="H96" s="561"/>
      <c r="I96" s="561"/>
      <c r="J96" s="562"/>
    </row>
    <row r="97" spans="1:13" x14ac:dyDescent="0.25">
      <c r="A97" s="413"/>
      <c r="B97" s="3"/>
      <c r="C97" s="3"/>
      <c r="D97" s="3"/>
      <c r="E97" s="3"/>
      <c r="F97" s="3"/>
      <c r="G97" s="343"/>
      <c r="H97" s="343"/>
      <c r="I97" s="393"/>
      <c r="J97" s="393"/>
    </row>
    <row r="98" spans="1:13" ht="28.5" x14ac:dyDescent="0.25">
      <c r="A98" s="426">
        <v>4</v>
      </c>
      <c r="B98" s="426" t="s">
        <v>64</v>
      </c>
      <c r="C98" s="426" t="s">
        <v>6</v>
      </c>
      <c r="D98" s="426" t="s">
        <v>6</v>
      </c>
      <c r="E98" s="426" t="s">
        <v>6</v>
      </c>
      <c r="F98" s="426" t="s">
        <v>6</v>
      </c>
      <c r="G98" s="427" t="s">
        <v>6</v>
      </c>
      <c r="H98" s="427" t="s">
        <v>6</v>
      </c>
      <c r="I98" s="427" t="str">
        <f>G98</f>
        <v>Valor (R$)</v>
      </c>
      <c r="J98" s="427" t="str">
        <f>H98</f>
        <v>Valor (R$)</v>
      </c>
    </row>
    <row r="99" spans="1:13" x14ac:dyDescent="0.25">
      <c r="A99" s="6" t="s">
        <v>31</v>
      </c>
      <c r="B99" s="7" t="s">
        <v>128</v>
      </c>
      <c r="C99" s="227"/>
      <c r="D99" s="64">
        <f>D60</f>
        <v>336.32410400000003</v>
      </c>
      <c r="E99" s="227"/>
      <c r="F99" s="64">
        <f>F60</f>
        <v>336.32410400000003</v>
      </c>
      <c r="G99" s="331"/>
      <c r="H99" s="400">
        <f>H60</f>
        <v>373.11011999999999</v>
      </c>
      <c r="I99" s="414"/>
      <c r="J99" s="415">
        <f>J60</f>
        <v>397.62361800000002</v>
      </c>
    </row>
    <row r="100" spans="1:13" x14ac:dyDescent="0.25">
      <c r="A100" s="6" t="s">
        <v>42</v>
      </c>
      <c r="B100" s="7" t="s">
        <v>129</v>
      </c>
      <c r="C100" s="227"/>
      <c r="D100" s="64">
        <f>D69</f>
        <v>143.15724995440002</v>
      </c>
      <c r="E100" s="227"/>
      <c r="F100" s="64">
        <f>F69</f>
        <v>143.15724995440002</v>
      </c>
      <c r="G100" s="331"/>
      <c r="H100" s="400">
        <f>H69</f>
        <v>158.35195433200002</v>
      </c>
      <c r="I100" s="414"/>
      <c r="J100" s="415">
        <f>J69</f>
        <v>168.75574695979998</v>
      </c>
    </row>
    <row r="101" spans="1:13" x14ac:dyDescent="0.25">
      <c r="A101" s="6" t="s">
        <v>46</v>
      </c>
      <c r="B101" s="7" t="s">
        <v>47</v>
      </c>
      <c r="C101" s="227"/>
      <c r="D101" s="64">
        <f>D74</f>
        <v>0.95352263696000006</v>
      </c>
      <c r="E101" s="227"/>
      <c r="F101" s="64">
        <f>F74</f>
        <v>0.95352263696000006</v>
      </c>
      <c r="G101" s="331"/>
      <c r="H101" s="400">
        <f>H74</f>
        <v>1.0547294888000001</v>
      </c>
      <c r="I101" s="414"/>
      <c r="J101" s="415">
        <f>J74</f>
        <v>1.1240256773200001</v>
      </c>
    </row>
    <row r="102" spans="1:13" x14ac:dyDescent="0.25">
      <c r="A102" s="6" t="s">
        <v>49</v>
      </c>
      <c r="B102" s="7" t="s">
        <v>65</v>
      </c>
      <c r="C102" s="227"/>
      <c r="D102" s="64">
        <f>D83</f>
        <v>82.903853547200015</v>
      </c>
      <c r="E102" s="227"/>
      <c r="F102" s="64">
        <f>F83</f>
        <v>82.903853547200015</v>
      </c>
      <c r="G102" s="331"/>
      <c r="H102" s="400">
        <f>H83</f>
        <v>91.670063016000014</v>
      </c>
      <c r="I102" s="414"/>
      <c r="J102" s="415">
        <f>J83</f>
        <v>97.692826232399995</v>
      </c>
    </row>
    <row r="103" spans="1:13" x14ac:dyDescent="0.25">
      <c r="A103" s="6" t="s">
        <v>56</v>
      </c>
      <c r="B103" s="7" t="s">
        <v>66</v>
      </c>
      <c r="C103" s="227"/>
      <c r="D103" s="64">
        <f>D94</f>
        <v>169.18584085520001</v>
      </c>
      <c r="E103" s="227"/>
      <c r="F103" s="64">
        <f>F94</f>
        <v>169.18584085520001</v>
      </c>
      <c r="G103" s="331"/>
      <c r="H103" s="400">
        <f>H94</f>
        <v>187.14321875600001</v>
      </c>
      <c r="I103" s="414"/>
      <c r="J103" s="415">
        <f>J94</f>
        <v>199.43861004339999</v>
      </c>
    </row>
    <row r="104" spans="1:13" x14ac:dyDescent="0.25">
      <c r="A104" s="6" t="s">
        <v>67</v>
      </c>
      <c r="B104" s="7" t="s">
        <v>68</v>
      </c>
      <c r="C104" s="6"/>
      <c r="D104" s="3"/>
      <c r="E104" s="6"/>
      <c r="F104" s="3"/>
      <c r="G104" s="388"/>
      <c r="H104" s="343"/>
      <c r="I104" s="416"/>
      <c r="J104" s="393"/>
    </row>
    <row r="105" spans="1:13" x14ac:dyDescent="0.25">
      <c r="A105" s="526" t="s">
        <v>54</v>
      </c>
      <c r="B105" s="526"/>
      <c r="C105" s="436"/>
      <c r="D105" s="436">
        <f>SUM(D99:D104)</f>
        <v>732.52457099376011</v>
      </c>
      <c r="E105" s="436"/>
      <c r="F105" s="436">
        <f>SUM(F99:F104)</f>
        <v>732.52457099376011</v>
      </c>
      <c r="G105" s="437"/>
      <c r="H105" s="437">
        <f>SUM(H99:H104)</f>
        <v>811.33008559280006</v>
      </c>
      <c r="I105" s="437"/>
      <c r="J105" s="437">
        <f>SUM(J99:J104)</f>
        <v>864.63482691291995</v>
      </c>
    </row>
    <row r="106" spans="1:13" s="152" customFormat="1" x14ac:dyDescent="0.25">
      <c r="A106" s="386"/>
      <c r="B106" s="386"/>
      <c r="C106" s="417"/>
      <c r="D106" s="418"/>
      <c r="E106" s="418"/>
      <c r="F106" s="418"/>
      <c r="G106" s="419"/>
      <c r="H106" s="399"/>
      <c r="I106" s="365"/>
      <c r="J106" s="393"/>
    </row>
    <row r="107" spans="1:13" s="152" customFormat="1" ht="18.75" x14ac:dyDescent="0.25">
      <c r="A107" s="563" t="s">
        <v>69</v>
      </c>
      <c r="B107" s="564"/>
      <c r="C107" s="564"/>
      <c r="D107" s="564"/>
      <c r="E107" s="564"/>
      <c r="F107" s="564"/>
      <c r="G107" s="564"/>
      <c r="H107" s="564"/>
      <c r="I107" s="564"/>
      <c r="J107" s="565"/>
    </row>
    <row r="108" spans="1:13" x14ac:dyDescent="0.25">
      <c r="A108" s="438">
        <v>5</v>
      </c>
      <c r="B108" s="426" t="s">
        <v>70</v>
      </c>
      <c r="C108" s="426" t="s">
        <v>33</v>
      </c>
      <c r="D108" s="426" t="s">
        <v>6</v>
      </c>
      <c r="E108" s="426" t="s">
        <v>33</v>
      </c>
      <c r="F108" s="426" t="s">
        <v>6</v>
      </c>
      <c r="G108" s="427" t="s">
        <v>33</v>
      </c>
      <c r="H108" s="427" t="s">
        <v>6</v>
      </c>
      <c r="I108" s="427" t="str">
        <f>G108</f>
        <v>%</v>
      </c>
      <c r="J108" s="427" t="str">
        <f>H108</f>
        <v>Valor (R$)</v>
      </c>
    </row>
    <row r="109" spans="1:13" x14ac:dyDescent="0.25">
      <c r="A109" s="2" t="s">
        <v>7</v>
      </c>
      <c r="B109" s="7" t="s">
        <v>71</v>
      </c>
      <c r="C109" s="9">
        <v>2.6100000000000002E-2</v>
      </c>
      <c r="D109" s="8">
        <f>SUM(C32+C42+C48+D105)*C109</f>
        <v>64.914174440405972</v>
      </c>
      <c r="E109" s="9">
        <v>2.6100000000000002E-2</v>
      </c>
      <c r="F109" s="8">
        <f>SUM(E32+E42+E48+F105)*E109</f>
        <v>66.808467496337158</v>
      </c>
      <c r="G109" s="313">
        <v>2.6100000000000002E-2</v>
      </c>
      <c r="H109" s="327">
        <f>SUM(G32+G42+G48+H105)*G109</f>
        <v>73.290305158972089</v>
      </c>
      <c r="I109" s="372">
        <v>2.6100000000000002E-2</v>
      </c>
      <c r="J109" s="362">
        <f>SUM(I32+I42+I48+J105)*I109</f>
        <v>78.852863952427199</v>
      </c>
    </row>
    <row r="110" spans="1:13" x14ac:dyDescent="0.25">
      <c r="A110" s="2" t="s">
        <v>9</v>
      </c>
      <c r="B110" s="1" t="s">
        <v>72</v>
      </c>
      <c r="C110" s="225">
        <v>0.14249999999999999</v>
      </c>
      <c r="D110" s="8"/>
      <c r="E110" s="225">
        <v>0.14249999999999999</v>
      </c>
      <c r="F110" s="8"/>
      <c r="G110" s="314">
        <v>0.14249999999999999</v>
      </c>
      <c r="H110" s="327"/>
      <c r="I110" s="373">
        <v>0.14249999999999999</v>
      </c>
      <c r="J110" s="362"/>
      <c r="K110" s="60">
        <v>1.6500000000000001E-2</v>
      </c>
      <c r="M110" s="317">
        <v>1.6500000000000001E-2</v>
      </c>
    </row>
    <row r="111" spans="1:13" x14ac:dyDescent="0.25">
      <c r="A111" s="2"/>
      <c r="B111" s="7" t="s">
        <v>131</v>
      </c>
      <c r="C111" s="9"/>
      <c r="D111" s="8">
        <f>ROUND(K116*K112,2)</f>
        <v>278.05</v>
      </c>
      <c r="E111" s="9"/>
      <c r="F111" s="8">
        <f>ROUND(M116*M112,2)</f>
        <v>286.16000000000003</v>
      </c>
      <c r="G111" s="313"/>
      <c r="H111" s="362">
        <f>ROUND(M119*M112,2)</f>
        <v>313.92</v>
      </c>
      <c r="I111" s="372"/>
      <c r="J111" s="362">
        <f>ROUND(M121*M112,2)</f>
        <v>337.75</v>
      </c>
      <c r="K111" s="60">
        <v>7.5999999999999998E-2</v>
      </c>
      <c r="M111" s="317">
        <v>7.5999999999999998E-2</v>
      </c>
    </row>
    <row r="112" spans="1:13" x14ac:dyDescent="0.25">
      <c r="A112" s="2"/>
      <c r="B112" s="7" t="s">
        <v>130</v>
      </c>
      <c r="C112" s="9"/>
      <c r="D112" s="8">
        <f>ROUND(K116*K113,2)</f>
        <v>150.30000000000001</v>
      </c>
      <c r="E112" s="9"/>
      <c r="F112" s="8">
        <f>ROUND(M116*M113,2)</f>
        <v>154.68</v>
      </c>
      <c r="G112" s="313"/>
      <c r="H112" s="327">
        <f>ROUND(M119*M113,2)</f>
        <v>169.69</v>
      </c>
      <c r="I112" s="372"/>
      <c r="J112" s="362">
        <f>ROUND(M121*M113,2)</f>
        <v>182.57</v>
      </c>
      <c r="K112" s="60">
        <f>SUM(K110:K111)</f>
        <v>9.2499999999999999E-2</v>
      </c>
      <c r="M112" s="317">
        <f>SUM(M110:M111)</f>
        <v>9.2499999999999999E-2</v>
      </c>
    </row>
    <row r="113" spans="1:14" x14ac:dyDescent="0.25">
      <c r="A113" s="2"/>
      <c r="B113" s="7" t="s">
        <v>132</v>
      </c>
      <c r="C113" s="9"/>
      <c r="D113" s="8"/>
      <c r="E113" s="9"/>
      <c r="F113" s="8"/>
      <c r="G113" s="313"/>
      <c r="H113" s="327"/>
      <c r="I113" s="372"/>
      <c r="J113" s="374"/>
      <c r="K113" s="60">
        <v>0.05</v>
      </c>
      <c r="M113" s="317">
        <v>0.05</v>
      </c>
    </row>
    <row r="114" spans="1:14" x14ac:dyDescent="0.25">
      <c r="A114" s="2"/>
      <c r="B114" s="7" t="s">
        <v>133</v>
      </c>
      <c r="C114" s="9"/>
      <c r="D114" s="8"/>
      <c r="E114" s="9"/>
      <c r="F114" s="8"/>
      <c r="G114" s="313"/>
      <c r="H114" s="327"/>
      <c r="I114" s="372"/>
      <c r="J114" s="374"/>
    </row>
    <row r="115" spans="1:14" x14ac:dyDescent="0.25">
      <c r="A115" s="312" t="s">
        <v>11</v>
      </c>
      <c r="B115" s="153" t="s">
        <v>499</v>
      </c>
      <c r="C115" s="230">
        <v>0.01</v>
      </c>
      <c r="D115" s="8">
        <f>SUM(D109+D105+C48+C42+C32)*C115</f>
        <v>25.520472947624739</v>
      </c>
      <c r="E115" s="230">
        <v>0.01</v>
      </c>
      <c r="F115" s="8">
        <f>SUM(F109+F105+E48+E42+E32)*E115</f>
        <v>26.265198658234304</v>
      </c>
      <c r="G115" s="315">
        <v>0.01</v>
      </c>
      <c r="H115" s="327">
        <f>SUM(H109+H105+G48+G42+G32)*G115</f>
        <v>28.813479740851054</v>
      </c>
      <c r="I115" s="373">
        <v>0.01</v>
      </c>
      <c r="J115" s="362">
        <f>SUM(J109+J105+I48+I42+I32)*I115</f>
        <v>31.000353908653469</v>
      </c>
    </row>
    <row r="116" spans="1:14" x14ac:dyDescent="0.25">
      <c r="A116" s="526" t="s">
        <v>41</v>
      </c>
      <c r="B116" s="526"/>
      <c r="C116" s="526"/>
      <c r="D116" s="436">
        <f>SUM(D109:D115)</f>
        <v>518.78464738803075</v>
      </c>
      <c r="E116" s="436"/>
      <c r="F116" s="436">
        <f>SUM(F109:F115)</f>
        <v>533.9136661545715</v>
      </c>
      <c r="G116" s="437"/>
      <c r="H116" s="437">
        <f>SUM(H109:H115)</f>
        <v>585.71378489982317</v>
      </c>
      <c r="I116" s="437"/>
      <c r="J116" s="437">
        <f>SUM(J109:J115)</f>
        <v>630.17321786108062</v>
      </c>
      <c r="K116" s="59">
        <f>SUM(D115+D109+D105+C48+C42+C32)/(1-C110)</f>
        <v>3005.9099331896191</v>
      </c>
      <c r="L116" s="4">
        <f>K116*C110</f>
        <v>428.3421654795207</v>
      </c>
      <c r="M116" s="316">
        <f>SUM(F115+F109+F105+E48+E42+E32)/(1-E110)</f>
        <v>3093.6268973547108</v>
      </c>
      <c r="N116" s="4">
        <f>M116*G110</f>
        <v>440.84183287304626</v>
      </c>
    </row>
    <row r="117" spans="1:14" x14ac:dyDescent="0.25">
      <c r="A117" s="528" t="s">
        <v>73</v>
      </c>
      <c r="B117" s="528"/>
      <c r="C117" s="528"/>
      <c r="D117" s="528"/>
      <c r="E117" s="396"/>
      <c r="F117" s="396"/>
      <c r="G117" s="420"/>
      <c r="H117" s="420"/>
      <c r="I117" s="421"/>
      <c r="J117" s="421"/>
      <c r="L117" s="4">
        <f>SUM(D112+D111)</f>
        <v>428.35</v>
      </c>
      <c r="N117" s="4">
        <f>SUM(H112+H111)</f>
        <v>483.61</v>
      </c>
    </row>
    <row r="118" spans="1:14" x14ac:dyDescent="0.25">
      <c r="A118" s="528" t="s">
        <v>74</v>
      </c>
      <c r="B118" s="528"/>
      <c r="C118" s="528"/>
      <c r="D118" s="528"/>
      <c r="E118" s="396"/>
      <c r="F118" s="396"/>
      <c r="G118" s="420"/>
      <c r="H118" s="420"/>
      <c r="I118" s="421"/>
      <c r="J118" s="421"/>
    </row>
    <row r="119" spans="1:14" x14ac:dyDescent="0.25">
      <c r="A119" s="527" t="s">
        <v>135</v>
      </c>
      <c r="B119" s="527"/>
      <c r="C119" s="527"/>
      <c r="D119" s="527"/>
      <c r="E119" s="422"/>
      <c r="F119" s="422"/>
      <c r="G119" s="423"/>
      <c r="H119" s="423"/>
      <c r="I119" s="424"/>
      <c r="J119" s="424"/>
      <c r="M119" s="316">
        <f>SUM(H115+H109+H105+G48+G42+G32)/(1-G110)</f>
        <v>3393.7742901760421</v>
      </c>
    </row>
    <row r="120" spans="1:14" ht="15.75" thickBot="1" x14ac:dyDescent="0.3">
      <c r="A120" s="527" t="s">
        <v>75</v>
      </c>
      <c r="B120" s="527"/>
      <c r="C120" s="527"/>
      <c r="D120" s="527"/>
      <c r="E120" s="422"/>
      <c r="F120" s="422"/>
      <c r="G120" s="423"/>
      <c r="H120" s="423"/>
      <c r="I120" s="424"/>
      <c r="J120" s="424"/>
    </row>
    <row r="121" spans="1:14" ht="15.75" thickBot="1" x14ac:dyDescent="0.3">
      <c r="A121" s="422"/>
      <c r="B121" s="3"/>
      <c r="C121" s="3"/>
      <c r="D121" s="3"/>
      <c r="E121" s="3"/>
      <c r="F121" s="3"/>
      <c r="G121" s="343"/>
      <c r="H121" s="343"/>
      <c r="I121" s="393"/>
      <c r="J121" s="393"/>
      <c r="M121" s="469">
        <f>SUM(J115+J109+J105+I48+I42+I32)/(1-I110)</f>
        <v>3651.3536382204088</v>
      </c>
    </row>
    <row r="122" spans="1:14" x14ac:dyDescent="0.25">
      <c r="A122" s="526" t="s">
        <v>76</v>
      </c>
      <c r="B122" s="526"/>
      <c r="C122" s="526" t="s">
        <v>77</v>
      </c>
      <c r="D122" s="526"/>
      <c r="E122" s="526" t="s">
        <v>77</v>
      </c>
      <c r="F122" s="526"/>
      <c r="G122" s="525" t="s">
        <v>77</v>
      </c>
      <c r="H122" s="525"/>
      <c r="I122" s="525" t="str">
        <f>G122</f>
        <v>(R$)</v>
      </c>
      <c r="J122" s="525"/>
      <c r="K122" s="4">
        <f>'$ TOTAL ATUAL'!D33</f>
        <v>-133463.52000000002</v>
      </c>
      <c r="M122" s="4">
        <f>'$ TOTAL ATUAL'!F33</f>
        <v>0</v>
      </c>
    </row>
    <row r="123" spans="1:14" x14ac:dyDescent="0.25">
      <c r="A123" s="2" t="s">
        <v>7</v>
      </c>
      <c r="B123" s="7" t="s">
        <v>78</v>
      </c>
      <c r="C123" s="518">
        <f>C32</f>
        <v>952.22</v>
      </c>
      <c r="D123" s="519"/>
      <c r="E123" s="518">
        <f>E32</f>
        <v>952.22</v>
      </c>
      <c r="F123" s="519"/>
      <c r="G123" s="522">
        <f>G32</f>
        <v>1052.2</v>
      </c>
      <c r="H123" s="523"/>
      <c r="I123" s="515">
        <f>I32</f>
        <v>1121.33</v>
      </c>
      <c r="J123" s="515"/>
    </row>
    <row r="124" spans="1:14" x14ac:dyDescent="0.25">
      <c r="A124" s="2" t="s">
        <v>9</v>
      </c>
      <c r="B124" s="7" t="s">
        <v>79</v>
      </c>
      <c r="C124" s="518">
        <f>C42</f>
        <v>652.685744</v>
      </c>
      <c r="D124" s="519"/>
      <c r="E124" s="518">
        <f>E42</f>
        <v>725.26349399999992</v>
      </c>
      <c r="F124" s="519"/>
      <c r="G124" s="522">
        <f>G42</f>
        <v>794.82425000000001</v>
      </c>
      <c r="H124" s="523"/>
      <c r="I124" s="515">
        <f>I42</f>
        <v>885.51769999999999</v>
      </c>
      <c r="J124" s="515"/>
    </row>
    <row r="125" spans="1:14" ht="30" x14ac:dyDescent="0.25">
      <c r="A125" s="2" t="s">
        <v>11</v>
      </c>
      <c r="B125" s="7" t="s">
        <v>80</v>
      </c>
      <c r="C125" s="518">
        <f>C48</f>
        <v>149.70280532830759</v>
      </c>
      <c r="D125" s="519"/>
      <c r="E125" s="518">
        <f>E48</f>
        <v>149.70333333333332</v>
      </c>
      <c r="F125" s="519"/>
      <c r="G125" s="522">
        <f>G48</f>
        <v>149.70333333333332</v>
      </c>
      <c r="H125" s="523"/>
      <c r="I125" s="515">
        <f>I48</f>
        <v>149.69999999999999</v>
      </c>
      <c r="J125" s="515"/>
    </row>
    <row r="126" spans="1:14" x14ac:dyDescent="0.25">
      <c r="A126" s="2" t="s">
        <v>13</v>
      </c>
      <c r="B126" s="7" t="s">
        <v>64</v>
      </c>
      <c r="C126" s="518">
        <f>D105</f>
        <v>732.52457099376011</v>
      </c>
      <c r="D126" s="519"/>
      <c r="E126" s="518">
        <f>F105</f>
        <v>732.52457099376011</v>
      </c>
      <c r="F126" s="519"/>
      <c r="G126" s="522">
        <f>H105</f>
        <v>811.33008559280006</v>
      </c>
      <c r="H126" s="523"/>
      <c r="I126" s="515">
        <f>J105</f>
        <v>864.63482691291995</v>
      </c>
      <c r="J126" s="515"/>
    </row>
    <row r="127" spans="1:14" x14ac:dyDescent="0.25">
      <c r="A127" s="533" t="s">
        <v>81</v>
      </c>
      <c r="B127" s="533"/>
      <c r="C127" s="518">
        <f>SUM(C123:D126)</f>
        <v>2487.133120322068</v>
      </c>
      <c r="D127" s="519"/>
      <c r="E127" s="518">
        <f>SUM(E123:F126)</f>
        <v>2559.7113983270938</v>
      </c>
      <c r="F127" s="519"/>
      <c r="G127" s="522">
        <f>SUM(G123:H126)</f>
        <v>2808.0576689261334</v>
      </c>
      <c r="H127" s="523"/>
      <c r="I127" s="515">
        <f>SUM(I123:I126)</f>
        <v>3021.1825269129195</v>
      </c>
      <c r="J127" s="515"/>
    </row>
    <row r="128" spans="1:14" x14ac:dyDescent="0.25">
      <c r="A128" s="2" t="s">
        <v>15</v>
      </c>
      <c r="B128" s="7" t="s">
        <v>82</v>
      </c>
      <c r="C128" s="518">
        <f>D116</f>
        <v>518.78464738803075</v>
      </c>
      <c r="D128" s="519"/>
      <c r="E128" s="518">
        <f>F116</f>
        <v>533.9136661545715</v>
      </c>
      <c r="F128" s="519"/>
      <c r="G128" s="522">
        <f>H116</f>
        <v>585.71378489982317</v>
      </c>
      <c r="H128" s="523"/>
      <c r="I128" s="515">
        <f>J116</f>
        <v>630.17321786108062</v>
      </c>
      <c r="J128" s="515"/>
    </row>
    <row r="129" spans="1:14" x14ac:dyDescent="0.25">
      <c r="A129" s="526" t="s">
        <v>83</v>
      </c>
      <c r="B129" s="526"/>
      <c r="C129" s="531">
        <f>SUM(C127:C128)</f>
        <v>3005.9177677100988</v>
      </c>
      <c r="D129" s="532"/>
      <c r="E129" s="516">
        <f>SUM(E127:E128)</f>
        <v>3093.6250644816655</v>
      </c>
      <c r="F129" s="517"/>
      <c r="G129" s="520">
        <f>SUM(G127:G128)</f>
        <v>3393.7714538259565</v>
      </c>
      <c r="H129" s="521"/>
      <c r="I129" s="520">
        <f>SUM(I127:I128)</f>
        <v>3651.355744774</v>
      </c>
      <c r="J129" s="520"/>
    </row>
    <row r="130" spans="1:14" x14ac:dyDescent="0.25">
      <c r="L130" s="4"/>
      <c r="N130" s="4"/>
    </row>
  </sheetData>
  <mergeCells count="78">
    <mergeCell ref="A2:J2"/>
    <mergeCell ref="J45:J46"/>
    <mergeCell ref="A96:J96"/>
    <mergeCell ref="A84:J84"/>
    <mergeCell ref="A107:J107"/>
    <mergeCell ref="A18:J18"/>
    <mergeCell ref="A50:J50"/>
    <mergeCell ref="A63:J63"/>
    <mergeCell ref="A70:J70"/>
    <mergeCell ref="A75:J75"/>
    <mergeCell ref="A3:J3"/>
    <mergeCell ref="A4:J4"/>
    <mergeCell ref="A17:J17"/>
    <mergeCell ref="I9:J9"/>
    <mergeCell ref="I11:J11"/>
    <mergeCell ref="G9:H9"/>
    <mergeCell ref="A14:C14"/>
    <mergeCell ref="B5:C5"/>
    <mergeCell ref="A6:C6"/>
    <mergeCell ref="A8:C8"/>
    <mergeCell ref="A23:C23"/>
    <mergeCell ref="A62:D62"/>
    <mergeCell ref="A48:B48"/>
    <mergeCell ref="A15:B15"/>
    <mergeCell ref="A49:C49"/>
    <mergeCell ref="A16:B16"/>
    <mergeCell ref="A43:C43"/>
    <mergeCell ref="A33:C33"/>
    <mergeCell ref="A32:B32"/>
    <mergeCell ref="A129:B129"/>
    <mergeCell ref="C129:D129"/>
    <mergeCell ref="C122:D122"/>
    <mergeCell ref="A122:B122"/>
    <mergeCell ref="C128:D128"/>
    <mergeCell ref="C125:D125"/>
    <mergeCell ref="C126:D126"/>
    <mergeCell ref="A127:B127"/>
    <mergeCell ref="C123:D123"/>
    <mergeCell ref="C127:D127"/>
    <mergeCell ref="C124:D124"/>
    <mergeCell ref="G122:H122"/>
    <mergeCell ref="E122:F122"/>
    <mergeCell ref="E123:F123"/>
    <mergeCell ref="A42:B42"/>
    <mergeCell ref="A118:D118"/>
    <mergeCell ref="A61:D61"/>
    <mergeCell ref="A60:B60"/>
    <mergeCell ref="A120:D120"/>
    <mergeCell ref="A74:B74"/>
    <mergeCell ref="A69:B69"/>
    <mergeCell ref="A1:J1"/>
    <mergeCell ref="I122:J122"/>
    <mergeCell ref="I123:J123"/>
    <mergeCell ref="I124:J124"/>
    <mergeCell ref="I125:J125"/>
    <mergeCell ref="G123:H123"/>
    <mergeCell ref="G124:H124"/>
    <mergeCell ref="G125:H125"/>
    <mergeCell ref="E124:F124"/>
    <mergeCell ref="E125:F125"/>
    <mergeCell ref="A116:C116"/>
    <mergeCell ref="A83:B83"/>
    <mergeCell ref="A94:B94"/>
    <mergeCell ref="A119:D119"/>
    <mergeCell ref="A117:D117"/>
    <mergeCell ref="A105:B105"/>
    <mergeCell ref="I126:J126"/>
    <mergeCell ref="I127:J127"/>
    <mergeCell ref="E129:F129"/>
    <mergeCell ref="E128:F128"/>
    <mergeCell ref="G129:H129"/>
    <mergeCell ref="G128:H128"/>
    <mergeCell ref="I128:J128"/>
    <mergeCell ref="I129:J129"/>
    <mergeCell ref="G126:H126"/>
    <mergeCell ref="G127:H127"/>
    <mergeCell ref="E126:F126"/>
    <mergeCell ref="E127:F12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2" fitToHeight="0" orientation="portrait" horizontalDpi="4294967295" verticalDpi="4294967295" r:id="rId1"/>
  <rowBreaks count="1" manualBreakCount="1">
    <brk id="69" max="9" man="1"/>
  </rowBreaks>
  <colBreaks count="1" manualBreakCount="1">
    <brk id="10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view="pageBreakPreview" zoomScale="80" zoomScaleNormal="100" zoomScaleSheetLayoutView="80" workbookViewId="0">
      <selection activeCell="F19" sqref="F19"/>
    </sheetView>
  </sheetViews>
  <sheetFormatPr defaultRowHeight="15" x14ac:dyDescent="0.25"/>
  <cols>
    <col min="1" max="1" width="5.28515625" style="102" bestFit="1" customWidth="1"/>
    <col min="2" max="2" width="73" style="102" customWidth="1"/>
    <col min="3" max="3" width="9.140625" style="102"/>
    <col min="4" max="4" width="9.42578125" style="102" bestFit="1" customWidth="1"/>
    <col min="5" max="5" width="14.140625" style="102" bestFit="1" customWidth="1"/>
    <col min="6" max="6" width="19.85546875" style="102" bestFit="1" customWidth="1"/>
    <col min="7" max="7" width="21.140625" style="102" customWidth="1"/>
    <col min="8" max="8" width="9.140625" style="102"/>
    <col min="9" max="9" width="42.28515625" style="102" customWidth="1"/>
    <col min="10" max="16384" width="9.140625" style="102"/>
  </cols>
  <sheetData>
    <row r="1" spans="1:7" ht="21" customHeight="1" x14ac:dyDescent="0.25">
      <c r="A1" s="722" t="s">
        <v>278</v>
      </c>
      <c r="B1" s="723"/>
      <c r="C1" s="723"/>
      <c r="D1" s="723"/>
      <c r="E1" s="723"/>
      <c r="F1" s="724"/>
    </row>
    <row r="2" spans="1:7" ht="17.25" customHeight="1" x14ac:dyDescent="0.25">
      <c r="A2" s="103" t="s">
        <v>100</v>
      </c>
      <c r="B2" s="103" t="s">
        <v>101</v>
      </c>
      <c r="C2" s="103" t="s">
        <v>279</v>
      </c>
      <c r="D2" s="103" t="s">
        <v>280</v>
      </c>
      <c r="E2" s="103" t="s">
        <v>214</v>
      </c>
      <c r="F2" s="103" t="s">
        <v>272</v>
      </c>
    </row>
    <row r="3" spans="1:7" ht="60" x14ac:dyDescent="0.25">
      <c r="A3" s="122">
        <v>1</v>
      </c>
      <c r="B3" s="106" t="s">
        <v>281</v>
      </c>
      <c r="C3" s="99" t="s">
        <v>218</v>
      </c>
      <c r="D3" s="99">
        <v>2</v>
      </c>
      <c r="E3" s="107">
        <v>990</v>
      </c>
      <c r="F3" s="123">
        <f>E3*D3</f>
        <v>1980</v>
      </c>
    </row>
    <row r="4" spans="1:7" ht="60" x14ac:dyDescent="0.25">
      <c r="A4" s="122">
        <v>2</v>
      </c>
      <c r="B4" s="106" t="s">
        <v>282</v>
      </c>
      <c r="C4" s="99" t="s">
        <v>218</v>
      </c>
      <c r="D4" s="99">
        <v>1</v>
      </c>
      <c r="E4" s="107">
        <v>2400</v>
      </c>
      <c r="F4" s="123">
        <f t="shared" ref="F4:F15" si="0">E4*D4</f>
        <v>2400</v>
      </c>
    </row>
    <row r="5" spans="1:7" x14ac:dyDescent="0.25">
      <c r="A5" s="122">
        <v>3</v>
      </c>
      <c r="B5" s="108" t="s">
        <v>283</v>
      </c>
      <c r="C5" s="99" t="s">
        <v>218</v>
      </c>
      <c r="D5" s="99">
        <v>2</v>
      </c>
      <c r="E5" s="107">
        <v>359</v>
      </c>
      <c r="F5" s="123">
        <f t="shared" si="0"/>
        <v>718</v>
      </c>
    </row>
    <row r="6" spans="1:7" ht="45" x14ac:dyDescent="0.25">
      <c r="A6" s="122">
        <v>4</v>
      </c>
      <c r="B6" s="124" t="s">
        <v>284</v>
      </c>
      <c r="C6" s="99" t="s">
        <v>218</v>
      </c>
      <c r="D6" s="99">
        <v>1</v>
      </c>
      <c r="E6" s="107">
        <v>369</v>
      </c>
      <c r="F6" s="123">
        <f t="shared" si="0"/>
        <v>369</v>
      </c>
    </row>
    <row r="7" spans="1:7" ht="30" x14ac:dyDescent="0.25">
      <c r="A7" s="122">
        <v>5</v>
      </c>
      <c r="B7" s="108" t="s">
        <v>285</v>
      </c>
      <c r="C7" s="99" t="s">
        <v>218</v>
      </c>
      <c r="D7" s="99">
        <v>2</v>
      </c>
      <c r="E7" s="107">
        <v>572</v>
      </c>
      <c r="F7" s="123">
        <f t="shared" si="0"/>
        <v>1144</v>
      </c>
    </row>
    <row r="8" spans="1:7" ht="30" x14ac:dyDescent="0.25">
      <c r="A8" s="122">
        <v>6</v>
      </c>
      <c r="B8" s="124" t="s">
        <v>286</v>
      </c>
      <c r="C8" s="99" t="s">
        <v>218</v>
      </c>
      <c r="D8" s="99">
        <v>80</v>
      </c>
      <c r="E8" s="107">
        <v>21</v>
      </c>
      <c r="F8" s="123">
        <f>E8*D8</f>
        <v>1680</v>
      </c>
    </row>
    <row r="9" spans="1:7" x14ac:dyDescent="0.25">
      <c r="A9" s="122">
        <v>7</v>
      </c>
      <c r="B9" s="108" t="s">
        <v>287</v>
      </c>
      <c r="C9" s="99" t="s">
        <v>218</v>
      </c>
      <c r="D9" s="99">
        <v>2</v>
      </c>
      <c r="E9" s="107">
        <v>998</v>
      </c>
      <c r="F9" s="123">
        <f t="shared" si="0"/>
        <v>1996</v>
      </c>
      <c r="G9" s="140">
        <f>'$ TOTAL ATUAL'!D33</f>
        <v>-133463.52000000002</v>
      </c>
    </row>
    <row r="10" spans="1:7" x14ac:dyDescent="0.25">
      <c r="A10" s="122">
        <v>8</v>
      </c>
      <c r="B10" s="108" t="s">
        <v>288</v>
      </c>
      <c r="C10" s="99" t="s">
        <v>218</v>
      </c>
      <c r="D10" s="99">
        <v>4</v>
      </c>
      <c r="E10" s="107">
        <v>1200</v>
      </c>
      <c r="F10" s="123">
        <f t="shared" si="0"/>
        <v>4800</v>
      </c>
    </row>
    <row r="11" spans="1:7" x14ac:dyDescent="0.25">
      <c r="A11" s="122">
        <v>9</v>
      </c>
      <c r="B11" s="108" t="s">
        <v>289</v>
      </c>
      <c r="C11" s="99" t="s">
        <v>218</v>
      </c>
      <c r="D11" s="99">
        <v>2</v>
      </c>
      <c r="E11" s="107">
        <v>1400</v>
      </c>
      <c r="F11" s="123">
        <f t="shared" si="0"/>
        <v>2800</v>
      </c>
    </row>
    <row r="12" spans="1:7" x14ac:dyDescent="0.25">
      <c r="A12" s="122">
        <v>10</v>
      </c>
      <c r="B12" s="108" t="s">
        <v>290</v>
      </c>
      <c r="C12" s="99" t="s">
        <v>218</v>
      </c>
      <c r="D12" s="99">
        <v>1</v>
      </c>
      <c r="E12" s="107">
        <v>950</v>
      </c>
      <c r="F12" s="123">
        <f t="shared" si="0"/>
        <v>950</v>
      </c>
    </row>
    <row r="13" spans="1:7" ht="30" x14ac:dyDescent="0.25">
      <c r="A13" s="122">
        <v>11</v>
      </c>
      <c r="B13" s="108" t="s">
        <v>291</v>
      </c>
      <c r="C13" s="99" t="s">
        <v>218</v>
      </c>
      <c r="D13" s="99">
        <v>4</v>
      </c>
      <c r="E13" s="107">
        <v>102</v>
      </c>
      <c r="F13" s="123">
        <f t="shared" si="0"/>
        <v>408</v>
      </c>
    </row>
    <row r="14" spans="1:7" ht="30" x14ac:dyDescent="0.25">
      <c r="A14" s="122">
        <v>12</v>
      </c>
      <c r="B14" s="108" t="s">
        <v>292</v>
      </c>
      <c r="C14" s="99" t="s">
        <v>218</v>
      </c>
      <c r="D14" s="99">
        <v>1</v>
      </c>
      <c r="E14" s="107">
        <v>1200</v>
      </c>
      <c r="F14" s="123">
        <f t="shared" si="0"/>
        <v>1200</v>
      </c>
    </row>
    <row r="15" spans="1:7" ht="30" x14ac:dyDescent="0.25">
      <c r="A15" s="122">
        <v>13</v>
      </c>
      <c r="B15" s="106" t="s">
        <v>293</v>
      </c>
      <c r="C15" s="99" t="s">
        <v>218</v>
      </c>
      <c r="D15" s="99">
        <v>1</v>
      </c>
      <c r="E15" s="123">
        <v>529</v>
      </c>
      <c r="F15" s="123">
        <f t="shared" si="0"/>
        <v>529</v>
      </c>
    </row>
    <row r="16" spans="1:7" ht="28.5" customHeight="1" x14ac:dyDescent="0.25">
      <c r="A16" s="122">
        <v>14</v>
      </c>
      <c r="B16" s="106" t="s">
        <v>457</v>
      </c>
      <c r="C16" s="99" t="s">
        <v>218</v>
      </c>
      <c r="D16" s="99">
        <v>1</v>
      </c>
      <c r="E16" s="123">
        <v>13250</v>
      </c>
      <c r="F16" s="123">
        <f>E16*D16</f>
        <v>13250</v>
      </c>
    </row>
    <row r="17" spans="3:7" x14ac:dyDescent="0.25">
      <c r="C17" s="725" t="s">
        <v>275</v>
      </c>
      <c r="D17" s="725"/>
      <c r="E17" s="725"/>
      <c r="F17" s="125">
        <f>SUM(F3:F16)</f>
        <v>34224</v>
      </c>
    </row>
    <row r="18" spans="3:7" x14ac:dyDescent="0.25">
      <c r="C18" s="726" t="s">
        <v>276</v>
      </c>
      <c r="D18" s="726"/>
      <c r="E18" s="726"/>
      <c r="F18" s="126">
        <f>F17/12</f>
        <v>2852</v>
      </c>
    </row>
    <row r="19" spans="3:7" x14ac:dyDescent="0.25">
      <c r="C19" s="127" t="s">
        <v>277</v>
      </c>
      <c r="D19" s="127"/>
      <c r="E19" s="127"/>
      <c r="F19" s="126">
        <f>F18/'LEVANT. ÁREAS'!G19</f>
        <v>122.27447199497425</v>
      </c>
      <c r="G19" s="140">
        <f>122.27-F19</f>
        <v>-4.4719949742528797E-3</v>
      </c>
    </row>
  </sheetData>
  <mergeCells count="3">
    <mergeCell ref="A1:F1"/>
    <mergeCell ref="C17:E17"/>
    <mergeCell ref="C18:E18"/>
  </mergeCells>
  <printOptions horizontalCentered="1"/>
  <pageMargins left="0.9055118110236221" right="0.78740157480314965" top="1.7716535433070868" bottom="0.98425196850393704" header="0.31496062992125984" footer="0.31496062992125984"/>
  <pageSetup paperSize="9"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view="pageBreakPreview" topLeftCell="A37" zoomScale="80" zoomScaleNormal="100" zoomScaleSheetLayoutView="80" workbookViewId="0">
      <selection activeCell="L5" sqref="L5"/>
    </sheetView>
  </sheetViews>
  <sheetFormatPr defaultRowHeight="15" x14ac:dyDescent="0.25"/>
  <cols>
    <col min="1" max="1" width="4.7109375" style="112" bestFit="1" customWidth="1"/>
    <col min="2" max="2" width="88.28515625" style="102" customWidth="1"/>
    <col min="3" max="3" width="9.42578125" style="102" customWidth="1"/>
    <col min="4" max="4" width="15.85546875" style="114" customWidth="1"/>
    <col min="5" max="5" width="7.28515625" style="102" customWidth="1"/>
    <col min="6" max="7" width="16.140625" style="102" customWidth="1"/>
    <col min="8" max="8" width="7.28515625" style="102" customWidth="1"/>
    <col min="9" max="9" width="13" style="102" bestFit="1" customWidth="1"/>
    <col min="10" max="10" width="16.140625" style="102" customWidth="1"/>
    <col min="11" max="11" width="11.28515625" style="102" bestFit="1" customWidth="1"/>
    <col min="12" max="12" width="15.140625" style="102" bestFit="1" customWidth="1"/>
    <col min="13" max="16384" width="9.140625" style="102"/>
  </cols>
  <sheetData>
    <row r="1" spans="1:12" ht="19.5" customHeight="1" x14ac:dyDescent="0.25">
      <c r="A1" s="726" t="s">
        <v>238</v>
      </c>
      <c r="B1" s="726"/>
      <c r="C1" s="726"/>
      <c r="D1" s="726"/>
      <c r="E1" s="726"/>
      <c r="F1" s="726"/>
      <c r="G1" s="192"/>
      <c r="H1" s="192"/>
      <c r="I1" s="192"/>
      <c r="J1" s="192"/>
    </row>
    <row r="2" spans="1:12" ht="34.5" customHeight="1" x14ac:dyDescent="0.25">
      <c r="A2" s="103" t="s">
        <v>100</v>
      </c>
      <c r="B2" s="103" t="s">
        <v>212</v>
      </c>
      <c r="C2" s="103" t="s">
        <v>213</v>
      </c>
      <c r="D2" s="104" t="s">
        <v>214</v>
      </c>
      <c r="E2" s="97" t="s">
        <v>215</v>
      </c>
      <c r="F2" s="105" t="s">
        <v>216</v>
      </c>
      <c r="G2" s="193"/>
      <c r="H2" s="97" t="s">
        <v>215</v>
      </c>
      <c r="I2" s="196"/>
      <c r="J2" s="193"/>
    </row>
    <row r="3" spans="1:12" ht="60" x14ac:dyDescent="0.25">
      <c r="A3" s="97">
        <v>1</v>
      </c>
      <c r="B3" s="98" t="s">
        <v>239</v>
      </c>
      <c r="C3" s="99" t="s">
        <v>240</v>
      </c>
      <c r="D3" s="101">
        <v>45</v>
      </c>
      <c r="E3" s="99">
        <v>20</v>
      </c>
      <c r="F3" s="101">
        <f>E3*D3</f>
        <v>900</v>
      </c>
      <c r="G3" s="101">
        <v>45</v>
      </c>
      <c r="H3" s="99">
        <v>20</v>
      </c>
      <c r="I3" s="197">
        <f>H3*G3</f>
        <v>900</v>
      </c>
      <c r="J3" s="194"/>
      <c r="L3" s="140">
        <f>'$ TOTAL ATUAL'!D33</f>
        <v>-133463.52000000002</v>
      </c>
    </row>
    <row r="4" spans="1:12" ht="30" x14ac:dyDescent="0.25">
      <c r="A4" s="97">
        <v>2</v>
      </c>
      <c r="B4" s="98" t="s">
        <v>241</v>
      </c>
      <c r="C4" s="99" t="s">
        <v>240</v>
      </c>
      <c r="D4" s="101">
        <v>66</v>
      </c>
      <c r="E4" s="99">
        <v>4</v>
      </c>
      <c r="F4" s="101">
        <f t="shared" ref="F4:F26" si="0">E4*D4</f>
        <v>264</v>
      </c>
      <c r="G4" s="101">
        <v>66</v>
      </c>
      <c r="H4" s="99">
        <v>4</v>
      </c>
      <c r="I4" s="197">
        <f t="shared" ref="I4:I26" si="1">H4*G4</f>
        <v>264</v>
      </c>
      <c r="J4" s="194"/>
    </row>
    <row r="5" spans="1:12" ht="30" x14ac:dyDescent="0.25">
      <c r="A5" s="97">
        <v>3</v>
      </c>
      <c r="B5" s="98" t="s">
        <v>242</v>
      </c>
      <c r="C5" s="99" t="s">
        <v>218</v>
      </c>
      <c r="D5" s="101">
        <v>75</v>
      </c>
      <c r="E5" s="99">
        <v>2</v>
      </c>
      <c r="F5" s="101">
        <f t="shared" si="0"/>
        <v>150</v>
      </c>
      <c r="G5" s="101">
        <v>75</v>
      </c>
      <c r="H5" s="99">
        <v>2</v>
      </c>
      <c r="I5" s="197">
        <f t="shared" si="1"/>
        <v>150</v>
      </c>
      <c r="J5" s="194"/>
    </row>
    <row r="6" spans="1:12" x14ac:dyDescent="0.25">
      <c r="A6" s="97">
        <v>4</v>
      </c>
      <c r="B6" s="98" t="s">
        <v>243</v>
      </c>
      <c r="C6" s="99" t="s">
        <v>240</v>
      </c>
      <c r="D6" s="101">
        <v>149</v>
      </c>
      <c r="E6" s="99">
        <v>15</v>
      </c>
      <c r="F6" s="101">
        <f>E6*D6</f>
        <v>2235</v>
      </c>
      <c r="G6" s="101">
        <v>149</v>
      </c>
      <c r="H6" s="99">
        <v>15</v>
      </c>
      <c r="I6" s="197">
        <f t="shared" si="1"/>
        <v>2235</v>
      </c>
      <c r="J6" s="194"/>
      <c r="K6" s="102" t="s">
        <v>244</v>
      </c>
    </row>
    <row r="7" spans="1:12" ht="30" x14ac:dyDescent="0.25">
      <c r="A7" s="97">
        <v>5</v>
      </c>
      <c r="B7" s="98" t="s">
        <v>245</v>
      </c>
      <c r="C7" s="99" t="s">
        <v>240</v>
      </c>
      <c r="D7" s="101">
        <v>7.8</v>
      </c>
      <c r="E7" s="99">
        <v>20</v>
      </c>
      <c r="F7" s="101">
        <f t="shared" si="0"/>
        <v>156</v>
      </c>
      <c r="G7" s="101">
        <v>7.8</v>
      </c>
      <c r="H7" s="99">
        <v>20</v>
      </c>
      <c r="I7" s="197">
        <f t="shared" si="1"/>
        <v>156</v>
      </c>
      <c r="J7" s="194"/>
    </row>
    <row r="8" spans="1:12" ht="30" x14ac:dyDescent="0.25">
      <c r="A8" s="97">
        <v>6</v>
      </c>
      <c r="B8" s="98" t="s">
        <v>246</v>
      </c>
      <c r="C8" s="99" t="s">
        <v>240</v>
      </c>
      <c r="D8" s="101">
        <v>8</v>
      </c>
      <c r="E8" s="99">
        <v>10</v>
      </c>
      <c r="F8" s="101">
        <f t="shared" si="0"/>
        <v>80</v>
      </c>
      <c r="G8" s="101">
        <v>8</v>
      </c>
      <c r="H8" s="99">
        <v>10</v>
      </c>
      <c r="I8" s="197">
        <f t="shared" si="1"/>
        <v>80</v>
      </c>
      <c r="J8" s="194"/>
    </row>
    <row r="9" spans="1:12" ht="30" x14ac:dyDescent="0.25">
      <c r="A9" s="97">
        <v>7</v>
      </c>
      <c r="B9" s="98" t="s">
        <v>247</v>
      </c>
      <c r="C9" s="99" t="s">
        <v>218</v>
      </c>
      <c r="D9" s="101">
        <v>20</v>
      </c>
      <c r="E9" s="99">
        <v>2</v>
      </c>
      <c r="F9" s="101">
        <f t="shared" si="0"/>
        <v>40</v>
      </c>
      <c r="G9" s="101">
        <v>20</v>
      </c>
      <c r="H9" s="99">
        <v>2</v>
      </c>
      <c r="I9" s="197">
        <f t="shared" si="1"/>
        <v>40</v>
      </c>
      <c r="J9" s="194"/>
    </row>
    <row r="10" spans="1:12" ht="30" x14ac:dyDescent="0.25">
      <c r="A10" s="97">
        <v>8</v>
      </c>
      <c r="B10" s="98" t="s">
        <v>248</v>
      </c>
      <c r="C10" s="99" t="s">
        <v>218</v>
      </c>
      <c r="D10" s="101">
        <v>30</v>
      </c>
      <c r="E10" s="99">
        <v>2</v>
      </c>
      <c r="F10" s="101">
        <f t="shared" si="0"/>
        <v>60</v>
      </c>
      <c r="G10" s="101">
        <v>30</v>
      </c>
      <c r="H10" s="99">
        <v>2</v>
      </c>
      <c r="I10" s="197">
        <f t="shared" si="1"/>
        <v>60</v>
      </c>
      <c r="J10" s="194"/>
    </row>
    <row r="11" spans="1:12" x14ac:dyDescent="0.25">
      <c r="A11" s="97">
        <v>9</v>
      </c>
      <c r="B11" s="98" t="s">
        <v>249</v>
      </c>
      <c r="C11" s="99" t="s">
        <v>228</v>
      </c>
      <c r="D11" s="101">
        <v>15</v>
      </c>
      <c r="E11" s="99">
        <v>2</v>
      </c>
      <c r="F11" s="101">
        <f t="shared" si="0"/>
        <v>30</v>
      </c>
      <c r="G11" s="101">
        <v>15</v>
      </c>
      <c r="H11" s="99">
        <v>2</v>
      </c>
      <c r="I11" s="197">
        <f t="shared" si="1"/>
        <v>30</v>
      </c>
      <c r="J11" s="194"/>
    </row>
    <row r="12" spans="1:12" ht="30" x14ac:dyDescent="0.25">
      <c r="A12" s="97">
        <v>10</v>
      </c>
      <c r="B12" s="98" t="s">
        <v>250</v>
      </c>
      <c r="C12" s="99" t="s">
        <v>251</v>
      </c>
      <c r="D12" s="101">
        <v>5.45</v>
      </c>
      <c r="E12" s="99">
        <v>20</v>
      </c>
      <c r="F12" s="101">
        <f t="shared" si="0"/>
        <v>109</v>
      </c>
      <c r="G12" s="101">
        <v>5.45</v>
      </c>
      <c r="H12" s="99">
        <v>20</v>
      </c>
      <c r="I12" s="197">
        <f t="shared" si="1"/>
        <v>109</v>
      </c>
      <c r="J12" s="194"/>
    </row>
    <row r="13" spans="1:12" x14ac:dyDescent="0.25">
      <c r="A13" s="97">
        <v>11</v>
      </c>
      <c r="B13" s="98" t="s">
        <v>252</v>
      </c>
      <c r="C13" s="99" t="s">
        <v>218</v>
      </c>
      <c r="D13" s="101">
        <v>25.9</v>
      </c>
      <c r="E13" s="99">
        <v>50</v>
      </c>
      <c r="F13" s="101">
        <f t="shared" si="0"/>
        <v>1295</v>
      </c>
      <c r="G13" s="101">
        <v>25.9</v>
      </c>
      <c r="H13" s="99">
        <v>50</v>
      </c>
      <c r="I13" s="197">
        <f t="shared" si="1"/>
        <v>1295</v>
      </c>
      <c r="J13" s="194"/>
    </row>
    <row r="14" spans="1:12" x14ac:dyDescent="0.25">
      <c r="A14" s="97">
        <v>12</v>
      </c>
      <c r="B14" s="98" t="s">
        <v>253</v>
      </c>
      <c r="C14" s="99" t="s">
        <v>218</v>
      </c>
      <c r="D14" s="101">
        <v>3.25</v>
      </c>
      <c r="E14" s="99">
        <v>50</v>
      </c>
      <c r="F14" s="101">
        <f t="shared" si="0"/>
        <v>162.5</v>
      </c>
      <c r="G14" s="101">
        <v>3.25</v>
      </c>
      <c r="H14" s="99">
        <v>50</v>
      </c>
      <c r="I14" s="197">
        <f t="shared" si="1"/>
        <v>162.5</v>
      </c>
      <c r="J14" s="194"/>
    </row>
    <row r="15" spans="1:12" x14ac:dyDescent="0.25">
      <c r="A15" s="97">
        <v>13</v>
      </c>
      <c r="B15" s="98" t="s">
        <v>254</v>
      </c>
      <c r="C15" s="99" t="s">
        <v>217</v>
      </c>
      <c r="D15" s="101">
        <v>39.5</v>
      </c>
      <c r="E15" s="99">
        <v>1</v>
      </c>
      <c r="F15" s="101">
        <f t="shared" si="0"/>
        <v>39.5</v>
      </c>
      <c r="G15" s="101">
        <v>39.5</v>
      </c>
      <c r="H15" s="99">
        <v>1</v>
      </c>
      <c r="I15" s="197">
        <f t="shared" si="1"/>
        <v>39.5</v>
      </c>
      <c r="J15" s="194"/>
    </row>
    <row r="16" spans="1:12" ht="30" x14ac:dyDescent="0.25">
      <c r="A16" s="97">
        <v>14</v>
      </c>
      <c r="B16" s="98" t="s">
        <v>255</v>
      </c>
      <c r="C16" s="99" t="s">
        <v>218</v>
      </c>
      <c r="D16" s="101">
        <v>88</v>
      </c>
      <c r="E16" s="99">
        <v>2</v>
      </c>
      <c r="F16" s="101">
        <f t="shared" si="0"/>
        <v>176</v>
      </c>
      <c r="G16" s="101">
        <v>88</v>
      </c>
      <c r="H16" s="99">
        <v>2</v>
      </c>
      <c r="I16" s="197">
        <f t="shared" si="1"/>
        <v>176</v>
      </c>
      <c r="J16" s="194"/>
    </row>
    <row r="17" spans="1:12" ht="15" customHeight="1" x14ac:dyDescent="0.25">
      <c r="A17" s="97">
        <v>15</v>
      </c>
      <c r="B17" s="98" t="s">
        <v>256</v>
      </c>
      <c r="C17" s="99" t="s">
        <v>218</v>
      </c>
      <c r="D17" s="101">
        <v>11.34</v>
      </c>
      <c r="E17" s="99">
        <v>2</v>
      </c>
      <c r="F17" s="101">
        <f t="shared" si="0"/>
        <v>22.68</v>
      </c>
      <c r="G17" s="101">
        <v>11.34</v>
      </c>
      <c r="H17" s="99">
        <v>2</v>
      </c>
      <c r="I17" s="197">
        <f t="shared" si="1"/>
        <v>22.68</v>
      </c>
      <c r="J17" s="194"/>
    </row>
    <row r="18" spans="1:12" ht="30" x14ac:dyDescent="0.25">
      <c r="A18" s="97">
        <v>16</v>
      </c>
      <c r="B18" s="98" t="s">
        <v>257</v>
      </c>
      <c r="C18" s="99" t="s">
        <v>218</v>
      </c>
      <c r="D18" s="101">
        <v>78.400000000000006</v>
      </c>
      <c r="E18" s="99">
        <v>1</v>
      </c>
      <c r="F18" s="101">
        <f t="shared" si="0"/>
        <v>78.400000000000006</v>
      </c>
      <c r="G18" s="101">
        <v>78.400000000000006</v>
      </c>
      <c r="H18" s="99">
        <v>1</v>
      </c>
      <c r="I18" s="197">
        <f t="shared" si="1"/>
        <v>78.400000000000006</v>
      </c>
      <c r="J18" s="194"/>
      <c r="L18" s="140">
        <f>'$ TOTAL ATUAL'!D33</f>
        <v>-133463.52000000002</v>
      </c>
    </row>
    <row r="19" spans="1:12" ht="30" x14ac:dyDescent="0.25">
      <c r="A19" s="97">
        <v>17</v>
      </c>
      <c r="B19" s="98" t="s">
        <v>258</v>
      </c>
      <c r="C19" s="99" t="s">
        <v>218</v>
      </c>
      <c r="D19" s="101">
        <v>12</v>
      </c>
      <c r="E19" s="99">
        <v>10</v>
      </c>
      <c r="F19" s="101">
        <f t="shared" si="0"/>
        <v>120</v>
      </c>
      <c r="G19" s="101">
        <v>12</v>
      </c>
      <c r="H19" s="99">
        <v>10</v>
      </c>
      <c r="I19" s="197">
        <f t="shared" si="1"/>
        <v>120</v>
      </c>
      <c r="J19" s="194"/>
    </row>
    <row r="20" spans="1:12" x14ac:dyDescent="0.25">
      <c r="A20" s="97">
        <v>18</v>
      </c>
      <c r="B20" s="98" t="s">
        <v>259</v>
      </c>
      <c r="C20" s="99" t="s">
        <v>230</v>
      </c>
      <c r="D20" s="101">
        <v>12.11</v>
      </c>
      <c r="E20" s="99">
        <v>1</v>
      </c>
      <c r="F20" s="101">
        <f t="shared" si="0"/>
        <v>12.11</v>
      </c>
      <c r="G20" s="101">
        <v>12.11</v>
      </c>
      <c r="H20" s="99">
        <v>1</v>
      </c>
      <c r="I20" s="197">
        <f t="shared" si="1"/>
        <v>12.11</v>
      </c>
      <c r="J20" s="194"/>
    </row>
    <row r="21" spans="1:12" ht="30" x14ac:dyDescent="0.25">
      <c r="A21" s="97">
        <v>19</v>
      </c>
      <c r="B21" s="98" t="s">
        <v>260</v>
      </c>
      <c r="C21" s="99" t="s">
        <v>240</v>
      </c>
      <c r="D21" s="101">
        <v>11.2</v>
      </c>
      <c r="E21" s="99">
        <v>10</v>
      </c>
      <c r="F21" s="101">
        <f t="shared" si="0"/>
        <v>112</v>
      </c>
      <c r="G21" s="101">
        <v>1.2</v>
      </c>
      <c r="H21" s="99">
        <v>10</v>
      </c>
      <c r="I21" s="197">
        <f t="shared" si="1"/>
        <v>12</v>
      </c>
      <c r="J21" s="194"/>
    </row>
    <row r="22" spans="1:12" ht="45" x14ac:dyDescent="0.25">
      <c r="A22" s="97">
        <v>20</v>
      </c>
      <c r="B22" s="106" t="s">
        <v>261</v>
      </c>
      <c r="C22" s="99" t="s">
        <v>262</v>
      </c>
      <c r="D22" s="101">
        <v>99</v>
      </c>
      <c r="E22" s="99">
        <v>1</v>
      </c>
      <c r="F22" s="101">
        <f t="shared" si="0"/>
        <v>99</v>
      </c>
      <c r="G22" s="101">
        <v>99</v>
      </c>
      <c r="H22" s="99">
        <v>1</v>
      </c>
      <c r="I22" s="197">
        <f t="shared" si="1"/>
        <v>99</v>
      </c>
      <c r="J22" s="194"/>
    </row>
    <row r="23" spans="1:12" ht="45" x14ac:dyDescent="0.25">
      <c r="A23" s="97">
        <v>21</v>
      </c>
      <c r="B23" s="106" t="s">
        <v>263</v>
      </c>
      <c r="C23" s="108" t="s">
        <v>240</v>
      </c>
      <c r="D23" s="101">
        <v>19</v>
      </c>
      <c r="E23" s="99">
        <v>10</v>
      </c>
      <c r="F23" s="101">
        <f t="shared" si="0"/>
        <v>190</v>
      </c>
      <c r="G23" s="101">
        <v>19</v>
      </c>
      <c r="H23" s="99">
        <v>10</v>
      </c>
      <c r="I23" s="197">
        <f t="shared" si="1"/>
        <v>190</v>
      </c>
      <c r="J23" s="194"/>
    </row>
    <row r="24" spans="1:12" ht="30" x14ac:dyDescent="0.25">
      <c r="A24" s="97">
        <v>22</v>
      </c>
      <c r="B24" s="106" t="s">
        <v>264</v>
      </c>
      <c r="C24" s="108" t="s">
        <v>265</v>
      </c>
      <c r="D24" s="101">
        <v>23.99</v>
      </c>
      <c r="E24" s="99">
        <v>15</v>
      </c>
      <c r="F24" s="101">
        <f t="shared" si="0"/>
        <v>359.84999999999997</v>
      </c>
      <c r="G24" s="101">
        <v>23.99</v>
      </c>
      <c r="H24" s="99">
        <v>15</v>
      </c>
      <c r="I24" s="197">
        <f t="shared" si="1"/>
        <v>359.84999999999997</v>
      </c>
      <c r="J24" s="194"/>
    </row>
    <row r="25" spans="1:12" ht="45" x14ac:dyDescent="0.25">
      <c r="A25" s="97">
        <v>23</v>
      </c>
      <c r="B25" s="106" t="s">
        <v>266</v>
      </c>
      <c r="C25" s="108" t="s">
        <v>218</v>
      </c>
      <c r="D25" s="101">
        <v>101</v>
      </c>
      <c r="E25" s="99">
        <v>6</v>
      </c>
      <c r="F25" s="101">
        <f t="shared" si="0"/>
        <v>606</v>
      </c>
      <c r="G25" s="101">
        <v>101</v>
      </c>
      <c r="H25" s="99">
        <v>6</v>
      </c>
      <c r="I25" s="197">
        <f t="shared" si="1"/>
        <v>606</v>
      </c>
      <c r="J25" s="194"/>
    </row>
    <row r="26" spans="1:12" ht="30.75" thickBot="1" x14ac:dyDescent="0.3">
      <c r="A26" s="97">
        <v>24</v>
      </c>
      <c r="B26" s="106" t="s">
        <v>267</v>
      </c>
      <c r="C26" s="109" t="s">
        <v>218</v>
      </c>
      <c r="D26" s="101">
        <v>8.9</v>
      </c>
      <c r="E26" s="110">
        <v>6</v>
      </c>
      <c r="F26" s="111">
        <f t="shared" si="0"/>
        <v>53.400000000000006</v>
      </c>
      <c r="G26" s="101">
        <v>8.9</v>
      </c>
      <c r="H26" s="110">
        <v>6</v>
      </c>
      <c r="I26" s="197">
        <f t="shared" si="1"/>
        <v>53.400000000000006</v>
      </c>
      <c r="J26" s="194"/>
    </row>
    <row r="27" spans="1:12" s="112" customFormat="1" ht="15.75" thickBot="1" x14ac:dyDescent="0.3">
      <c r="C27" s="727" t="s">
        <v>268</v>
      </c>
      <c r="D27" s="728"/>
      <c r="E27" s="729"/>
      <c r="F27" s="113">
        <f>SUM(F3:F26)</f>
        <v>7350.44</v>
      </c>
      <c r="G27" s="195">
        <f>SUM(G3:G26)</f>
        <v>944.84</v>
      </c>
      <c r="H27" s="195"/>
      <c r="I27" s="195">
        <f>SUM(I3:I26)</f>
        <v>7250.44</v>
      </c>
      <c r="J27" s="195"/>
      <c r="K27" s="191">
        <f>7350.44-F27</f>
        <v>0</v>
      </c>
    </row>
  </sheetData>
  <mergeCells count="2">
    <mergeCell ref="A1:F1"/>
    <mergeCell ref="C27:E27"/>
  </mergeCells>
  <printOptions horizontalCentered="1"/>
  <pageMargins left="0.9055118110236221" right="0.78740157480314965" top="1.7716535433070868" bottom="0.98425196850393704" header="0.31496062992125984" footer="0.31496062992125984"/>
  <pageSetup paperSize="9" scale="59" orientation="portrait" r:id="rId1"/>
  <colBreaks count="1" manualBreakCount="1">
    <brk id="10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3"/>
  <sheetViews>
    <sheetView view="pageBreakPreview" zoomScale="80" zoomScaleNormal="100" zoomScaleSheetLayoutView="80" workbookViewId="0">
      <selection activeCell="L16" sqref="L16"/>
    </sheetView>
  </sheetViews>
  <sheetFormatPr defaultRowHeight="15" x14ac:dyDescent="0.25"/>
  <cols>
    <col min="1" max="1" width="5.140625" style="102" bestFit="1" customWidth="1"/>
    <col min="2" max="2" width="61" style="102" customWidth="1"/>
    <col min="3" max="4" width="9.140625" style="102"/>
    <col min="5" max="5" width="14" style="102" customWidth="1"/>
    <col min="6" max="6" width="14.28515625" style="102" customWidth="1"/>
    <col min="7" max="7" width="12.7109375" style="102" customWidth="1"/>
    <col min="8" max="8" width="17" style="102" customWidth="1"/>
    <col min="9" max="9" width="17.85546875" style="102" customWidth="1"/>
    <col min="10" max="16384" width="9.140625" style="102"/>
  </cols>
  <sheetData>
    <row r="1" spans="1:9" s="112" customFormat="1" ht="21" customHeight="1" x14ac:dyDescent="0.25">
      <c r="A1" s="726" t="s">
        <v>294</v>
      </c>
      <c r="B1" s="726"/>
      <c r="C1" s="726"/>
      <c r="D1" s="726"/>
      <c r="E1" s="726"/>
      <c r="F1" s="726"/>
      <c r="G1" s="192"/>
    </row>
    <row r="2" spans="1:9" s="112" customFormat="1" ht="18.75" customHeight="1" x14ac:dyDescent="0.25">
      <c r="A2" s="103" t="s">
        <v>100</v>
      </c>
      <c r="B2" s="103" t="s">
        <v>101</v>
      </c>
      <c r="C2" s="103" t="s">
        <v>279</v>
      </c>
      <c r="D2" s="103" t="s">
        <v>280</v>
      </c>
      <c r="E2" s="103" t="s">
        <v>214</v>
      </c>
      <c r="F2" s="103" t="s">
        <v>272</v>
      </c>
      <c r="G2" s="192"/>
    </row>
    <row r="3" spans="1:9" ht="60" x14ac:dyDescent="0.25">
      <c r="A3" s="122">
        <v>1</v>
      </c>
      <c r="B3" s="97" t="s">
        <v>295</v>
      </c>
      <c r="C3" s="99" t="s">
        <v>218</v>
      </c>
      <c r="D3" s="99">
        <v>2</v>
      </c>
      <c r="E3" s="129">
        <v>120</v>
      </c>
      <c r="F3" s="129">
        <f>E3 *D3</f>
        <v>240</v>
      </c>
      <c r="G3" s="198"/>
    </row>
    <row r="4" spans="1:9" ht="30" x14ac:dyDescent="0.25">
      <c r="A4" s="122">
        <v>2</v>
      </c>
      <c r="B4" s="97" t="s">
        <v>296</v>
      </c>
      <c r="C4" s="99" t="s">
        <v>218</v>
      </c>
      <c r="D4" s="99">
        <v>2</v>
      </c>
      <c r="E4" s="128">
        <v>33</v>
      </c>
      <c r="F4" s="129">
        <f t="shared" ref="F4:F20" si="0">E4 *D4</f>
        <v>66</v>
      </c>
      <c r="G4" s="198"/>
    </row>
    <row r="5" spans="1:9" ht="30" x14ac:dyDescent="0.25">
      <c r="A5" s="122">
        <v>3</v>
      </c>
      <c r="B5" s="97" t="s">
        <v>297</v>
      </c>
      <c r="C5" s="99" t="s">
        <v>218</v>
      </c>
      <c r="D5" s="99">
        <v>4</v>
      </c>
      <c r="E5" s="128">
        <v>29</v>
      </c>
      <c r="F5" s="129">
        <f t="shared" si="0"/>
        <v>116</v>
      </c>
      <c r="G5" s="198"/>
      <c r="I5" s="140">
        <f>'$ TOTAL ATUAL'!D33</f>
        <v>-133463.52000000002</v>
      </c>
    </row>
    <row r="6" spans="1:9" x14ac:dyDescent="0.25">
      <c r="A6" s="122">
        <v>4</v>
      </c>
      <c r="B6" s="97" t="s">
        <v>298</v>
      </c>
      <c r="C6" s="99" t="s">
        <v>218</v>
      </c>
      <c r="D6" s="99">
        <v>4</v>
      </c>
      <c r="E6" s="128">
        <v>23</v>
      </c>
      <c r="F6" s="128">
        <f t="shared" si="0"/>
        <v>92</v>
      </c>
      <c r="G6" s="199"/>
    </row>
    <row r="7" spans="1:9" ht="30" x14ac:dyDescent="0.25">
      <c r="A7" s="122">
        <v>5</v>
      </c>
      <c r="B7" s="97" t="s">
        <v>299</v>
      </c>
      <c r="C7" s="99" t="s">
        <v>218</v>
      </c>
      <c r="D7" s="99">
        <v>2</v>
      </c>
      <c r="E7" s="129">
        <v>34</v>
      </c>
      <c r="F7" s="129">
        <f t="shared" si="0"/>
        <v>68</v>
      </c>
      <c r="G7" s="198"/>
    </row>
    <row r="8" spans="1:9" x14ac:dyDescent="0.25">
      <c r="A8" s="122">
        <v>6</v>
      </c>
      <c r="B8" s="97" t="s">
        <v>300</v>
      </c>
      <c r="C8" s="99" t="s">
        <v>218</v>
      </c>
      <c r="D8" s="99">
        <v>2</v>
      </c>
      <c r="E8" s="129">
        <v>8.9</v>
      </c>
      <c r="F8" s="129">
        <f t="shared" si="0"/>
        <v>17.8</v>
      </c>
      <c r="G8" s="198"/>
    </row>
    <row r="9" spans="1:9" ht="30" x14ac:dyDescent="0.25">
      <c r="A9" s="122">
        <v>7</v>
      </c>
      <c r="B9" s="97" t="s">
        <v>301</v>
      </c>
      <c r="C9" s="99" t="s">
        <v>262</v>
      </c>
      <c r="D9" s="99">
        <v>2</v>
      </c>
      <c r="E9" s="128">
        <v>159</v>
      </c>
      <c r="F9" s="128">
        <f t="shared" si="0"/>
        <v>318</v>
      </c>
      <c r="G9" s="199"/>
    </row>
    <row r="10" spans="1:9" x14ac:dyDescent="0.25">
      <c r="A10" s="122">
        <v>8</v>
      </c>
      <c r="B10" s="97" t="s">
        <v>302</v>
      </c>
      <c r="C10" s="99" t="s">
        <v>218</v>
      </c>
      <c r="D10" s="99">
        <v>2</v>
      </c>
      <c r="E10" s="129">
        <v>18.899999999999999</v>
      </c>
      <c r="F10" s="129">
        <f t="shared" si="0"/>
        <v>37.799999999999997</v>
      </c>
      <c r="G10" s="198"/>
    </row>
    <row r="11" spans="1:9" ht="30" x14ac:dyDescent="0.25">
      <c r="A11" s="122">
        <v>9</v>
      </c>
      <c r="B11" s="97" t="s">
        <v>303</v>
      </c>
      <c r="C11" s="99" t="s">
        <v>218</v>
      </c>
      <c r="D11" s="99">
        <v>2</v>
      </c>
      <c r="E11" s="128">
        <v>24</v>
      </c>
      <c r="F11" s="128">
        <f t="shared" si="0"/>
        <v>48</v>
      </c>
      <c r="G11" s="199"/>
      <c r="H11" s="140">
        <f>'$ TOTAL ATUAL'!D33</f>
        <v>-133463.52000000002</v>
      </c>
    </row>
    <row r="12" spans="1:9" ht="30" x14ac:dyDescent="0.25">
      <c r="A12" s="122">
        <v>10</v>
      </c>
      <c r="B12" s="97" t="s">
        <v>304</v>
      </c>
      <c r="C12" s="99" t="s">
        <v>218</v>
      </c>
      <c r="D12" s="99">
        <v>2</v>
      </c>
      <c r="E12" s="129">
        <v>102</v>
      </c>
      <c r="F12" s="129">
        <f t="shared" si="0"/>
        <v>204</v>
      </c>
      <c r="G12" s="198"/>
    </row>
    <row r="13" spans="1:9" ht="30" x14ac:dyDescent="0.25">
      <c r="A13" s="122">
        <v>11</v>
      </c>
      <c r="B13" s="97" t="s">
        <v>305</v>
      </c>
      <c r="C13" s="99" t="s">
        <v>218</v>
      </c>
      <c r="D13" s="99">
        <v>2</v>
      </c>
      <c r="E13" s="128">
        <v>23</v>
      </c>
      <c r="F13" s="128">
        <f t="shared" si="0"/>
        <v>46</v>
      </c>
      <c r="G13" s="199"/>
    </row>
    <row r="14" spans="1:9" ht="30" x14ac:dyDescent="0.25">
      <c r="A14" s="122">
        <v>12</v>
      </c>
      <c r="B14" s="97" t="s">
        <v>306</v>
      </c>
      <c r="C14" s="99" t="s">
        <v>218</v>
      </c>
      <c r="D14" s="99">
        <v>2</v>
      </c>
      <c r="E14" s="129">
        <v>34</v>
      </c>
      <c r="F14" s="129">
        <f t="shared" si="0"/>
        <v>68</v>
      </c>
      <c r="G14" s="198"/>
    </row>
    <row r="15" spans="1:9" x14ac:dyDescent="0.25">
      <c r="A15" s="122">
        <v>13</v>
      </c>
      <c r="B15" s="97" t="s">
        <v>307</v>
      </c>
      <c r="C15" s="99" t="s">
        <v>218</v>
      </c>
      <c r="D15" s="99">
        <v>1</v>
      </c>
      <c r="E15" s="128">
        <v>2425</v>
      </c>
      <c r="F15" s="128">
        <f t="shared" si="0"/>
        <v>2425</v>
      </c>
      <c r="G15" s="199"/>
    </row>
    <row r="16" spans="1:9" ht="30" x14ac:dyDescent="0.25">
      <c r="A16" s="122">
        <v>14</v>
      </c>
      <c r="B16" s="97" t="s">
        <v>308</v>
      </c>
      <c r="C16" s="99" t="s">
        <v>218</v>
      </c>
      <c r="D16" s="99">
        <v>2</v>
      </c>
      <c r="E16" s="128">
        <v>19.899999999999999</v>
      </c>
      <c r="F16" s="128">
        <f t="shared" si="0"/>
        <v>39.799999999999997</v>
      </c>
      <c r="G16" s="199"/>
    </row>
    <row r="17" spans="1:7" ht="30" x14ac:dyDescent="0.25">
      <c r="A17" s="122">
        <v>15</v>
      </c>
      <c r="B17" s="97" t="s">
        <v>309</v>
      </c>
      <c r="C17" s="99" t="s">
        <v>218</v>
      </c>
      <c r="D17" s="99">
        <v>2</v>
      </c>
      <c r="E17" s="129">
        <v>19.899999999999999</v>
      </c>
      <c r="F17" s="129">
        <f t="shared" si="0"/>
        <v>39.799999999999997</v>
      </c>
      <c r="G17" s="198"/>
    </row>
    <row r="18" spans="1:7" x14ac:dyDescent="0.25">
      <c r="A18" s="122">
        <v>16</v>
      </c>
      <c r="B18" s="97" t="s">
        <v>310</v>
      </c>
      <c r="C18" s="99" t="s">
        <v>218</v>
      </c>
      <c r="D18" s="99">
        <v>2</v>
      </c>
      <c r="E18" s="129">
        <v>29</v>
      </c>
      <c r="F18" s="129">
        <f t="shared" si="0"/>
        <v>58</v>
      </c>
      <c r="G18" s="198"/>
    </row>
    <row r="19" spans="1:7" ht="30" x14ac:dyDescent="0.25">
      <c r="A19" s="122">
        <v>17</v>
      </c>
      <c r="B19" s="97" t="s">
        <v>311</v>
      </c>
      <c r="C19" s="99" t="s">
        <v>218</v>
      </c>
      <c r="D19" s="99">
        <v>1</v>
      </c>
      <c r="E19" s="128">
        <v>4050</v>
      </c>
      <c r="F19" s="128">
        <f t="shared" si="0"/>
        <v>4050</v>
      </c>
      <c r="G19" s="199"/>
    </row>
    <row r="20" spans="1:7" ht="30" x14ac:dyDescent="0.25">
      <c r="A20" s="122">
        <v>18</v>
      </c>
      <c r="B20" s="97" t="s">
        <v>312</v>
      </c>
      <c r="C20" s="99" t="s">
        <v>218</v>
      </c>
      <c r="D20" s="130">
        <v>2</v>
      </c>
      <c r="E20" s="129">
        <v>9</v>
      </c>
      <c r="F20" s="129">
        <f t="shared" si="0"/>
        <v>18</v>
      </c>
      <c r="G20" s="198"/>
    </row>
    <row r="21" spans="1:7" x14ac:dyDescent="0.25">
      <c r="C21" s="730" t="s">
        <v>313</v>
      </c>
      <c r="D21" s="730"/>
      <c r="E21" s="730"/>
      <c r="F21" s="100">
        <f>SUM(F3:F20)</f>
        <v>7952.2000000000007</v>
      </c>
      <c r="G21" s="200"/>
    </row>
    <row r="22" spans="1:7" x14ac:dyDescent="0.25">
      <c r="C22" s="730" t="s">
        <v>314</v>
      </c>
      <c r="D22" s="730"/>
      <c r="E22" s="730"/>
      <c r="F22" s="131">
        <f>F21/12</f>
        <v>662.68333333333339</v>
      </c>
      <c r="G22" s="201"/>
    </row>
    <row r="23" spans="1:7" x14ac:dyDescent="0.25">
      <c r="C23" s="132" t="s">
        <v>315</v>
      </c>
      <c r="D23" s="132"/>
      <c r="E23" s="132"/>
      <c r="F23" s="131">
        <f>F22/1</f>
        <v>662.68333333333339</v>
      </c>
      <c r="G23" s="201"/>
    </row>
  </sheetData>
  <mergeCells count="3">
    <mergeCell ref="A1:F1"/>
    <mergeCell ref="C21:E21"/>
    <mergeCell ref="C22:E22"/>
  </mergeCells>
  <printOptions horizontalCentered="1"/>
  <pageMargins left="0.9055118110236221" right="0.78740157480314965" top="1.7716535433070868" bottom="0.98425196850393704" header="0.31496062992125984" footer="0.31496062992125984"/>
  <pageSetup paperSize="9" scale="74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view="pageBreakPreview" zoomScale="80" zoomScaleNormal="100" zoomScaleSheetLayoutView="80" workbookViewId="0">
      <selection activeCell="L15" sqref="L15"/>
    </sheetView>
  </sheetViews>
  <sheetFormatPr defaultRowHeight="15" x14ac:dyDescent="0.25"/>
  <cols>
    <col min="1" max="1" width="4.7109375" bestFit="1" customWidth="1"/>
    <col min="2" max="2" width="68.5703125" customWidth="1"/>
    <col min="3" max="3" width="5.5703125" customWidth="1"/>
    <col min="4" max="4" width="8.140625" customWidth="1"/>
    <col min="5" max="5" width="17.7109375" customWidth="1"/>
    <col min="6" max="6" width="13.140625" customWidth="1"/>
    <col min="7" max="7" width="17.42578125" customWidth="1"/>
  </cols>
  <sheetData>
    <row r="1" spans="1:14" x14ac:dyDescent="0.25">
      <c r="A1" s="734" t="s">
        <v>269</v>
      </c>
      <c r="B1" s="734"/>
      <c r="C1" s="734"/>
      <c r="D1" s="734"/>
      <c r="E1" s="734"/>
      <c r="F1" s="734"/>
    </row>
    <row r="2" spans="1:14" x14ac:dyDescent="0.25">
      <c r="A2" s="735" t="s">
        <v>100</v>
      </c>
      <c r="B2" s="735" t="s">
        <v>270</v>
      </c>
      <c r="C2" s="735" t="s">
        <v>218</v>
      </c>
      <c r="D2" s="736" t="s">
        <v>271</v>
      </c>
      <c r="E2" s="726" t="s">
        <v>214</v>
      </c>
      <c r="F2" s="726" t="s">
        <v>272</v>
      </c>
    </row>
    <row r="3" spans="1:14" x14ac:dyDescent="0.25">
      <c r="A3" s="735"/>
      <c r="B3" s="735"/>
      <c r="C3" s="735"/>
      <c r="D3" s="737"/>
      <c r="E3" s="726"/>
      <c r="F3" s="726"/>
    </row>
    <row r="4" spans="1:14" x14ac:dyDescent="0.25">
      <c r="A4" s="115">
        <v>1</v>
      </c>
      <c r="B4" s="116" t="s">
        <v>439</v>
      </c>
      <c r="C4" s="117" t="s">
        <v>218</v>
      </c>
      <c r="D4" s="117">
        <v>10</v>
      </c>
      <c r="E4" s="118">
        <v>2</v>
      </c>
      <c r="F4" s="119">
        <f>E4*D4</f>
        <v>20</v>
      </c>
    </row>
    <row r="5" spans="1:14" ht="22.5" x14ac:dyDescent="0.25">
      <c r="A5" s="115">
        <v>2</v>
      </c>
      <c r="B5" s="116" t="s">
        <v>440</v>
      </c>
      <c r="C5" s="117" t="s">
        <v>218</v>
      </c>
      <c r="D5" s="117">
        <v>2</v>
      </c>
      <c r="E5" s="118">
        <v>23</v>
      </c>
      <c r="F5" s="119">
        <f>D5*E5</f>
        <v>46</v>
      </c>
    </row>
    <row r="6" spans="1:14" ht="33.75" x14ac:dyDescent="0.25">
      <c r="A6" s="115">
        <v>3</v>
      </c>
      <c r="B6" s="116" t="s">
        <v>441</v>
      </c>
      <c r="C6" s="117" t="s">
        <v>218</v>
      </c>
      <c r="D6" s="117">
        <v>1</v>
      </c>
      <c r="E6" s="118">
        <v>2700</v>
      </c>
      <c r="F6" s="119">
        <f>D6*E6</f>
        <v>2700</v>
      </c>
    </row>
    <row r="7" spans="1:14" x14ac:dyDescent="0.25">
      <c r="A7" s="115">
        <v>4</v>
      </c>
      <c r="B7" s="116" t="s">
        <v>442</v>
      </c>
      <c r="C7" s="117" t="s">
        <v>273</v>
      </c>
      <c r="D7" s="117">
        <v>100</v>
      </c>
      <c r="E7" s="118">
        <v>3.9</v>
      </c>
      <c r="F7" s="119">
        <f t="shared" ref="F7:F15" si="0">E7*D7</f>
        <v>390</v>
      </c>
    </row>
    <row r="8" spans="1:14" ht="66.75" customHeight="1" x14ac:dyDescent="0.25">
      <c r="A8" s="115">
        <v>5</v>
      </c>
      <c r="B8" s="116" t="s">
        <v>443</v>
      </c>
      <c r="C8" s="117" t="s">
        <v>218</v>
      </c>
      <c r="D8" s="117">
        <v>4</v>
      </c>
      <c r="E8" s="118">
        <v>13</v>
      </c>
      <c r="F8" s="119">
        <f t="shared" si="0"/>
        <v>52</v>
      </c>
    </row>
    <row r="9" spans="1:14" x14ac:dyDescent="0.25">
      <c r="A9" s="115">
        <v>6</v>
      </c>
      <c r="B9" s="116" t="s">
        <v>444</v>
      </c>
      <c r="C9" s="117" t="s">
        <v>218</v>
      </c>
      <c r="D9" s="117">
        <v>2</v>
      </c>
      <c r="E9" s="118">
        <v>13.82</v>
      </c>
      <c r="F9" s="119">
        <f t="shared" si="0"/>
        <v>27.64</v>
      </c>
      <c r="G9" s="4">
        <f>'$ TOTAL ATUAL'!D33</f>
        <v>-133463.52000000002</v>
      </c>
    </row>
    <row r="10" spans="1:14" ht="78.75" x14ac:dyDescent="0.25">
      <c r="A10" s="115">
        <v>7</v>
      </c>
      <c r="B10" s="116" t="s">
        <v>445</v>
      </c>
      <c r="C10" s="117" t="s">
        <v>218</v>
      </c>
      <c r="D10" s="117">
        <v>2</v>
      </c>
      <c r="E10" s="118">
        <v>89</v>
      </c>
      <c r="F10" s="119">
        <f t="shared" si="0"/>
        <v>178</v>
      </c>
      <c r="H10" s="54"/>
      <c r="I10" s="54"/>
      <c r="J10" s="54"/>
      <c r="K10" s="54"/>
      <c r="L10" s="54"/>
      <c r="M10" s="54"/>
      <c r="N10" s="54"/>
    </row>
    <row r="11" spans="1:14" x14ac:dyDescent="0.25">
      <c r="A11" s="115">
        <v>8</v>
      </c>
      <c r="B11" s="116" t="s">
        <v>446</v>
      </c>
      <c r="C11" s="117" t="s">
        <v>274</v>
      </c>
      <c r="D11" s="117">
        <v>2</v>
      </c>
      <c r="E11" s="118">
        <v>360</v>
      </c>
      <c r="F11" s="119">
        <f t="shared" si="0"/>
        <v>720</v>
      </c>
      <c r="H11" s="54"/>
      <c r="I11" s="54"/>
      <c r="J11" s="54"/>
      <c r="K11" s="54"/>
      <c r="L11" s="54"/>
      <c r="M11" s="54"/>
      <c r="N11" s="54"/>
    </row>
    <row r="12" spans="1:14" ht="22.5" x14ac:dyDescent="0.25">
      <c r="A12" s="115">
        <v>9</v>
      </c>
      <c r="B12" s="116" t="s">
        <v>447</v>
      </c>
      <c r="C12" s="117" t="s">
        <v>218</v>
      </c>
      <c r="D12" s="117">
        <v>2</v>
      </c>
      <c r="E12" s="118">
        <v>109</v>
      </c>
      <c r="F12" s="119">
        <f t="shared" si="0"/>
        <v>218</v>
      </c>
      <c r="H12" s="731"/>
      <c r="I12" s="731"/>
      <c r="J12" s="731"/>
      <c r="K12" s="54"/>
      <c r="L12" s="54"/>
      <c r="M12" s="54"/>
      <c r="N12" s="54"/>
    </row>
    <row r="13" spans="1:14" ht="22.5" x14ac:dyDescent="0.25">
      <c r="A13" s="115">
        <v>10</v>
      </c>
      <c r="B13" s="116" t="s">
        <v>448</v>
      </c>
      <c r="C13" s="117" t="s">
        <v>262</v>
      </c>
      <c r="D13" s="117">
        <v>2</v>
      </c>
      <c r="E13" s="118">
        <v>401</v>
      </c>
      <c r="F13" s="119">
        <f t="shared" si="0"/>
        <v>802</v>
      </c>
      <c r="H13" s="731"/>
      <c r="I13" s="731"/>
      <c r="J13" s="731"/>
      <c r="K13" s="54"/>
      <c r="L13" s="54"/>
      <c r="M13" s="54"/>
      <c r="N13" s="54"/>
    </row>
    <row r="14" spans="1:14" ht="22.5" x14ac:dyDescent="0.25">
      <c r="A14" s="115">
        <v>11</v>
      </c>
      <c r="B14" s="120" t="s">
        <v>449</v>
      </c>
      <c r="C14" s="117" t="s">
        <v>218</v>
      </c>
      <c r="D14" s="117">
        <v>10</v>
      </c>
      <c r="E14" s="118">
        <v>33.299999999999997</v>
      </c>
      <c r="F14" s="119">
        <f t="shared" si="0"/>
        <v>333</v>
      </c>
      <c r="H14" s="121"/>
      <c r="I14" s="121"/>
      <c r="J14" s="121"/>
      <c r="K14" s="54"/>
      <c r="L14" s="54"/>
      <c r="M14" s="54"/>
      <c r="N14" s="54"/>
    </row>
    <row r="15" spans="1:14" ht="22.5" x14ac:dyDescent="0.25">
      <c r="A15" s="115">
        <v>12</v>
      </c>
      <c r="B15" s="120" t="s">
        <v>450</v>
      </c>
      <c r="C15" s="117" t="s">
        <v>218</v>
      </c>
      <c r="D15" s="117">
        <v>2</v>
      </c>
      <c r="E15" s="118">
        <v>159</v>
      </c>
      <c r="F15" s="119">
        <f t="shared" si="0"/>
        <v>318</v>
      </c>
      <c r="H15" s="54"/>
      <c r="I15" s="54"/>
      <c r="J15" s="54"/>
      <c r="K15" s="54"/>
      <c r="L15" s="54"/>
      <c r="M15" s="54"/>
      <c r="N15" s="54"/>
    </row>
    <row r="16" spans="1:14" x14ac:dyDescent="0.25">
      <c r="A16" s="55"/>
      <c r="B16" s="56"/>
      <c r="C16" s="732" t="s">
        <v>275</v>
      </c>
      <c r="D16" s="732"/>
      <c r="E16" s="732"/>
      <c r="F16" s="504">
        <f>SUM(F4:F15)</f>
        <v>5804.6399999999994</v>
      </c>
      <c r="H16" s="54"/>
      <c r="I16" s="54"/>
      <c r="J16" s="54"/>
      <c r="K16" s="54"/>
      <c r="L16" s="54"/>
      <c r="M16" s="54"/>
      <c r="N16" s="54"/>
    </row>
    <row r="17" spans="3:14" x14ac:dyDescent="0.25">
      <c r="C17" s="733" t="s">
        <v>276</v>
      </c>
      <c r="D17" s="733"/>
      <c r="E17" s="733"/>
      <c r="F17" s="505">
        <f>F16/12</f>
        <v>483.71999999999997</v>
      </c>
      <c r="H17" s="54"/>
      <c r="I17" s="54"/>
      <c r="J17" s="54"/>
      <c r="K17" s="54"/>
      <c r="L17" s="54"/>
      <c r="M17" s="54"/>
      <c r="N17" s="54"/>
    </row>
    <row r="18" spans="3:14" x14ac:dyDescent="0.25">
      <c r="C18" s="506" t="s">
        <v>277</v>
      </c>
      <c r="D18" s="506"/>
      <c r="E18" s="506"/>
      <c r="F18" s="505">
        <f>F17/2</f>
        <v>241.85999999999999</v>
      </c>
      <c r="G18" s="4">
        <f>241.86-F18</f>
        <v>0</v>
      </c>
    </row>
  </sheetData>
  <mergeCells count="11">
    <mergeCell ref="C17:E17"/>
    <mergeCell ref="A1:F1"/>
    <mergeCell ref="A2:A3"/>
    <mergeCell ref="B2:B3"/>
    <mergeCell ref="C2:C3"/>
    <mergeCell ref="D2:D3"/>
    <mergeCell ref="E2:E3"/>
    <mergeCell ref="F2:F3"/>
    <mergeCell ref="H12:J12"/>
    <mergeCell ref="H13:J13"/>
    <mergeCell ref="C16:E16"/>
  </mergeCells>
  <printOptions horizontalCentered="1"/>
  <pageMargins left="0.9055118110236221" right="0.78740157480314965" top="1.7716535433070868" bottom="0.98425196850393704" header="0.31496062992125984" footer="0.31496062992125984"/>
  <pageSetup paperSize="9" scale="71" orientation="portrait" r:id="rId1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view="pageBreakPreview" zoomScaleNormal="100" zoomScaleSheetLayoutView="100" workbookViewId="0">
      <selection activeCell="A10" sqref="A10:D10"/>
    </sheetView>
  </sheetViews>
  <sheetFormatPr defaultRowHeight="15" x14ac:dyDescent="0.25"/>
  <cols>
    <col min="1" max="1" width="18.140625" bestFit="1" customWidth="1"/>
    <col min="2" max="2" width="25" customWidth="1"/>
    <col min="3" max="3" width="23.5703125" bestFit="1" customWidth="1"/>
    <col min="4" max="4" width="21" bestFit="1" customWidth="1"/>
    <col min="5" max="5" width="18.7109375" bestFit="1" customWidth="1"/>
    <col min="6" max="6" width="17.28515625" bestFit="1" customWidth="1"/>
    <col min="7" max="7" width="13" bestFit="1" customWidth="1"/>
    <col min="8" max="8" width="15.42578125" bestFit="1" customWidth="1"/>
    <col min="9" max="9" width="15.7109375" customWidth="1"/>
  </cols>
  <sheetData>
    <row r="1" spans="1:8" ht="11.25" customHeight="1" x14ac:dyDescent="0.35">
      <c r="A1" s="747"/>
      <c r="B1" s="747"/>
      <c r="C1" s="747"/>
      <c r="D1" s="747"/>
      <c r="E1" s="747"/>
      <c r="F1" s="747"/>
      <c r="G1" s="747"/>
      <c r="H1" s="747"/>
    </row>
    <row r="2" spans="1:8" ht="16.5" customHeight="1" x14ac:dyDescent="0.35">
      <c r="A2" s="751" t="s">
        <v>337</v>
      </c>
      <c r="B2" s="752"/>
      <c r="C2" s="752"/>
      <c r="D2" s="752"/>
      <c r="E2" s="752"/>
      <c r="F2" s="752"/>
      <c r="G2" s="752"/>
      <c r="H2" s="220"/>
    </row>
    <row r="3" spans="1:8" ht="21" x14ac:dyDescent="0.35">
      <c r="A3" s="220"/>
      <c r="B3" s="220"/>
      <c r="C3" s="220"/>
      <c r="D3" s="220"/>
      <c r="E3" s="220"/>
      <c r="F3" s="220"/>
      <c r="G3" s="220"/>
      <c r="H3" s="220"/>
    </row>
    <row r="4" spans="1:8" x14ac:dyDescent="0.25">
      <c r="A4" s="743" t="s">
        <v>523</v>
      </c>
      <c r="B4" s="744"/>
      <c r="C4" s="744"/>
      <c r="D4" s="744"/>
      <c r="E4" s="744"/>
      <c r="F4" s="744"/>
      <c r="G4" s="744"/>
    </row>
    <row r="5" spans="1:8" x14ac:dyDescent="0.25">
      <c r="A5" s="743" t="s">
        <v>510</v>
      </c>
      <c r="B5" s="744"/>
      <c r="C5" s="744"/>
      <c r="D5" s="744"/>
      <c r="E5" s="744"/>
      <c r="F5" s="744"/>
      <c r="G5" s="744"/>
    </row>
    <row r="6" spans="1:8" ht="15.75" thickBot="1" x14ac:dyDescent="0.3">
      <c r="A6" s="74"/>
      <c r="B6" s="74"/>
      <c r="C6" s="74"/>
      <c r="D6" s="74"/>
    </row>
    <row r="7" spans="1:8" ht="14.25" customHeight="1" x14ac:dyDescent="0.25">
      <c r="A7" s="658" t="s">
        <v>186</v>
      </c>
      <c r="B7" s="659"/>
      <c r="C7" s="659"/>
      <c r="D7" s="660"/>
      <c r="E7" s="47"/>
      <c r="F7" s="47"/>
      <c r="G7" s="47"/>
    </row>
    <row r="8" spans="1:8" ht="15.75" thickBot="1" x14ac:dyDescent="0.3">
      <c r="A8" s="661"/>
      <c r="B8" s="662"/>
      <c r="C8" s="662"/>
      <c r="D8" s="663"/>
      <c r="E8" s="47"/>
      <c r="F8" s="47"/>
      <c r="G8" s="47"/>
    </row>
    <row r="10" spans="1:8" ht="15.75" thickBot="1" x14ac:dyDescent="0.3">
      <c r="A10" s="745" t="s">
        <v>571</v>
      </c>
      <c r="B10" s="745"/>
      <c r="C10" s="745"/>
      <c r="D10" s="745"/>
    </row>
    <row r="11" spans="1:8" x14ac:dyDescent="0.25">
      <c r="A11" s="738" t="s">
        <v>187</v>
      </c>
      <c r="B11" s="739"/>
      <c r="C11" s="739"/>
      <c r="D11" s="740"/>
    </row>
    <row r="12" spans="1:8" x14ac:dyDescent="0.25">
      <c r="A12" s="355" t="s">
        <v>188</v>
      </c>
      <c r="B12" s="355" t="s">
        <v>189</v>
      </c>
      <c r="C12" s="356" t="s">
        <v>190</v>
      </c>
      <c r="D12" s="357" t="s">
        <v>198</v>
      </c>
      <c r="E12" s="141"/>
      <c r="F12" s="141"/>
    </row>
    <row r="13" spans="1:8" x14ac:dyDescent="0.25">
      <c r="A13" s="3" t="s">
        <v>108</v>
      </c>
      <c r="B13" s="218" t="s">
        <v>567</v>
      </c>
      <c r="C13" s="51">
        <f>' ENCARREGADO'!G129:G129</f>
        <v>5447.9374492019333</v>
      </c>
      <c r="D13" s="51">
        <f>ROUND(C13*E13,2)</f>
        <v>0.2</v>
      </c>
      <c r="E13" s="142">
        <f>1/(30*900)</f>
        <v>3.7037037037037037E-5</v>
      </c>
      <c r="F13" s="143">
        <f>ROUND((1/(30*900))*C13,2)</f>
        <v>0.2</v>
      </c>
    </row>
    <row r="14" spans="1:8" ht="15.75" thickBot="1" x14ac:dyDescent="0.3">
      <c r="A14" s="49" t="s">
        <v>106</v>
      </c>
      <c r="B14" s="219" t="s">
        <v>568</v>
      </c>
      <c r="C14" s="52">
        <f>' SERVENTE'!G129:G129</f>
        <v>3393.7714538259565</v>
      </c>
      <c r="D14" s="52">
        <f>ROUND(C14*E14,2)</f>
        <v>3.77</v>
      </c>
      <c r="E14" s="141">
        <f>1/900</f>
        <v>1.1111111111111111E-3</v>
      </c>
      <c r="F14" s="143">
        <f>ROUND((1/900)*C14,2)</f>
        <v>3.77</v>
      </c>
    </row>
    <row r="15" spans="1:8" ht="15.75" thickBot="1" x14ac:dyDescent="0.3">
      <c r="A15" s="741" t="s">
        <v>109</v>
      </c>
      <c r="B15" s="742"/>
      <c r="C15" s="742"/>
      <c r="D15" s="360">
        <f>SUM(D13:D14)</f>
        <v>3.97</v>
      </c>
      <c r="E15" s="141"/>
      <c r="F15" s="144"/>
    </row>
    <row r="16" spans="1:8" ht="15.75" thickBot="1" x14ac:dyDescent="0.3">
      <c r="E16" s="141"/>
      <c r="F16" s="141"/>
      <c r="H16" s="4"/>
    </row>
    <row r="17" spans="1:9" x14ac:dyDescent="0.25">
      <c r="A17" s="738" t="s">
        <v>191</v>
      </c>
      <c r="B17" s="739"/>
      <c r="C17" s="739"/>
      <c r="D17" s="740"/>
      <c r="E17" s="141"/>
      <c r="F17" s="141"/>
    </row>
    <row r="18" spans="1:9" x14ac:dyDescent="0.25">
      <c r="A18" s="506" t="s">
        <v>188</v>
      </c>
      <c r="B18" s="506" t="s">
        <v>189</v>
      </c>
      <c r="C18" s="349" t="s">
        <v>190</v>
      </c>
      <c r="D18" s="508" t="s">
        <v>198</v>
      </c>
      <c r="E18" s="141"/>
      <c r="F18" s="141"/>
    </row>
    <row r="19" spans="1:9" x14ac:dyDescent="0.25">
      <c r="A19" s="3" t="s">
        <v>108</v>
      </c>
      <c r="B19" s="218" t="s">
        <v>569</v>
      </c>
      <c r="C19" s="64">
        <f>' ENCARREGADO'!G129:G129</f>
        <v>5447.9374492019333</v>
      </c>
      <c r="D19" s="51">
        <f>ROUND(C19*E19,2)</f>
        <v>0.15</v>
      </c>
      <c r="E19" s="145">
        <f>1/(30*1200)</f>
        <v>2.7777777777777779E-5</v>
      </c>
      <c r="F19" s="143">
        <f>ROUND((1/(30*1200))*C19,2)</f>
        <v>0.15</v>
      </c>
      <c r="G19" s="62"/>
    </row>
    <row r="20" spans="1:9" ht="15.75" thickBot="1" x14ac:dyDescent="0.3">
      <c r="A20" s="49" t="s">
        <v>106</v>
      </c>
      <c r="B20" s="219" t="s">
        <v>570</v>
      </c>
      <c r="C20" s="65">
        <f>' SERVENTE'!G129:G129</f>
        <v>3393.7714538259565</v>
      </c>
      <c r="D20" s="52">
        <f>ROUND(C20*E20,2)</f>
        <v>2.83</v>
      </c>
      <c r="E20" s="145">
        <f>1/1200</f>
        <v>8.3333333333333339E-4</v>
      </c>
      <c r="F20" s="143">
        <f>ROUND((1/1200)*C20,2)</f>
        <v>2.83</v>
      </c>
      <c r="G20" s="62"/>
    </row>
    <row r="21" spans="1:9" ht="15.75" thickBot="1" x14ac:dyDescent="0.3">
      <c r="A21" s="741" t="s">
        <v>109</v>
      </c>
      <c r="B21" s="742"/>
      <c r="C21" s="742"/>
      <c r="D21" s="360">
        <f>SUM(D19:D20)</f>
        <v>2.98</v>
      </c>
      <c r="E21" s="146"/>
      <c r="F21" s="146"/>
      <c r="G21" s="62"/>
    </row>
    <row r="22" spans="1:9" ht="15.75" thickBot="1" x14ac:dyDescent="0.3">
      <c r="E22" s="146"/>
      <c r="F22" s="146"/>
      <c r="G22" s="62"/>
    </row>
    <row r="23" spans="1:9" x14ac:dyDescent="0.25">
      <c r="A23" s="738" t="s">
        <v>110</v>
      </c>
      <c r="B23" s="739"/>
      <c r="C23" s="739"/>
      <c r="D23" s="740"/>
      <c r="E23" s="146"/>
      <c r="F23" s="146"/>
      <c r="G23" s="62"/>
      <c r="I23" s="66" t="s">
        <v>322</v>
      </c>
    </row>
    <row r="24" spans="1:9" x14ac:dyDescent="0.25">
      <c r="A24" s="506" t="s">
        <v>188</v>
      </c>
      <c r="B24" s="506" t="s">
        <v>189</v>
      </c>
      <c r="C24" s="349" t="s">
        <v>190</v>
      </c>
      <c r="D24" s="508" t="s">
        <v>198</v>
      </c>
      <c r="E24" s="146"/>
      <c r="F24" s="146"/>
      <c r="G24" s="62"/>
    </row>
    <row r="25" spans="1:9" x14ac:dyDescent="0.25">
      <c r="A25" s="3" t="s">
        <v>108</v>
      </c>
      <c r="B25" s="218" t="s">
        <v>501</v>
      </c>
      <c r="C25" s="64">
        <f>' ENCARREGADO'!G129:G129</f>
        <v>5447.9374492019333</v>
      </c>
      <c r="D25" s="51">
        <f>ROUND(C25*E25,2)</f>
        <v>0.03</v>
      </c>
      <c r="E25" s="145">
        <f>1/(30*6000)</f>
        <v>5.5555555555555558E-6</v>
      </c>
      <c r="F25" s="143">
        <f>ROUND((1/(30*6000))*C25,2)</f>
        <v>0.03</v>
      </c>
      <c r="G25" s="62"/>
    </row>
    <row r="26" spans="1:9" ht="15.75" thickBot="1" x14ac:dyDescent="0.3">
      <c r="A26" s="49" t="s">
        <v>106</v>
      </c>
      <c r="B26" s="219" t="s">
        <v>502</v>
      </c>
      <c r="C26" s="65">
        <f>' SERVENTE'!G129:G129</f>
        <v>3393.7714538259565</v>
      </c>
      <c r="D26" s="52">
        <f>ROUND(C26*E26,2)</f>
        <v>0.56999999999999995</v>
      </c>
      <c r="E26" s="145">
        <f>1/6000</f>
        <v>1.6666666666666666E-4</v>
      </c>
      <c r="F26" s="143">
        <f>ROUND((1/6000)*C26,2)</f>
        <v>0.56999999999999995</v>
      </c>
      <c r="G26" s="62"/>
    </row>
    <row r="27" spans="1:9" ht="15.75" thickBot="1" x14ac:dyDescent="0.3">
      <c r="A27" s="741" t="s">
        <v>109</v>
      </c>
      <c r="B27" s="742"/>
      <c r="C27" s="742"/>
      <c r="D27" s="360">
        <f>SUM(D25:D26)</f>
        <v>0.6</v>
      </c>
      <c r="E27" s="141"/>
      <c r="F27" s="141"/>
    </row>
    <row r="29" spans="1:9" x14ac:dyDescent="0.25">
      <c r="A29" s="750" t="s">
        <v>111</v>
      </c>
      <c r="B29" s="750"/>
      <c r="C29" s="750"/>
      <c r="D29" s="750"/>
      <c r="E29" s="750"/>
      <c r="F29" s="750"/>
      <c r="G29" s="750"/>
    </row>
    <row r="30" spans="1:9" ht="45" x14ac:dyDescent="0.25">
      <c r="A30" s="358" t="s">
        <v>193</v>
      </c>
      <c r="B30" s="359" t="s">
        <v>194</v>
      </c>
      <c r="C30" s="359" t="s">
        <v>196</v>
      </c>
      <c r="D30" s="507" t="s">
        <v>559</v>
      </c>
      <c r="E30" s="359" t="s">
        <v>197</v>
      </c>
      <c r="F30" s="359" t="s">
        <v>190</v>
      </c>
      <c r="G30" s="359" t="s">
        <v>198</v>
      </c>
    </row>
    <row r="31" spans="1:9" x14ac:dyDescent="0.25">
      <c r="A31" s="3" t="s">
        <v>108</v>
      </c>
      <c r="B31" s="3" t="s">
        <v>325</v>
      </c>
      <c r="C31" s="48">
        <v>16</v>
      </c>
      <c r="D31" s="48" t="s">
        <v>326</v>
      </c>
      <c r="E31" s="68">
        <f>1/(30*220)*C31*(1/191.4)</f>
        <v>1.2665843386846523E-5</v>
      </c>
      <c r="F31" s="64">
        <f>' ENCARREGADO'!G129:G129</f>
        <v>5447.9374492019333</v>
      </c>
      <c r="G31" s="51">
        <f>ROUND(F31*E31,2)</f>
        <v>7.0000000000000007E-2</v>
      </c>
      <c r="H31" s="147">
        <f>1/(30*220)*C31*(1/191.4)</f>
        <v>1.2665843386846523E-5</v>
      </c>
    </row>
    <row r="32" spans="1:9" ht="15.75" thickBot="1" x14ac:dyDescent="0.3">
      <c r="A32" s="49" t="s">
        <v>106</v>
      </c>
      <c r="B32" s="49" t="s">
        <v>324</v>
      </c>
      <c r="C32" s="50">
        <v>16</v>
      </c>
      <c r="D32" s="50" t="s">
        <v>326</v>
      </c>
      <c r="E32" s="63">
        <f>(1/220)*C32*(1/191.4)</f>
        <v>3.7997530160539561E-4</v>
      </c>
      <c r="F32" s="65">
        <f>' SERVENTE'!G129:G129</f>
        <v>3393.7714538259565</v>
      </c>
      <c r="G32" s="52">
        <f>ROUND(F32*E32,2)</f>
        <v>1.29</v>
      </c>
      <c r="H32" s="148">
        <f>(1/220)*C32*(1/191.4)</f>
        <v>3.7997530160539561E-4</v>
      </c>
    </row>
    <row r="33" spans="1:10" ht="15.75" thickBot="1" x14ac:dyDescent="0.3">
      <c r="A33" s="748" t="s">
        <v>109</v>
      </c>
      <c r="B33" s="749"/>
      <c r="C33" s="749"/>
      <c r="D33" s="749"/>
      <c r="E33" s="749"/>
      <c r="F33" s="749"/>
      <c r="G33" s="361">
        <f>SUM(G31:G32)</f>
        <v>1.36</v>
      </c>
      <c r="H33" s="141"/>
    </row>
    <row r="34" spans="1:10" x14ac:dyDescent="0.25">
      <c r="H34" s="141"/>
    </row>
    <row r="35" spans="1:10" x14ac:dyDescent="0.25">
      <c r="A35" s="750" t="s">
        <v>323</v>
      </c>
      <c r="B35" s="750"/>
      <c r="C35" s="750"/>
      <c r="D35" s="750"/>
      <c r="E35" s="750"/>
      <c r="F35" s="750"/>
      <c r="G35" s="750"/>
      <c r="H35" s="141"/>
    </row>
    <row r="36" spans="1:10" ht="45" x14ac:dyDescent="0.25">
      <c r="A36" s="358" t="s">
        <v>193</v>
      </c>
      <c r="B36" s="359" t="s">
        <v>194</v>
      </c>
      <c r="C36" s="507" t="s">
        <v>560</v>
      </c>
      <c r="D36" s="507" t="s">
        <v>561</v>
      </c>
      <c r="E36" s="359" t="s">
        <v>197</v>
      </c>
      <c r="F36" s="359" t="s">
        <v>190</v>
      </c>
      <c r="G36" s="359" t="s">
        <v>198</v>
      </c>
      <c r="H36" s="141"/>
    </row>
    <row r="37" spans="1:10" x14ac:dyDescent="0.25">
      <c r="A37" s="3" t="s">
        <v>108</v>
      </c>
      <c r="B37" s="3" t="s">
        <v>199</v>
      </c>
      <c r="C37" s="48">
        <v>8</v>
      </c>
      <c r="D37" s="48" t="s">
        <v>201</v>
      </c>
      <c r="E37" s="69">
        <f>1/(4*110)*8*(1/1148.4)</f>
        <v>1.5832304233558149E-5</v>
      </c>
      <c r="F37" s="487">
        <f>' ENCARREGADO'!G129:G129</f>
        <v>5447.9374492019333</v>
      </c>
      <c r="G37" s="51">
        <f>ROUND(F37*E37,2)</f>
        <v>0.09</v>
      </c>
      <c r="H37" s="149">
        <f>1/(4*110)*8*(1/11148.4)</f>
        <v>1.6308903682876629E-6</v>
      </c>
      <c r="I37" s="67"/>
      <c r="J37" s="62"/>
    </row>
    <row r="38" spans="1:10" ht="15.75" thickBot="1" x14ac:dyDescent="0.3">
      <c r="A38" s="49" t="s">
        <v>453</v>
      </c>
      <c r="B38" s="49" t="s">
        <v>200</v>
      </c>
      <c r="C38" s="50">
        <v>8</v>
      </c>
      <c r="D38" s="50" t="s">
        <v>201</v>
      </c>
      <c r="E38" s="72">
        <f>1/110*8*1/1148.4</f>
        <v>6.3329216934232598E-5</v>
      </c>
      <c r="F38" s="488">
        <f>JAUZEIRO!G129</f>
        <v>4743.2799891929517</v>
      </c>
      <c r="G38" s="52">
        <f>ROUND(F38*E38,2)</f>
        <v>0.3</v>
      </c>
      <c r="H38" s="149">
        <f>1/(110)*8*(1/1148.4)</f>
        <v>6.3329216934232598E-5</v>
      </c>
      <c r="I38" s="62"/>
      <c r="J38" s="62"/>
    </row>
    <row r="39" spans="1:10" ht="15.75" thickBot="1" x14ac:dyDescent="0.3">
      <c r="A39" s="748" t="s">
        <v>109</v>
      </c>
      <c r="B39" s="749"/>
      <c r="C39" s="749"/>
      <c r="D39" s="749"/>
      <c r="E39" s="749"/>
      <c r="F39" s="749"/>
      <c r="G39" s="361">
        <f>SUM(G37:G38)</f>
        <v>0.39</v>
      </c>
      <c r="H39" s="141"/>
    </row>
    <row r="40" spans="1:10" ht="90" customHeight="1" x14ac:dyDescent="0.25">
      <c r="A40" s="746" t="s">
        <v>458</v>
      </c>
      <c r="B40" s="746"/>
      <c r="C40" s="746"/>
      <c r="D40" s="746"/>
      <c r="E40" s="746"/>
      <c r="F40" s="746"/>
      <c r="G40" s="746"/>
    </row>
  </sheetData>
  <mergeCells count="17">
    <mergeCell ref="A21:C21"/>
    <mergeCell ref="A40:G40"/>
    <mergeCell ref="A1:H1"/>
    <mergeCell ref="A39:F39"/>
    <mergeCell ref="A29:G29"/>
    <mergeCell ref="A33:F33"/>
    <mergeCell ref="A23:D23"/>
    <mergeCell ref="A2:G2"/>
    <mergeCell ref="A27:C27"/>
    <mergeCell ref="A35:G35"/>
    <mergeCell ref="A17:D17"/>
    <mergeCell ref="A7:D8"/>
    <mergeCell ref="A15:C15"/>
    <mergeCell ref="A5:G5"/>
    <mergeCell ref="A4:G4"/>
    <mergeCell ref="A10:D10"/>
    <mergeCell ref="A11:D11"/>
  </mergeCells>
  <printOptions horizontalCentered="1"/>
  <pageMargins left="0.9055118110236221" right="0.78740157480314965" top="1.7716535433070868" bottom="0.98425196850393704" header="0.31496062992125984" footer="0.31496062992125984"/>
  <pageSetup paperSize="9" scale="59" orientation="portrait" horizontalDpi="4294967295" verticalDpi="4294967295" r:id="rId1"/>
  <colBreaks count="1" manualBreakCount="1">
    <brk id="8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view="pageBreakPreview" topLeftCell="A19" zoomScale="91" zoomScaleNormal="100" zoomScaleSheetLayoutView="91" workbookViewId="0">
      <selection activeCell="L13" sqref="L13"/>
    </sheetView>
  </sheetViews>
  <sheetFormatPr defaultRowHeight="15" x14ac:dyDescent="0.25"/>
  <cols>
    <col min="1" max="1" width="25.42578125" customWidth="1"/>
    <col min="2" max="2" width="23.42578125" customWidth="1"/>
    <col min="3" max="3" width="17.85546875" customWidth="1"/>
    <col min="4" max="4" width="15.7109375" bestFit="1" customWidth="1"/>
    <col min="5" max="5" width="14" customWidth="1"/>
    <col min="6" max="6" width="14.28515625" bestFit="1" customWidth="1"/>
    <col min="7" max="7" width="13.85546875" customWidth="1"/>
    <col min="8" max="8" width="15.140625" bestFit="1" customWidth="1"/>
    <col min="9" max="9" width="15.7109375" customWidth="1"/>
  </cols>
  <sheetData>
    <row r="1" spans="1:8" x14ac:dyDescent="0.25">
      <c r="A1" s="751" t="s">
        <v>337</v>
      </c>
      <c r="B1" s="751"/>
      <c r="C1" s="751"/>
      <c r="D1" s="751"/>
      <c r="E1" s="751"/>
      <c r="F1" s="751"/>
      <c r="G1" s="751"/>
      <c r="H1" s="751"/>
    </row>
    <row r="2" spans="1:8" x14ac:dyDescent="0.25">
      <c r="A2" s="751" t="s">
        <v>526</v>
      </c>
      <c r="B2" s="752"/>
      <c r="C2" s="752"/>
      <c r="D2" s="752"/>
      <c r="E2" s="752"/>
      <c r="F2" s="752"/>
      <c r="G2" s="752"/>
      <c r="H2" s="296"/>
    </row>
    <row r="3" spans="1:8" x14ac:dyDescent="0.25">
      <c r="A3" s="751" t="s">
        <v>531</v>
      </c>
      <c r="B3" s="752"/>
      <c r="C3" s="752"/>
      <c r="D3" s="752"/>
      <c r="E3" s="752"/>
      <c r="F3" s="752"/>
      <c r="G3" s="752"/>
      <c r="H3" s="296"/>
    </row>
    <row r="4" spans="1:8" x14ac:dyDescent="0.25">
      <c r="A4" s="751" t="s">
        <v>528</v>
      </c>
      <c r="B4" s="752"/>
      <c r="C4" s="752"/>
      <c r="D4" s="752"/>
      <c r="E4" s="752"/>
      <c r="F4" s="752"/>
      <c r="G4" s="752"/>
      <c r="H4" s="296"/>
    </row>
    <row r="5" spans="1:8" x14ac:dyDescent="0.25">
      <c r="A5" s="751" t="s">
        <v>529</v>
      </c>
      <c r="B5" s="752"/>
      <c r="C5" s="752"/>
      <c r="D5" s="752"/>
      <c r="E5" s="752"/>
      <c r="F5" s="752"/>
      <c r="G5" s="752"/>
      <c r="H5" s="296"/>
    </row>
    <row r="6" spans="1:8" x14ac:dyDescent="0.25">
      <c r="A6" s="296"/>
      <c r="B6" s="296"/>
      <c r="C6" s="296"/>
      <c r="D6" s="296"/>
      <c r="E6" s="296"/>
      <c r="F6" s="296"/>
      <c r="G6" s="296"/>
      <c r="H6" s="296"/>
    </row>
    <row r="7" spans="1:8" x14ac:dyDescent="0.25">
      <c r="A7" s="743" t="s">
        <v>523</v>
      </c>
      <c r="B7" s="744"/>
      <c r="C7" s="744"/>
      <c r="D7" s="744"/>
      <c r="E7" s="744"/>
      <c r="F7" s="744"/>
      <c r="G7" s="744"/>
    </row>
    <row r="8" spans="1:8" x14ac:dyDescent="0.25">
      <c r="A8" s="73" t="s">
        <v>530</v>
      </c>
      <c r="B8" s="73"/>
      <c r="C8" s="74"/>
      <c r="D8" s="74"/>
    </row>
    <row r="9" spans="1:8" ht="15.75" thickBot="1" x14ac:dyDescent="0.3">
      <c r="A9" s="74"/>
      <c r="B9" s="74"/>
      <c r="C9" s="74"/>
      <c r="D9" s="74"/>
    </row>
    <row r="10" spans="1:8" ht="14.25" customHeight="1" x14ac:dyDescent="0.25">
      <c r="A10" s="658" t="s">
        <v>186</v>
      </c>
      <c r="B10" s="659"/>
      <c r="C10" s="659"/>
      <c r="D10" s="660"/>
      <c r="E10" s="47"/>
      <c r="F10" s="47"/>
      <c r="G10" s="47"/>
    </row>
    <row r="11" spans="1:8" ht="15.75" thickBot="1" x14ac:dyDescent="0.3">
      <c r="A11" s="661"/>
      <c r="B11" s="662"/>
      <c r="C11" s="662"/>
      <c r="D11" s="663"/>
      <c r="E11" s="47"/>
      <c r="F11" s="47"/>
      <c r="G11" s="47"/>
    </row>
    <row r="13" spans="1:8" ht="15.75" thickBot="1" x14ac:dyDescent="0.3">
      <c r="A13" s="745" t="s">
        <v>572</v>
      </c>
      <c r="B13" s="753"/>
      <c r="C13" s="753"/>
      <c r="D13" s="753"/>
    </row>
    <row r="14" spans="1:8" x14ac:dyDescent="0.25">
      <c r="A14" s="738" t="s">
        <v>187</v>
      </c>
      <c r="B14" s="739"/>
      <c r="C14" s="739"/>
      <c r="D14" s="740"/>
    </row>
    <row r="15" spans="1:8" ht="30" x14ac:dyDescent="0.25">
      <c r="A15" s="506" t="s">
        <v>188</v>
      </c>
      <c r="B15" s="506" t="s">
        <v>189</v>
      </c>
      <c r="C15" s="349" t="s">
        <v>190</v>
      </c>
      <c r="D15" s="508" t="s">
        <v>198</v>
      </c>
      <c r="E15" s="141"/>
      <c r="F15" s="141"/>
    </row>
    <row r="16" spans="1:8" x14ac:dyDescent="0.25">
      <c r="A16" s="3" t="s">
        <v>108</v>
      </c>
      <c r="B16" s="218" t="s">
        <v>503</v>
      </c>
      <c r="C16" s="51">
        <f>' ENCARREGADO'!I129</f>
        <v>5848.4519799805012</v>
      </c>
      <c r="D16" s="51">
        <f>ROUND(C16*E16,2)</f>
        <v>0.22</v>
      </c>
      <c r="E16" s="142">
        <f>1/(30*900)</f>
        <v>3.7037037037037037E-5</v>
      </c>
      <c r="F16" s="143">
        <f>ROUND((1/(30*900))*C16,2)</f>
        <v>0.22</v>
      </c>
    </row>
    <row r="17" spans="1:9" ht="15.75" thickBot="1" x14ac:dyDescent="0.3">
      <c r="A17" s="49" t="s">
        <v>106</v>
      </c>
      <c r="B17" s="219" t="s">
        <v>504</v>
      </c>
      <c r="C17" s="52">
        <f>' SERVENTE'!I129</f>
        <v>3651.355744774</v>
      </c>
      <c r="D17" s="52">
        <f>ROUND(C17*E17,2)</f>
        <v>4.0599999999999996</v>
      </c>
      <c r="E17" s="141">
        <f>1/900</f>
        <v>1.1111111111111111E-3</v>
      </c>
      <c r="F17" s="143">
        <f>ROUND((1/900)*C17,2)</f>
        <v>4.0599999999999996</v>
      </c>
    </row>
    <row r="18" spans="1:9" ht="15.75" thickBot="1" x14ac:dyDescent="0.3">
      <c r="A18" s="741" t="s">
        <v>109</v>
      </c>
      <c r="B18" s="742"/>
      <c r="C18" s="742"/>
      <c r="D18" s="360">
        <f>SUM(D16:D17)</f>
        <v>4.2799999999999994</v>
      </c>
      <c r="E18" s="141"/>
      <c r="F18" s="144"/>
    </row>
    <row r="19" spans="1:9" ht="15.75" thickBot="1" x14ac:dyDescent="0.3">
      <c r="E19" s="141"/>
      <c r="F19" s="141"/>
      <c r="H19" s="4"/>
    </row>
    <row r="20" spans="1:9" x14ac:dyDescent="0.25">
      <c r="A20" s="738" t="s">
        <v>191</v>
      </c>
      <c r="B20" s="739"/>
      <c r="C20" s="739"/>
      <c r="D20" s="740"/>
      <c r="E20" s="141"/>
      <c r="F20" s="141"/>
    </row>
    <row r="21" spans="1:9" ht="30" x14ac:dyDescent="0.25">
      <c r="A21" s="506" t="s">
        <v>188</v>
      </c>
      <c r="B21" s="506" t="s">
        <v>189</v>
      </c>
      <c r="C21" s="349" t="s">
        <v>190</v>
      </c>
      <c r="D21" s="508" t="s">
        <v>198</v>
      </c>
      <c r="E21" s="141"/>
      <c r="F21" s="141"/>
    </row>
    <row r="22" spans="1:9" x14ac:dyDescent="0.25">
      <c r="A22" s="3" t="s">
        <v>108</v>
      </c>
      <c r="B22" s="48" t="s">
        <v>202</v>
      </c>
      <c r="C22" s="64">
        <f>C16</f>
        <v>5848.4519799805012</v>
      </c>
      <c r="D22" s="51">
        <f>ROUND(C22*E22,2)</f>
        <v>0.16</v>
      </c>
      <c r="E22" s="145">
        <f>1/(30*1200)</f>
        <v>2.7777777777777779E-5</v>
      </c>
      <c r="F22" s="143">
        <f>ROUND((1/(30*1200))*C22,2)</f>
        <v>0.16</v>
      </c>
      <c r="G22" s="62"/>
    </row>
    <row r="23" spans="1:9" ht="15.75" thickBot="1" x14ac:dyDescent="0.3">
      <c r="A23" s="49" t="s">
        <v>106</v>
      </c>
      <c r="B23" s="50" t="s">
        <v>192</v>
      </c>
      <c r="C23" s="65">
        <f>C17</f>
        <v>3651.355744774</v>
      </c>
      <c r="D23" s="52">
        <f>ROUND(C23*E23,2)</f>
        <v>3.04</v>
      </c>
      <c r="E23" s="145">
        <f>1/1200</f>
        <v>8.3333333333333339E-4</v>
      </c>
      <c r="F23" s="143">
        <f>ROUND((1/1200)*C23,2)</f>
        <v>3.04</v>
      </c>
      <c r="G23" s="62"/>
    </row>
    <row r="24" spans="1:9" ht="15.75" thickBot="1" x14ac:dyDescent="0.3">
      <c r="A24" s="741" t="s">
        <v>109</v>
      </c>
      <c r="B24" s="742"/>
      <c r="C24" s="742"/>
      <c r="D24" s="360">
        <f>SUM(D22:D23)</f>
        <v>3.2</v>
      </c>
      <c r="E24" s="146"/>
      <c r="F24" s="146"/>
      <c r="G24" s="62"/>
    </row>
    <row r="25" spans="1:9" ht="15.75" thickBot="1" x14ac:dyDescent="0.3">
      <c r="E25" s="146"/>
      <c r="F25" s="146"/>
      <c r="G25" s="62"/>
    </row>
    <row r="26" spans="1:9" x14ac:dyDescent="0.25">
      <c r="A26" s="738" t="s">
        <v>110</v>
      </c>
      <c r="B26" s="739"/>
      <c r="C26" s="739"/>
      <c r="D26" s="740"/>
      <c r="E26" s="146"/>
      <c r="F26" s="146"/>
      <c r="G26" s="62"/>
      <c r="I26" s="66" t="s">
        <v>322</v>
      </c>
    </row>
    <row r="27" spans="1:9" ht="30" x14ac:dyDescent="0.25">
      <c r="A27" s="506" t="s">
        <v>188</v>
      </c>
      <c r="B27" s="506" t="s">
        <v>189</v>
      </c>
      <c r="C27" s="349" t="s">
        <v>190</v>
      </c>
      <c r="D27" s="508" t="s">
        <v>198</v>
      </c>
      <c r="E27" s="146"/>
      <c r="F27" s="146"/>
      <c r="G27" s="62"/>
    </row>
    <row r="28" spans="1:9" x14ac:dyDescent="0.25">
      <c r="A28" s="3" t="s">
        <v>108</v>
      </c>
      <c r="B28" s="48" t="s">
        <v>320</v>
      </c>
      <c r="C28" s="64">
        <f>C16</f>
        <v>5848.4519799805012</v>
      </c>
      <c r="D28" s="51">
        <f>ROUND(C28*E28,2)</f>
        <v>0.03</v>
      </c>
      <c r="E28" s="145">
        <f>1/(30*6000)</f>
        <v>5.5555555555555558E-6</v>
      </c>
      <c r="F28" s="143">
        <f>ROUND((1/(30*6000))*C28,2)</f>
        <v>0.03</v>
      </c>
      <c r="G28" s="62"/>
    </row>
    <row r="29" spans="1:9" ht="15.75" thickBot="1" x14ac:dyDescent="0.3">
      <c r="A29" s="49" t="s">
        <v>106</v>
      </c>
      <c r="B29" s="50" t="s">
        <v>321</v>
      </c>
      <c r="C29" s="65">
        <f>C17</f>
        <v>3651.355744774</v>
      </c>
      <c r="D29" s="52">
        <f>ROUND(C29*E29,2)</f>
        <v>0.61</v>
      </c>
      <c r="E29" s="145">
        <f>1/6000</f>
        <v>1.6666666666666666E-4</v>
      </c>
      <c r="F29" s="143">
        <f>ROUND((1/6000)*C29,2)</f>
        <v>0.61</v>
      </c>
      <c r="G29" s="62"/>
    </row>
    <row r="30" spans="1:9" ht="15.75" thickBot="1" x14ac:dyDescent="0.3">
      <c r="A30" s="741" t="s">
        <v>109</v>
      </c>
      <c r="B30" s="742"/>
      <c r="C30" s="742"/>
      <c r="D30" s="360">
        <f>SUM(D28:D29)</f>
        <v>0.64</v>
      </c>
      <c r="E30" s="141"/>
      <c r="F30" s="141"/>
    </row>
    <row r="32" spans="1:9" x14ac:dyDescent="0.25">
      <c r="A32" s="750" t="s">
        <v>111</v>
      </c>
      <c r="B32" s="750"/>
      <c r="C32" s="750"/>
      <c r="D32" s="750"/>
      <c r="E32" s="750"/>
      <c r="F32" s="750"/>
      <c r="G32" s="750"/>
    </row>
    <row r="33" spans="1:10" ht="60" x14ac:dyDescent="0.25">
      <c r="A33" s="358" t="s">
        <v>193</v>
      </c>
      <c r="B33" s="359" t="s">
        <v>194</v>
      </c>
      <c r="C33" s="359" t="s">
        <v>196</v>
      </c>
      <c r="D33" s="359" t="s">
        <v>195</v>
      </c>
      <c r="E33" s="359" t="s">
        <v>197</v>
      </c>
      <c r="F33" s="359" t="s">
        <v>190</v>
      </c>
      <c r="G33" s="359" t="s">
        <v>198</v>
      </c>
    </row>
    <row r="34" spans="1:10" x14ac:dyDescent="0.25">
      <c r="A34" s="3" t="s">
        <v>108</v>
      </c>
      <c r="B34" s="3" t="s">
        <v>325</v>
      </c>
      <c r="C34" s="48">
        <v>16</v>
      </c>
      <c r="D34" s="48" t="s">
        <v>326</v>
      </c>
      <c r="E34" s="68">
        <f>1/(30*220)*C34*(1/191.4)</f>
        <v>1.2665843386846523E-5</v>
      </c>
      <c r="F34" s="64">
        <f>C16</f>
        <v>5848.4519799805012</v>
      </c>
      <c r="G34" s="51">
        <f>ROUND(F34*E34,2)</f>
        <v>7.0000000000000007E-2</v>
      </c>
      <c r="H34" s="147">
        <f>1/(30*220)*C34*(1/191.4)</f>
        <v>1.2665843386846523E-5</v>
      </c>
    </row>
    <row r="35" spans="1:10" ht="15.75" thickBot="1" x14ac:dyDescent="0.3">
      <c r="A35" s="49" t="s">
        <v>106</v>
      </c>
      <c r="B35" s="49" t="s">
        <v>324</v>
      </c>
      <c r="C35" s="50">
        <v>16</v>
      </c>
      <c r="D35" s="50" t="s">
        <v>326</v>
      </c>
      <c r="E35" s="63">
        <f>(1/220)*C35*(1/191.4)</f>
        <v>3.7997530160539561E-4</v>
      </c>
      <c r="F35" s="65">
        <f>C17</f>
        <v>3651.355744774</v>
      </c>
      <c r="G35" s="52">
        <f>ROUND(F35*E35,2)</f>
        <v>1.39</v>
      </c>
      <c r="H35" s="148">
        <f>(1/220)*C35*(1/191.4)</f>
        <v>3.7997530160539561E-4</v>
      </c>
    </row>
    <row r="36" spans="1:10" ht="15.75" thickBot="1" x14ac:dyDescent="0.3">
      <c r="A36" s="748" t="s">
        <v>109</v>
      </c>
      <c r="B36" s="749"/>
      <c r="C36" s="749"/>
      <c r="D36" s="749"/>
      <c r="E36" s="749"/>
      <c r="F36" s="749"/>
      <c r="G36" s="361">
        <f>SUM(G34:G35)</f>
        <v>1.46</v>
      </c>
      <c r="H36" s="262">
        <f>'M2 REPACTUADO'!D18</f>
        <v>4.2799999999999994</v>
      </c>
    </row>
    <row r="37" spans="1:10" x14ac:dyDescent="0.25">
      <c r="H37" s="141"/>
    </row>
    <row r="38" spans="1:10" x14ac:dyDescent="0.25">
      <c r="A38" s="750" t="s">
        <v>323</v>
      </c>
      <c r="B38" s="750"/>
      <c r="C38" s="750"/>
      <c r="D38" s="750"/>
      <c r="E38" s="750"/>
      <c r="F38" s="750"/>
      <c r="G38" s="750"/>
      <c r="H38" s="141"/>
    </row>
    <row r="39" spans="1:10" ht="60" x14ac:dyDescent="0.25">
      <c r="A39" s="358" t="s">
        <v>193</v>
      </c>
      <c r="B39" s="359" t="s">
        <v>194</v>
      </c>
      <c r="C39" s="359" t="s">
        <v>196</v>
      </c>
      <c r="D39" s="359" t="s">
        <v>195</v>
      </c>
      <c r="E39" s="359" t="s">
        <v>197</v>
      </c>
      <c r="F39" s="359" t="s">
        <v>190</v>
      </c>
      <c r="G39" s="359" t="s">
        <v>198</v>
      </c>
      <c r="H39" s="141"/>
    </row>
    <row r="40" spans="1:10" x14ac:dyDescent="0.25">
      <c r="A40" s="3" t="s">
        <v>108</v>
      </c>
      <c r="B40" s="3" t="s">
        <v>199</v>
      </c>
      <c r="C40" s="48">
        <v>8</v>
      </c>
      <c r="D40" s="48" t="s">
        <v>201</v>
      </c>
      <c r="E40" s="69">
        <f>1/(4*110)*8*(1/1148.4)</f>
        <v>1.5832304233558149E-5</v>
      </c>
      <c r="F40" s="64">
        <f>C16</f>
        <v>5848.4519799805012</v>
      </c>
      <c r="G40" s="51">
        <f>ROUND(F40*E40,2)</f>
        <v>0.09</v>
      </c>
      <c r="H40" s="149">
        <f>1/(4*110)*8*(1/11148.4)</f>
        <v>1.6308903682876629E-6</v>
      </c>
      <c r="I40" s="67"/>
      <c r="J40" s="62"/>
    </row>
    <row r="41" spans="1:10" ht="15.75" thickBot="1" x14ac:dyDescent="0.3">
      <c r="A41" s="49" t="s">
        <v>453</v>
      </c>
      <c r="B41" s="49" t="s">
        <v>200</v>
      </c>
      <c r="C41" s="50">
        <v>8</v>
      </c>
      <c r="D41" s="50" t="s">
        <v>201</v>
      </c>
      <c r="E41" s="72">
        <f>1/110*8*1/1148.4</f>
        <v>6.3329216934232598E-5</v>
      </c>
      <c r="F41" s="490">
        <v>5080.03</v>
      </c>
      <c r="G41" s="52">
        <f>ROUND(F41*E41,2)</f>
        <v>0.32</v>
      </c>
      <c r="H41" s="149">
        <f>1/(110)*8*(1/1148.4)</f>
        <v>6.3329216934232598E-5</v>
      </c>
      <c r="I41" s="62"/>
      <c r="J41" s="62"/>
    </row>
    <row r="42" spans="1:10" ht="15.75" thickBot="1" x14ac:dyDescent="0.3">
      <c r="A42" s="748" t="s">
        <v>109</v>
      </c>
      <c r="B42" s="749"/>
      <c r="C42" s="749"/>
      <c r="D42" s="749"/>
      <c r="E42" s="749"/>
      <c r="F42" s="749"/>
      <c r="G42" s="361">
        <f>SUM(G40:G41)</f>
        <v>0.41000000000000003</v>
      </c>
      <c r="H42" s="141"/>
    </row>
    <row r="43" spans="1:10" ht="90" customHeight="1" x14ac:dyDescent="0.25">
      <c r="A43" s="746" t="s">
        <v>556</v>
      </c>
      <c r="B43" s="746"/>
      <c r="C43" s="746"/>
      <c r="D43" s="746"/>
      <c r="E43" s="746"/>
      <c r="F43" s="746"/>
      <c r="G43" s="746"/>
    </row>
    <row r="44" spans="1:10" x14ac:dyDescent="0.25">
      <c r="E44" s="491"/>
      <c r="F44" s="492"/>
    </row>
  </sheetData>
  <mergeCells count="19">
    <mergeCell ref="A1:H1"/>
    <mergeCell ref="A10:D11"/>
    <mergeCell ref="A13:D13"/>
    <mergeCell ref="A14:D14"/>
    <mergeCell ref="A18:C18"/>
    <mergeCell ref="A7:G7"/>
    <mergeCell ref="A2:G2"/>
    <mergeCell ref="A3:G3"/>
    <mergeCell ref="A4:G4"/>
    <mergeCell ref="A5:G5"/>
    <mergeCell ref="A42:F42"/>
    <mergeCell ref="A43:G43"/>
    <mergeCell ref="A24:C24"/>
    <mergeCell ref="A26:D26"/>
    <mergeCell ref="A30:C30"/>
    <mergeCell ref="A32:G32"/>
    <mergeCell ref="A36:F36"/>
    <mergeCell ref="A38:G38"/>
    <mergeCell ref="A20:D20"/>
  </mergeCells>
  <pageMargins left="0.51181102362204722" right="0.51181102362204722" top="1.7716535433070868" bottom="0.98425196850393704" header="0.31496062992125984" footer="0.31496062992125984"/>
  <pageSetup paperSize="9" scale="74" orientation="portrait" horizontalDpi="4294967295" verticalDpi="4294967295" r:id="rId1"/>
  <colBreaks count="1" manualBreakCount="1">
    <brk id="7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view="pageBreakPreview" zoomScaleNormal="100" zoomScaleSheetLayoutView="100" workbookViewId="0">
      <selection activeCell="C44" sqref="C44"/>
    </sheetView>
  </sheetViews>
  <sheetFormatPr defaultRowHeight="15" x14ac:dyDescent="0.25"/>
  <cols>
    <col min="1" max="1" width="38.28515625" customWidth="1"/>
    <col min="2" max="2" width="16.7109375" customWidth="1"/>
    <col min="3" max="3" width="17.85546875" customWidth="1"/>
    <col min="4" max="4" width="17.140625" customWidth="1"/>
    <col min="5" max="5" width="15.85546875" customWidth="1"/>
    <col min="6" max="6" width="18.28515625" customWidth="1"/>
    <col min="7" max="7" width="17.5703125" customWidth="1"/>
    <col min="8" max="8" width="20.5703125" customWidth="1"/>
    <col min="9" max="9" width="15" bestFit="1" customWidth="1"/>
    <col min="10" max="10" width="14.28515625" customWidth="1"/>
  </cols>
  <sheetData>
    <row r="1" spans="1:7" x14ac:dyDescent="0.25">
      <c r="A1" s="754" t="s">
        <v>337</v>
      </c>
      <c r="B1" s="754"/>
      <c r="C1" s="754"/>
      <c r="D1" s="754"/>
      <c r="E1" s="754"/>
      <c r="F1" s="754"/>
    </row>
    <row r="2" spans="1:7" ht="15.75" x14ac:dyDescent="0.25">
      <c r="A2" s="791" t="s">
        <v>526</v>
      </c>
      <c r="B2" s="791"/>
      <c r="C2" s="791"/>
      <c r="D2" s="791"/>
      <c r="E2" s="254"/>
      <c r="F2" s="254"/>
      <c r="G2" s="254"/>
    </row>
    <row r="3" spans="1:7" ht="15.75" x14ac:dyDescent="0.25">
      <c r="A3" s="241" t="s">
        <v>550</v>
      </c>
      <c r="B3" s="241"/>
      <c r="C3" s="242"/>
      <c r="D3" s="242"/>
      <c r="E3" s="242"/>
      <c r="F3" s="242"/>
      <c r="G3" s="242"/>
    </row>
    <row r="4" spans="1:7" ht="15.75" x14ac:dyDescent="0.25">
      <c r="A4" s="241" t="s">
        <v>528</v>
      </c>
      <c r="B4" s="241"/>
      <c r="C4" s="242"/>
      <c r="D4" s="242"/>
      <c r="E4" s="242"/>
      <c r="F4" s="242"/>
      <c r="G4" s="242"/>
    </row>
    <row r="5" spans="1:7" ht="15.75" x14ac:dyDescent="0.25">
      <c r="A5" s="241" t="s">
        <v>551</v>
      </c>
      <c r="B5" s="241"/>
      <c r="C5" s="242"/>
      <c r="D5" s="242"/>
      <c r="E5" s="242"/>
      <c r="F5" s="242"/>
      <c r="G5" s="242"/>
    </row>
    <row r="6" spans="1:7" ht="15.75" x14ac:dyDescent="0.25">
      <c r="A6" s="242"/>
      <c r="B6" s="242"/>
      <c r="C6" s="242"/>
      <c r="D6" s="242"/>
      <c r="E6" s="242"/>
      <c r="F6" s="242"/>
      <c r="G6" s="242"/>
    </row>
    <row r="7" spans="1:7" ht="15.75" x14ac:dyDescent="0.25">
      <c r="A7" s="241" t="s">
        <v>523</v>
      </c>
      <c r="B7" s="263"/>
      <c r="C7" s="263"/>
      <c r="D7" s="263"/>
      <c r="E7" s="263"/>
      <c r="F7" s="263"/>
      <c r="G7" s="263"/>
    </row>
    <row r="8" spans="1:7" ht="15.75" x14ac:dyDescent="0.25">
      <c r="A8" s="241" t="s">
        <v>510</v>
      </c>
      <c r="B8" s="263"/>
      <c r="C8" s="263"/>
      <c r="D8" s="263"/>
      <c r="E8" s="263"/>
      <c r="F8" s="263"/>
      <c r="G8" s="263"/>
    </row>
    <row r="9" spans="1:7" ht="15.75" x14ac:dyDescent="0.25">
      <c r="A9" s="264"/>
      <c r="B9" s="264"/>
      <c r="C9" s="264"/>
      <c r="D9" s="264"/>
      <c r="E9" s="264"/>
      <c r="F9" s="264"/>
      <c r="G9" s="264"/>
    </row>
    <row r="10" spans="1:7" ht="15.75" x14ac:dyDescent="0.25">
      <c r="A10" s="249" t="s">
        <v>327</v>
      </c>
      <c r="B10" s="780" t="s">
        <v>512</v>
      </c>
      <c r="C10" s="769"/>
      <c r="D10" s="781"/>
      <c r="E10" s="779" t="s">
        <v>513</v>
      </c>
      <c r="F10" s="769"/>
      <c r="G10" s="770"/>
    </row>
    <row r="11" spans="1:7" ht="61.5" customHeight="1" x14ac:dyDescent="0.25">
      <c r="A11" s="352" t="s">
        <v>328</v>
      </c>
      <c r="B11" s="353" t="s">
        <v>329</v>
      </c>
      <c r="C11" s="353" t="s">
        <v>330</v>
      </c>
      <c r="D11" s="354" t="s">
        <v>331</v>
      </c>
      <c r="E11" s="353" t="s">
        <v>508</v>
      </c>
      <c r="F11" s="353" t="s">
        <v>330</v>
      </c>
      <c r="G11" s="354" t="s">
        <v>331</v>
      </c>
    </row>
    <row r="12" spans="1:7" ht="15.75" x14ac:dyDescent="0.25">
      <c r="A12" s="244" t="s">
        <v>332</v>
      </c>
      <c r="B12" s="245">
        <f>' M2 ATUAL'!D15</f>
        <v>3.97</v>
      </c>
      <c r="C12" s="246">
        <v>15655.25</v>
      </c>
      <c r="D12" s="255">
        <f>ROUND(B12*C12,2)</f>
        <v>62151.34</v>
      </c>
      <c r="E12" s="245">
        <f>'M2 REPACTUADO'!D18</f>
        <v>4.2799999999999994</v>
      </c>
      <c r="F12" s="246">
        <v>15655.25</v>
      </c>
      <c r="G12" s="64">
        <f>ROUND(E12*F12,2)</f>
        <v>67004.47</v>
      </c>
    </row>
    <row r="13" spans="1:7" ht="15.75" x14ac:dyDescent="0.25">
      <c r="A13" s="244" t="s">
        <v>333</v>
      </c>
      <c r="B13" s="245">
        <f>' M2 ATUAL'!D21</f>
        <v>2.98</v>
      </c>
      <c r="C13" s="246">
        <v>2474</v>
      </c>
      <c r="D13" s="255">
        <f>ROUND(B13*C13,2)</f>
        <v>7372.52</v>
      </c>
      <c r="E13" s="261">
        <f>'M2 REPACTUADO'!D24</f>
        <v>3.2</v>
      </c>
      <c r="F13" s="246">
        <v>2474</v>
      </c>
      <c r="G13" s="64">
        <f>ROUND(E13*F13,2)</f>
        <v>7916.8</v>
      </c>
    </row>
    <row r="14" spans="1:7" ht="15.75" x14ac:dyDescent="0.25">
      <c r="A14" s="244" t="s">
        <v>110</v>
      </c>
      <c r="B14" s="245">
        <f>' M2 ATUAL'!D27</f>
        <v>0.6</v>
      </c>
      <c r="C14" s="246">
        <v>9837</v>
      </c>
      <c r="D14" s="255">
        <f>ROUND(B14*C14,2)</f>
        <v>5902.2</v>
      </c>
      <c r="E14" s="261">
        <f>'M2 REPACTUADO'!D30</f>
        <v>0.64</v>
      </c>
      <c r="F14" s="246">
        <v>9837</v>
      </c>
      <c r="G14" s="64">
        <f>ROUND(E14*F14,2)</f>
        <v>6295.68</v>
      </c>
    </row>
    <row r="15" spans="1:7" ht="15.75" x14ac:dyDescent="0.25">
      <c r="A15" s="244" t="s">
        <v>334</v>
      </c>
      <c r="B15" s="245">
        <f>' M2 ATUAL'!G33</f>
        <v>1.36</v>
      </c>
      <c r="C15" s="246">
        <v>5304</v>
      </c>
      <c r="D15" s="255">
        <f>ROUND(B15*C15,2)</f>
        <v>7213.44</v>
      </c>
      <c r="E15" s="261">
        <f>'M2 REPACTUADO'!G36</f>
        <v>1.46</v>
      </c>
      <c r="F15" s="246">
        <v>5304</v>
      </c>
      <c r="G15" s="64">
        <f>ROUND(E15*F15,2)</f>
        <v>7743.84</v>
      </c>
    </row>
    <row r="16" spans="1:7" ht="15.75" x14ac:dyDescent="0.25">
      <c r="A16" s="244" t="s">
        <v>335</v>
      </c>
      <c r="B16" s="245">
        <f>' M2 ATUAL'!G39</f>
        <v>0.39</v>
      </c>
      <c r="C16" s="246">
        <v>12303.97</v>
      </c>
      <c r="D16" s="255">
        <f>ROUND(B16*C16,2)</f>
        <v>4798.55</v>
      </c>
      <c r="E16" s="493">
        <f>'M2 REPACTUADO'!G42</f>
        <v>0.41000000000000003</v>
      </c>
      <c r="F16" s="246">
        <v>12303.97</v>
      </c>
      <c r="G16" s="64">
        <f>ROUND(E16*F16,2)</f>
        <v>5044.63</v>
      </c>
    </row>
    <row r="17" spans="1:10" ht="15.75" x14ac:dyDescent="0.25">
      <c r="A17" s="755" t="s">
        <v>336</v>
      </c>
      <c r="B17" s="783"/>
      <c r="C17" s="784"/>
      <c r="D17" s="267">
        <f>SUM(D12:D16)</f>
        <v>87438.05</v>
      </c>
      <c r="E17" s="760"/>
      <c r="F17" s="761"/>
      <c r="G17" s="269">
        <f>SUM(G12:G16)</f>
        <v>94005.420000000013</v>
      </c>
    </row>
    <row r="18" spans="1:10" ht="15.75" x14ac:dyDescent="0.25">
      <c r="A18" s="258"/>
      <c r="B18" s="258"/>
      <c r="C18" s="258"/>
      <c r="D18" s="259"/>
      <c r="E18" s="260"/>
      <c r="F18" s="259"/>
      <c r="G18" s="259"/>
    </row>
    <row r="19" spans="1:10" ht="15.75" x14ac:dyDescent="0.25">
      <c r="A19" s="249" t="s">
        <v>511</v>
      </c>
      <c r="B19" s="780" t="s">
        <v>512</v>
      </c>
      <c r="C19" s="769"/>
      <c r="D19" s="781"/>
      <c r="E19" s="768" t="s">
        <v>513</v>
      </c>
      <c r="F19" s="769"/>
      <c r="G19" s="770"/>
    </row>
    <row r="20" spans="1:10" ht="15.75" x14ac:dyDescent="0.25">
      <c r="A20" s="248" t="s">
        <v>339</v>
      </c>
      <c r="B20" s="249" t="s">
        <v>509</v>
      </c>
      <c r="C20" s="249" t="s">
        <v>341</v>
      </c>
      <c r="D20" s="257" t="s">
        <v>342</v>
      </c>
      <c r="E20" s="256" t="s">
        <v>509</v>
      </c>
      <c r="F20" s="249" t="s">
        <v>341</v>
      </c>
      <c r="G20" s="249" t="s">
        <v>342</v>
      </c>
    </row>
    <row r="21" spans="1:10" ht="15.75" x14ac:dyDescent="0.25">
      <c r="A21" s="244" t="s">
        <v>343</v>
      </c>
      <c r="B21" s="250">
        <v>1</v>
      </c>
      <c r="C21" s="485">
        <f>JARDINEIRO!G129</f>
        <v>5080.1734457283828</v>
      </c>
      <c r="D21" s="486">
        <f>ROUND(B21*C21,2)</f>
        <v>5080.17</v>
      </c>
      <c r="E21" s="250">
        <v>1</v>
      </c>
      <c r="F21" s="245">
        <f>JARDINEIRO!I129</f>
        <v>5405.842383632722</v>
      </c>
      <c r="G21" s="247">
        <f>ROUND(E21*F21,2)</f>
        <v>5405.84</v>
      </c>
    </row>
    <row r="22" spans="1:10" ht="15.75" x14ac:dyDescent="0.25">
      <c r="A22" s="244" t="s">
        <v>344</v>
      </c>
      <c r="B22" s="250">
        <v>1</v>
      </c>
      <c r="C22" s="245">
        <f>LAVADOR!G129</f>
        <v>3264.7927351742901</v>
      </c>
      <c r="D22" s="255">
        <f>ROUND(B22*C22,2)</f>
        <v>3264.79</v>
      </c>
      <c r="E22" s="250">
        <v>1</v>
      </c>
      <c r="F22" s="245">
        <f>LAVADOR!I129</f>
        <v>3522.3856624640002</v>
      </c>
      <c r="G22" s="247">
        <f>ROUND(E22*F22,2)</f>
        <v>3522.39</v>
      </c>
    </row>
    <row r="23" spans="1:10" ht="15.75" x14ac:dyDescent="0.25">
      <c r="A23" s="244" t="s">
        <v>345</v>
      </c>
      <c r="B23" s="250">
        <v>2</v>
      </c>
      <c r="C23" s="245">
        <f>CARREGADOR!G129</f>
        <v>3246.0055943559564</v>
      </c>
      <c r="D23" s="255">
        <f>ROUND(B23*C23,2)</f>
        <v>6492.01</v>
      </c>
      <c r="E23" s="250">
        <v>2</v>
      </c>
      <c r="F23" s="245">
        <f>CARREGADOR!I129</f>
        <v>3503.5798853040005</v>
      </c>
      <c r="G23" s="247">
        <f>ROUND(E23*F23,2)</f>
        <v>7007.16</v>
      </c>
    </row>
    <row r="24" spans="1:10" ht="15.75" x14ac:dyDescent="0.25">
      <c r="A24" s="755" t="s">
        <v>514</v>
      </c>
      <c r="B24" s="783"/>
      <c r="C24" s="784"/>
      <c r="D24" s="267">
        <f>SUM(D19:D23)</f>
        <v>14836.97</v>
      </c>
      <c r="E24" s="771"/>
      <c r="F24" s="765"/>
      <c r="G24" s="265">
        <f>SUM(G21:G23)</f>
        <v>15935.39</v>
      </c>
    </row>
    <row r="25" spans="1:10" ht="15.75" x14ac:dyDescent="0.25">
      <c r="A25" s="755" t="s">
        <v>515</v>
      </c>
      <c r="B25" s="783"/>
      <c r="C25" s="784"/>
      <c r="D25" s="266">
        <f>D17+D24</f>
        <v>102275.02</v>
      </c>
      <c r="E25" s="758"/>
      <c r="F25" s="759"/>
      <c r="G25" s="266">
        <f>G17+G24</f>
        <v>109940.81000000001</v>
      </c>
    </row>
    <row r="26" spans="1:10" ht="15.75" x14ac:dyDescent="0.25">
      <c r="A26" s="755" t="s">
        <v>535</v>
      </c>
      <c r="B26" s="756"/>
      <c r="C26" s="757"/>
      <c r="D26" s="266">
        <f>D25*12</f>
        <v>1227300.24</v>
      </c>
      <c r="E26" s="758"/>
      <c r="F26" s="759"/>
      <c r="G26" s="266">
        <f>G25*12</f>
        <v>1319289.7200000002</v>
      </c>
    </row>
    <row r="27" spans="1:10" ht="16.5" thickBot="1" x14ac:dyDescent="0.3">
      <c r="A27" s="270"/>
      <c r="B27" s="271"/>
      <c r="C27" s="271"/>
      <c r="D27" s="272"/>
      <c r="E27" s="273"/>
      <c r="F27" s="274"/>
      <c r="G27" s="275"/>
    </row>
    <row r="28" spans="1:10" ht="16.5" thickBot="1" x14ac:dyDescent="0.3">
      <c r="A28" s="787" t="s">
        <v>522</v>
      </c>
      <c r="B28" s="788"/>
      <c r="C28" s="788"/>
      <c r="D28" s="789"/>
      <c r="E28" s="789"/>
      <c r="F28" s="789"/>
      <c r="G28" s="790"/>
    </row>
    <row r="29" spans="1:10" ht="15.75" x14ac:dyDescent="0.25">
      <c r="A29" s="785" t="s">
        <v>520</v>
      </c>
      <c r="B29" s="734"/>
      <c r="C29" s="786"/>
      <c r="D29" s="278"/>
      <c r="E29" s="766" t="s">
        <v>521</v>
      </c>
      <c r="F29" s="734"/>
      <c r="G29" s="767"/>
      <c r="H29" s="176"/>
    </row>
    <row r="30" spans="1:10" ht="15.75" x14ac:dyDescent="0.25">
      <c r="A30" s="782" t="s">
        <v>519</v>
      </c>
      <c r="B30" s="769"/>
      <c r="C30" s="770"/>
      <c r="D30" s="257" t="s">
        <v>518</v>
      </c>
      <c r="E30" s="764"/>
      <c r="F30" s="765"/>
      <c r="G30" s="276" t="s">
        <v>518</v>
      </c>
      <c r="I30" t="s">
        <v>451</v>
      </c>
    </row>
    <row r="31" spans="1:10" ht="15.75" x14ac:dyDescent="0.25">
      <c r="A31" s="762" t="s">
        <v>348</v>
      </c>
      <c r="B31" s="763"/>
      <c r="C31" s="763"/>
      <c r="D31" s="268">
        <f>D25</f>
        <v>102275.02</v>
      </c>
      <c r="E31" s="776"/>
      <c r="F31" s="765"/>
      <c r="G31" s="251">
        <f>G25</f>
        <v>109940.81000000001</v>
      </c>
      <c r="H31" s="174">
        <v>116666.66</v>
      </c>
      <c r="I31" s="137">
        <f>J31/D31</f>
        <v>0.14071510325786296</v>
      </c>
      <c r="J31" s="4">
        <f>H31-D31</f>
        <v>14391.64</v>
      </c>
    </row>
    <row r="32" spans="1:10" ht="15.75" x14ac:dyDescent="0.25">
      <c r="A32" s="762" t="s">
        <v>349</v>
      </c>
      <c r="B32" s="763"/>
      <c r="C32" s="763"/>
      <c r="D32" s="268">
        <f>'MATERIAL LIMPEZA'!F105+'MATERIAL JARDINAGEM'!F27</f>
        <v>26996.94</v>
      </c>
      <c r="E32" s="776"/>
      <c r="F32" s="765"/>
      <c r="G32" s="251">
        <f>D32</f>
        <v>26996.94</v>
      </c>
      <c r="H32" s="174">
        <v>38582.17</v>
      </c>
      <c r="I32" s="137">
        <f>J32/D32</f>
        <v>0.42913122746503862</v>
      </c>
      <c r="J32" s="4">
        <f>H32-D32</f>
        <v>11585.23</v>
      </c>
    </row>
    <row r="33" spans="1:10" ht="15.75" x14ac:dyDescent="0.25">
      <c r="A33" s="762" t="s">
        <v>516</v>
      </c>
      <c r="B33" s="763"/>
      <c r="C33" s="763"/>
      <c r="D33" s="268">
        <f>SUM(D31:D32)</f>
        <v>129271.96</v>
      </c>
      <c r="E33" s="776"/>
      <c r="F33" s="765"/>
      <c r="G33" s="251">
        <f>SUM(G31:G32)</f>
        <v>136937.75</v>
      </c>
      <c r="H33" s="174">
        <v>158146.91</v>
      </c>
      <c r="I33" s="137">
        <f>J33/D33</f>
        <v>0.2233659178680357</v>
      </c>
      <c r="J33" s="4">
        <f>H33-D33</f>
        <v>28874.949999999997</v>
      </c>
    </row>
    <row r="34" spans="1:10" ht="16.5" thickBot="1" x14ac:dyDescent="0.3">
      <c r="A34" s="774" t="s">
        <v>517</v>
      </c>
      <c r="B34" s="775"/>
      <c r="C34" s="775"/>
      <c r="D34" s="277">
        <f>D33*12</f>
        <v>1551263.52</v>
      </c>
      <c r="E34" s="777"/>
      <c r="F34" s="778"/>
      <c r="G34" s="252">
        <f>G33*12</f>
        <v>1643253</v>
      </c>
      <c r="H34" s="4">
        <f>H33*12</f>
        <v>1897762.92</v>
      </c>
      <c r="I34" s="137">
        <f>J34/D34</f>
        <v>0.22336591786803567</v>
      </c>
      <c r="J34" s="4">
        <f>H34-D34</f>
        <v>346499.39999999991</v>
      </c>
    </row>
    <row r="35" spans="1:10" ht="15.75" x14ac:dyDescent="0.25">
      <c r="A35" s="303"/>
      <c r="B35" s="303"/>
      <c r="C35" s="303"/>
      <c r="D35" s="304"/>
      <c r="E35" s="305"/>
      <c r="F35" s="306"/>
      <c r="G35" s="304"/>
      <c r="H35" s="4"/>
      <c r="I35" s="137"/>
      <c r="J35" s="4"/>
    </row>
    <row r="36" spans="1:10" ht="15.75" x14ac:dyDescent="0.25">
      <c r="A36" s="772" t="s">
        <v>555</v>
      </c>
      <c r="B36" s="773"/>
      <c r="C36" s="773"/>
      <c r="D36" s="773"/>
      <c r="E36" s="773"/>
      <c r="F36" s="773"/>
      <c r="G36" s="773"/>
      <c r="H36" s="4"/>
      <c r="I36" s="137"/>
      <c r="J36" s="4"/>
    </row>
    <row r="37" spans="1:10" ht="15.75" x14ac:dyDescent="0.25">
      <c r="A37" s="303" t="s">
        <v>536</v>
      </c>
      <c r="B37" s="328">
        <f>G25</f>
        <v>109940.81000000001</v>
      </c>
      <c r="C37" s="328">
        <f>G33</f>
        <v>136937.75</v>
      </c>
      <c r="D37" s="304" t="s">
        <v>537</v>
      </c>
      <c r="E37" s="305"/>
      <c r="F37" s="311"/>
      <c r="G37" s="309"/>
      <c r="H37" s="4"/>
      <c r="I37" s="137"/>
      <c r="J37" s="4"/>
    </row>
    <row r="38" spans="1:10" ht="15.75" x14ac:dyDescent="0.25">
      <c r="A38" s="307"/>
      <c r="B38" s="329">
        <f>D25</f>
        <v>102275.02</v>
      </c>
      <c r="C38" s="329">
        <f>D33</f>
        <v>129271.96</v>
      </c>
      <c r="D38" s="309"/>
      <c r="E38" s="310"/>
      <c r="F38" s="311"/>
      <c r="G38" s="309"/>
      <c r="H38" s="4"/>
      <c r="I38" s="137"/>
      <c r="J38" s="4"/>
    </row>
    <row r="39" spans="1:10" ht="15.75" x14ac:dyDescent="0.25">
      <c r="A39" s="303"/>
      <c r="B39" s="328">
        <f>B37-B38</f>
        <v>7665.7900000000081</v>
      </c>
      <c r="C39" s="328">
        <f>C37-C38</f>
        <v>7665.7899999999936</v>
      </c>
      <c r="D39" s="304"/>
      <c r="E39" s="305"/>
      <c r="F39" s="306"/>
      <c r="G39" s="304"/>
      <c r="H39" s="4"/>
      <c r="I39" s="137"/>
      <c r="J39" s="4"/>
    </row>
    <row r="40" spans="1:10" ht="15.75" x14ac:dyDescent="0.25">
      <c r="A40" s="303"/>
      <c r="B40" s="308"/>
      <c r="C40" s="308"/>
      <c r="D40" s="304"/>
      <c r="E40" s="305"/>
      <c r="F40" s="306"/>
      <c r="G40" s="304"/>
      <c r="H40" s="4"/>
      <c r="I40" s="137"/>
      <c r="J40" s="4"/>
    </row>
    <row r="41" spans="1:10" ht="15.75" x14ac:dyDescent="0.25">
      <c r="A41" s="494" t="s">
        <v>554</v>
      </c>
      <c r="B41" s="308"/>
      <c r="C41" s="308"/>
      <c r="D41" s="304"/>
      <c r="E41" s="305"/>
      <c r="F41" s="306"/>
      <c r="G41" s="304"/>
      <c r="H41" s="4"/>
      <c r="I41" s="137"/>
      <c r="J41" s="4"/>
    </row>
    <row r="42" spans="1:10" ht="15.75" x14ac:dyDescent="0.25">
      <c r="A42" s="495" t="s">
        <v>557</v>
      </c>
      <c r="B42" s="328">
        <f>B39*8</f>
        <v>61326.320000000065</v>
      </c>
      <c r="C42" s="303"/>
      <c r="D42" s="304"/>
      <c r="E42" s="305"/>
      <c r="F42" s="306"/>
      <c r="G42" s="304"/>
      <c r="H42" s="4"/>
      <c r="I42" s="137"/>
      <c r="J42" s="4"/>
    </row>
    <row r="43" spans="1:10" ht="15.75" x14ac:dyDescent="0.25">
      <c r="A43" s="495" t="s">
        <v>558</v>
      </c>
      <c r="B43" s="329">
        <f>(B39/30*10)</f>
        <v>2555.263333333336</v>
      </c>
      <c r="C43" s="253"/>
      <c r="D43" s="243"/>
      <c r="E43" s="243"/>
      <c r="F43" s="243"/>
      <c r="G43" s="243"/>
      <c r="H43" s="4"/>
    </row>
    <row r="44" spans="1:10" ht="15.75" x14ac:dyDescent="0.25">
      <c r="A44" s="495" t="s">
        <v>549</v>
      </c>
      <c r="B44" s="330">
        <f>SUM(B42:B43)</f>
        <v>63881.583333333401</v>
      </c>
      <c r="C44" s="253"/>
      <c r="D44" s="243"/>
      <c r="E44" s="243"/>
      <c r="F44" s="243"/>
      <c r="G44" s="243"/>
      <c r="H44" s="4"/>
    </row>
    <row r="45" spans="1:10" x14ac:dyDescent="0.25">
      <c r="D45" s="4">
        <f>1417800-D34</f>
        <v>-133463.52000000002</v>
      </c>
      <c r="E45" s="4"/>
      <c r="F45" s="4"/>
      <c r="G45" s="4"/>
      <c r="H45" s="4">
        <f>D45/12</f>
        <v>-11121.960000000001</v>
      </c>
    </row>
  </sheetData>
  <mergeCells count="28">
    <mergeCell ref="A32:C32"/>
    <mergeCell ref="A36:G36"/>
    <mergeCell ref="A34:C34"/>
    <mergeCell ref="E33:F33"/>
    <mergeCell ref="E34:F34"/>
    <mergeCell ref="E10:G10"/>
    <mergeCell ref="B19:D19"/>
    <mergeCell ref="A30:C30"/>
    <mergeCell ref="A25:C25"/>
    <mergeCell ref="A29:C29"/>
    <mergeCell ref="A33:C33"/>
    <mergeCell ref="A28:G28"/>
    <mergeCell ref="A17:C17"/>
    <mergeCell ref="A24:C24"/>
    <mergeCell ref="E31:F31"/>
    <mergeCell ref="E32:F32"/>
    <mergeCell ref="B10:D10"/>
    <mergeCell ref="A31:C31"/>
    <mergeCell ref="E30:F30"/>
    <mergeCell ref="E29:G29"/>
    <mergeCell ref="E19:G19"/>
    <mergeCell ref="E24:F24"/>
    <mergeCell ref="A1:F1"/>
    <mergeCell ref="A26:C26"/>
    <mergeCell ref="E26:F26"/>
    <mergeCell ref="E25:F25"/>
    <mergeCell ref="E17:F17"/>
    <mergeCell ref="A2:D2"/>
  </mergeCells>
  <printOptions horizontalCentered="1"/>
  <pageMargins left="0.9055118110236221" right="0.78740157480314965" top="1.7716535433070868" bottom="0.98425196850393704" header="0.31496062992125984" footer="0.31496062992125984"/>
  <pageSetup paperSize="9" scale="59" orientation="portrait" horizontalDpi="4294967295" verticalDpi="4294967295" r:id="rId1"/>
  <colBreaks count="1" manualBreakCount="1">
    <brk id="7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view="pageBreakPreview" zoomScale="110" zoomScaleNormal="100" zoomScaleSheetLayoutView="110" workbookViewId="0">
      <selection activeCell="G17" sqref="G17"/>
    </sheetView>
  </sheetViews>
  <sheetFormatPr defaultRowHeight="15" x14ac:dyDescent="0.25"/>
  <cols>
    <col min="1" max="1" width="38.140625" customWidth="1"/>
    <col min="2" max="2" width="23.85546875" customWidth="1"/>
    <col min="3" max="3" width="16.5703125" customWidth="1"/>
    <col min="4" max="4" width="20.85546875" customWidth="1"/>
    <col min="5" max="5" width="20.5703125" customWidth="1"/>
    <col min="6" max="6" width="15" bestFit="1" customWidth="1"/>
    <col min="7" max="7" width="16" customWidth="1"/>
  </cols>
  <sheetData>
    <row r="1" spans="1:4" x14ac:dyDescent="0.25">
      <c r="A1" s="744" t="s">
        <v>525</v>
      </c>
      <c r="B1" s="744"/>
      <c r="C1" s="744"/>
      <c r="D1" s="744"/>
    </row>
    <row r="2" spans="1:4" ht="12" customHeight="1" x14ac:dyDescent="0.25">
      <c r="A2" s="73" t="s">
        <v>526</v>
      </c>
      <c r="B2" s="73"/>
      <c r="C2" s="74"/>
      <c r="D2" s="74"/>
    </row>
    <row r="3" spans="1:4" ht="12" customHeight="1" x14ac:dyDescent="0.25">
      <c r="A3" s="73" t="s">
        <v>527</v>
      </c>
      <c r="B3" s="73"/>
      <c r="C3" s="74"/>
      <c r="D3" s="74"/>
    </row>
    <row r="4" spans="1:4" ht="11.25" customHeight="1" x14ac:dyDescent="0.25">
      <c r="A4" s="73" t="s">
        <v>528</v>
      </c>
      <c r="B4" s="73"/>
      <c r="C4" s="74"/>
      <c r="D4" s="74"/>
    </row>
    <row r="5" spans="1:4" ht="13.5" customHeight="1" x14ac:dyDescent="0.25">
      <c r="A5" s="73" t="s">
        <v>529</v>
      </c>
      <c r="B5" s="73"/>
      <c r="C5" s="74"/>
      <c r="D5" s="74"/>
    </row>
    <row r="6" spans="1:4" x14ac:dyDescent="0.25">
      <c r="A6" s="73"/>
      <c r="B6" s="73"/>
      <c r="C6" s="74"/>
      <c r="D6" s="74"/>
    </row>
    <row r="7" spans="1:4" ht="12.75" customHeight="1" x14ac:dyDescent="0.25">
      <c r="A7" s="73" t="s">
        <v>523</v>
      </c>
      <c r="B7" s="74"/>
      <c r="C7" s="74"/>
      <c r="D7" s="74"/>
    </row>
    <row r="8" spans="1:4" ht="12.75" customHeight="1" x14ac:dyDescent="0.25">
      <c r="A8" s="284" t="s">
        <v>510</v>
      </c>
      <c r="B8" s="283"/>
      <c r="C8" s="283"/>
      <c r="D8" s="283"/>
    </row>
    <row r="9" spans="1:4" ht="12.75" customHeight="1" thickBot="1" x14ac:dyDescent="0.3">
      <c r="A9" s="283"/>
      <c r="B9" s="283"/>
      <c r="C9" s="283"/>
      <c r="D9" s="283"/>
    </row>
    <row r="10" spans="1:4" x14ac:dyDescent="0.25">
      <c r="A10" s="286" t="s">
        <v>327</v>
      </c>
      <c r="B10" s="287"/>
      <c r="C10" s="287"/>
      <c r="D10" s="288"/>
    </row>
    <row r="11" spans="1:4" ht="30" x14ac:dyDescent="0.25">
      <c r="A11" s="350" t="s">
        <v>328</v>
      </c>
      <c r="B11" s="349" t="s">
        <v>329</v>
      </c>
      <c r="C11" s="349" t="s">
        <v>330</v>
      </c>
      <c r="D11" s="351" t="s">
        <v>331</v>
      </c>
    </row>
    <row r="12" spans="1:4" x14ac:dyDescent="0.25">
      <c r="A12" s="234" t="s">
        <v>332</v>
      </c>
      <c r="B12" s="64">
        <f>' M2 ATUAL'!D15</f>
        <v>3.97</v>
      </c>
      <c r="C12" s="77">
        <v>15655.25</v>
      </c>
      <c r="D12" s="289">
        <f>ROUND(B12*C12,2)</f>
        <v>62151.34</v>
      </c>
    </row>
    <row r="13" spans="1:4" x14ac:dyDescent="0.25">
      <c r="A13" s="234" t="s">
        <v>333</v>
      </c>
      <c r="B13" s="64">
        <f>' M2 ATUAL'!D21</f>
        <v>2.98</v>
      </c>
      <c r="C13" s="77">
        <v>2474</v>
      </c>
      <c r="D13" s="289">
        <f>ROUND(B13*C13,2)</f>
        <v>7372.52</v>
      </c>
    </row>
    <row r="14" spans="1:4" x14ac:dyDescent="0.25">
      <c r="A14" s="234" t="s">
        <v>110</v>
      </c>
      <c r="B14" s="64">
        <f>' M2 ATUAL'!D27</f>
        <v>0.6</v>
      </c>
      <c r="C14" s="77">
        <v>9837</v>
      </c>
      <c r="D14" s="289">
        <f>ROUND(B14*C14,2)</f>
        <v>5902.2</v>
      </c>
    </row>
    <row r="15" spans="1:4" x14ac:dyDescent="0.25">
      <c r="A15" s="234" t="s">
        <v>334</v>
      </c>
      <c r="B15" s="64">
        <f>' M2 ATUAL'!G33</f>
        <v>1.36</v>
      </c>
      <c r="C15" s="77">
        <v>5304</v>
      </c>
      <c r="D15" s="289">
        <f>ROUND(B15*C15,2)</f>
        <v>7213.44</v>
      </c>
    </row>
    <row r="16" spans="1:4" x14ac:dyDescent="0.25">
      <c r="A16" s="234" t="s">
        <v>335</v>
      </c>
      <c r="B16" s="64">
        <f>' M2 ATUAL'!G39</f>
        <v>0.39</v>
      </c>
      <c r="C16" s="77">
        <v>12303.97</v>
      </c>
      <c r="D16" s="289">
        <f>ROUND(B16*C16,2)</f>
        <v>4798.55</v>
      </c>
    </row>
    <row r="17" spans="1:7" x14ac:dyDescent="0.25">
      <c r="A17" s="798" t="s">
        <v>336</v>
      </c>
      <c r="B17" s="799"/>
      <c r="C17" s="800"/>
      <c r="D17" s="293">
        <f>SUM(D12:D16)</f>
        <v>87438.05</v>
      </c>
    </row>
    <row r="18" spans="1:7" x14ac:dyDescent="0.25">
      <c r="A18" s="290" t="s">
        <v>338</v>
      </c>
      <c r="B18" s="54"/>
      <c r="C18" s="54"/>
      <c r="D18" s="217"/>
    </row>
    <row r="19" spans="1:7" x14ac:dyDescent="0.25">
      <c r="A19" s="291" t="s">
        <v>339</v>
      </c>
      <c r="B19" s="75" t="s">
        <v>340</v>
      </c>
      <c r="C19" s="75" t="s">
        <v>341</v>
      </c>
      <c r="D19" s="292" t="s">
        <v>342</v>
      </c>
    </row>
    <row r="20" spans="1:7" x14ac:dyDescent="0.25">
      <c r="A20" s="234" t="s">
        <v>343</v>
      </c>
      <c r="B20" s="48">
        <v>1</v>
      </c>
      <c r="C20" s="64">
        <f>JARDINEIRO!G129</f>
        <v>5080.1734457283828</v>
      </c>
      <c r="D20" s="289">
        <f>ROUND(B20*C20,2)</f>
        <v>5080.17</v>
      </c>
    </row>
    <row r="21" spans="1:7" x14ac:dyDescent="0.25">
      <c r="A21" s="234" t="s">
        <v>344</v>
      </c>
      <c r="B21" s="48">
        <v>1</v>
      </c>
      <c r="C21" s="64">
        <f>LAVADOR!G129</f>
        <v>3264.7927351742901</v>
      </c>
      <c r="D21" s="289">
        <f>ROUND(B21*C21,2)</f>
        <v>3264.79</v>
      </c>
    </row>
    <row r="22" spans="1:7" x14ac:dyDescent="0.25">
      <c r="A22" s="234" t="s">
        <v>345</v>
      </c>
      <c r="B22" s="48">
        <v>2</v>
      </c>
      <c r="C22" s="64">
        <f>CARREGADOR!G129</f>
        <v>3246.0055943559564</v>
      </c>
      <c r="D22" s="289">
        <f>ROUND(B22*C22,2)</f>
        <v>6492.01</v>
      </c>
    </row>
    <row r="23" spans="1:7" x14ac:dyDescent="0.25">
      <c r="A23" s="798" t="s">
        <v>336</v>
      </c>
      <c r="B23" s="799"/>
      <c r="C23" s="800"/>
      <c r="D23" s="293">
        <f>SUM(D18:D22)</f>
        <v>14836.97</v>
      </c>
    </row>
    <row r="24" spans="1:7" x14ac:dyDescent="0.25">
      <c r="A24" s="798" t="s">
        <v>346</v>
      </c>
      <c r="B24" s="799"/>
      <c r="C24" s="799"/>
      <c r="D24" s="293">
        <f>D17+D23</f>
        <v>102275.02</v>
      </c>
    </row>
    <row r="25" spans="1:7" ht="15" customHeight="1" x14ac:dyDescent="0.25">
      <c r="A25" s="798" t="s">
        <v>347</v>
      </c>
      <c r="B25" s="799"/>
      <c r="C25" s="800"/>
      <c r="D25" s="293">
        <f>D24*12</f>
        <v>1227300.24</v>
      </c>
    </row>
    <row r="26" spans="1:7" ht="11.25" customHeight="1" thickBot="1" x14ac:dyDescent="0.3">
      <c r="A26" s="294"/>
      <c r="B26" s="285"/>
      <c r="C26" s="285"/>
      <c r="D26" s="295"/>
      <c r="E26" s="176" t="s">
        <v>496</v>
      </c>
    </row>
    <row r="27" spans="1:7" ht="15.75" thickBot="1" x14ac:dyDescent="0.3">
      <c r="A27" s="801" t="s">
        <v>522</v>
      </c>
      <c r="B27" s="802"/>
      <c r="C27" s="802"/>
      <c r="D27" s="803"/>
      <c r="F27" t="s">
        <v>451</v>
      </c>
    </row>
    <row r="28" spans="1:7" x14ac:dyDescent="0.25">
      <c r="A28" s="792" t="s">
        <v>348</v>
      </c>
      <c r="B28" s="793"/>
      <c r="C28" s="793"/>
      <c r="D28" s="133">
        <f>D24</f>
        <v>102275.02</v>
      </c>
      <c r="E28" s="136">
        <v>116666.66</v>
      </c>
      <c r="F28" s="137">
        <f>G28/D28</f>
        <v>0.14071510325786296</v>
      </c>
      <c r="G28" s="4">
        <f>E28-D28</f>
        <v>14391.64</v>
      </c>
    </row>
    <row r="29" spans="1:7" x14ac:dyDescent="0.25">
      <c r="A29" s="794" t="s">
        <v>349</v>
      </c>
      <c r="B29" s="795"/>
      <c r="C29" s="795"/>
      <c r="D29" s="134">
        <f>'MATERIAL LIMPEZA'!F105+'MATERIAL JARDINAGEM'!F27</f>
        <v>26996.94</v>
      </c>
      <c r="E29" s="136">
        <v>38582.17</v>
      </c>
      <c r="F29" s="137">
        <f>G29/D29</f>
        <v>0.42913122746503862</v>
      </c>
      <c r="G29" s="4">
        <f>E29-D29</f>
        <v>11585.23</v>
      </c>
    </row>
    <row r="30" spans="1:7" x14ac:dyDescent="0.25">
      <c r="A30" s="794" t="s">
        <v>516</v>
      </c>
      <c r="B30" s="795"/>
      <c r="C30" s="795"/>
      <c r="D30" s="134">
        <f>SUM(D28:D29)</f>
        <v>129271.96</v>
      </c>
      <c r="E30" s="136">
        <v>158146.91</v>
      </c>
      <c r="F30" s="137">
        <f>G30/D30</f>
        <v>0.2233659178680357</v>
      </c>
      <c r="G30" s="4">
        <f>E30-D30</f>
        <v>28874.949999999997</v>
      </c>
    </row>
    <row r="31" spans="1:7" ht="15.75" thickBot="1" x14ac:dyDescent="0.3">
      <c r="A31" s="796" t="s">
        <v>524</v>
      </c>
      <c r="B31" s="797"/>
      <c r="C31" s="797"/>
      <c r="D31" s="135">
        <f>D30*12</f>
        <v>1551263.52</v>
      </c>
      <c r="E31" s="4">
        <f>E30*12</f>
        <v>1897762.92</v>
      </c>
      <c r="F31" s="137">
        <f>G31/D31</f>
        <v>0.22336591786803567</v>
      </c>
      <c r="G31" s="4">
        <f>E31-D31</f>
        <v>346499.39999999991</v>
      </c>
    </row>
    <row r="32" spans="1:7" ht="9.75" customHeight="1" x14ac:dyDescent="0.25">
      <c r="A32" s="76"/>
      <c r="B32" s="76"/>
      <c r="C32" s="76"/>
      <c r="E32" s="4"/>
    </row>
    <row r="33" spans="4:5" x14ac:dyDescent="0.25">
      <c r="D33" s="4">
        <f>1417800-D31</f>
        <v>-133463.52000000002</v>
      </c>
      <c r="E33" s="4">
        <f>D33/12</f>
        <v>-11121.960000000001</v>
      </c>
    </row>
  </sheetData>
  <mergeCells count="10">
    <mergeCell ref="A1:D1"/>
    <mergeCell ref="A28:C28"/>
    <mergeCell ref="A29:C29"/>
    <mergeCell ref="A30:C30"/>
    <mergeCell ref="A31:C31"/>
    <mergeCell ref="A17:C17"/>
    <mergeCell ref="A25:C25"/>
    <mergeCell ref="A23:C23"/>
    <mergeCell ref="A24:C24"/>
    <mergeCell ref="A27:D27"/>
  </mergeCells>
  <printOptions horizontalCentered="1"/>
  <pageMargins left="0.9055118110236221" right="0.78740157480314965" top="1.7716535433070868" bottom="0.98425196850393704" header="0.31496062992125984" footer="0.31496062992125984"/>
  <pageSetup paperSize="9" scale="84" orientation="portrait" horizontalDpi="4294967295" verticalDpi="4294967295" r:id="rId1"/>
  <colBreaks count="1" manualBreakCount="1">
    <brk id="4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4"/>
  <sheetViews>
    <sheetView view="pageBreakPreview" zoomScale="115" zoomScaleNormal="100" zoomScaleSheetLayoutView="115" workbookViewId="0">
      <selection activeCell="C23" sqref="C23"/>
    </sheetView>
  </sheetViews>
  <sheetFormatPr defaultRowHeight="15" x14ac:dyDescent="0.25"/>
  <cols>
    <col min="1" max="1" width="38.140625" customWidth="1"/>
    <col min="2" max="2" width="23.85546875" customWidth="1"/>
    <col min="3" max="3" width="16.5703125" customWidth="1"/>
    <col min="4" max="4" width="20.7109375" bestFit="1" customWidth="1"/>
    <col min="5" max="5" width="20.5703125" customWidth="1"/>
    <col min="6" max="6" width="15" bestFit="1" customWidth="1"/>
    <col min="7" max="7" width="14.28515625" customWidth="1"/>
  </cols>
  <sheetData>
    <row r="2" spans="1:4" x14ac:dyDescent="0.25">
      <c r="A2" s="751" t="s">
        <v>337</v>
      </c>
      <c r="B2" s="751"/>
      <c r="C2" s="751"/>
      <c r="D2" s="751"/>
    </row>
    <row r="3" spans="1:4" x14ac:dyDescent="0.25">
      <c r="A3" s="296" t="s">
        <v>526</v>
      </c>
      <c r="B3" s="296"/>
      <c r="C3" s="296"/>
      <c r="D3" s="296"/>
    </row>
    <row r="4" spans="1:4" x14ac:dyDescent="0.25">
      <c r="A4" s="296" t="s">
        <v>532</v>
      </c>
      <c r="B4" s="296"/>
      <c r="C4" s="296"/>
      <c r="D4" s="296"/>
    </row>
    <row r="5" spans="1:4" x14ac:dyDescent="0.25">
      <c r="A5" s="743" t="s">
        <v>528</v>
      </c>
      <c r="B5" s="744"/>
      <c r="C5" s="744"/>
      <c r="D5" s="744"/>
    </row>
    <row r="6" spans="1:4" x14ac:dyDescent="0.25">
      <c r="A6" s="297" t="s">
        <v>533</v>
      </c>
      <c r="B6" s="298"/>
      <c r="C6" s="298"/>
      <c r="D6" s="298"/>
    </row>
    <row r="7" spans="1:4" x14ac:dyDescent="0.25">
      <c r="A7" s="73"/>
      <c r="B7" s="73"/>
      <c r="C7" s="74"/>
      <c r="D7" s="74"/>
    </row>
    <row r="8" spans="1:4" x14ac:dyDescent="0.25">
      <c r="A8" s="73" t="s">
        <v>523</v>
      </c>
      <c r="B8" s="74"/>
      <c r="C8" s="74"/>
      <c r="D8" s="74"/>
    </row>
    <row r="9" spans="1:4" ht="17.25" customHeight="1" x14ac:dyDescent="0.25">
      <c r="A9" s="804" t="s">
        <v>510</v>
      </c>
      <c r="B9" s="805"/>
      <c r="C9" s="805"/>
      <c r="D9" s="805"/>
    </row>
    <row r="10" spans="1:4" ht="14.25" customHeight="1" x14ac:dyDescent="0.25">
      <c r="A10" s="283"/>
      <c r="B10" s="283"/>
      <c r="C10" s="283"/>
      <c r="D10" s="283"/>
    </row>
    <row r="11" spans="1:4" x14ac:dyDescent="0.25">
      <c r="A11" s="808" t="s">
        <v>327</v>
      </c>
      <c r="B11" s="809"/>
      <c r="C11" s="809"/>
      <c r="D11" s="810"/>
    </row>
    <row r="12" spans="1:4" ht="30" x14ac:dyDescent="0.25">
      <c r="A12" s="348" t="s">
        <v>328</v>
      </c>
      <c r="B12" s="349" t="s">
        <v>329</v>
      </c>
      <c r="C12" s="349" t="s">
        <v>330</v>
      </c>
      <c r="D12" s="348" t="s">
        <v>331</v>
      </c>
    </row>
    <row r="13" spans="1:4" x14ac:dyDescent="0.25">
      <c r="A13" s="3" t="s">
        <v>332</v>
      </c>
      <c r="B13" s="64">
        <f>'M2 REPACTUADO'!D18</f>
        <v>4.2799999999999994</v>
      </c>
      <c r="C13" s="77">
        <v>15655.25</v>
      </c>
      <c r="D13" s="51">
        <f>ROUND(B13*C13,2)</f>
        <v>67004.47</v>
      </c>
    </row>
    <row r="14" spans="1:4" x14ac:dyDescent="0.25">
      <c r="A14" s="3" t="s">
        <v>333</v>
      </c>
      <c r="B14" s="64">
        <f>'M2 REPACTUADO'!D24</f>
        <v>3.2</v>
      </c>
      <c r="C14" s="77">
        <v>2474</v>
      </c>
      <c r="D14" s="51">
        <f>ROUND(B14*C14,2)</f>
        <v>7916.8</v>
      </c>
    </row>
    <row r="15" spans="1:4" x14ac:dyDescent="0.25">
      <c r="A15" s="3" t="s">
        <v>110</v>
      </c>
      <c r="B15" s="64">
        <f>'M2 REPACTUADO'!D30</f>
        <v>0.64</v>
      </c>
      <c r="C15" s="77">
        <v>9837</v>
      </c>
      <c r="D15" s="51">
        <f>ROUND(B15*C15,2)</f>
        <v>6295.68</v>
      </c>
    </row>
    <row r="16" spans="1:4" x14ac:dyDescent="0.25">
      <c r="A16" s="3" t="s">
        <v>334</v>
      </c>
      <c r="B16" s="64">
        <f>'M2 REPACTUADO'!G36</f>
        <v>1.46</v>
      </c>
      <c r="C16" s="77">
        <v>5304</v>
      </c>
      <c r="D16" s="51">
        <f>ROUND(B16*C16,2)</f>
        <v>7743.84</v>
      </c>
    </row>
    <row r="17" spans="1:7" x14ac:dyDescent="0.25">
      <c r="A17" s="3" t="s">
        <v>335</v>
      </c>
      <c r="B17" s="64">
        <f>'M2 REPACTUADO'!G42</f>
        <v>0.41000000000000003</v>
      </c>
      <c r="C17" s="77">
        <v>12303.97</v>
      </c>
      <c r="D17" s="51">
        <f>ROUND(B17*C17,2)</f>
        <v>5044.63</v>
      </c>
    </row>
    <row r="18" spans="1:7" x14ac:dyDescent="0.25">
      <c r="A18" s="806" t="s">
        <v>336</v>
      </c>
      <c r="B18" s="806"/>
      <c r="C18" s="806"/>
      <c r="D18" s="279">
        <f>SUM(D13:D17)</f>
        <v>94005.420000000013</v>
      </c>
    </row>
    <row r="19" spans="1:7" x14ac:dyDescent="0.25">
      <c r="A19" s="70" t="s">
        <v>338</v>
      </c>
    </row>
    <row r="20" spans="1:7" x14ac:dyDescent="0.25">
      <c r="A20" s="71" t="s">
        <v>339</v>
      </c>
      <c r="B20" s="75" t="s">
        <v>340</v>
      </c>
      <c r="C20" s="75" t="s">
        <v>341</v>
      </c>
      <c r="D20" s="75" t="s">
        <v>342</v>
      </c>
    </row>
    <row r="21" spans="1:7" x14ac:dyDescent="0.25">
      <c r="A21" s="3" t="s">
        <v>343</v>
      </c>
      <c r="B21" s="48">
        <v>1</v>
      </c>
      <c r="C21" s="64">
        <f>JARDINEIRO!I129</f>
        <v>5405.842383632722</v>
      </c>
      <c r="D21" s="51">
        <f>ROUND(B21*C21,2)</f>
        <v>5405.84</v>
      </c>
    </row>
    <row r="22" spans="1:7" x14ac:dyDescent="0.25">
      <c r="A22" s="3" t="s">
        <v>344</v>
      </c>
      <c r="B22" s="48">
        <v>1</v>
      </c>
      <c r="C22" s="64">
        <f>LAVADOR!I129</f>
        <v>3522.3856624640002</v>
      </c>
      <c r="D22" s="51">
        <f>ROUND(B22*C22,2)</f>
        <v>3522.39</v>
      </c>
    </row>
    <row r="23" spans="1:7" x14ac:dyDescent="0.25">
      <c r="A23" s="3" t="s">
        <v>345</v>
      </c>
      <c r="B23" s="48">
        <v>2</v>
      </c>
      <c r="C23" s="64">
        <f>CARREGADOR!I129</f>
        <v>3503.5798853040005</v>
      </c>
      <c r="D23" s="51">
        <f>ROUND(B23*C23,2)</f>
        <v>7007.16</v>
      </c>
    </row>
    <row r="24" spans="1:7" x14ac:dyDescent="0.25">
      <c r="A24" s="806" t="s">
        <v>336</v>
      </c>
      <c r="B24" s="806"/>
      <c r="C24" s="806"/>
      <c r="D24" s="279">
        <f>SUM(D19:D23)</f>
        <v>15935.39</v>
      </c>
    </row>
    <row r="25" spans="1:7" ht="14.25" customHeight="1" x14ac:dyDescent="0.25">
      <c r="A25" s="807" t="s">
        <v>515</v>
      </c>
      <c r="B25" s="799"/>
      <c r="C25" s="800"/>
      <c r="D25" s="302">
        <f>SUM(D24+D18)</f>
        <v>109940.81000000001</v>
      </c>
    </row>
    <row r="26" spans="1:7" ht="14.25" customHeight="1" x14ac:dyDescent="0.25">
      <c r="A26" s="807" t="s">
        <v>347</v>
      </c>
      <c r="B26" s="799"/>
      <c r="C26" s="800"/>
      <c r="D26" s="279">
        <f>D25*12</f>
        <v>1319289.7200000002</v>
      </c>
      <c r="E26" s="176"/>
    </row>
    <row r="27" spans="1:7" ht="12" customHeight="1" thickBot="1" x14ac:dyDescent="0.35">
      <c r="A27" s="299"/>
      <c r="B27" s="299"/>
      <c r="C27" s="299"/>
      <c r="D27" s="300"/>
      <c r="E27" s="176"/>
    </row>
    <row r="28" spans="1:7" ht="15.75" thickBot="1" x14ac:dyDescent="0.3">
      <c r="A28" s="280"/>
      <c r="B28" s="301" t="s">
        <v>522</v>
      </c>
      <c r="C28" s="281"/>
      <c r="D28" s="282"/>
    </row>
    <row r="29" spans="1:7" x14ac:dyDescent="0.25">
      <c r="A29" s="792" t="s">
        <v>348</v>
      </c>
      <c r="B29" s="793"/>
      <c r="C29" s="793"/>
      <c r="D29" s="133">
        <f>D25</f>
        <v>109940.81000000001</v>
      </c>
      <c r="E29" s="174"/>
      <c r="F29" s="137"/>
      <c r="G29" s="4"/>
    </row>
    <row r="30" spans="1:7" x14ac:dyDescent="0.25">
      <c r="A30" s="794" t="s">
        <v>349</v>
      </c>
      <c r="B30" s="795"/>
      <c r="C30" s="795"/>
      <c r="D30" s="134">
        <f>'MATERIAL LIMPEZA'!F105+'MATERIAL JARDINAGEM'!F27</f>
        <v>26996.94</v>
      </c>
      <c r="E30" s="174"/>
      <c r="F30" s="137"/>
      <c r="G30" s="4"/>
    </row>
    <row r="31" spans="1:7" x14ac:dyDescent="0.25">
      <c r="A31" s="794" t="s">
        <v>516</v>
      </c>
      <c r="B31" s="795"/>
      <c r="C31" s="795"/>
      <c r="D31" s="134">
        <f>SUM(D29:D30)</f>
        <v>136937.75</v>
      </c>
      <c r="E31" s="174"/>
      <c r="F31" s="137"/>
      <c r="G31" s="4"/>
    </row>
    <row r="32" spans="1:7" ht="15.75" thickBot="1" x14ac:dyDescent="0.3">
      <c r="A32" s="796" t="s">
        <v>534</v>
      </c>
      <c r="B32" s="797"/>
      <c r="C32" s="797"/>
      <c r="D32" s="135">
        <f>D31*12</f>
        <v>1643253</v>
      </c>
      <c r="E32" s="4"/>
      <c r="F32" s="137"/>
      <c r="G32" s="4"/>
    </row>
    <row r="33" spans="1:5" x14ac:dyDescent="0.25">
      <c r="A33" s="76"/>
      <c r="B33" s="76"/>
      <c r="C33" s="76"/>
      <c r="E33" s="4"/>
    </row>
    <row r="34" spans="1:5" x14ac:dyDescent="0.25">
      <c r="D34" s="4"/>
      <c r="E34" s="4"/>
    </row>
  </sheetData>
  <mergeCells count="12">
    <mergeCell ref="A32:C32"/>
    <mergeCell ref="A2:D2"/>
    <mergeCell ref="A18:C18"/>
    <mergeCell ref="A24:C24"/>
    <mergeCell ref="A25:C25"/>
    <mergeCell ref="A26:C26"/>
    <mergeCell ref="A11:D11"/>
    <mergeCell ref="A9:D9"/>
    <mergeCell ref="A5:D5"/>
    <mergeCell ref="A29:C29"/>
    <mergeCell ref="A30:C30"/>
    <mergeCell ref="A31:C31"/>
  </mergeCells>
  <pageMargins left="0.51181102362204722" right="0.51181102362204722" top="1.7716535433070868" bottom="0.98425196850393704" header="0.31496062992125984" footer="0.31496062992125984"/>
  <pageSetup paperSize="9" scale="92" orientation="portrait" horizontalDpi="4294967295" verticalDpi="4294967295" r:id="rId1"/>
  <colBreaks count="1" manualBreakCount="1">
    <brk id="4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48" sqref="C48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0"/>
  <sheetViews>
    <sheetView tabSelected="1" view="pageBreakPreview" topLeftCell="A13" zoomScale="80" zoomScaleNormal="100" zoomScaleSheetLayoutView="80" workbookViewId="0">
      <selection activeCell="N12" sqref="N12"/>
    </sheetView>
  </sheetViews>
  <sheetFormatPr defaultRowHeight="15" x14ac:dyDescent="0.25"/>
  <cols>
    <col min="1" max="1" width="13.7109375" style="54" customWidth="1"/>
    <col min="2" max="2" width="58" style="54" customWidth="1"/>
    <col min="3" max="3" width="22" style="54" hidden="1" customWidth="1"/>
    <col min="4" max="6" width="23.140625" style="54" hidden="1" customWidth="1"/>
    <col min="7" max="7" width="21.28515625" style="54" customWidth="1"/>
    <col min="8" max="8" width="22.28515625" style="54" bestFit="1" customWidth="1"/>
    <col min="9" max="9" width="21.28515625" style="370" customWidth="1"/>
    <col min="10" max="10" width="22.28515625" style="370" bestFit="1" customWidth="1"/>
    <col min="11" max="11" width="14.5703125" customWidth="1"/>
    <col min="12" max="12" width="8.7109375" customWidth="1"/>
    <col min="13" max="13" width="17.85546875" customWidth="1"/>
    <col min="14" max="14" width="11.42578125" bestFit="1" customWidth="1"/>
  </cols>
  <sheetData>
    <row r="1" spans="1:10" ht="15" customHeight="1" x14ac:dyDescent="0.25">
      <c r="A1" s="608" t="s">
        <v>337</v>
      </c>
      <c r="B1" s="609"/>
      <c r="C1" s="609"/>
      <c r="D1" s="609"/>
      <c r="E1" s="609"/>
      <c r="F1" s="609"/>
      <c r="G1" s="609"/>
      <c r="H1" s="609"/>
      <c r="I1" s="609"/>
      <c r="J1" s="610"/>
    </row>
    <row r="2" spans="1:10" x14ac:dyDescent="0.25">
      <c r="A2" s="594"/>
      <c r="B2" s="556"/>
      <c r="C2" s="556"/>
      <c r="D2" s="556"/>
      <c r="E2" s="556"/>
      <c r="F2" s="556"/>
      <c r="G2" s="556"/>
      <c r="H2" s="556"/>
      <c r="I2" s="556"/>
      <c r="J2" s="595"/>
    </row>
    <row r="3" spans="1:10" x14ac:dyDescent="0.25">
      <c r="A3" s="602" t="s">
        <v>497</v>
      </c>
      <c r="B3" s="603"/>
      <c r="C3" s="603"/>
      <c r="D3" s="603"/>
      <c r="E3" s="603"/>
      <c r="F3" s="603"/>
      <c r="G3" s="603"/>
      <c r="H3" s="603"/>
      <c r="I3" s="603"/>
      <c r="J3" s="604"/>
    </row>
    <row r="4" spans="1:10" x14ac:dyDescent="0.25">
      <c r="A4" s="605" t="s">
        <v>112</v>
      </c>
      <c r="B4" s="606"/>
      <c r="C4" s="606"/>
      <c r="D4" s="606"/>
      <c r="E4" s="606"/>
      <c r="F4" s="606"/>
      <c r="G4" s="606"/>
      <c r="H4" s="606"/>
      <c r="I4" s="606"/>
      <c r="J4" s="607"/>
    </row>
    <row r="5" spans="1:10" x14ac:dyDescent="0.25">
      <c r="A5" s="231" t="s">
        <v>84</v>
      </c>
      <c r="B5" s="533" t="s">
        <v>113</v>
      </c>
      <c r="C5" s="533"/>
      <c r="D5" s="3"/>
      <c r="E5" s="3"/>
      <c r="F5" s="3"/>
      <c r="G5" s="3"/>
      <c r="H5" s="3"/>
      <c r="I5" s="389"/>
      <c r="J5" s="457"/>
    </row>
    <row r="6" spans="1:10" x14ac:dyDescent="0.25">
      <c r="A6" s="590" t="s">
        <v>114</v>
      </c>
      <c r="B6" s="553"/>
      <c r="C6" s="553"/>
      <c r="D6" s="3"/>
      <c r="E6" s="3"/>
      <c r="F6" s="3"/>
      <c r="G6" s="3"/>
      <c r="H6" s="3"/>
      <c r="I6" s="389"/>
      <c r="J6" s="457"/>
    </row>
    <row r="7" spans="1:10" x14ac:dyDescent="0.25">
      <c r="A7" s="387"/>
      <c r="B7" s="384"/>
      <c r="C7" s="384"/>
      <c r="D7" s="3"/>
      <c r="E7" s="3"/>
      <c r="F7" s="3"/>
      <c r="G7" s="384"/>
      <c r="H7" s="3"/>
      <c r="I7" s="391"/>
      <c r="J7" s="457"/>
    </row>
    <row r="8" spans="1:10" x14ac:dyDescent="0.25">
      <c r="A8" s="618" t="s">
        <v>85</v>
      </c>
      <c r="B8" s="554"/>
      <c r="C8" s="554"/>
      <c r="D8" s="3"/>
      <c r="E8" s="3"/>
      <c r="F8" s="3"/>
      <c r="G8" s="3"/>
      <c r="H8" s="3"/>
      <c r="I8" s="389"/>
      <c r="J8" s="457"/>
    </row>
    <row r="9" spans="1:10" x14ac:dyDescent="0.25">
      <c r="A9" s="221" t="s">
        <v>7</v>
      </c>
      <c r="B9" s="7" t="s">
        <v>115</v>
      </c>
      <c r="C9" s="232">
        <v>42227</v>
      </c>
      <c r="D9" s="3"/>
      <c r="E9" s="232">
        <v>42283</v>
      </c>
      <c r="F9" s="3"/>
      <c r="G9" s="332">
        <v>42423</v>
      </c>
      <c r="H9" s="343"/>
      <c r="I9" s="597">
        <v>42815</v>
      </c>
      <c r="J9" s="598"/>
    </row>
    <row r="10" spans="1:10" x14ac:dyDescent="0.25">
      <c r="A10" s="221" t="s">
        <v>9</v>
      </c>
      <c r="B10" s="7" t="s">
        <v>86</v>
      </c>
      <c r="C10" s="2" t="s">
        <v>87</v>
      </c>
      <c r="D10" s="3"/>
      <c r="E10" s="2" t="s">
        <v>87</v>
      </c>
      <c r="F10" s="3"/>
      <c r="G10" s="333" t="s">
        <v>87</v>
      </c>
      <c r="H10" s="343"/>
      <c r="I10" s="364" t="s">
        <v>87</v>
      </c>
      <c r="J10" s="383"/>
    </row>
    <row r="11" spans="1:10" ht="30" x14ac:dyDescent="0.25">
      <c r="A11" s="221" t="s">
        <v>11</v>
      </c>
      <c r="B11" s="7" t="s">
        <v>116</v>
      </c>
      <c r="C11" s="2" t="s">
        <v>117</v>
      </c>
      <c r="D11" s="3"/>
      <c r="E11" s="238" t="s">
        <v>500</v>
      </c>
      <c r="F11" s="3"/>
      <c r="G11" s="334" t="s">
        <v>538</v>
      </c>
      <c r="H11" s="343"/>
      <c r="I11" s="367" t="s">
        <v>538</v>
      </c>
      <c r="J11" s="383"/>
    </row>
    <row r="12" spans="1:10" x14ac:dyDescent="0.25">
      <c r="A12" s="221" t="s">
        <v>13</v>
      </c>
      <c r="B12" s="7" t="s">
        <v>88</v>
      </c>
      <c r="C12" s="2" t="s">
        <v>89</v>
      </c>
      <c r="D12" s="3"/>
      <c r="E12" s="2" t="s">
        <v>89</v>
      </c>
      <c r="F12" s="3"/>
      <c r="G12" s="333" t="s">
        <v>89</v>
      </c>
      <c r="H12" s="343"/>
      <c r="I12" s="364" t="s">
        <v>89</v>
      </c>
      <c r="J12" s="383"/>
    </row>
    <row r="13" spans="1:10" x14ac:dyDescent="0.25">
      <c r="A13" s="387"/>
      <c r="B13" s="384"/>
      <c r="C13" s="384"/>
      <c r="D13" s="3"/>
      <c r="E13" s="3"/>
      <c r="F13" s="3"/>
      <c r="G13" s="394"/>
      <c r="H13" s="343"/>
      <c r="I13" s="395"/>
      <c r="J13" s="383"/>
    </row>
    <row r="14" spans="1:10" x14ac:dyDescent="0.25">
      <c r="A14" s="580" t="s">
        <v>90</v>
      </c>
      <c r="B14" s="528"/>
      <c r="C14" s="528"/>
      <c r="D14" s="3"/>
      <c r="E14" s="3"/>
      <c r="F14" s="3"/>
      <c r="G14" s="343"/>
      <c r="H14" s="343"/>
      <c r="I14" s="393"/>
      <c r="J14" s="383"/>
    </row>
    <row r="15" spans="1:10" ht="42.75" x14ac:dyDescent="0.25">
      <c r="A15" s="578" t="s">
        <v>91</v>
      </c>
      <c r="B15" s="533"/>
      <c r="C15" s="5" t="s">
        <v>92</v>
      </c>
      <c r="D15" s="5" t="s">
        <v>93</v>
      </c>
      <c r="E15" s="5" t="s">
        <v>92</v>
      </c>
      <c r="F15" s="5" t="s">
        <v>93</v>
      </c>
      <c r="G15" s="334" t="s">
        <v>92</v>
      </c>
      <c r="H15" s="334" t="s">
        <v>93</v>
      </c>
      <c r="I15" s="367" t="s">
        <v>92</v>
      </c>
      <c r="J15" s="368" t="s">
        <v>93</v>
      </c>
    </row>
    <row r="16" spans="1:10" x14ac:dyDescent="0.25">
      <c r="A16" s="584" t="s">
        <v>318</v>
      </c>
      <c r="B16" s="535"/>
      <c r="C16" s="2" t="s">
        <v>204</v>
      </c>
      <c r="D16" s="2" t="s">
        <v>205</v>
      </c>
      <c r="E16" s="2" t="s">
        <v>204</v>
      </c>
      <c r="F16" s="2" t="s">
        <v>205</v>
      </c>
      <c r="G16" s="333" t="s">
        <v>204</v>
      </c>
      <c r="H16" s="333" t="s">
        <v>205</v>
      </c>
      <c r="I16" s="364" t="s">
        <v>204</v>
      </c>
      <c r="J16" s="369" t="s">
        <v>205</v>
      </c>
    </row>
    <row r="17" spans="1:10" x14ac:dyDescent="0.25">
      <c r="A17" s="600"/>
      <c r="B17" s="544"/>
      <c r="C17" s="544"/>
      <c r="D17" s="544"/>
      <c r="E17" s="544"/>
      <c r="F17" s="544"/>
      <c r="G17" s="544"/>
      <c r="H17" s="544"/>
      <c r="I17" s="544"/>
      <c r="J17" s="601"/>
    </row>
    <row r="18" spans="1:10" ht="23.25" customHeight="1" x14ac:dyDescent="0.25">
      <c r="A18" s="615" t="s">
        <v>540</v>
      </c>
      <c r="B18" s="616"/>
      <c r="C18" s="616"/>
      <c r="D18" s="616"/>
      <c r="E18" s="616"/>
      <c r="F18" s="616"/>
      <c r="G18" s="616"/>
      <c r="H18" s="616"/>
      <c r="I18" s="616"/>
      <c r="J18" s="617"/>
    </row>
    <row r="19" spans="1:10" x14ac:dyDescent="0.25">
      <c r="A19" s="223">
        <v>1</v>
      </c>
      <c r="B19" s="224" t="s">
        <v>1</v>
      </c>
      <c r="C19" s="2" t="str">
        <f>A16</f>
        <v>ENCARREGADO</v>
      </c>
      <c r="D19" s="3"/>
      <c r="E19" s="312" t="s">
        <v>318</v>
      </c>
      <c r="F19" s="3"/>
      <c r="G19" s="333" t="str">
        <f>C19</f>
        <v>ENCARREGADO</v>
      </c>
      <c r="H19" s="343"/>
      <c r="I19" s="364" t="str">
        <f>E19</f>
        <v>ENCARREGADO</v>
      </c>
      <c r="J19" s="383"/>
    </row>
    <row r="20" spans="1:10" x14ac:dyDescent="0.25">
      <c r="A20" s="223">
        <v>2</v>
      </c>
      <c r="B20" s="224" t="s">
        <v>2</v>
      </c>
      <c r="C20" s="222">
        <v>1904.44</v>
      </c>
      <c r="D20" s="3"/>
      <c r="E20" s="222">
        <v>1904.44</v>
      </c>
      <c r="F20" s="3"/>
      <c r="G20" s="335">
        <v>2104.41</v>
      </c>
      <c r="H20" s="343"/>
      <c r="I20" s="365">
        <v>2242.66</v>
      </c>
      <c r="J20" s="383"/>
    </row>
    <row r="21" spans="1:10" x14ac:dyDescent="0.25">
      <c r="A21" s="223">
        <v>3</v>
      </c>
      <c r="B21" s="224" t="s">
        <v>118</v>
      </c>
      <c r="C21" s="2" t="str">
        <f>A16</f>
        <v>ENCARREGADO</v>
      </c>
      <c r="D21" s="3"/>
      <c r="E21" s="312" t="s">
        <v>318</v>
      </c>
      <c r="F21" s="3"/>
      <c r="G21" s="333" t="str">
        <f>C19</f>
        <v>ENCARREGADO</v>
      </c>
      <c r="H21" s="343"/>
      <c r="I21" s="364" t="str">
        <f>E19</f>
        <v>ENCARREGADO</v>
      </c>
      <c r="J21" s="383"/>
    </row>
    <row r="22" spans="1:10" x14ac:dyDescent="0.25">
      <c r="A22" s="223">
        <v>4</v>
      </c>
      <c r="B22" s="224" t="s">
        <v>3</v>
      </c>
      <c r="C22" s="232">
        <v>42005</v>
      </c>
      <c r="D22" s="3"/>
      <c r="E22" s="232"/>
      <c r="F22" s="3"/>
      <c r="G22" s="332"/>
      <c r="H22" s="343"/>
      <c r="I22" s="366"/>
      <c r="J22" s="383"/>
    </row>
    <row r="23" spans="1:10" ht="18.75" x14ac:dyDescent="0.25">
      <c r="A23" s="579" t="s">
        <v>4</v>
      </c>
      <c r="B23" s="534"/>
      <c r="C23" s="534"/>
      <c r="D23" s="3"/>
      <c r="E23" s="3"/>
      <c r="F23" s="3"/>
      <c r="G23" s="343"/>
      <c r="H23" s="343"/>
      <c r="I23" s="393"/>
      <c r="J23" s="383"/>
    </row>
    <row r="24" spans="1:10" x14ac:dyDescent="0.25">
      <c r="A24" s="451">
        <v>1</v>
      </c>
      <c r="B24" s="426" t="s">
        <v>5</v>
      </c>
      <c r="C24" s="426" t="s">
        <v>6</v>
      </c>
      <c r="D24" s="355"/>
      <c r="E24" s="426" t="s">
        <v>6</v>
      </c>
      <c r="F24" s="355"/>
      <c r="G24" s="427" t="s">
        <v>6</v>
      </c>
      <c r="H24" s="425"/>
      <c r="I24" s="427" t="s">
        <v>6</v>
      </c>
      <c r="J24" s="450"/>
    </row>
    <row r="25" spans="1:10" x14ac:dyDescent="0.25">
      <c r="A25" s="221" t="s">
        <v>7</v>
      </c>
      <c r="B25" s="7" t="s">
        <v>8</v>
      </c>
      <c r="C25" s="8">
        <f>C20</f>
        <v>1904.44</v>
      </c>
      <c r="D25" s="3"/>
      <c r="E25" s="8">
        <f>E20</f>
        <v>1904.44</v>
      </c>
      <c r="F25" s="3"/>
      <c r="G25" s="327">
        <f>G20</f>
        <v>2104.41</v>
      </c>
      <c r="H25" s="343"/>
      <c r="I25" s="362">
        <f>I20</f>
        <v>2242.66</v>
      </c>
      <c r="J25" s="383"/>
    </row>
    <row r="26" spans="1:10" x14ac:dyDescent="0.25">
      <c r="A26" s="221" t="s">
        <v>9</v>
      </c>
      <c r="B26" s="7" t="s">
        <v>10</v>
      </c>
      <c r="C26" s="8"/>
      <c r="D26" s="3"/>
      <c r="E26" s="8"/>
      <c r="F26" s="3"/>
      <c r="G26" s="327"/>
      <c r="H26" s="343"/>
      <c r="I26" s="362"/>
      <c r="J26" s="383"/>
    </row>
    <row r="27" spans="1:10" x14ac:dyDescent="0.25">
      <c r="A27" s="221" t="s">
        <v>11</v>
      </c>
      <c r="B27" s="7" t="s">
        <v>12</v>
      </c>
      <c r="C27" s="8"/>
      <c r="D27" s="3"/>
      <c r="E27" s="8"/>
      <c r="F27" s="3"/>
      <c r="G27" s="327"/>
      <c r="H27" s="343"/>
      <c r="I27" s="362"/>
      <c r="J27" s="383"/>
    </row>
    <row r="28" spans="1:10" x14ac:dyDescent="0.25">
      <c r="A28" s="221" t="s">
        <v>13</v>
      </c>
      <c r="B28" s="7" t="s">
        <v>14</v>
      </c>
      <c r="C28" s="8"/>
      <c r="D28" s="48"/>
      <c r="E28" s="8"/>
      <c r="F28" s="48"/>
      <c r="G28" s="327"/>
      <c r="H28" s="343"/>
      <c r="I28" s="362"/>
      <c r="J28" s="383"/>
    </row>
    <row r="29" spans="1:10" x14ac:dyDescent="0.25">
      <c r="A29" s="221" t="s">
        <v>15</v>
      </c>
      <c r="B29" s="7" t="s">
        <v>16</v>
      </c>
      <c r="C29" s="8"/>
      <c r="D29" s="3"/>
      <c r="E29" s="8"/>
      <c r="F29" s="3"/>
      <c r="G29" s="327"/>
      <c r="H29" s="343"/>
      <c r="I29" s="362"/>
      <c r="J29" s="383"/>
    </row>
    <row r="30" spans="1:10" x14ac:dyDescent="0.25">
      <c r="A30" s="221" t="s">
        <v>17</v>
      </c>
      <c r="B30" s="7" t="s">
        <v>18</v>
      </c>
      <c r="C30" s="8"/>
      <c r="D30" s="3"/>
      <c r="E30" s="8"/>
      <c r="F30" s="3"/>
      <c r="G30" s="327"/>
      <c r="H30" s="343"/>
      <c r="I30" s="362"/>
      <c r="J30" s="383"/>
    </row>
    <row r="31" spans="1:10" x14ac:dyDescent="0.25">
      <c r="A31" s="221" t="s">
        <v>19</v>
      </c>
      <c r="B31" s="7" t="s">
        <v>21</v>
      </c>
      <c r="C31" s="8"/>
      <c r="D31" s="3"/>
      <c r="E31" s="8"/>
      <c r="F31" s="3"/>
      <c r="G31" s="327"/>
      <c r="H31" s="343"/>
      <c r="I31" s="362"/>
      <c r="J31" s="383"/>
    </row>
    <row r="32" spans="1:10" x14ac:dyDescent="0.25">
      <c r="A32" s="581" t="s">
        <v>22</v>
      </c>
      <c r="B32" s="526"/>
      <c r="C32" s="428">
        <f>SUM(C25:C31)</f>
        <v>1904.44</v>
      </c>
      <c r="D32" s="355"/>
      <c r="E32" s="428">
        <f>SUM(E25:E31)</f>
        <v>1904.44</v>
      </c>
      <c r="F32" s="355"/>
      <c r="G32" s="429">
        <f>SUM(G25:G31)</f>
        <v>2104.41</v>
      </c>
      <c r="H32" s="425"/>
      <c r="I32" s="429">
        <f>SUM(I25:I31)</f>
        <v>2242.66</v>
      </c>
      <c r="J32" s="450"/>
    </row>
    <row r="33" spans="1:14" ht="18.75" x14ac:dyDescent="0.25">
      <c r="A33" s="579" t="s">
        <v>23</v>
      </c>
      <c r="B33" s="534"/>
      <c r="C33" s="534"/>
      <c r="D33" s="3"/>
      <c r="E33" s="3"/>
      <c r="F33" s="3"/>
      <c r="G33" s="343"/>
      <c r="H33" s="343"/>
      <c r="I33" s="393"/>
      <c r="J33" s="383"/>
    </row>
    <row r="34" spans="1:14" x14ac:dyDescent="0.25">
      <c r="A34" s="451">
        <v>2</v>
      </c>
      <c r="B34" s="426" t="s">
        <v>24</v>
      </c>
      <c r="C34" s="426" t="s">
        <v>6</v>
      </c>
      <c r="D34" s="355"/>
      <c r="E34" s="426" t="s">
        <v>6</v>
      </c>
      <c r="F34" s="355"/>
      <c r="G34" s="427" t="s">
        <v>6</v>
      </c>
      <c r="H34" s="425"/>
      <c r="I34" s="427" t="s">
        <v>6</v>
      </c>
      <c r="J34" s="450"/>
    </row>
    <row r="35" spans="1:14" ht="17.25" customHeight="1" x14ac:dyDescent="0.25">
      <c r="A35" s="511" t="s">
        <v>7</v>
      </c>
      <c r="B35" s="509" t="s">
        <v>564</v>
      </c>
      <c r="C35" s="53">
        <f>K35-L35</f>
        <v>72.362099999999998</v>
      </c>
      <c r="D35" s="343"/>
      <c r="E35" s="53">
        <f>M35-N35</f>
        <v>144.93985000000001</v>
      </c>
      <c r="F35" s="343"/>
      <c r="G35" s="337">
        <f>(20.7365*12.5)-G25*6%</f>
        <v>132.94165000000004</v>
      </c>
      <c r="H35" s="343"/>
      <c r="I35" s="363">
        <f>(20.7365*15)-I25*6%</f>
        <v>176.48790000000002</v>
      </c>
      <c r="J35" s="383"/>
      <c r="K35" s="174">
        <f>9*20.7365</f>
        <v>186.6285</v>
      </c>
      <c r="L35">
        <f>C20*6%</f>
        <v>114.2664</v>
      </c>
      <c r="M35" s="174">
        <f>12.5*20.7365</f>
        <v>259.20625000000001</v>
      </c>
      <c r="N35" s="4">
        <f>E20*6%</f>
        <v>114.2664</v>
      </c>
    </row>
    <row r="36" spans="1:14" x14ac:dyDescent="0.25">
      <c r="A36" s="511" t="s">
        <v>9</v>
      </c>
      <c r="B36" s="509" t="s">
        <v>565</v>
      </c>
      <c r="C36" s="327">
        <f>24*21.5</f>
        <v>516</v>
      </c>
      <c r="D36" s="343"/>
      <c r="E36" s="327">
        <f>24*21.5</f>
        <v>516</v>
      </c>
      <c r="F36" s="343"/>
      <c r="G36" s="327">
        <f>27.5*21.5</f>
        <v>591.25</v>
      </c>
      <c r="H36" s="343"/>
      <c r="I36" s="362">
        <f>29.5*21.5</f>
        <v>634.25</v>
      </c>
      <c r="J36" s="383"/>
      <c r="K36" t="s">
        <v>462</v>
      </c>
      <c r="M36" t="s">
        <v>462</v>
      </c>
    </row>
    <row r="37" spans="1:14" x14ac:dyDescent="0.25">
      <c r="A37" s="511" t="s">
        <v>11</v>
      </c>
      <c r="B37" s="512" t="s">
        <v>25</v>
      </c>
      <c r="C37" s="327">
        <v>0</v>
      </c>
      <c r="D37" s="343"/>
      <c r="E37" s="327">
        <v>0</v>
      </c>
      <c r="F37" s="343"/>
      <c r="G37" s="337"/>
      <c r="H37" s="343"/>
      <c r="I37" s="363"/>
      <c r="J37" s="383"/>
    </row>
    <row r="38" spans="1:14" x14ac:dyDescent="0.25">
      <c r="A38" s="511" t="s">
        <v>13</v>
      </c>
      <c r="B38" s="512" t="s">
        <v>94</v>
      </c>
      <c r="C38" s="327"/>
      <c r="D38" s="343"/>
      <c r="E38" s="327"/>
      <c r="F38" s="343"/>
      <c r="G38" s="327"/>
      <c r="H38" s="343"/>
      <c r="I38" s="362"/>
      <c r="J38" s="383"/>
    </row>
    <row r="39" spans="1:14" x14ac:dyDescent="0.25">
      <c r="A39" s="511" t="s">
        <v>15</v>
      </c>
      <c r="B39" s="512" t="s">
        <v>119</v>
      </c>
      <c r="C39" s="327">
        <v>2.5</v>
      </c>
      <c r="D39" s="343"/>
      <c r="E39" s="327">
        <v>2.5</v>
      </c>
      <c r="F39" s="343"/>
      <c r="G39" s="327">
        <v>2.5</v>
      </c>
      <c r="H39" s="343"/>
      <c r="I39" s="362">
        <v>2.5</v>
      </c>
      <c r="J39" s="383"/>
    </row>
    <row r="40" spans="1:14" x14ac:dyDescent="0.25">
      <c r="A40" s="511" t="s">
        <v>17</v>
      </c>
      <c r="B40" s="512" t="s">
        <v>120</v>
      </c>
      <c r="C40" s="327">
        <v>0</v>
      </c>
      <c r="D40" s="343"/>
      <c r="E40" s="327">
        <v>0</v>
      </c>
      <c r="F40" s="343"/>
      <c r="G40" s="327">
        <v>0</v>
      </c>
      <c r="H40" s="343"/>
      <c r="I40" s="362">
        <v>0</v>
      </c>
      <c r="J40" s="383"/>
    </row>
    <row r="41" spans="1:14" x14ac:dyDescent="0.25">
      <c r="A41" s="511" t="s">
        <v>19</v>
      </c>
      <c r="B41" s="512" t="s">
        <v>539</v>
      </c>
      <c r="C41" s="327">
        <v>4.5</v>
      </c>
      <c r="D41" s="343"/>
      <c r="E41" s="327">
        <v>4.5</v>
      </c>
      <c r="F41" s="343"/>
      <c r="G41" s="338">
        <v>5</v>
      </c>
      <c r="H41" s="343"/>
      <c r="I41" s="362">
        <v>5</v>
      </c>
      <c r="J41" s="383"/>
    </row>
    <row r="42" spans="1:14" x14ac:dyDescent="0.25">
      <c r="A42" s="585" t="s">
        <v>26</v>
      </c>
      <c r="B42" s="525"/>
      <c r="C42" s="429">
        <f>SUM(C35:C41)</f>
        <v>595.36210000000005</v>
      </c>
      <c r="D42" s="425"/>
      <c r="E42" s="429">
        <f>SUM(E35:E41)</f>
        <v>667.93984999999998</v>
      </c>
      <c r="F42" s="425"/>
      <c r="G42" s="429">
        <f>SUM(G35:G41)</f>
        <v>731.69164999999998</v>
      </c>
      <c r="H42" s="425"/>
      <c r="I42" s="429">
        <f>SUM(I35:I41)</f>
        <v>818.23790000000008</v>
      </c>
      <c r="J42" s="450"/>
    </row>
    <row r="43" spans="1:14" ht="18.75" x14ac:dyDescent="0.25">
      <c r="A43" s="586" t="s">
        <v>122</v>
      </c>
      <c r="B43" s="587"/>
      <c r="C43" s="587"/>
      <c r="D43" s="343"/>
      <c r="E43" s="343"/>
      <c r="F43" s="343"/>
      <c r="G43" s="343"/>
      <c r="H43" s="343"/>
      <c r="I43" s="393"/>
      <c r="J43" s="383"/>
    </row>
    <row r="44" spans="1:14" x14ac:dyDescent="0.25">
      <c r="A44" s="513">
        <v>3</v>
      </c>
      <c r="B44" s="489" t="s">
        <v>27</v>
      </c>
      <c r="C44" s="489" t="s">
        <v>6</v>
      </c>
      <c r="D44" s="425"/>
      <c r="E44" s="489" t="s">
        <v>6</v>
      </c>
      <c r="F44" s="425"/>
      <c r="G44" s="489" t="s">
        <v>6</v>
      </c>
      <c r="H44" s="425"/>
      <c r="I44" s="489" t="s">
        <v>6</v>
      </c>
      <c r="J44" s="450"/>
    </row>
    <row r="45" spans="1:14" x14ac:dyDescent="0.25">
      <c r="A45" s="511" t="s">
        <v>7</v>
      </c>
      <c r="B45" s="509" t="s">
        <v>28</v>
      </c>
      <c r="C45" s="327">
        <f>UNIFORMES!H15</f>
        <v>45.933333333333337</v>
      </c>
      <c r="D45" s="343"/>
      <c r="E45" s="327">
        <f>UNIFORMES!H15</f>
        <v>45.933333333333337</v>
      </c>
      <c r="F45" s="343"/>
      <c r="G45" s="327">
        <f>UNIFORMES!H15</f>
        <v>45.933333333333337</v>
      </c>
      <c r="H45" s="343"/>
      <c r="I45" s="362">
        <v>45.93</v>
      </c>
      <c r="J45" s="611" t="s">
        <v>553</v>
      </c>
    </row>
    <row r="46" spans="1:14" x14ac:dyDescent="0.25">
      <c r="A46" s="511" t="s">
        <v>9</v>
      </c>
      <c r="B46" s="509" t="s">
        <v>123</v>
      </c>
      <c r="C46" s="327">
        <v>0</v>
      </c>
      <c r="D46" s="400"/>
      <c r="E46" s="327">
        <f>C46</f>
        <v>0</v>
      </c>
      <c r="F46" s="400"/>
      <c r="G46" s="327">
        <f>C46</f>
        <v>0</v>
      </c>
      <c r="H46" s="400"/>
      <c r="I46" s="362">
        <f>E46</f>
        <v>0</v>
      </c>
      <c r="J46" s="612"/>
      <c r="K46" s="4"/>
      <c r="M46" s="4"/>
    </row>
    <row r="47" spans="1:14" ht="30" x14ac:dyDescent="0.25">
      <c r="A47" s="221" t="s">
        <v>11</v>
      </c>
      <c r="B47" s="7" t="s">
        <v>459</v>
      </c>
      <c r="C47" s="233">
        <v>3</v>
      </c>
      <c r="D47" s="3"/>
      <c r="E47" s="8">
        <f>C47</f>
        <v>3</v>
      </c>
      <c r="F47" s="3"/>
      <c r="G47" s="327">
        <f>E47</f>
        <v>3</v>
      </c>
      <c r="H47" s="343"/>
      <c r="I47" s="362">
        <f>G47</f>
        <v>3</v>
      </c>
      <c r="J47" s="383"/>
      <c r="K47" s="57" t="s">
        <v>316</v>
      </c>
      <c r="M47" s="57" t="s">
        <v>316</v>
      </c>
    </row>
    <row r="48" spans="1:14" x14ac:dyDescent="0.25">
      <c r="A48" s="581" t="s">
        <v>29</v>
      </c>
      <c r="B48" s="526"/>
      <c r="C48" s="428">
        <f>SUM(C45:C47)</f>
        <v>48.933333333333337</v>
      </c>
      <c r="D48" s="355"/>
      <c r="E48" s="428">
        <f>SUM(E45:E47)</f>
        <v>48.933333333333337</v>
      </c>
      <c r="F48" s="355"/>
      <c r="G48" s="429">
        <f>SUM(G45:G47)</f>
        <v>48.933333333333337</v>
      </c>
      <c r="H48" s="425"/>
      <c r="I48" s="429">
        <f>SUM(I45:I47)</f>
        <v>48.93</v>
      </c>
      <c r="J48" s="450"/>
    </row>
    <row r="49" spans="1:10" ht="18.75" x14ac:dyDescent="0.25">
      <c r="A49" s="579" t="s">
        <v>30</v>
      </c>
      <c r="B49" s="534"/>
      <c r="C49" s="534"/>
      <c r="D49" s="3"/>
      <c r="E49" s="3"/>
      <c r="F49" s="3"/>
      <c r="G49" s="343"/>
      <c r="H49" s="343"/>
      <c r="I49" s="393"/>
      <c r="J49" s="383"/>
    </row>
    <row r="50" spans="1:10" ht="18.75" x14ac:dyDescent="0.25">
      <c r="A50" s="588" t="s">
        <v>95</v>
      </c>
      <c r="B50" s="570"/>
      <c r="C50" s="570"/>
      <c r="D50" s="570"/>
      <c r="E50" s="570"/>
      <c r="F50" s="570"/>
      <c r="G50" s="570"/>
      <c r="H50" s="570"/>
      <c r="I50" s="570"/>
      <c r="J50" s="589"/>
    </row>
    <row r="51" spans="1:10" x14ac:dyDescent="0.25">
      <c r="A51" s="451" t="s">
        <v>31</v>
      </c>
      <c r="B51" s="426" t="s">
        <v>32</v>
      </c>
      <c r="C51" s="426" t="s">
        <v>33</v>
      </c>
      <c r="D51" s="426" t="s">
        <v>6</v>
      </c>
      <c r="E51" s="426" t="s">
        <v>33</v>
      </c>
      <c r="F51" s="426" t="s">
        <v>6</v>
      </c>
      <c r="G51" s="427" t="s">
        <v>33</v>
      </c>
      <c r="H51" s="427" t="s">
        <v>6</v>
      </c>
      <c r="I51" s="427" t="s">
        <v>33</v>
      </c>
      <c r="J51" s="452" t="s">
        <v>6</v>
      </c>
    </row>
    <row r="52" spans="1:10" x14ac:dyDescent="0.25">
      <c r="A52" s="223" t="s">
        <v>7</v>
      </c>
      <c r="B52" s="7" t="s">
        <v>34</v>
      </c>
      <c r="C52" s="9">
        <v>0.2</v>
      </c>
      <c r="D52" s="8">
        <f t="shared" ref="D52:D59" si="0">C52*$C$32</f>
        <v>380.88800000000003</v>
      </c>
      <c r="E52" s="9">
        <v>0.2</v>
      </c>
      <c r="F52" s="8">
        <f t="shared" ref="F52:F59" si="1">E52*$C$32</f>
        <v>380.88800000000003</v>
      </c>
      <c r="G52" s="313">
        <v>0.2</v>
      </c>
      <c r="H52" s="327">
        <f t="shared" ref="H52:H59" si="2">G52*$G$32</f>
        <v>420.88200000000001</v>
      </c>
      <c r="I52" s="372">
        <v>0.2</v>
      </c>
      <c r="J52" s="375">
        <f>I52*$I$32</f>
        <v>448.53199999999998</v>
      </c>
    </row>
    <row r="53" spans="1:10" x14ac:dyDescent="0.25">
      <c r="A53" s="223" t="s">
        <v>9</v>
      </c>
      <c r="B53" s="7" t="s">
        <v>35</v>
      </c>
      <c r="C53" s="9">
        <v>1.4999999999999999E-2</v>
      </c>
      <c r="D53" s="8">
        <f t="shared" si="0"/>
        <v>28.566600000000001</v>
      </c>
      <c r="E53" s="9">
        <v>1.4999999999999999E-2</v>
      </c>
      <c r="F53" s="8">
        <f t="shared" si="1"/>
        <v>28.566600000000001</v>
      </c>
      <c r="G53" s="313">
        <v>1.4999999999999999E-2</v>
      </c>
      <c r="H53" s="327">
        <f t="shared" si="2"/>
        <v>31.566149999999997</v>
      </c>
      <c r="I53" s="372">
        <v>1.4999999999999999E-2</v>
      </c>
      <c r="J53" s="375">
        <f>I53*$I$32</f>
        <v>33.639899999999997</v>
      </c>
    </row>
    <row r="54" spans="1:10" x14ac:dyDescent="0.25">
      <c r="A54" s="223" t="s">
        <v>11</v>
      </c>
      <c r="B54" s="7" t="s">
        <v>36</v>
      </c>
      <c r="C54" s="9">
        <v>0.01</v>
      </c>
      <c r="D54" s="8">
        <f t="shared" si="0"/>
        <v>19.0444</v>
      </c>
      <c r="E54" s="9">
        <v>0.01</v>
      </c>
      <c r="F54" s="8">
        <f t="shared" si="1"/>
        <v>19.0444</v>
      </c>
      <c r="G54" s="313">
        <v>0.01</v>
      </c>
      <c r="H54" s="327">
        <f t="shared" si="2"/>
        <v>21.0441</v>
      </c>
      <c r="I54" s="372">
        <v>0.01</v>
      </c>
      <c r="J54" s="375">
        <f t="shared" ref="J54:J59" si="3">I54*$I$32</f>
        <v>22.426600000000001</v>
      </c>
    </row>
    <row r="55" spans="1:10" x14ac:dyDescent="0.25">
      <c r="A55" s="223" t="s">
        <v>13</v>
      </c>
      <c r="B55" s="7" t="s">
        <v>37</v>
      </c>
      <c r="C55" s="9">
        <v>2E-3</v>
      </c>
      <c r="D55" s="8">
        <f t="shared" si="0"/>
        <v>3.8088800000000003</v>
      </c>
      <c r="E55" s="9">
        <v>2E-3</v>
      </c>
      <c r="F55" s="8">
        <f t="shared" si="1"/>
        <v>3.8088800000000003</v>
      </c>
      <c r="G55" s="313">
        <v>2E-3</v>
      </c>
      <c r="H55" s="327">
        <f t="shared" si="2"/>
        <v>4.2088200000000002</v>
      </c>
      <c r="I55" s="372">
        <v>2E-3</v>
      </c>
      <c r="J55" s="375">
        <f t="shared" si="3"/>
        <v>4.4853199999999998</v>
      </c>
    </row>
    <row r="56" spans="1:10" x14ac:dyDescent="0.25">
      <c r="A56" s="223" t="s">
        <v>15</v>
      </c>
      <c r="B56" s="6" t="s">
        <v>38</v>
      </c>
      <c r="C56" s="9">
        <v>2.5000000000000001E-2</v>
      </c>
      <c r="D56" s="8">
        <f t="shared" si="0"/>
        <v>47.611000000000004</v>
      </c>
      <c r="E56" s="9">
        <v>2.5000000000000001E-2</v>
      </c>
      <c r="F56" s="8">
        <f t="shared" si="1"/>
        <v>47.611000000000004</v>
      </c>
      <c r="G56" s="313">
        <v>2.5000000000000001E-2</v>
      </c>
      <c r="H56" s="327">
        <f t="shared" si="2"/>
        <v>52.610250000000001</v>
      </c>
      <c r="I56" s="372">
        <v>2.5000000000000001E-2</v>
      </c>
      <c r="J56" s="375">
        <f t="shared" si="3"/>
        <v>56.066499999999998</v>
      </c>
    </row>
    <row r="57" spans="1:10" x14ac:dyDescent="0.25">
      <c r="A57" s="223" t="s">
        <v>17</v>
      </c>
      <c r="B57" s="7" t="s">
        <v>39</v>
      </c>
      <c r="C57" s="9">
        <v>0.08</v>
      </c>
      <c r="D57" s="8">
        <f t="shared" si="0"/>
        <v>152.3552</v>
      </c>
      <c r="E57" s="9">
        <v>0.08</v>
      </c>
      <c r="F57" s="8">
        <f t="shared" si="1"/>
        <v>152.3552</v>
      </c>
      <c r="G57" s="313">
        <v>0.08</v>
      </c>
      <c r="H57" s="327">
        <f t="shared" si="2"/>
        <v>168.3528</v>
      </c>
      <c r="I57" s="372">
        <v>0.08</v>
      </c>
      <c r="J57" s="375">
        <f t="shared" si="3"/>
        <v>179.4128</v>
      </c>
    </row>
    <row r="58" spans="1:10" x14ac:dyDescent="0.25">
      <c r="A58" s="223" t="s">
        <v>19</v>
      </c>
      <c r="B58" s="7" t="s">
        <v>124</v>
      </c>
      <c r="C58" s="9">
        <v>1.52E-2</v>
      </c>
      <c r="D58" s="8">
        <f t="shared" si="0"/>
        <v>28.947488</v>
      </c>
      <c r="E58" s="9">
        <v>1.52E-2</v>
      </c>
      <c r="F58" s="8">
        <f t="shared" si="1"/>
        <v>28.947488</v>
      </c>
      <c r="G58" s="313">
        <v>1.66E-2</v>
      </c>
      <c r="H58" s="327">
        <f t="shared" si="2"/>
        <v>34.933205999999998</v>
      </c>
      <c r="I58" s="372">
        <v>1.66E-2</v>
      </c>
      <c r="J58" s="375">
        <f t="shared" si="3"/>
        <v>37.228155999999998</v>
      </c>
    </row>
    <row r="59" spans="1:10" x14ac:dyDescent="0.25">
      <c r="A59" s="223" t="s">
        <v>20</v>
      </c>
      <c r="B59" s="7" t="s">
        <v>40</v>
      </c>
      <c r="C59" s="9">
        <v>6.0000000000000001E-3</v>
      </c>
      <c r="D59" s="8">
        <f t="shared" si="0"/>
        <v>11.426640000000001</v>
      </c>
      <c r="E59" s="9">
        <v>6.0000000000000001E-3</v>
      </c>
      <c r="F59" s="8">
        <f t="shared" si="1"/>
        <v>11.426640000000001</v>
      </c>
      <c r="G59" s="313">
        <v>6.0000000000000001E-3</v>
      </c>
      <c r="H59" s="327">
        <f t="shared" si="2"/>
        <v>12.62646</v>
      </c>
      <c r="I59" s="372">
        <v>6.0000000000000001E-3</v>
      </c>
      <c r="J59" s="375">
        <f t="shared" si="3"/>
        <v>13.455959999999999</v>
      </c>
    </row>
    <row r="60" spans="1:10" x14ac:dyDescent="0.25">
      <c r="A60" s="581" t="s">
        <v>41</v>
      </c>
      <c r="B60" s="526"/>
      <c r="C60" s="432">
        <f t="shared" ref="C60:H60" si="4">SUM(C52:C59)</f>
        <v>0.35320000000000007</v>
      </c>
      <c r="D60" s="433">
        <f t="shared" si="4"/>
        <v>672.64820800000007</v>
      </c>
      <c r="E60" s="432">
        <f t="shared" si="4"/>
        <v>0.35320000000000007</v>
      </c>
      <c r="F60" s="433">
        <f t="shared" si="4"/>
        <v>672.64820800000007</v>
      </c>
      <c r="G60" s="434">
        <f t="shared" si="4"/>
        <v>0.35460000000000008</v>
      </c>
      <c r="H60" s="435">
        <f t="shared" si="4"/>
        <v>746.22378600000002</v>
      </c>
      <c r="I60" s="434">
        <f>SUM(I52:I59)</f>
        <v>0.35460000000000008</v>
      </c>
      <c r="J60" s="453">
        <f>SUM(J52:J59)</f>
        <v>795.24723600000004</v>
      </c>
    </row>
    <row r="61" spans="1:10" s="151" customFormat="1" x14ac:dyDescent="0.25">
      <c r="A61" s="582" t="s">
        <v>460</v>
      </c>
      <c r="B61" s="530"/>
      <c r="C61" s="530"/>
      <c r="D61" s="530"/>
      <c r="E61" s="404"/>
      <c r="F61" s="404"/>
      <c r="G61" s="405"/>
      <c r="H61" s="405"/>
      <c r="I61" s="406"/>
      <c r="J61" s="459"/>
    </row>
    <row r="62" spans="1:10" s="151" customFormat="1" x14ac:dyDescent="0.25">
      <c r="A62" s="582" t="s">
        <v>461</v>
      </c>
      <c r="B62" s="530"/>
      <c r="C62" s="530"/>
      <c r="D62" s="530"/>
      <c r="E62" s="404"/>
      <c r="F62" s="404"/>
      <c r="G62" s="405"/>
      <c r="H62" s="405"/>
      <c r="I62" s="406"/>
      <c r="J62" s="459"/>
    </row>
    <row r="63" spans="1:10" ht="18.75" x14ac:dyDescent="0.25">
      <c r="A63" s="588" t="s">
        <v>96</v>
      </c>
      <c r="B63" s="570"/>
      <c r="C63" s="570"/>
      <c r="D63" s="570"/>
      <c r="E63" s="570"/>
      <c r="F63" s="570"/>
      <c r="G63" s="570"/>
      <c r="H63" s="570"/>
      <c r="I63" s="570"/>
      <c r="J63" s="589"/>
    </row>
    <row r="64" spans="1:10" x14ac:dyDescent="0.25">
      <c r="A64" s="451" t="s">
        <v>42</v>
      </c>
      <c r="B64" s="426" t="s">
        <v>125</v>
      </c>
      <c r="C64" s="426" t="s">
        <v>33</v>
      </c>
      <c r="D64" s="426" t="s">
        <v>6</v>
      </c>
      <c r="E64" s="426" t="s">
        <v>33</v>
      </c>
      <c r="F64" s="426" t="s">
        <v>6</v>
      </c>
      <c r="G64" s="427" t="s">
        <v>33</v>
      </c>
      <c r="H64" s="427" t="s">
        <v>6</v>
      </c>
      <c r="I64" s="427" t="s">
        <v>33</v>
      </c>
      <c r="J64" s="452" t="s">
        <v>6</v>
      </c>
    </row>
    <row r="65" spans="1:13" x14ac:dyDescent="0.25">
      <c r="A65" s="223" t="s">
        <v>7</v>
      </c>
      <c r="B65" s="7" t="s">
        <v>43</v>
      </c>
      <c r="C65" s="216">
        <v>8.3299999999999999E-2</v>
      </c>
      <c r="D65" s="8">
        <f>C65*$C$32</f>
        <v>158.63985199999999</v>
      </c>
      <c r="E65" s="216">
        <v>8.3299999999999999E-2</v>
      </c>
      <c r="F65" s="8">
        <f>E65*$C$32</f>
        <v>158.63985199999999</v>
      </c>
      <c r="G65" s="336">
        <v>8.3299999999999999E-2</v>
      </c>
      <c r="H65" s="327">
        <f>G65*$G$32</f>
        <v>175.29735299999999</v>
      </c>
      <c r="I65" s="372">
        <v>8.3299999999999999E-2</v>
      </c>
      <c r="J65" s="375">
        <f>I65*$I$32</f>
        <v>186.81357799999998</v>
      </c>
    </row>
    <row r="66" spans="1:13" x14ac:dyDescent="0.25">
      <c r="A66" s="223" t="s">
        <v>9</v>
      </c>
      <c r="B66" s="7" t="s">
        <v>126</v>
      </c>
      <c r="C66" s="216">
        <v>2.7799999999999998E-2</v>
      </c>
      <c r="D66" s="8">
        <f>C66*$C$32</f>
        <v>52.943432000000001</v>
      </c>
      <c r="E66" s="216">
        <v>2.7799999999999998E-2</v>
      </c>
      <c r="F66" s="8">
        <f>E66*$C$32</f>
        <v>52.943432000000001</v>
      </c>
      <c r="G66" s="336">
        <v>2.7799999999999998E-2</v>
      </c>
      <c r="H66" s="327">
        <f>G66*$G$32</f>
        <v>58.502597999999992</v>
      </c>
      <c r="I66" s="372">
        <v>2.7799999999999998E-2</v>
      </c>
      <c r="J66" s="375">
        <f>I66*$I$32</f>
        <v>62.345947999999993</v>
      </c>
    </row>
    <row r="67" spans="1:13" x14ac:dyDescent="0.25">
      <c r="A67" s="223"/>
      <c r="B67" s="5" t="s">
        <v>44</v>
      </c>
      <c r="C67" s="10">
        <f t="shared" ref="C67:H67" si="5">SUM(C65:C66)</f>
        <v>0.1111</v>
      </c>
      <c r="D67" s="58">
        <f t="shared" si="5"/>
        <v>211.58328399999999</v>
      </c>
      <c r="E67" s="10">
        <f t="shared" si="5"/>
        <v>0.1111</v>
      </c>
      <c r="F67" s="58">
        <f t="shared" si="5"/>
        <v>211.58328399999999</v>
      </c>
      <c r="G67" s="314">
        <f t="shared" si="5"/>
        <v>0.1111</v>
      </c>
      <c r="H67" s="53">
        <f t="shared" si="5"/>
        <v>233.79995099999996</v>
      </c>
      <c r="I67" s="373">
        <f>SUM(I65:I66)</f>
        <v>0.1111</v>
      </c>
      <c r="J67" s="376">
        <f>SUM(J65:J66)</f>
        <v>249.15952599999997</v>
      </c>
    </row>
    <row r="68" spans="1:13" x14ac:dyDescent="0.25">
      <c r="A68" s="223" t="s">
        <v>9</v>
      </c>
      <c r="B68" s="153" t="s">
        <v>546</v>
      </c>
      <c r="C68" s="9">
        <f>C60*C67</f>
        <v>3.9240520000000008E-2</v>
      </c>
      <c r="D68" s="8">
        <f>C68*$C$32</f>
        <v>74.73121590880001</v>
      </c>
      <c r="E68" s="9">
        <f>E60*E67</f>
        <v>3.9240520000000008E-2</v>
      </c>
      <c r="F68" s="8">
        <f>E68*$C$32</f>
        <v>74.73121590880001</v>
      </c>
      <c r="G68" s="313">
        <f>G60*G67</f>
        <v>3.9396060000000011E-2</v>
      </c>
      <c r="H68" s="327">
        <f>G68*$G$32</f>
        <v>82.90546262460002</v>
      </c>
      <c r="I68" s="372">
        <f>I60*I67</f>
        <v>3.9396060000000011E-2</v>
      </c>
      <c r="J68" s="375">
        <f>I68*$I$32</f>
        <v>88.351967919600014</v>
      </c>
    </row>
    <row r="69" spans="1:13" x14ac:dyDescent="0.25">
      <c r="A69" s="581" t="s">
        <v>41</v>
      </c>
      <c r="B69" s="526"/>
      <c r="C69" s="432">
        <f t="shared" ref="C69:H69" si="6">SUM(C68,C67)</f>
        <v>0.15034052000000001</v>
      </c>
      <c r="D69" s="428">
        <f t="shared" si="6"/>
        <v>286.31449990880003</v>
      </c>
      <c r="E69" s="432">
        <f t="shared" si="6"/>
        <v>0.15034052000000001</v>
      </c>
      <c r="F69" s="428">
        <f t="shared" si="6"/>
        <v>286.31449990880003</v>
      </c>
      <c r="G69" s="434">
        <f t="shared" si="6"/>
        <v>0.15049606000000001</v>
      </c>
      <c r="H69" s="429">
        <f t="shared" si="6"/>
        <v>316.7054136246</v>
      </c>
      <c r="I69" s="434">
        <f>SUM(I68,I67)</f>
        <v>0.15049606000000001</v>
      </c>
      <c r="J69" s="454">
        <f>SUM(J68,J67)</f>
        <v>337.51149391959996</v>
      </c>
    </row>
    <row r="70" spans="1:13" ht="18.75" x14ac:dyDescent="0.25">
      <c r="A70" s="588" t="s">
        <v>45</v>
      </c>
      <c r="B70" s="570"/>
      <c r="C70" s="570"/>
      <c r="D70" s="570"/>
      <c r="E70" s="570"/>
      <c r="F70" s="570"/>
      <c r="G70" s="570"/>
      <c r="H70" s="570"/>
      <c r="I70" s="570"/>
      <c r="J70" s="589"/>
    </row>
    <row r="71" spans="1:13" x14ac:dyDescent="0.25">
      <c r="A71" s="451" t="s">
        <v>46</v>
      </c>
      <c r="B71" s="426" t="s">
        <v>47</v>
      </c>
      <c r="C71" s="426" t="s">
        <v>33</v>
      </c>
      <c r="D71" s="426" t="s">
        <v>6</v>
      </c>
      <c r="E71" s="426" t="s">
        <v>33</v>
      </c>
      <c r="F71" s="426" t="s">
        <v>6</v>
      </c>
      <c r="G71" s="427" t="s">
        <v>33</v>
      </c>
      <c r="H71" s="427" t="s">
        <v>6</v>
      </c>
      <c r="I71" s="427" t="s">
        <v>33</v>
      </c>
      <c r="J71" s="452" t="s">
        <v>6</v>
      </c>
    </row>
    <row r="72" spans="1:13" x14ac:dyDescent="0.25">
      <c r="A72" s="223" t="s">
        <v>7</v>
      </c>
      <c r="B72" s="7" t="s">
        <v>127</v>
      </c>
      <c r="C72" s="9">
        <v>7.3999999999999999E-4</v>
      </c>
      <c r="D72" s="8">
        <f>C72*$C$32</f>
        <v>1.4092856</v>
      </c>
      <c r="E72" s="9">
        <v>7.3999999999999999E-4</v>
      </c>
      <c r="F72" s="8">
        <f>E72*$C$32</f>
        <v>1.4092856</v>
      </c>
      <c r="G72" s="313">
        <v>7.3999999999999999E-4</v>
      </c>
      <c r="H72" s="327">
        <f>G72*$G$32</f>
        <v>1.5572633999999999</v>
      </c>
      <c r="I72" s="372">
        <v>7.3999999999999999E-4</v>
      </c>
      <c r="J72" s="375">
        <f>I72*$I$32</f>
        <v>1.6595683999999999</v>
      </c>
    </row>
    <row r="73" spans="1:13" x14ac:dyDescent="0.25">
      <c r="A73" s="223" t="s">
        <v>9</v>
      </c>
      <c r="B73" s="7" t="s">
        <v>48</v>
      </c>
      <c r="C73" s="9">
        <f>C60*C72</f>
        <v>2.6136800000000005E-4</v>
      </c>
      <c r="D73" s="8">
        <f>C73*$C$32</f>
        <v>0.49775967392000009</v>
      </c>
      <c r="E73" s="9">
        <f>E60*E72</f>
        <v>2.6136800000000005E-4</v>
      </c>
      <c r="F73" s="8">
        <f>E73*$C$32</f>
        <v>0.49775967392000009</v>
      </c>
      <c r="G73" s="313">
        <f>G60*G72</f>
        <v>2.6240400000000004E-4</v>
      </c>
      <c r="H73" s="327">
        <f>G73*$G$32</f>
        <v>0.5522056016400001</v>
      </c>
      <c r="I73" s="372">
        <f>I60*I72</f>
        <v>2.6240400000000004E-4</v>
      </c>
      <c r="J73" s="375">
        <f>I73*$I$32</f>
        <v>0.58848295464000011</v>
      </c>
    </row>
    <row r="74" spans="1:13" x14ac:dyDescent="0.25">
      <c r="A74" s="581" t="s">
        <v>41</v>
      </c>
      <c r="B74" s="526"/>
      <c r="C74" s="432">
        <f t="shared" ref="C74:H74" si="7">SUM(C73,C72)</f>
        <v>1.0013680000000001E-3</v>
      </c>
      <c r="D74" s="428">
        <f t="shared" si="7"/>
        <v>1.9070452739200001</v>
      </c>
      <c r="E74" s="432">
        <f t="shared" si="7"/>
        <v>1.0013680000000001E-3</v>
      </c>
      <c r="F74" s="428">
        <f t="shared" si="7"/>
        <v>1.9070452739200001</v>
      </c>
      <c r="G74" s="434">
        <f t="shared" si="7"/>
        <v>1.0024040000000001E-3</v>
      </c>
      <c r="H74" s="429">
        <f t="shared" si="7"/>
        <v>2.10946900164</v>
      </c>
      <c r="I74" s="434">
        <f>SUM(I73,I72)</f>
        <v>1.0024040000000001E-3</v>
      </c>
      <c r="J74" s="454">
        <f>SUM(J73,J72)</f>
        <v>2.2480513546400003</v>
      </c>
    </row>
    <row r="75" spans="1:13" ht="18.75" x14ac:dyDescent="0.25">
      <c r="A75" s="588" t="s">
        <v>102</v>
      </c>
      <c r="B75" s="570"/>
      <c r="C75" s="570"/>
      <c r="D75" s="570"/>
      <c r="E75" s="570"/>
      <c r="F75" s="570"/>
      <c r="G75" s="570"/>
      <c r="H75" s="570"/>
      <c r="I75" s="570"/>
      <c r="J75" s="589"/>
    </row>
    <row r="76" spans="1:13" x14ac:dyDescent="0.25">
      <c r="A76" s="451" t="s">
        <v>49</v>
      </c>
      <c r="B76" s="426" t="s">
        <v>50</v>
      </c>
      <c r="C76" s="426" t="s">
        <v>33</v>
      </c>
      <c r="D76" s="426" t="s">
        <v>6</v>
      </c>
      <c r="E76" s="426" t="s">
        <v>33</v>
      </c>
      <c r="F76" s="426" t="s">
        <v>6</v>
      </c>
      <c r="G76" s="427" t="s">
        <v>33</v>
      </c>
      <c r="H76" s="427" t="s">
        <v>6</v>
      </c>
      <c r="I76" s="427" t="s">
        <v>33</v>
      </c>
      <c r="J76" s="452" t="s">
        <v>6</v>
      </c>
    </row>
    <row r="77" spans="1:13" x14ac:dyDescent="0.25">
      <c r="A77" s="223" t="s">
        <v>7</v>
      </c>
      <c r="B77" s="7" t="s">
        <v>51</v>
      </c>
      <c r="C77" s="9">
        <v>4.1599999999999998E-2</v>
      </c>
      <c r="D77" s="8">
        <f t="shared" ref="D77:D82" si="8">C77*$C$32</f>
        <v>79.224704000000003</v>
      </c>
      <c r="E77" s="9">
        <v>4.1599999999999998E-2</v>
      </c>
      <c r="F77" s="8">
        <f t="shared" ref="F77:F82" si="9">E77*$C$32</f>
        <v>79.224704000000003</v>
      </c>
      <c r="G77" s="313">
        <v>4.1599999999999998E-2</v>
      </c>
      <c r="H77" s="327">
        <f t="shared" ref="H77:H82" si="10">G77*$G$32</f>
        <v>87.543455999999992</v>
      </c>
      <c r="I77" s="372">
        <v>4.1599999999999998E-2</v>
      </c>
      <c r="J77" s="375">
        <f t="shared" ref="J77:J82" si="11">I77*$I$32</f>
        <v>93.294655999999989</v>
      </c>
    </row>
    <row r="78" spans="1:13" x14ac:dyDescent="0.25">
      <c r="A78" s="223" t="s">
        <v>9</v>
      </c>
      <c r="B78" s="7" t="s">
        <v>495</v>
      </c>
      <c r="C78" s="9">
        <f>C60*C77</f>
        <v>1.4693120000000002E-2</v>
      </c>
      <c r="D78" s="8">
        <f>C78*$C$32</f>
        <v>27.982165452800004</v>
      </c>
      <c r="E78" s="9">
        <f>E60*E77</f>
        <v>1.4693120000000002E-2</v>
      </c>
      <c r="F78" s="8">
        <f t="shared" si="9"/>
        <v>27.982165452800004</v>
      </c>
      <c r="G78" s="313">
        <f>G60*G77</f>
        <v>1.4751360000000003E-2</v>
      </c>
      <c r="H78" s="327">
        <f t="shared" si="10"/>
        <v>31.042909497600004</v>
      </c>
      <c r="I78" s="372">
        <f>I60*I77</f>
        <v>1.4751360000000003E-2</v>
      </c>
      <c r="J78" s="375">
        <f t="shared" si="11"/>
        <v>33.082285017600007</v>
      </c>
      <c r="K78" s="4">
        <f>'$ TOTAL ATUAL'!D33</f>
        <v>-133463.52000000002</v>
      </c>
      <c r="M78" s="4">
        <f>'$ TOTAL ATUAL'!F33</f>
        <v>0</v>
      </c>
    </row>
    <row r="79" spans="1:13" x14ac:dyDescent="0.25">
      <c r="A79" s="223" t="s">
        <v>11</v>
      </c>
      <c r="B79" s="7" t="s">
        <v>98</v>
      </c>
      <c r="C79" s="216">
        <v>2.0799999999999999E-2</v>
      </c>
      <c r="D79" s="8">
        <f t="shared" si="8"/>
        <v>39.612352000000001</v>
      </c>
      <c r="E79" s="216">
        <v>2.0799999999999999E-2</v>
      </c>
      <c r="F79" s="8">
        <f t="shared" si="9"/>
        <v>39.612352000000001</v>
      </c>
      <c r="G79" s="336">
        <v>2.0799999999999999E-2</v>
      </c>
      <c r="H79" s="327">
        <f t="shared" si="10"/>
        <v>43.771727999999996</v>
      </c>
      <c r="I79" s="372">
        <v>2.0799999999999999E-2</v>
      </c>
      <c r="J79" s="375">
        <f t="shared" si="11"/>
        <v>46.647327999999995</v>
      </c>
    </row>
    <row r="80" spans="1:13" x14ac:dyDescent="0.25">
      <c r="A80" s="223" t="s">
        <v>13</v>
      </c>
      <c r="B80" s="7" t="s">
        <v>52</v>
      </c>
      <c r="C80" s="216">
        <v>2.0000000000000001E-4</v>
      </c>
      <c r="D80" s="8">
        <f t="shared" si="8"/>
        <v>0.380888</v>
      </c>
      <c r="E80" s="216">
        <v>2.0000000000000001E-4</v>
      </c>
      <c r="F80" s="8">
        <f t="shared" si="9"/>
        <v>0.380888</v>
      </c>
      <c r="G80" s="336">
        <v>2.0000000000000001E-4</v>
      </c>
      <c r="H80" s="327">
        <f t="shared" si="10"/>
        <v>0.42088199999999998</v>
      </c>
      <c r="I80" s="372">
        <v>2.0000000000000001E-4</v>
      </c>
      <c r="J80" s="375">
        <f t="shared" si="11"/>
        <v>0.44853199999999999</v>
      </c>
    </row>
    <row r="81" spans="1:14" x14ac:dyDescent="0.25">
      <c r="A81" s="223" t="s">
        <v>15</v>
      </c>
      <c r="B81" s="7" t="s">
        <v>53</v>
      </c>
      <c r="C81" s="9">
        <f>C60*C80</f>
        <v>7.0640000000000015E-5</v>
      </c>
      <c r="D81" s="8">
        <f>C81*$C$32</f>
        <v>0.13452964160000003</v>
      </c>
      <c r="E81" s="9">
        <f>E60*E80</f>
        <v>7.0640000000000015E-5</v>
      </c>
      <c r="F81" s="8">
        <f t="shared" si="9"/>
        <v>0.13452964160000003</v>
      </c>
      <c r="G81" s="313">
        <f>G60*G80</f>
        <v>7.0920000000000019E-5</v>
      </c>
      <c r="H81" s="327">
        <f t="shared" si="10"/>
        <v>0.14924475720000002</v>
      </c>
      <c r="I81" s="372">
        <f>I60*I80</f>
        <v>7.0920000000000019E-5</v>
      </c>
      <c r="J81" s="375">
        <f t="shared" si="11"/>
        <v>0.15904944720000003</v>
      </c>
    </row>
    <row r="82" spans="1:14" x14ac:dyDescent="0.25">
      <c r="A82" s="223" t="s">
        <v>17</v>
      </c>
      <c r="B82" s="224" t="s">
        <v>99</v>
      </c>
      <c r="C82" s="9">
        <v>9.7000000000000003E-3</v>
      </c>
      <c r="D82" s="8">
        <f t="shared" si="8"/>
        <v>18.473068000000001</v>
      </c>
      <c r="E82" s="9">
        <v>9.7000000000000003E-3</v>
      </c>
      <c r="F82" s="8">
        <f t="shared" si="9"/>
        <v>18.473068000000001</v>
      </c>
      <c r="G82" s="313">
        <v>9.7000000000000003E-3</v>
      </c>
      <c r="H82" s="327">
        <f t="shared" si="10"/>
        <v>20.412776999999998</v>
      </c>
      <c r="I82" s="372">
        <v>9.7000000000000003E-3</v>
      </c>
      <c r="J82" s="375">
        <f t="shared" si="11"/>
        <v>21.753802</v>
      </c>
    </row>
    <row r="83" spans="1:14" x14ac:dyDescent="0.25">
      <c r="A83" s="581" t="s">
        <v>54</v>
      </c>
      <c r="B83" s="526"/>
      <c r="C83" s="432">
        <f t="shared" ref="C83:H83" si="12">SUM(C77:C82)</f>
        <v>8.7063760000000004E-2</v>
      </c>
      <c r="D83" s="428">
        <f t="shared" si="12"/>
        <v>165.80770709440003</v>
      </c>
      <c r="E83" s="432">
        <f t="shared" si="12"/>
        <v>8.7063760000000004E-2</v>
      </c>
      <c r="F83" s="428">
        <f t="shared" si="12"/>
        <v>165.80770709440003</v>
      </c>
      <c r="G83" s="434">
        <f t="shared" si="12"/>
        <v>8.712228000000001E-2</v>
      </c>
      <c r="H83" s="429">
        <f t="shared" si="12"/>
        <v>183.34099725480002</v>
      </c>
      <c r="I83" s="434">
        <f>SUM(I77:I82)</f>
        <v>8.712228000000001E-2</v>
      </c>
      <c r="J83" s="454">
        <f>SUM(J77:J82)</f>
        <v>195.38565246479999</v>
      </c>
    </row>
    <row r="84" spans="1:14" ht="18.75" x14ac:dyDescent="0.25">
      <c r="A84" s="588" t="s">
        <v>55</v>
      </c>
      <c r="B84" s="570"/>
      <c r="C84" s="570"/>
      <c r="D84" s="570"/>
      <c r="E84" s="570"/>
      <c r="F84" s="570"/>
      <c r="G84" s="570"/>
      <c r="H84" s="570"/>
      <c r="I84" s="570"/>
      <c r="J84" s="589"/>
    </row>
    <row r="85" spans="1:14" ht="18" customHeight="1" x14ac:dyDescent="0.25">
      <c r="A85" s="451" t="s">
        <v>56</v>
      </c>
      <c r="B85" s="426" t="s">
        <v>57</v>
      </c>
      <c r="C85" s="426" t="s">
        <v>33</v>
      </c>
      <c r="D85" s="426" t="s">
        <v>6</v>
      </c>
      <c r="E85" s="426" t="s">
        <v>33</v>
      </c>
      <c r="F85" s="426" t="s">
        <v>6</v>
      </c>
      <c r="G85" s="427" t="s">
        <v>33</v>
      </c>
      <c r="H85" s="427" t="s">
        <v>6</v>
      </c>
      <c r="I85" s="427" t="s">
        <v>33</v>
      </c>
      <c r="J85" s="452" t="s">
        <v>6</v>
      </c>
    </row>
    <row r="86" spans="1:14" x14ac:dyDescent="0.25">
      <c r="A86" s="223" t="s">
        <v>7</v>
      </c>
      <c r="B86" s="7" t="s">
        <v>452</v>
      </c>
      <c r="C86" s="9">
        <v>0.1111</v>
      </c>
      <c r="D86" s="8">
        <f>C86*$C$32</f>
        <v>211.58328400000002</v>
      </c>
      <c r="E86" s="9">
        <v>0.1111</v>
      </c>
      <c r="F86" s="8">
        <f>E86*$C$32</f>
        <v>211.58328400000002</v>
      </c>
      <c r="G86" s="336">
        <v>0.1111</v>
      </c>
      <c r="H86" s="327">
        <f>G86*$G$32</f>
        <v>233.79995099999999</v>
      </c>
      <c r="I86" s="372">
        <v>0.1111</v>
      </c>
      <c r="J86" s="375">
        <f>I86*$I$32</f>
        <v>249.159526</v>
      </c>
    </row>
    <row r="87" spans="1:14" x14ac:dyDescent="0.25">
      <c r="A87" s="223" t="s">
        <v>9</v>
      </c>
      <c r="B87" s="7" t="s">
        <v>58</v>
      </c>
      <c r="C87" s="9">
        <v>1.3899999999999999E-2</v>
      </c>
      <c r="D87" s="8">
        <f>C87*$C$32</f>
        <v>26.471716000000001</v>
      </c>
      <c r="E87" s="9">
        <v>1.3899999999999999E-2</v>
      </c>
      <c r="F87" s="8">
        <f>E87*$C$32</f>
        <v>26.471716000000001</v>
      </c>
      <c r="G87" s="336">
        <v>1.3899999999999999E-2</v>
      </c>
      <c r="H87" s="327">
        <f>G87*$G$32</f>
        <v>29.251298999999996</v>
      </c>
      <c r="I87" s="372">
        <v>1.3899999999999999E-2</v>
      </c>
      <c r="J87" s="375">
        <f>I87*$I$32</f>
        <v>31.172973999999996</v>
      </c>
    </row>
    <row r="88" spans="1:14" x14ac:dyDescent="0.25">
      <c r="A88" s="223" t="s">
        <v>11</v>
      </c>
      <c r="B88" s="7" t="s">
        <v>59</v>
      </c>
      <c r="C88" s="9">
        <v>2.0000000000000001E-4</v>
      </c>
      <c r="D88" s="8">
        <f>C88*$C$32</f>
        <v>0.380888</v>
      </c>
      <c r="E88" s="9">
        <v>2.0000000000000001E-4</v>
      </c>
      <c r="F88" s="8">
        <f>E88*$C$32</f>
        <v>0.380888</v>
      </c>
      <c r="G88" s="336">
        <v>2.0000000000000001E-4</v>
      </c>
      <c r="H88" s="327">
        <f>G88*$G$32</f>
        <v>0.42088199999999998</v>
      </c>
      <c r="I88" s="372">
        <v>2.0000000000000001E-4</v>
      </c>
      <c r="J88" s="375">
        <f>I88*$I$32</f>
        <v>0.44853199999999999</v>
      </c>
    </row>
    <row r="89" spans="1:14" x14ac:dyDescent="0.25">
      <c r="A89" s="223" t="s">
        <v>13</v>
      </c>
      <c r="B89" s="7" t="s">
        <v>60</v>
      </c>
      <c r="C89" s="9">
        <v>2.8E-3</v>
      </c>
      <c r="D89" s="8">
        <f>C89*$C$32</f>
        <v>5.3324319999999998</v>
      </c>
      <c r="E89" s="9">
        <v>2.8E-3</v>
      </c>
      <c r="F89" s="8">
        <f>E89*$C$32</f>
        <v>5.3324319999999998</v>
      </c>
      <c r="G89" s="336">
        <v>2.8E-3</v>
      </c>
      <c r="H89" s="327">
        <f>G89*$G$32</f>
        <v>5.8923479999999993</v>
      </c>
      <c r="I89" s="372">
        <v>2.8E-3</v>
      </c>
      <c r="J89" s="375">
        <f>I89*$I$32</f>
        <v>6.2794479999999995</v>
      </c>
    </row>
    <row r="90" spans="1:14" x14ac:dyDescent="0.25">
      <c r="A90" s="223" t="s">
        <v>15</v>
      </c>
      <c r="B90" s="7" t="s">
        <v>61</v>
      </c>
      <c r="C90" s="9">
        <v>3.3E-3</v>
      </c>
      <c r="D90" s="8">
        <f>C90*$C$32</f>
        <v>6.2846520000000003</v>
      </c>
      <c r="E90" s="9">
        <v>3.3E-3</v>
      </c>
      <c r="F90" s="8">
        <f>E90*$C$32</f>
        <v>6.2846520000000003</v>
      </c>
      <c r="G90" s="336">
        <v>3.3E-3</v>
      </c>
      <c r="H90" s="327">
        <f>G90*$G$32</f>
        <v>6.9445529999999991</v>
      </c>
      <c r="I90" s="372">
        <v>3.3E-3</v>
      </c>
      <c r="J90" s="375">
        <f>I90*$I$32</f>
        <v>7.4007779999999999</v>
      </c>
    </row>
    <row r="91" spans="1:14" x14ac:dyDescent="0.25">
      <c r="A91" s="223" t="s">
        <v>17</v>
      </c>
      <c r="B91" s="7" t="s">
        <v>21</v>
      </c>
      <c r="C91" s="9"/>
      <c r="D91" s="8"/>
      <c r="E91" s="9"/>
      <c r="F91" s="8"/>
      <c r="G91" s="313"/>
      <c r="H91" s="327"/>
      <c r="I91" s="372"/>
      <c r="J91" s="375"/>
    </row>
    <row r="92" spans="1:14" x14ac:dyDescent="0.25">
      <c r="A92" s="223"/>
      <c r="B92" s="5" t="s">
        <v>44</v>
      </c>
      <c r="C92" s="225">
        <f t="shared" ref="C92:H92" si="13">SUM(C86:C91)</f>
        <v>0.1313</v>
      </c>
      <c r="D92" s="226">
        <f t="shared" si="13"/>
        <v>250.05297200000001</v>
      </c>
      <c r="E92" s="225">
        <f t="shared" si="13"/>
        <v>0.1313</v>
      </c>
      <c r="F92" s="226">
        <f t="shared" si="13"/>
        <v>250.05297200000001</v>
      </c>
      <c r="G92" s="314">
        <f t="shared" si="13"/>
        <v>0.1313</v>
      </c>
      <c r="H92" s="410">
        <f t="shared" si="13"/>
        <v>276.309033</v>
      </c>
      <c r="I92" s="373">
        <f>SUM(I86:I91)</f>
        <v>0.1313</v>
      </c>
      <c r="J92" s="381">
        <f>SUM(J86:J91)</f>
        <v>294.46125799999999</v>
      </c>
    </row>
    <row r="93" spans="1:14" x14ac:dyDescent="0.25">
      <c r="A93" s="223" t="s">
        <v>19</v>
      </c>
      <c r="B93" s="7" t="s">
        <v>62</v>
      </c>
      <c r="C93" s="9">
        <f>C60*C92</f>
        <v>4.6375160000000012E-2</v>
      </c>
      <c r="D93" s="8">
        <f>C93*$C$32</f>
        <v>88.318709710400029</v>
      </c>
      <c r="E93" s="9">
        <f>E60*E92</f>
        <v>4.6375160000000012E-2</v>
      </c>
      <c r="F93" s="8">
        <f>E93*$C$32</f>
        <v>88.318709710400029</v>
      </c>
      <c r="G93" s="313">
        <f>G60*G92</f>
        <v>4.6558980000000014E-2</v>
      </c>
      <c r="H93" s="327">
        <f>G93*$G$32</f>
        <v>97.979183101800018</v>
      </c>
      <c r="I93" s="372">
        <f>I60*I92</f>
        <v>4.6558980000000014E-2</v>
      </c>
      <c r="J93" s="375">
        <f>I93*$I$32</f>
        <v>104.41596208680002</v>
      </c>
    </row>
    <row r="94" spans="1:14" x14ac:dyDescent="0.25">
      <c r="A94" s="581" t="s">
        <v>54</v>
      </c>
      <c r="B94" s="526"/>
      <c r="C94" s="432">
        <f t="shared" ref="C94:H94" si="14">SUM(C92:C93)</f>
        <v>0.17767516</v>
      </c>
      <c r="D94" s="428">
        <f t="shared" si="14"/>
        <v>338.37168171040003</v>
      </c>
      <c r="E94" s="432">
        <f t="shared" si="14"/>
        <v>0.17767516</v>
      </c>
      <c r="F94" s="428">
        <f t="shared" si="14"/>
        <v>338.37168171040003</v>
      </c>
      <c r="G94" s="434">
        <f t="shared" si="14"/>
        <v>0.17785898</v>
      </c>
      <c r="H94" s="429">
        <f t="shared" si="14"/>
        <v>374.2882161018</v>
      </c>
      <c r="I94" s="434">
        <f>SUM(I92:I93)</f>
        <v>0.17785898</v>
      </c>
      <c r="J94" s="454">
        <f>SUM(J92:J93)</f>
        <v>398.87722008679998</v>
      </c>
      <c r="K94" t="s">
        <v>317</v>
      </c>
      <c r="L94" s="138">
        <f>SUM(C94+C83+C74+C69+C60)</f>
        <v>0.76928080800000009</v>
      </c>
      <c r="M94" t="s">
        <v>317</v>
      </c>
      <c r="N94" s="138">
        <f>SUM(G94+G83+G74+G69+G60)</f>
        <v>0.77107972400000002</v>
      </c>
    </row>
    <row r="95" spans="1:14" x14ac:dyDescent="0.25">
      <c r="A95" s="440"/>
      <c r="B95" s="3"/>
      <c r="C95" s="3"/>
      <c r="D95" s="3"/>
      <c r="E95" s="3"/>
      <c r="F95" s="3"/>
      <c r="G95" s="343"/>
      <c r="H95" s="343"/>
      <c r="I95" s="393"/>
      <c r="J95" s="383"/>
    </row>
    <row r="96" spans="1:14" x14ac:dyDescent="0.25">
      <c r="A96" s="613" t="s">
        <v>63</v>
      </c>
      <c r="B96" s="561"/>
      <c r="C96" s="561"/>
      <c r="D96" s="561"/>
      <c r="E96" s="561"/>
      <c r="F96" s="561"/>
      <c r="G96" s="561"/>
      <c r="H96" s="561"/>
      <c r="I96" s="561"/>
      <c r="J96" s="614"/>
    </row>
    <row r="97" spans="1:13" x14ac:dyDescent="0.25">
      <c r="A97" s="236"/>
      <c r="B97" s="3"/>
      <c r="C97" s="3"/>
      <c r="D97" s="3"/>
      <c r="E97" s="3"/>
      <c r="F97" s="3"/>
      <c r="G97" s="343"/>
      <c r="H97" s="343"/>
      <c r="I97" s="393"/>
      <c r="J97" s="383"/>
    </row>
    <row r="98" spans="1:13" x14ac:dyDescent="0.25">
      <c r="A98" s="451">
        <v>4</v>
      </c>
      <c r="B98" s="426" t="s">
        <v>64</v>
      </c>
      <c r="C98" s="426"/>
      <c r="D98" s="426" t="s">
        <v>6</v>
      </c>
      <c r="E98" s="426"/>
      <c r="F98" s="426" t="s">
        <v>6</v>
      </c>
      <c r="G98" s="427"/>
      <c r="H98" s="427" t="s">
        <v>6</v>
      </c>
      <c r="I98" s="427"/>
      <c r="J98" s="452" t="s">
        <v>6</v>
      </c>
    </row>
    <row r="99" spans="1:13" x14ac:dyDescent="0.25">
      <c r="A99" s="221" t="s">
        <v>31</v>
      </c>
      <c r="B99" s="7" t="s">
        <v>128</v>
      </c>
      <c r="C99" s="227"/>
      <c r="D99" s="64">
        <f>D60</f>
        <v>672.64820800000007</v>
      </c>
      <c r="E99" s="64"/>
      <c r="F99" s="64">
        <f>F60</f>
        <v>672.64820800000007</v>
      </c>
      <c r="G99" s="331"/>
      <c r="H99" s="400">
        <f>H60</f>
        <v>746.22378600000002</v>
      </c>
      <c r="I99" s="414"/>
      <c r="J99" s="382">
        <f>J60</f>
        <v>795.24723600000004</v>
      </c>
    </row>
    <row r="100" spans="1:13" x14ac:dyDescent="0.25">
      <c r="A100" s="221" t="s">
        <v>42</v>
      </c>
      <c r="B100" s="7" t="s">
        <v>129</v>
      </c>
      <c r="C100" s="227"/>
      <c r="D100" s="64">
        <f>D69</f>
        <v>286.31449990880003</v>
      </c>
      <c r="E100" s="64"/>
      <c r="F100" s="64">
        <f>F69</f>
        <v>286.31449990880003</v>
      </c>
      <c r="G100" s="331"/>
      <c r="H100" s="400">
        <f>H69</f>
        <v>316.7054136246</v>
      </c>
      <c r="I100" s="414"/>
      <c r="J100" s="382">
        <f>J69</f>
        <v>337.51149391959996</v>
      </c>
    </row>
    <row r="101" spans="1:13" x14ac:dyDescent="0.25">
      <c r="A101" s="221" t="s">
        <v>46</v>
      </c>
      <c r="B101" s="7" t="s">
        <v>47</v>
      </c>
      <c r="C101" s="227"/>
      <c r="D101" s="64">
        <f>D74</f>
        <v>1.9070452739200001</v>
      </c>
      <c r="E101" s="64"/>
      <c r="F101" s="64">
        <f>F74</f>
        <v>1.9070452739200001</v>
      </c>
      <c r="G101" s="331"/>
      <c r="H101" s="400">
        <f>H74</f>
        <v>2.10946900164</v>
      </c>
      <c r="I101" s="414"/>
      <c r="J101" s="382">
        <f>J74</f>
        <v>2.2480513546400003</v>
      </c>
    </row>
    <row r="102" spans="1:13" x14ac:dyDescent="0.25">
      <c r="A102" s="221" t="s">
        <v>49</v>
      </c>
      <c r="B102" s="7" t="s">
        <v>65</v>
      </c>
      <c r="C102" s="227"/>
      <c r="D102" s="64">
        <f>D83</f>
        <v>165.80770709440003</v>
      </c>
      <c r="E102" s="64"/>
      <c r="F102" s="64">
        <f>F83</f>
        <v>165.80770709440003</v>
      </c>
      <c r="G102" s="331"/>
      <c r="H102" s="400">
        <f>H83</f>
        <v>183.34099725480002</v>
      </c>
      <c r="I102" s="414"/>
      <c r="J102" s="382">
        <f>J83</f>
        <v>195.38565246479999</v>
      </c>
    </row>
    <row r="103" spans="1:13" x14ac:dyDescent="0.25">
      <c r="A103" s="221" t="s">
        <v>56</v>
      </c>
      <c r="B103" s="7" t="s">
        <v>66</v>
      </c>
      <c r="C103" s="227"/>
      <c r="D103" s="64">
        <f>D94</f>
        <v>338.37168171040003</v>
      </c>
      <c r="E103" s="64"/>
      <c r="F103" s="64">
        <f>F94</f>
        <v>338.37168171040003</v>
      </c>
      <c r="G103" s="331"/>
      <c r="H103" s="400">
        <f>H94</f>
        <v>374.2882161018</v>
      </c>
      <c r="I103" s="414"/>
      <c r="J103" s="382">
        <f>J94</f>
        <v>398.87722008679998</v>
      </c>
    </row>
    <row r="104" spans="1:13" x14ac:dyDescent="0.25">
      <c r="A104" s="221" t="s">
        <v>67</v>
      </c>
      <c r="B104" s="7" t="s">
        <v>68</v>
      </c>
      <c r="C104" s="6"/>
      <c r="D104" s="3"/>
      <c r="E104" s="3"/>
      <c r="F104" s="3"/>
      <c r="G104" s="388"/>
      <c r="H104" s="343"/>
      <c r="I104" s="416"/>
      <c r="J104" s="383"/>
    </row>
    <row r="105" spans="1:13" x14ac:dyDescent="0.25">
      <c r="A105" s="581" t="s">
        <v>54</v>
      </c>
      <c r="B105" s="526"/>
      <c r="C105" s="436"/>
      <c r="D105" s="436">
        <f>SUM(D99:D104)</f>
        <v>1465.0491419875202</v>
      </c>
      <c r="E105" s="436"/>
      <c r="F105" s="436">
        <f>SUM(F99:F104)</f>
        <v>1465.0491419875202</v>
      </c>
      <c r="G105" s="437"/>
      <c r="H105" s="437">
        <f>SUM(H99:H104)</f>
        <v>1622.6678819828398</v>
      </c>
      <c r="I105" s="437"/>
      <c r="J105" s="455">
        <f>SUM(J99:J104)</f>
        <v>1729.2696538258399</v>
      </c>
    </row>
    <row r="106" spans="1:13" s="152" customFormat="1" x14ac:dyDescent="0.25">
      <c r="A106" s="582"/>
      <c r="B106" s="530"/>
      <c r="C106" s="530"/>
      <c r="D106" s="530"/>
      <c r="E106" s="404"/>
      <c r="F106" s="404"/>
      <c r="G106" s="405"/>
      <c r="H106" s="405"/>
      <c r="I106" s="406"/>
      <c r="J106" s="459"/>
    </row>
    <row r="107" spans="1:13" ht="18.75" x14ac:dyDescent="0.25">
      <c r="A107" s="563" t="s">
        <v>69</v>
      </c>
      <c r="B107" s="564"/>
      <c r="C107" s="564"/>
      <c r="D107" s="564"/>
      <c r="E107" s="564"/>
      <c r="F107" s="564"/>
      <c r="G107" s="564"/>
      <c r="H107" s="564"/>
      <c r="I107" s="564"/>
      <c r="J107" s="565"/>
    </row>
    <row r="108" spans="1:13" x14ac:dyDescent="0.25">
      <c r="A108" s="456">
        <v>5</v>
      </c>
      <c r="B108" s="426" t="s">
        <v>70</v>
      </c>
      <c r="C108" s="426" t="s">
        <v>33</v>
      </c>
      <c r="D108" s="426" t="s">
        <v>6</v>
      </c>
      <c r="E108" s="426" t="s">
        <v>33</v>
      </c>
      <c r="F108" s="426" t="s">
        <v>6</v>
      </c>
      <c r="G108" s="427" t="s">
        <v>33</v>
      </c>
      <c r="H108" s="427" t="s">
        <v>6</v>
      </c>
      <c r="I108" s="427" t="s">
        <v>33</v>
      </c>
      <c r="J108" s="452" t="s">
        <v>6</v>
      </c>
    </row>
    <row r="109" spans="1:13" x14ac:dyDescent="0.25">
      <c r="A109" s="223" t="s">
        <v>7</v>
      </c>
      <c r="B109" s="7" t="s">
        <v>71</v>
      </c>
      <c r="C109" s="9">
        <v>2.6100000000000002E-2</v>
      </c>
      <c r="D109" s="8">
        <f>SUM(C32+C42+C48+D105)*C109</f>
        <v>104.75977741587428</v>
      </c>
      <c r="E109" s="9">
        <v>2.6100000000000002E-2</v>
      </c>
      <c r="F109" s="8">
        <f>SUM(E32+E42+E48+F105)*E109</f>
        <v>106.6540566908743</v>
      </c>
      <c r="G109" s="313">
        <v>2.6100000000000002E-2</v>
      </c>
      <c r="H109" s="327">
        <f>SUM(G32+G42+G48+H105)*G109</f>
        <v>117.6510447847521</v>
      </c>
      <c r="I109" s="372">
        <v>2.6100000000000002E-2</v>
      </c>
      <c r="J109" s="375">
        <f>SUM(I32+I42+I48+J105)*I109</f>
        <v>126.30044615485443</v>
      </c>
    </row>
    <row r="110" spans="1:13" x14ac:dyDescent="0.25">
      <c r="A110" s="223" t="s">
        <v>9</v>
      </c>
      <c r="B110" s="1" t="s">
        <v>72</v>
      </c>
      <c r="C110" s="225">
        <v>0.14249999999999999</v>
      </c>
      <c r="D110" s="8"/>
      <c r="E110" s="225">
        <v>0.14249999999999999</v>
      </c>
      <c r="F110" s="8"/>
      <c r="G110" s="314">
        <v>0.14249999999999999</v>
      </c>
      <c r="H110" s="327"/>
      <c r="I110" s="373">
        <v>0.14249999999999999</v>
      </c>
      <c r="J110" s="375"/>
      <c r="K110" s="60">
        <v>1.6500000000000001E-2</v>
      </c>
      <c r="M110" s="317">
        <v>1.6500000000000001E-2</v>
      </c>
    </row>
    <row r="111" spans="1:13" x14ac:dyDescent="0.25">
      <c r="A111" s="223"/>
      <c r="B111" s="7" t="s">
        <v>131</v>
      </c>
      <c r="C111" s="9"/>
      <c r="D111" s="8">
        <f>ROUND(K116*K112,2)</f>
        <v>448.72</v>
      </c>
      <c r="E111" s="9"/>
      <c r="F111" s="8">
        <f>ROUND(M116*M112,2)</f>
        <v>456.83</v>
      </c>
      <c r="G111" s="313"/>
      <c r="H111" s="327">
        <f>ROUND(M118*M112,2)</f>
        <v>503.93</v>
      </c>
      <c r="I111" s="372"/>
      <c r="J111" s="375">
        <f>ROUND(M120*M112,2)</f>
        <v>540.98</v>
      </c>
      <c r="K111" s="60">
        <v>7.5999999999999998E-2</v>
      </c>
      <c r="M111" s="317">
        <v>7.5999999999999998E-2</v>
      </c>
    </row>
    <row r="112" spans="1:13" x14ac:dyDescent="0.25">
      <c r="A112" s="223"/>
      <c r="B112" s="7" t="s">
        <v>130</v>
      </c>
      <c r="C112" s="9"/>
      <c r="D112" s="8">
        <f>ROUND(K116*K113,2)</f>
        <v>242.55</v>
      </c>
      <c r="E112" s="9"/>
      <c r="F112" s="8">
        <f>ROUND(M116*M113,2)</f>
        <v>246.94</v>
      </c>
      <c r="G112" s="313"/>
      <c r="H112" s="327">
        <f>ROUND(M118*M113,2)</f>
        <v>272.39999999999998</v>
      </c>
      <c r="I112" s="372"/>
      <c r="J112" s="375">
        <f>ROUND(M120*M113,2)</f>
        <v>292.42</v>
      </c>
      <c r="K112" s="60">
        <f>SUM(K110:K111)</f>
        <v>9.2499999999999999E-2</v>
      </c>
      <c r="M112" s="317">
        <f>SUM(M110:M111)</f>
        <v>9.2499999999999999E-2</v>
      </c>
    </row>
    <row r="113" spans="1:13" x14ac:dyDescent="0.25">
      <c r="A113" s="223"/>
      <c r="B113" s="7" t="s">
        <v>132</v>
      </c>
      <c r="C113" s="9"/>
      <c r="D113" s="8"/>
      <c r="E113" s="9"/>
      <c r="F113" s="8"/>
      <c r="G113" s="313"/>
      <c r="H113" s="327"/>
      <c r="I113" s="372"/>
      <c r="J113" s="375"/>
      <c r="K113" s="60">
        <v>0.05</v>
      </c>
      <c r="M113" s="317">
        <v>0.05</v>
      </c>
    </row>
    <row r="114" spans="1:13" x14ac:dyDescent="0.25">
      <c r="A114" s="223"/>
      <c r="B114" s="7" t="s">
        <v>133</v>
      </c>
      <c r="C114" s="9"/>
      <c r="D114" s="8"/>
      <c r="E114" s="9"/>
      <c r="F114" s="8"/>
      <c r="G114" s="313"/>
      <c r="H114" s="327"/>
      <c r="I114" s="372"/>
      <c r="J114" s="375"/>
    </row>
    <row r="115" spans="1:13" x14ac:dyDescent="0.25">
      <c r="A115" s="229" t="s">
        <v>11</v>
      </c>
      <c r="B115" s="7" t="s">
        <v>134</v>
      </c>
      <c r="C115" s="230">
        <v>0.01</v>
      </c>
      <c r="D115" s="8">
        <f>SUM(D109+D105+C48+C42+C32)*C115</f>
        <v>41.185443527367276</v>
      </c>
      <c r="E115" s="230">
        <v>0.01</v>
      </c>
      <c r="F115" s="8">
        <f>SUM(F109+F105+E48+E42+E32)*E115</f>
        <v>41.930163820117286</v>
      </c>
      <c r="G115" s="315">
        <v>0.01</v>
      </c>
      <c r="H115" s="327">
        <f>SUM(H109+H105+G48+G42+G32)*G115</f>
        <v>46.253539101009245</v>
      </c>
      <c r="I115" s="373">
        <v>0.01</v>
      </c>
      <c r="J115" s="375">
        <f>SUM(J109+J105+I48+I42+I32)*I115</f>
        <v>49.653979999806943</v>
      </c>
      <c r="M115" s="318"/>
    </row>
    <row r="116" spans="1:13" x14ac:dyDescent="0.25">
      <c r="A116" s="581" t="s">
        <v>41</v>
      </c>
      <c r="B116" s="526"/>
      <c r="C116" s="526"/>
      <c r="D116" s="436">
        <f>SUM(D109:D115)</f>
        <v>837.21522094324166</v>
      </c>
      <c r="E116" s="436"/>
      <c r="F116" s="436">
        <f>SUM(F109:F115)</f>
        <v>852.35422051099158</v>
      </c>
      <c r="G116" s="437"/>
      <c r="H116" s="437">
        <f>SUM(H109:H115)</f>
        <v>940.23458388576125</v>
      </c>
      <c r="I116" s="437"/>
      <c r="J116" s="455">
        <f>SUM(J109:J115)</f>
        <v>1009.3544261546614</v>
      </c>
      <c r="K116" s="59">
        <f>SUM(D115+D109+D105+C48+C42+C32)/(1-C110)</f>
        <v>4850.9968469552123</v>
      </c>
      <c r="M116" s="316">
        <f>SUM(F115+F109+F105+E48+E42+E32)/(1-E110)</f>
        <v>4938.7131729817429</v>
      </c>
    </row>
    <row r="117" spans="1:13" x14ac:dyDescent="0.25">
      <c r="A117" s="580" t="s">
        <v>73</v>
      </c>
      <c r="B117" s="528"/>
      <c r="C117" s="528"/>
      <c r="D117" s="528"/>
      <c r="E117" s="396"/>
      <c r="F117" s="396"/>
      <c r="G117" s="420"/>
      <c r="H117" s="420"/>
      <c r="I117" s="421"/>
      <c r="J117" s="463"/>
    </row>
    <row r="118" spans="1:13" x14ac:dyDescent="0.25">
      <c r="A118" s="580" t="s">
        <v>74</v>
      </c>
      <c r="B118" s="528"/>
      <c r="C118" s="528"/>
      <c r="D118" s="528"/>
      <c r="E118" s="396"/>
      <c r="F118" s="396"/>
      <c r="G118" s="420"/>
      <c r="H118" s="420"/>
      <c r="I118" s="421"/>
      <c r="J118" s="463"/>
      <c r="M118" s="316">
        <f>SUM(H115+H109+H105+G48+G42+G32)/(1-G110)</f>
        <v>5447.938716270477</v>
      </c>
    </row>
    <row r="119" spans="1:13" ht="15.75" thickBot="1" x14ac:dyDescent="0.3">
      <c r="A119" s="583" t="s">
        <v>135</v>
      </c>
      <c r="B119" s="527"/>
      <c r="C119" s="527"/>
      <c r="D119" s="527"/>
      <c r="E119" s="422"/>
      <c r="F119" s="422"/>
      <c r="G119" s="423"/>
      <c r="H119" s="423"/>
      <c r="I119" s="424"/>
      <c r="J119" s="464"/>
    </row>
    <row r="120" spans="1:13" ht="15.75" thickBot="1" x14ac:dyDescent="0.3">
      <c r="A120" s="583" t="s">
        <v>75</v>
      </c>
      <c r="B120" s="527"/>
      <c r="C120" s="527"/>
      <c r="D120" s="527"/>
      <c r="E120" s="422"/>
      <c r="F120" s="422"/>
      <c r="G120" s="423"/>
      <c r="H120" s="423"/>
      <c r="I120" s="424"/>
      <c r="J120" s="464"/>
      <c r="M120" s="469">
        <f>SUM(J115+J109+J105+I48+I42+I32)/(1-I110)</f>
        <v>5848.4571195107883</v>
      </c>
    </row>
    <row r="121" spans="1:13" x14ac:dyDescent="0.25">
      <c r="A121" s="442"/>
      <c r="B121" s="3"/>
      <c r="C121" s="3"/>
      <c r="D121" s="3"/>
      <c r="E121" s="3"/>
      <c r="F121" s="3"/>
      <c r="G121" s="343"/>
      <c r="H121" s="343"/>
      <c r="I121" s="393"/>
      <c r="J121" s="383"/>
    </row>
    <row r="122" spans="1:13" x14ac:dyDescent="0.25">
      <c r="A122" s="581" t="s">
        <v>76</v>
      </c>
      <c r="B122" s="526"/>
      <c r="C122" s="526" t="s">
        <v>77</v>
      </c>
      <c r="D122" s="526"/>
      <c r="E122" s="526" t="s">
        <v>77</v>
      </c>
      <c r="F122" s="526"/>
      <c r="G122" s="525" t="s">
        <v>77</v>
      </c>
      <c r="H122" s="525"/>
      <c r="I122" s="525" t="s">
        <v>77</v>
      </c>
      <c r="J122" s="599"/>
      <c r="K122" s="4">
        <f>'$ TOTAL ATUAL'!D33</f>
        <v>-133463.52000000002</v>
      </c>
      <c r="M122" s="4">
        <f>'$ TOTAL ATUAL'!F33</f>
        <v>0</v>
      </c>
    </row>
    <row r="123" spans="1:13" x14ac:dyDescent="0.25">
      <c r="A123" s="223" t="s">
        <v>7</v>
      </c>
      <c r="B123" s="7" t="s">
        <v>78</v>
      </c>
      <c r="C123" s="518">
        <f>C32</f>
        <v>1904.44</v>
      </c>
      <c r="D123" s="519"/>
      <c r="E123" s="518">
        <f>E32</f>
        <v>1904.44</v>
      </c>
      <c r="F123" s="519"/>
      <c r="G123" s="522">
        <f>G32</f>
        <v>2104.41</v>
      </c>
      <c r="H123" s="523"/>
      <c r="I123" s="515">
        <f>I32</f>
        <v>2242.66</v>
      </c>
      <c r="J123" s="593"/>
    </row>
    <row r="124" spans="1:13" x14ac:dyDescent="0.25">
      <c r="A124" s="223" t="s">
        <v>9</v>
      </c>
      <c r="B124" s="7" t="s">
        <v>79</v>
      </c>
      <c r="C124" s="518">
        <f>C42</f>
        <v>595.36210000000005</v>
      </c>
      <c r="D124" s="519"/>
      <c r="E124" s="518">
        <f>E42</f>
        <v>667.93984999999998</v>
      </c>
      <c r="F124" s="519"/>
      <c r="G124" s="522">
        <f>G42</f>
        <v>731.69164999999998</v>
      </c>
      <c r="H124" s="523"/>
      <c r="I124" s="515">
        <f>I42</f>
        <v>818.23790000000008</v>
      </c>
      <c r="J124" s="593"/>
    </row>
    <row r="125" spans="1:13" ht="30" x14ac:dyDescent="0.25">
      <c r="A125" s="223" t="s">
        <v>11</v>
      </c>
      <c r="B125" s="7" t="s">
        <v>80</v>
      </c>
      <c r="C125" s="518">
        <f>C48</f>
        <v>48.933333333333337</v>
      </c>
      <c r="D125" s="519"/>
      <c r="E125" s="518">
        <f>E48</f>
        <v>48.933333333333337</v>
      </c>
      <c r="F125" s="519"/>
      <c r="G125" s="522">
        <f>G48</f>
        <v>48.933333333333337</v>
      </c>
      <c r="H125" s="523"/>
      <c r="I125" s="515">
        <f>I48</f>
        <v>48.93</v>
      </c>
      <c r="J125" s="593"/>
    </row>
    <row r="126" spans="1:13" x14ac:dyDescent="0.25">
      <c r="A126" s="223" t="s">
        <v>13</v>
      </c>
      <c r="B126" s="7" t="s">
        <v>64</v>
      </c>
      <c r="C126" s="518">
        <f>D105</f>
        <v>1465.0491419875202</v>
      </c>
      <c r="D126" s="519"/>
      <c r="E126" s="518">
        <f>F105</f>
        <v>1465.0491419875202</v>
      </c>
      <c r="F126" s="519"/>
      <c r="G126" s="522">
        <f>H105</f>
        <v>1622.6678819828398</v>
      </c>
      <c r="H126" s="523"/>
      <c r="I126" s="515">
        <f>J105</f>
        <v>1729.2696538258399</v>
      </c>
      <c r="J126" s="593"/>
    </row>
    <row r="127" spans="1:13" x14ac:dyDescent="0.25">
      <c r="A127" s="578" t="s">
        <v>81</v>
      </c>
      <c r="B127" s="533"/>
      <c r="C127" s="518">
        <f>SUM(C123:D126)</f>
        <v>4013.7845753208535</v>
      </c>
      <c r="D127" s="519"/>
      <c r="E127" s="518">
        <f>SUM(E123:F126)</f>
        <v>4086.3623253208539</v>
      </c>
      <c r="F127" s="519"/>
      <c r="G127" s="522">
        <f>SUM(G123:H126)</f>
        <v>4507.7028653161724</v>
      </c>
      <c r="H127" s="523"/>
      <c r="I127" s="515">
        <f>SUM(I123:J126)</f>
        <v>4839.0975538258399</v>
      </c>
      <c r="J127" s="593"/>
    </row>
    <row r="128" spans="1:13" x14ac:dyDescent="0.25">
      <c r="A128" s="223" t="s">
        <v>15</v>
      </c>
      <c r="B128" s="7" t="s">
        <v>82</v>
      </c>
      <c r="C128" s="518">
        <f>D116</f>
        <v>837.21522094324166</v>
      </c>
      <c r="D128" s="519"/>
      <c r="E128" s="518">
        <f>F116</f>
        <v>852.35422051099158</v>
      </c>
      <c r="F128" s="519"/>
      <c r="G128" s="522">
        <f>H116</f>
        <v>940.23458388576125</v>
      </c>
      <c r="H128" s="523"/>
      <c r="I128" s="515">
        <f>J116</f>
        <v>1009.3544261546614</v>
      </c>
      <c r="J128" s="593"/>
    </row>
    <row r="129" spans="1:14" ht="15.75" thickBot="1" x14ac:dyDescent="0.3">
      <c r="A129" s="574" t="s">
        <v>83</v>
      </c>
      <c r="B129" s="575"/>
      <c r="C129" s="576">
        <f>SUM(C127:C128)</f>
        <v>4850.9997962640955</v>
      </c>
      <c r="D129" s="577"/>
      <c r="E129" s="591">
        <f>SUM(E127:E128)</f>
        <v>4938.716545831845</v>
      </c>
      <c r="F129" s="592"/>
      <c r="G129" s="572">
        <f>SUM(G127:G128)</f>
        <v>5447.9374492019333</v>
      </c>
      <c r="H129" s="573"/>
      <c r="I129" s="572">
        <f>SUM(I127:I128)</f>
        <v>5848.4519799805012</v>
      </c>
      <c r="J129" s="596"/>
    </row>
    <row r="130" spans="1:14" x14ac:dyDescent="0.25">
      <c r="L130" s="4"/>
      <c r="N130" s="4"/>
    </row>
  </sheetData>
  <mergeCells count="77">
    <mergeCell ref="A1:J1"/>
    <mergeCell ref="J45:J46"/>
    <mergeCell ref="A107:J107"/>
    <mergeCell ref="A96:J96"/>
    <mergeCell ref="A18:J18"/>
    <mergeCell ref="A50:J50"/>
    <mergeCell ref="A63:J63"/>
    <mergeCell ref="A8:C8"/>
    <mergeCell ref="I127:J127"/>
    <mergeCell ref="I128:J128"/>
    <mergeCell ref="I129:J129"/>
    <mergeCell ref="I9:J9"/>
    <mergeCell ref="A75:J75"/>
    <mergeCell ref="A84:J84"/>
    <mergeCell ref="I122:J122"/>
    <mergeCell ref="I123:J123"/>
    <mergeCell ref="A17:J17"/>
    <mergeCell ref="I124:J124"/>
    <mergeCell ref="I125:J125"/>
    <mergeCell ref="A2:J2"/>
    <mergeCell ref="E125:F125"/>
    <mergeCell ref="E126:F126"/>
    <mergeCell ref="A118:D118"/>
    <mergeCell ref="A116:C116"/>
    <mergeCell ref="A119:D119"/>
    <mergeCell ref="A122:B122"/>
    <mergeCell ref="I126:J126"/>
    <mergeCell ref="A3:J3"/>
    <mergeCell ref="A4:J4"/>
    <mergeCell ref="E129:F129"/>
    <mergeCell ref="E122:F122"/>
    <mergeCell ref="E123:F123"/>
    <mergeCell ref="E124:F124"/>
    <mergeCell ref="A106:D106"/>
    <mergeCell ref="E127:F127"/>
    <mergeCell ref="E128:F128"/>
    <mergeCell ref="A74:B74"/>
    <mergeCell ref="A83:B83"/>
    <mergeCell ref="B5:C5"/>
    <mergeCell ref="A6:C6"/>
    <mergeCell ref="A120:D120"/>
    <mergeCell ref="A14:C14"/>
    <mergeCell ref="A15:B15"/>
    <mergeCell ref="A16:B16"/>
    <mergeCell ref="A23:C23"/>
    <mergeCell ref="A48:B48"/>
    <mergeCell ref="A42:B42"/>
    <mergeCell ref="A43:C43"/>
    <mergeCell ref="A70:J70"/>
    <mergeCell ref="A60:B60"/>
    <mergeCell ref="A49:C49"/>
    <mergeCell ref="A117:D117"/>
    <mergeCell ref="A105:B105"/>
    <mergeCell ref="A32:B32"/>
    <mergeCell ref="A33:C33"/>
    <mergeCell ref="A94:B94"/>
    <mergeCell ref="A69:B69"/>
    <mergeCell ref="A61:D61"/>
    <mergeCell ref="A62:D62"/>
    <mergeCell ref="A129:B129"/>
    <mergeCell ref="C129:D129"/>
    <mergeCell ref="C122:D122"/>
    <mergeCell ref="C123:D123"/>
    <mergeCell ref="C124:D124"/>
    <mergeCell ref="C125:D125"/>
    <mergeCell ref="C126:D126"/>
    <mergeCell ref="A127:B127"/>
    <mergeCell ref="C127:D127"/>
    <mergeCell ref="C128:D128"/>
    <mergeCell ref="G129:H129"/>
    <mergeCell ref="G128:H128"/>
    <mergeCell ref="G122:H122"/>
    <mergeCell ref="G123:H123"/>
    <mergeCell ref="G124:H124"/>
    <mergeCell ref="G125:H125"/>
    <mergeCell ref="G126:H126"/>
    <mergeCell ref="G127:H127"/>
  </mergeCells>
  <printOptions horizontalCentered="1"/>
  <pageMargins left="0.9055118110236221" right="0.78740157480314965" top="0.78740157480314965" bottom="0.98425196850393704" header="0.31496062992125984" footer="0.31496062992125984"/>
  <pageSetup paperSize="9" scale="40" fitToHeight="0" orientation="portrait" horizontalDpi="4294967295" verticalDpi="4294967295" r:id="rId1"/>
  <rowBreaks count="1" manualBreakCount="1">
    <brk id="105" max="9" man="1"/>
  </rowBreaks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0"/>
  <sheetViews>
    <sheetView view="pageBreakPreview" topLeftCell="A13" zoomScale="80" zoomScaleNormal="100" zoomScaleSheetLayoutView="80" workbookViewId="0">
      <selection activeCell="I11" sqref="I11"/>
    </sheetView>
  </sheetViews>
  <sheetFormatPr defaultRowHeight="15" x14ac:dyDescent="0.25"/>
  <cols>
    <col min="1" max="1" width="14.28515625" style="54" customWidth="1"/>
    <col min="2" max="2" width="58" style="54" customWidth="1"/>
    <col min="3" max="3" width="22" style="54" hidden="1" customWidth="1"/>
    <col min="4" max="6" width="23.140625" style="54" hidden="1" customWidth="1"/>
    <col min="7" max="7" width="23.140625" style="54" customWidth="1"/>
    <col min="8" max="8" width="24.7109375" style="54" customWidth="1"/>
    <col min="9" max="9" width="20.28515625" style="370" customWidth="1"/>
    <col min="10" max="10" width="23.42578125" style="370" customWidth="1"/>
    <col min="11" max="11" width="17.85546875" customWidth="1"/>
    <col min="13" max="13" width="17.85546875" customWidth="1"/>
    <col min="14" max="14" width="10.28515625" bestFit="1" customWidth="1"/>
  </cols>
  <sheetData>
    <row r="1" spans="1:10" x14ac:dyDescent="0.25">
      <c r="A1" s="623" t="s">
        <v>337</v>
      </c>
      <c r="B1" s="624"/>
      <c r="C1" s="624"/>
      <c r="D1" s="624"/>
      <c r="E1" s="624"/>
      <c r="F1" s="624"/>
      <c r="G1" s="624"/>
      <c r="H1" s="624"/>
      <c r="I1" s="624"/>
      <c r="J1" s="625"/>
    </row>
    <row r="2" spans="1:10" x14ac:dyDescent="0.25">
      <c r="A2" s="626"/>
      <c r="B2" s="524"/>
      <c r="C2" s="524"/>
      <c r="D2" s="524"/>
      <c r="E2" s="524"/>
      <c r="F2" s="524"/>
      <c r="G2" s="524"/>
      <c r="H2" s="524"/>
      <c r="I2" s="524"/>
      <c r="J2" s="627"/>
    </row>
    <row r="3" spans="1:10" x14ac:dyDescent="0.25">
      <c r="A3" s="602" t="s">
        <v>497</v>
      </c>
      <c r="B3" s="603"/>
      <c r="C3" s="603"/>
      <c r="D3" s="603"/>
      <c r="E3" s="603"/>
      <c r="F3" s="603"/>
      <c r="G3" s="603"/>
      <c r="H3" s="603"/>
      <c r="I3" s="603"/>
      <c r="J3" s="604"/>
    </row>
    <row r="4" spans="1:10" x14ac:dyDescent="0.25">
      <c r="A4" s="605" t="s">
        <v>112</v>
      </c>
      <c r="B4" s="606"/>
      <c r="C4" s="606"/>
      <c r="D4" s="606"/>
      <c r="E4" s="606"/>
      <c r="F4" s="606"/>
      <c r="G4" s="606"/>
      <c r="H4" s="606"/>
      <c r="I4" s="606"/>
      <c r="J4" s="607"/>
    </row>
    <row r="5" spans="1:10" x14ac:dyDescent="0.25">
      <c r="A5" s="231" t="s">
        <v>84</v>
      </c>
      <c r="B5" s="533" t="s">
        <v>113</v>
      </c>
      <c r="C5" s="533"/>
      <c r="D5" s="3"/>
      <c r="E5" s="3"/>
      <c r="F5" s="3"/>
      <c r="G5" s="3"/>
      <c r="H5" s="3"/>
      <c r="I5" s="389"/>
      <c r="J5" s="457"/>
    </row>
    <row r="6" spans="1:10" x14ac:dyDescent="0.25">
      <c r="A6" s="590" t="s">
        <v>114</v>
      </c>
      <c r="B6" s="553"/>
      <c r="C6" s="553"/>
      <c r="D6" s="3"/>
      <c r="E6" s="3"/>
      <c r="F6" s="3"/>
      <c r="G6" s="3"/>
      <c r="H6" s="3"/>
      <c r="I6" s="389"/>
      <c r="J6" s="457"/>
    </row>
    <row r="7" spans="1:10" x14ac:dyDescent="0.25">
      <c r="A7" s="387"/>
      <c r="B7" s="384"/>
      <c r="C7" s="384"/>
      <c r="D7" s="3"/>
      <c r="E7" s="3"/>
      <c r="F7" s="3"/>
      <c r="G7" s="384"/>
      <c r="H7" s="3"/>
      <c r="I7" s="391"/>
      <c r="J7" s="457"/>
    </row>
    <row r="8" spans="1:10" x14ac:dyDescent="0.25">
      <c r="A8" s="618" t="s">
        <v>85</v>
      </c>
      <c r="B8" s="554"/>
      <c r="C8" s="554"/>
      <c r="D8" s="3"/>
      <c r="E8" s="3"/>
      <c r="F8" s="3"/>
      <c r="G8" s="3"/>
      <c r="H8" s="3"/>
      <c r="I8" s="389"/>
      <c r="J8" s="457"/>
    </row>
    <row r="9" spans="1:10" x14ac:dyDescent="0.25">
      <c r="A9" s="221" t="s">
        <v>7</v>
      </c>
      <c r="B9" s="7" t="s">
        <v>115</v>
      </c>
      <c r="C9" s="232">
        <v>42227</v>
      </c>
      <c r="D9" s="48"/>
      <c r="E9" s="232">
        <v>42227</v>
      </c>
      <c r="F9" s="48"/>
      <c r="G9" s="332">
        <v>42423</v>
      </c>
      <c r="H9" s="343"/>
      <c r="I9" s="597">
        <v>42815</v>
      </c>
      <c r="J9" s="598"/>
    </row>
    <row r="10" spans="1:10" x14ac:dyDescent="0.25">
      <c r="A10" s="221" t="s">
        <v>9</v>
      </c>
      <c r="B10" s="7" t="s">
        <v>86</v>
      </c>
      <c r="C10" s="2" t="s">
        <v>87</v>
      </c>
      <c r="D10" s="48"/>
      <c r="E10" s="2" t="s">
        <v>87</v>
      </c>
      <c r="F10" s="48"/>
      <c r="G10" s="333" t="s">
        <v>87</v>
      </c>
      <c r="H10" s="343"/>
      <c r="I10" s="364" t="s">
        <v>87</v>
      </c>
      <c r="J10" s="383"/>
    </row>
    <row r="11" spans="1:10" ht="30" x14ac:dyDescent="0.25">
      <c r="A11" s="221" t="s">
        <v>11</v>
      </c>
      <c r="B11" s="7" t="s">
        <v>116</v>
      </c>
      <c r="C11" s="2" t="s">
        <v>117</v>
      </c>
      <c r="D11" s="3"/>
      <c r="E11" s="334" t="s">
        <v>500</v>
      </c>
      <c r="F11" s="3"/>
      <c r="G11" s="334" t="s">
        <v>538</v>
      </c>
      <c r="H11" s="343"/>
      <c r="I11" s="367" t="s">
        <v>538</v>
      </c>
      <c r="J11" s="383"/>
    </row>
    <row r="12" spans="1:10" x14ac:dyDescent="0.25">
      <c r="A12" s="221" t="s">
        <v>13</v>
      </c>
      <c r="B12" s="7" t="s">
        <v>88</v>
      </c>
      <c r="C12" s="2" t="s">
        <v>89</v>
      </c>
      <c r="D12" s="3"/>
      <c r="E12" s="2" t="s">
        <v>89</v>
      </c>
      <c r="F12" s="3"/>
      <c r="G12" s="333" t="s">
        <v>89</v>
      </c>
      <c r="H12" s="343"/>
      <c r="I12" s="364" t="s">
        <v>89</v>
      </c>
      <c r="J12" s="383"/>
    </row>
    <row r="13" spans="1:10" x14ac:dyDescent="0.25">
      <c r="A13" s="387"/>
      <c r="B13" s="384"/>
      <c r="C13" s="384"/>
      <c r="D13" s="3"/>
      <c r="E13" s="3"/>
      <c r="F13" s="3"/>
      <c r="G13" s="394"/>
      <c r="H13" s="343"/>
      <c r="I13" s="395"/>
      <c r="J13" s="383"/>
    </row>
    <row r="14" spans="1:10" x14ac:dyDescent="0.25">
      <c r="A14" s="580" t="s">
        <v>90</v>
      </c>
      <c r="B14" s="528"/>
      <c r="C14" s="528"/>
      <c r="D14" s="3"/>
      <c r="E14" s="3"/>
      <c r="F14" s="3"/>
      <c r="G14" s="343"/>
      <c r="H14" s="343"/>
      <c r="I14" s="393"/>
      <c r="J14" s="383"/>
    </row>
    <row r="15" spans="1:10" ht="42.75" x14ac:dyDescent="0.25">
      <c r="A15" s="578" t="s">
        <v>91</v>
      </c>
      <c r="B15" s="533"/>
      <c r="C15" s="5" t="s">
        <v>92</v>
      </c>
      <c r="D15" s="5" t="s">
        <v>93</v>
      </c>
      <c r="E15" s="5" t="s">
        <v>92</v>
      </c>
      <c r="F15" s="5" t="s">
        <v>93</v>
      </c>
      <c r="G15" s="334" t="s">
        <v>92</v>
      </c>
      <c r="H15" s="334" t="s">
        <v>93</v>
      </c>
      <c r="I15" s="367" t="s">
        <v>92</v>
      </c>
      <c r="J15" s="368" t="s">
        <v>93</v>
      </c>
    </row>
    <row r="16" spans="1:10" x14ac:dyDescent="0.25">
      <c r="A16" s="584" t="s">
        <v>203</v>
      </c>
      <c r="B16" s="535"/>
      <c r="C16" s="2" t="s">
        <v>204</v>
      </c>
      <c r="D16" s="2" t="s">
        <v>205</v>
      </c>
      <c r="E16" s="2" t="s">
        <v>204</v>
      </c>
      <c r="F16" s="2" t="s">
        <v>205</v>
      </c>
      <c r="G16" s="333" t="s">
        <v>204</v>
      </c>
      <c r="H16" s="333" t="s">
        <v>205</v>
      </c>
      <c r="I16" s="364" t="s">
        <v>204</v>
      </c>
      <c r="J16" s="369" t="s">
        <v>205</v>
      </c>
    </row>
    <row r="17" spans="1:10" x14ac:dyDescent="0.25">
      <c r="A17" s="628"/>
      <c r="B17" s="629"/>
      <c r="C17" s="629"/>
      <c r="D17" s="629"/>
      <c r="E17" s="629"/>
      <c r="F17" s="629"/>
      <c r="G17" s="629"/>
      <c r="H17" s="629"/>
      <c r="I17" s="629"/>
      <c r="J17" s="630"/>
    </row>
    <row r="18" spans="1:10" ht="24" customHeight="1" x14ac:dyDescent="0.25">
      <c r="A18" s="619" t="s">
        <v>0</v>
      </c>
      <c r="B18" s="567"/>
      <c r="C18" s="567"/>
      <c r="D18" s="567"/>
      <c r="E18" s="567"/>
      <c r="F18" s="567"/>
      <c r="G18" s="567"/>
      <c r="H18" s="567"/>
      <c r="I18" s="567"/>
      <c r="J18" s="620"/>
    </row>
    <row r="19" spans="1:10" x14ac:dyDescent="0.25">
      <c r="A19" s="223">
        <v>1</v>
      </c>
      <c r="B19" s="224" t="s">
        <v>1</v>
      </c>
      <c r="C19" s="2" t="str">
        <f>A16</f>
        <v>JAUZEIRO</v>
      </c>
      <c r="D19" s="3"/>
      <c r="E19" s="3" t="s">
        <v>541</v>
      </c>
      <c r="F19" s="3"/>
      <c r="G19" s="333" t="str">
        <f>C19</f>
        <v>JAUZEIRO</v>
      </c>
      <c r="H19" s="343"/>
      <c r="I19" s="364" t="str">
        <f>E19</f>
        <v xml:space="preserve">JAUZEIRO </v>
      </c>
      <c r="J19" s="383"/>
    </row>
    <row r="20" spans="1:10" x14ac:dyDescent="0.25">
      <c r="A20" s="223">
        <v>2</v>
      </c>
      <c r="B20" s="224" t="s">
        <v>2</v>
      </c>
      <c r="C20" s="222">
        <v>1128.97</v>
      </c>
      <c r="D20" s="3"/>
      <c r="E20" s="222">
        <v>1128.97</v>
      </c>
      <c r="F20" s="3"/>
      <c r="G20" s="335">
        <v>1247.51</v>
      </c>
      <c r="H20" s="343"/>
      <c r="I20" s="365">
        <v>1329.47</v>
      </c>
      <c r="J20" s="383"/>
    </row>
    <row r="21" spans="1:10" x14ac:dyDescent="0.25">
      <c r="A21" s="223">
        <v>3</v>
      </c>
      <c r="B21" s="224" t="s">
        <v>118</v>
      </c>
      <c r="C21" s="2" t="str">
        <f>A16</f>
        <v>JAUZEIRO</v>
      </c>
      <c r="D21" s="3"/>
      <c r="E21" s="3" t="s">
        <v>541</v>
      </c>
      <c r="F21" s="3"/>
      <c r="G21" s="333" t="str">
        <f>C19</f>
        <v>JAUZEIRO</v>
      </c>
      <c r="H21" s="343"/>
      <c r="I21" s="364" t="str">
        <f>E19</f>
        <v xml:space="preserve">JAUZEIRO </v>
      </c>
      <c r="J21" s="383"/>
    </row>
    <row r="22" spans="1:10" x14ac:dyDescent="0.25">
      <c r="A22" s="223">
        <v>4</v>
      </c>
      <c r="B22" s="224" t="s">
        <v>3</v>
      </c>
      <c r="C22" s="232">
        <v>42005</v>
      </c>
      <c r="D22" s="3"/>
      <c r="E22" s="3"/>
      <c r="F22" s="3"/>
      <c r="G22" s="332"/>
      <c r="H22" s="343"/>
      <c r="I22" s="366"/>
      <c r="J22" s="383"/>
    </row>
    <row r="23" spans="1:10" ht="18.75" x14ac:dyDescent="0.25">
      <c r="A23" s="579" t="s">
        <v>4</v>
      </c>
      <c r="B23" s="534"/>
      <c r="C23" s="534"/>
      <c r="D23" s="3"/>
      <c r="E23" s="3"/>
      <c r="F23" s="3"/>
      <c r="G23" s="343"/>
      <c r="H23" s="343"/>
      <c r="I23" s="393"/>
      <c r="J23" s="383"/>
    </row>
    <row r="24" spans="1:10" x14ac:dyDescent="0.25">
      <c r="A24" s="451">
        <v>1</v>
      </c>
      <c r="B24" s="426" t="s">
        <v>5</v>
      </c>
      <c r="C24" s="426" t="s">
        <v>6</v>
      </c>
      <c r="D24" s="355"/>
      <c r="E24" s="426" t="s">
        <v>6</v>
      </c>
      <c r="F24" s="355"/>
      <c r="G24" s="427" t="s">
        <v>6</v>
      </c>
      <c r="H24" s="425"/>
      <c r="I24" s="367" t="s">
        <v>6</v>
      </c>
      <c r="J24" s="383"/>
    </row>
    <row r="25" spans="1:10" x14ac:dyDescent="0.25">
      <c r="A25" s="221" t="s">
        <v>7</v>
      </c>
      <c r="B25" s="7" t="s">
        <v>8</v>
      </c>
      <c r="C25" s="8">
        <f>C20</f>
        <v>1128.97</v>
      </c>
      <c r="D25" s="3"/>
      <c r="E25" s="8">
        <f>E20</f>
        <v>1128.97</v>
      </c>
      <c r="F25" s="3"/>
      <c r="G25" s="327">
        <f>G20</f>
        <v>1247.51</v>
      </c>
      <c r="H25" s="343"/>
      <c r="I25" s="362">
        <f>I20</f>
        <v>1329.47</v>
      </c>
      <c r="J25" s="383"/>
    </row>
    <row r="26" spans="1:10" x14ac:dyDescent="0.25">
      <c r="A26" s="221" t="s">
        <v>9</v>
      </c>
      <c r="B26" s="7" t="s">
        <v>10</v>
      </c>
      <c r="C26" s="8">
        <f>ROUND(C25*30%,2)</f>
        <v>338.69</v>
      </c>
      <c r="D26" s="3"/>
      <c r="E26" s="8">
        <f>ROUND(E25*30%,2)</f>
        <v>338.69</v>
      </c>
      <c r="F26" s="3"/>
      <c r="G26" s="327">
        <f>ROUND(G25*30%,2)</f>
        <v>374.25</v>
      </c>
      <c r="H26" s="343"/>
      <c r="I26" s="362">
        <f>ROUND(I25*30%,2)</f>
        <v>398.84</v>
      </c>
      <c r="J26" s="383"/>
    </row>
    <row r="27" spans="1:10" x14ac:dyDescent="0.25">
      <c r="A27" s="221" t="s">
        <v>11</v>
      </c>
      <c r="B27" s="7" t="s">
        <v>12</v>
      </c>
      <c r="C27" s="8"/>
      <c r="D27" s="3"/>
      <c r="E27" s="8"/>
      <c r="F27" s="3"/>
      <c r="G27" s="327"/>
      <c r="H27" s="343"/>
      <c r="I27" s="362"/>
      <c r="J27" s="383"/>
    </row>
    <row r="28" spans="1:10" x14ac:dyDescent="0.25">
      <c r="A28" s="221" t="s">
        <v>13</v>
      </c>
      <c r="B28" s="7" t="s">
        <v>14</v>
      </c>
      <c r="C28" s="8"/>
      <c r="D28" s="3"/>
      <c r="E28" s="8"/>
      <c r="F28" s="3"/>
      <c r="G28" s="327"/>
      <c r="H28" s="343"/>
      <c r="I28" s="362"/>
      <c r="J28" s="383"/>
    </row>
    <row r="29" spans="1:10" x14ac:dyDescent="0.25">
      <c r="A29" s="221" t="s">
        <v>15</v>
      </c>
      <c r="B29" s="7" t="s">
        <v>16</v>
      </c>
      <c r="C29" s="8"/>
      <c r="D29" s="3"/>
      <c r="E29" s="8"/>
      <c r="F29" s="3"/>
      <c r="G29" s="327"/>
      <c r="H29" s="343"/>
      <c r="I29" s="362"/>
      <c r="J29" s="383"/>
    </row>
    <row r="30" spans="1:10" x14ac:dyDescent="0.25">
      <c r="A30" s="221" t="s">
        <v>17</v>
      </c>
      <c r="B30" s="7" t="s">
        <v>18</v>
      </c>
      <c r="C30" s="8"/>
      <c r="D30" s="3"/>
      <c r="E30" s="8"/>
      <c r="F30" s="3"/>
      <c r="G30" s="327"/>
      <c r="H30" s="343"/>
      <c r="I30" s="362"/>
      <c r="J30" s="383"/>
    </row>
    <row r="31" spans="1:10" x14ac:dyDescent="0.25">
      <c r="A31" s="221" t="s">
        <v>19</v>
      </c>
      <c r="B31" s="7" t="s">
        <v>21</v>
      </c>
      <c r="C31" s="8"/>
      <c r="D31" s="3"/>
      <c r="E31" s="8"/>
      <c r="F31" s="3"/>
      <c r="G31" s="327"/>
      <c r="H31" s="343"/>
      <c r="I31" s="362"/>
      <c r="J31" s="383"/>
    </row>
    <row r="32" spans="1:10" x14ac:dyDescent="0.25">
      <c r="A32" s="581" t="s">
        <v>22</v>
      </c>
      <c r="B32" s="526"/>
      <c r="C32" s="428">
        <f>SUM(C25:C31)</f>
        <v>1467.66</v>
      </c>
      <c r="D32" s="355"/>
      <c r="E32" s="428">
        <f>SUM(E25:E31)</f>
        <v>1467.66</v>
      </c>
      <c r="F32" s="355"/>
      <c r="G32" s="429">
        <f>SUM(G25:G31)</f>
        <v>1621.76</v>
      </c>
      <c r="H32" s="425"/>
      <c r="I32" s="429">
        <f>SUM(I25:I31)</f>
        <v>1728.31</v>
      </c>
      <c r="J32" s="450"/>
    </row>
    <row r="33" spans="1:14" ht="18.75" x14ac:dyDescent="0.25">
      <c r="A33" s="579" t="s">
        <v>23</v>
      </c>
      <c r="B33" s="534"/>
      <c r="C33" s="534"/>
      <c r="D33" s="3"/>
      <c r="E33" s="3"/>
      <c r="F33" s="3"/>
      <c r="G33" s="343"/>
      <c r="H33" s="343"/>
      <c r="I33" s="393"/>
      <c r="J33" s="383"/>
    </row>
    <row r="34" spans="1:14" x14ac:dyDescent="0.25">
      <c r="A34" s="451">
        <v>2</v>
      </c>
      <c r="B34" s="426" t="s">
        <v>24</v>
      </c>
      <c r="C34" s="426" t="s">
        <v>6</v>
      </c>
      <c r="D34" s="355"/>
      <c r="E34" s="426" t="s">
        <v>6</v>
      </c>
      <c r="F34" s="355"/>
      <c r="G34" s="427" t="s">
        <v>6</v>
      </c>
      <c r="H34" s="425"/>
      <c r="I34" s="427" t="s">
        <v>6</v>
      </c>
      <c r="J34" s="450"/>
    </row>
    <row r="35" spans="1:14" ht="15" customHeight="1" x14ac:dyDescent="0.25">
      <c r="A35" s="221" t="s">
        <v>7</v>
      </c>
      <c r="B35" s="509" t="s">
        <v>564</v>
      </c>
      <c r="C35" s="53">
        <f>K35-L35</f>
        <v>118.8903</v>
      </c>
      <c r="D35" s="3"/>
      <c r="E35" s="53">
        <f>M35-N35</f>
        <v>191.46805000000001</v>
      </c>
      <c r="F35" s="3"/>
      <c r="G35" s="337">
        <f>(20.7365*12.5)-G25*6%</f>
        <v>184.35565000000003</v>
      </c>
      <c r="H35" s="343"/>
      <c r="I35" s="363">
        <f>(20.7365*15)-I25*6%</f>
        <v>231.27930000000003</v>
      </c>
      <c r="J35" s="383"/>
      <c r="K35" s="174">
        <f>9*20.7365</f>
        <v>186.6285</v>
      </c>
      <c r="L35">
        <f>C20*6%</f>
        <v>67.738200000000006</v>
      </c>
      <c r="M35" s="174">
        <f>12.5*20.7365</f>
        <v>259.20625000000001</v>
      </c>
      <c r="N35" s="4">
        <f>E20*6%</f>
        <v>67.738200000000006</v>
      </c>
    </row>
    <row r="36" spans="1:14" x14ac:dyDescent="0.25">
      <c r="A36" s="221" t="s">
        <v>9</v>
      </c>
      <c r="B36" s="509" t="s">
        <v>565</v>
      </c>
      <c r="C36" s="8">
        <f>24*21.5</f>
        <v>516</v>
      </c>
      <c r="D36" s="3"/>
      <c r="E36" s="8">
        <f>24*21.5</f>
        <v>516</v>
      </c>
      <c r="F36" s="3"/>
      <c r="G36" s="338">
        <f>27.5*21.5</f>
        <v>591.25</v>
      </c>
      <c r="H36" s="343"/>
      <c r="I36" s="362">
        <f>29.5*21.5</f>
        <v>634.25</v>
      </c>
      <c r="J36" s="383"/>
      <c r="K36" t="s">
        <v>462</v>
      </c>
      <c r="M36" t="s">
        <v>462</v>
      </c>
    </row>
    <row r="37" spans="1:14" x14ac:dyDescent="0.25">
      <c r="A37" s="221" t="s">
        <v>11</v>
      </c>
      <c r="B37" s="340" t="s">
        <v>25</v>
      </c>
      <c r="C37" s="8">
        <v>0</v>
      </c>
      <c r="D37" s="3"/>
      <c r="E37" s="8">
        <v>0</v>
      </c>
      <c r="F37" s="3"/>
      <c r="G37" s="337"/>
      <c r="H37" s="343"/>
      <c r="I37" s="363"/>
      <c r="J37" s="383"/>
    </row>
    <row r="38" spans="1:14" x14ac:dyDescent="0.25">
      <c r="A38" s="221" t="s">
        <v>13</v>
      </c>
      <c r="B38" s="340" t="s">
        <v>94</v>
      </c>
      <c r="C38" s="8"/>
      <c r="D38" s="3"/>
      <c r="E38" s="8"/>
      <c r="F38" s="3"/>
      <c r="G38" s="338" t="s">
        <v>542</v>
      </c>
      <c r="H38" s="343"/>
      <c r="I38" s="362" t="s">
        <v>542</v>
      </c>
      <c r="J38" s="383"/>
    </row>
    <row r="39" spans="1:14" x14ac:dyDescent="0.25">
      <c r="A39" s="221" t="s">
        <v>15</v>
      </c>
      <c r="B39" s="340" t="s">
        <v>119</v>
      </c>
      <c r="C39" s="8">
        <v>2.5</v>
      </c>
      <c r="D39" s="3"/>
      <c r="E39" s="8">
        <v>2.5</v>
      </c>
      <c r="F39" s="3"/>
      <c r="G39" s="338">
        <v>2.5</v>
      </c>
      <c r="H39" s="343"/>
      <c r="I39" s="362">
        <v>2.5</v>
      </c>
      <c r="J39" s="383"/>
    </row>
    <row r="40" spans="1:14" x14ac:dyDescent="0.25">
      <c r="A40" s="221" t="s">
        <v>17</v>
      </c>
      <c r="B40" s="340" t="s">
        <v>120</v>
      </c>
      <c r="C40" s="8">
        <v>0</v>
      </c>
      <c r="D40" s="3"/>
      <c r="E40" s="8">
        <v>0</v>
      </c>
      <c r="F40" s="3"/>
      <c r="G40" s="338">
        <v>0</v>
      </c>
      <c r="H40" s="343"/>
      <c r="I40" s="362">
        <v>0</v>
      </c>
      <c r="J40" s="383"/>
    </row>
    <row r="41" spans="1:14" x14ac:dyDescent="0.25">
      <c r="A41" s="221" t="s">
        <v>19</v>
      </c>
      <c r="B41" s="340" t="s">
        <v>121</v>
      </c>
      <c r="C41" s="8">
        <v>4.5</v>
      </c>
      <c r="D41" s="3"/>
      <c r="E41" s="8">
        <v>4.5</v>
      </c>
      <c r="F41" s="3"/>
      <c r="G41" s="338">
        <v>5</v>
      </c>
      <c r="H41" s="343"/>
      <c r="I41" s="362">
        <v>5</v>
      </c>
      <c r="J41" s="383"/>
    </row>
    <row r="42" spans="1:14" x14ac:dyDescent="0.25">
      <c r="A42" s="581" t="s">
        <v>26</v>
      </c>
      <c r="B42" s="526"/>
      <c r="C42" s="428">
        <f>SUM(C35:C41)</f>
        <v>641.89030000000002</v>
      </c>
      <c r="D42" s="355"/>
      <c r="E42" s="428">
        <f>SUM(E35:E41)</f>
        <v>714.46804999999995</v>
      </c>
      <c r="F42" s="355"/>
      <c r="G42" s="429">
        <f>SUM(G35:G41)</f>
        <v>783.10564999999997</v>
      </c>
      <c r="H42" s="425"/>
      <c r="I42" s="429">
        <f>SUM(I35:I41)</f>
        <v>873.02930000000003</v>
      </c>
      <c r="J42" s="450"/>
    </row>
    <row r="43" spans="1:14" ht="18.75" x14ac:dyDescent="0.25">
      <c r="A43" s="621" t="s">
        <v>122</v>
      </c>
      <c r="B43" s="622"/>
      <c r="C43" s="622"/>
      <c r="D43" s="3"/>
      <c r="E43" s="3"/>
      <c r="F43" s="3"/>
      <c r="G43" s="343"/>
      <c r="H43" s="343"/>
      <c r="I43" s="393"/>
      <c r="J43" s="383"/>
    </row>
    <row r="44" spans="1:14" x14ac:dyDescent="0.25">
      <c r="A44" s="451">
        <v>3</v>
      </c>
      <c r="B44" s="426" t="s">
        <v>27</v>
      </c>
      <c r="C44" s="426" t="s">
        <v>6</v>
      </c>
      <c r="D44" s="355"/>
      <c r="E44" s="426" t="s">
        <v>6</v>
      </c>
      <c r="F44" s="355"/>
      <c r="G44" s="427" t="s">
        <v>6</v>
      </c>
      <c r="H44" s="425"/>
      <c r="I44" s="427" t="s">
        <v>6</v>
      </c>
      <c r="J44" s="450"/>
    </row>
    <row r="45" spans="1:14" x14ac:dyDescent="0.25">
      <c r="A45" s="221" t="s">
        <v>7</v>
      </c>
      <c r="B45" s="7" t="s">
        <v>28</v>
      </c>
      <c r="C45" s="8">
        <f>UNIFORMES!H8</f>
        <v>24.433333333333334</v>
      </c>
      <c r="D45" s="3"/>
      <c r="E45" s="8">
        <f>UNIFORMES!H22</f>
        <v>24.433333333333334</v>
      </c>
      <c r="F45" s="3"/>
      <c r="G45" s="338">
        <f>UNIFORMES!H22</f>
        <v>24.433333333333334</v>
      </c>
      <c r="H45" s="343"/>
      <c r="I45" s="362">
        <v>24.43</v>
      </c>
      <c r="J45" s="611" t="s">
        <v>553</v>
      </c>
    </row>
    <row r="46" spans="1:14" x14ac:dyDescent="0.25">
      <c r="A46" s="221" t="s">
        <v>9</v>
      </c>
      <c r="B46" s="7" t="s">
        <v>123</v>
      </c>
      <c r="C46" s="8">
        <f>'MATERIAL JAUZEIRO '!F18</f>
        <v>241.85999999999999</v>
      </c>
      <c r="D46" s="64"/>
      <c r="E46" s="8">
        <f>C46</f>
        <v>241.85999999999999</v>
      </c>
      <c r="F46" s="64"/>
      <c r="G46" s="338">
        <f>E46</f>
        <v>241.85999999999999</v>
      </c>
      <c r="H46" s="400"/>
      <c r="I46" s="362">
        <f>G46</f>
        <v>241.85999999999999</v>
      </c>
      <c r="J46" s="612"/>
      <c r="K46" s="4"/>
      <c r="M46" s="4"/>
    </row>
    <row r="47" spans="1:14" ht="30" x14ac:dyDescent="0.25">
      <c r="A47" s="221" t="s">
        <v>11</v>
      </c>
      <c r="B47" s="7" t="s">
        <v>459</v>
      </c>
      <c r="C47" s="233">
        <v>3</v>
      </c>
      <c r="D47" s="3"/>
      <c r="E47" s="8">
        <f>C47</f>
        <v>3</v>
      </c>
      <c r="F47" s="3"/>
      <c r="G47" s="338">
        <f>E47</f>
        <v>3</v>
      </c>
      <c r="H47" s="343"/>
      <c r="I47" s="362">
        <f>G47</f>
        <v>3</v>
      </c>
      <c r="J47" s="383"/>
      <c r="K47" s="57" t="s">
        <v>316</v>
      </c>
      <c r="M47" s="57" t="s">
        <v>316</v>
      </c>
    </row>
    <row r="48" spans="1:14" x14ac:dyDescent="0.25">
      <c r="A48" s="581" t="s">
        <v>29</v>
      </c>
      <c r="B48" s="526"/>
      <c r="C48" s="428">
        <f>SUM(C45:C47)</f>
        <v>269.29333333333329</v>
      </c>
      <c r="D48" s="355"/>
      <c r="E48" s="428">
        <f>SUM(E45:E47)</f>
        <v>269.29333333333329</v>
      </c>
      <c r="F48" s="355"/>
      <c r="G48" s="429">
        <f>SUM(G45:G47)</f>
        <v>269.29333333333329</v>
      </c>
      <c r="H48" s="425"/>
      <c r="I48" s="429">
        <f>SUM(I45:I47)</f>
        <v>269.28999999999996</v>
      </c>
      <c r="J48" s="450"/>
    </row>
    <row r="49" spans="1:10" ht="18.75" x14ac:dyDescent="0.25">
      <c r="A49" s="579" t="s">
        <v>30</v>
      </c>
      <c r="B49" s="534"/>
      <c r="C49" s="534"/>
      <c r="D49" s="3"/>
      <c r="E49" s="3"/>
      <c r="F49" s="3"/>
      <c r="G49" s="343"/>
      <c r="H49" s="343"/>
      <c r="I49" s="393"/>
      <c r="J49" s="383"/>
    </row>
    <row r="50" spans="1:10" ht="18.75" x14ac:dyDescent="0.25">
      <c r="A50" s="588" t="s">
        <v>95</v>
      </c>
      <c r="B50" s="570"/>
      <c r="C50" s="570"/>
      <c r="D50" s="570"/>
      <c r="E50" s="570"/>
      <c r="F50" s="570"/>
      <c r="G50" s="570"/>
      <c r="H50" s="570"/>
      <c r="I50" s="570"/>
      <c r="J50" s="589"/>
    </row>
    <row r="51" spans="1:10" x14ac:dyDescent="0.25">
      <c r="A51" s="451" t="s">
        <v>31</v>
      </c>
      <c r="B51" s="426" t="s">
        <v>32</v>
      </c>
      <c r="C51" s="426" t="s">
        <v>33</v>
      </c>
      <c r="D51" s="426" t="s">
        <v>6</v>
      </c>
      <c r="E51" s="426" t="s">
        <v>33</v>
      </c>
      <c r="F51" s="426" t="s">
        <v>6</v>
      </c>
      <c r="G51" s="427" t="s">
        <v>33</v>
      </c>
      <c r="H51" s="427" t="s">
        <v>6</v>
      </c>
      <c r="I51" s="427" t="s">
        <v>33</v>
      </c>
      <c r="J51" s="452" t="s">
        <v>6</v>
      </c>
    </row>
    <row r="52" spans="1:10" x14ac:dyDescent="0.25">
      <c r="A52" s="223" t="s">
        <v>7</v>
      </c>
      <c r="B52" s="7" t="s">
        <v>34</v>
      </c>
      <c r="C52" s="9">
        <v>0.2</v>
      </c>
      <c r="D52" s="8">
        <f t="shared" ref="D52:D59" si="0">C52*$C$32</f>
        <v>293.53200000000004</v>
      </c>
      <c r="E52" s="9">
        <v>0.2</v>
      </c>
      <c r="F52" s="8">
        <f t="shared" ref="F52:F59" si="1">E52*$C$32</f>
        <v>293.53200000000004</v>
      </c>
      <c r="G52" s="313">
        <v>0.2</v>
      </c>
      <c r="H52" s="327">
        <f t="shared" ref="H52:H59" si="2">G52*$G$32</f>
        <v>324.35200000000003</v>
      </c>
      <c r="I52" s="372">
        <v>0.2</v>
      </c>
      <c r="J52" s="375">
        <f>I52*$I$32</f>
        <v>345.66200000000003</v>
      </c>
    </row>
    <row r="53" spans="1:10" x14ac:dyDescent="0.25">
      <c r="A53" s="223" t="s">
        <v>9</v>
      </c>
      <c r="B53" s="7" t="s">
        <v>35</v>
      </c>
      <c r="C53" s="9">
        <v>1.4999999999999999E-2</v>
      </c>
      <c r="D53" s="8">
        <f t="shared" si="0"/>
        <v>22.014900000000001</v>
      </c>
      <c r="E53" s="9">
        <v>1.4999999999999999E-2</v>
      </c>
      <c r="F53" s="8">
        <f t="shared" si="1"/>
        <v>22.014900000000001</v>
      </c>
      <c r="G53" s="313">
        <v>1.4999999999999999E-2</v>
      </c>
      <c r="H53" s="327">
        <f t="shared" si="2"/>
        <v>24.3264</v>
      </c>
      <c r="I53" s="372">
        <v>1.4999999999999999E-2</v>
      </c>
      <c r="J53" s="375">
        <f t="shared" ref="J53:J59" si="3">I53*$I$32</f>
        <v>25.92465</v>
      </c>
    </row>
    <row r="54" spans="1:10" x14ac:dyDescent="0.25">
      <c r="A54" s="223" t="s">
        <v>11</v>
      </c>
      <c r="B54" s="7" t="s">
        <v>36</v>
      </c>
      <c r="C54" s="9">
        <v>0.01</v>
      </c>
      <c r="D54" s="8">
        <f t="shared" si="0"/>
        <v>14.676600000000001</v>
      </c>
      <c r="E54" s="9">
        <v>0.01</v>
      </c>
      <c r="F54" s="8">
        <f t="shared" si="1"/>
        <v>14.676600000000001</v>
      </c>
      <c r="G54" s="313">
        <v>0.01</v>
      </c>
      <c r="H54" s="327">
        <f t="shared" si="2"/>
        <v>16.217600000000001</v>
      </c>
      <c r="I54" s="372">
        <v>0.01</v>
      </c>
      <c r="J54" s="375">
        <f t="shared" si="3"/>
        <v>17.283100000000001</v>
      </c>
    </row>
    <row r="55" spans="1:10" x14ac:dyDescent="0.25">
      <c r="A55" s="223" t="s">
        <v>13</v>
      </c>
      <c r="B55" s="153" t="s">
        <v>507</v>
      </c>
      <c r="C55" s="9">
        <v>2E-3</v>
      </c>
      <c r="D55" s="8">
        <f t="shared" si="0"/>
        <v>2.9353200000000004</v>
      </c>
      <c r="E55" s="9">
        <v>2E-3</v>
      </c>
      <c r="F55" s="8">
        <f t="shared" si="1"/>
        <v>2.9353200000000004</v>
      </c>
      <c r="G55" s="313">
        <v>2E-3</v>
      </c>
      <c r="H55" s="327">
        <f t="shared" si="2"/>
        <v>3.2435200000000002</v>
      </c>
      <c r="I55" s="372">
        <v>2E-3</v>
      </c>
      <c r="J55" s="375">
        <f t="shared" si="3"/>
        <v>3.45662</v>
      </c>
    </row>
    <row r="56" spans="1:10" x14ac:dyDescent="0.25">
      <c r="A56" s="223" t="s">
        <v>15</v>
      </c>
      <c r="B56" s="6" t="s">
        <v>38</v>
      </c>
      <c r="C56" s="9">
        <v>2.5000000000000001E-2</v>
      </c>
      <c r="D56" s="8">
        <f t="shared" si="0"/>
        <v>36.691500000000005</v>
      </c>
      <c r="E56" s="9">
        <v>2.5000000000000001E-2</v>
      </c>
      <c r="F56" s="8">
        <f t="shared" si="1"/>
        <v>36.691500000000005</v>
      </c>
      <c r="G56" s="313">
        <v>2.5000000000000001E-2</v>
      </c>
      <c r="H56" s="327">
        <f t="shared" si="2"/>
        <v>40.544000000000004</v>
      </c>
      <c r="I56" s="372">
        <v>2.5000000000000001E-2</v>
      </c>
      <c r="J56" s="375">
        <f t="shared" si="3"/>
        <v>43.207750000000004</v>
      </c>
    </row>
    <row r="57" spans="1:10" x14ac:dyDescent="0.25">
      <c r="A57" s="223" t="s">
        <v>17</v>
      </c>
      <c r="B57" s="7" t="s">
        <v>39</v>
      </c>
      <c r="C57" s="9">
        <v>0.08</v>
      </c>
      <c r="D57" s="8">
        <f t="shared" si="0"/>
        <v>117.4128</v>
      </c>
      <c r="E57" s="9">
        <v>0.08</v>
      </c>
      <c r="F57" s="8">
        <f t="shared" si="1"/>
        <v>117.4128</v>
      </c>
      <c r="G57" s="313">
        <v>0.08</v>
      </c>
      <c r="H57" s="327">
        <f t="shared" si="2"/>
        <v>129.74080000000001</v>
      </c>
      <c r="I57" s="372">
        <v>0.08</v>
      </c>
      <c r="J57" s="375">
        <f t="shared" si="3"/>
        <v>138.26480000000001</v>
      </c>
    </row>
    <row r="58" spans="1:10" x14ac:dyDescent="0.25">
      <c r="A58" s="223" t="s">
        <v>19</v>
      </c>
      <c r="B58" s="7" t="s">
        <v>124</v>
      </c>
      <c r="C58" s="9">
        <v>1.52E-2</v>
      </c>
      <c r="D58" s="8">
        <f t="shared" si="0"/>
        <v>22.308432</v>
      </c>
      <c r="E58" s="9">
        <v>1.52E-2</v>
      </c>
      <c r="F58" s="8">
        <f t="shared" si="1"/>
        <v>22.308432</v>
      </c>
      <c r="G58" s="313">
        <v>1.66E-2</v>
      </c>
      <c r="H58" s="327">
        <f t="shared" si="2"/>
        <v>26.921216000000001</v>
      </c>
      <c r="I58" s="372">
        <v>1.66E-2</v>
      </c>
      <c r="J58" s="375">
        <f t="shared" si="3"/>
        <v>28.689945999999999</v>
      </c>
    </row>
    <row r="59" spans="1:10" x14ac:dyDescent="0.25">
      <c r="A59" s="223" t="s">
        <v>20</v>
      </c>
      <c r="B59" s="7" t="s">
        <v>40</v>
      </c>
      <c r="C59" s="9">
        <v>6.0000000000000001E-3</v>
      </c>
      <c r="D59" s="8">
        <f t="shared" si="0"/>
        <v>8.8059600000000007</v>
      </c>
      <c r="E59" s="9">
        <v>6.0000000000000001E-3</v>
      </c>
      <c r="F59" s="8">
        <f t="shared" si="1"/>
        <v>8.8059600000000007</v>
      </c>
      <c r="G59" s="313">
        <v>6.0000000000000001E-3</v>
      </c>
      <c r="H59" s="327">
        <f t="shared" si="2"/>
        <v>9.7305600000000005</v>
      </c>
      <c r="I59" s="372">
        <v>6.0000000000000001E-3</v>
      </c>
      <c r="J59" s="375">
        <f t="shared" si="3"/>
        <v>10.369859999999999</v>
      </c>
    </row>
    <row r="60" spans="1:10" x14ac:dyDescent="0.25">
      <c r="A60" s="581" t="s">
        <v>41</v>
      </c>
      <c r="B60" s="526"/>
      <c r="C60" s="432">
        <f t="shared" ref="C60:H60" si="4">SUM(C52:C59)</f>
        <v>0.35320000000000007</v>
      </c>
      <c r="D60" s="433">
        <f t="shared" si="4"/>
        <v>518.37751200000002</v>
      </c>
      <c r="E60" s="432">
        <f t="shared" si="4"/>
        <v>0.35320000000000007</v>
      </c>
      <c r="F60" s="433">
        <f t="shared" si="4"/>
        <v>518.37751200000002</v>
      </c>
      <c r="G60" s="434">
        <f t="shared" si="4"/>
        <v>0.35460000000000008</v>
      </c>
      <c r="H60" s="435">
        <f t="shared" si="4"/>
        <v>575.07609599999989</v>
      </c>
      <c r="I60" s="434">
        <f>SUM(I52:I59)</f>
        <v>0.35460000000000008</v>
      </c>
      <c r="J60" s="453">
        <f>SUM(J52:J59)</f>
        <v>612.85872600000005</v>
      </c>
    </row>
    <row r="61" spans="1:10" s="151" customFormat="1" x14ac:dyDescent="0.25">
      <c r="A61" s="582" t="s">
        <v>460</v>
      </c>
      <c r="B61" s="530"/>
      <c r="C61" s="530"/>
      <c r="D61" s="530"/>
      <c r="E61" s="404"/>
      <c r="F61" s="404"/>
      <c r="G61" s="405"/>
      <c r="H61" s="405"/>
      <c r="I61" s="406"/>
      <c r="J61" s="459"/>
    </row>
    <row r="62" spans="1:10" s="151" customFormat="1" x14ac:dyDescent="0.25">
      <c r="A62" s="582" t="s">
        <v>461</v>
      </c>
      <c r="B62" s="530"/>
      <c r="C62" s="530"/>
      <c r="D62" s="530"/>
      <c r="E62" s="404"/>
      <c r="F62" s="404"/>
      <c r="G62" s="405"/>
      <c r="H62" s="405"/>
      <c r="I62" s="406"/>
      <c r="J62" s="459"/>
    </row>
    <row r="63" spans="1:10" ht="16.5" customHeight="1" x14ac:dyDescent="0.25">
      <c r="A63" s="588" t="s">
        <v>96</v>
      </c>
      <c r="B63" s="570"/>
      <c r="C63" s="570"/>
      <c r="D63" s="570"/>
      <c r="E63" s="570"/>
      <c r="F63" s="570"/>
      <c r="G63" s="570"/>
      <c r="H63" s="570"/>
      <c r="I63" s="570"/>
      <c r="J63" s="589"/>
    </row>
    <row r="64" spans="1:10" x14ac:dyDescent="0.25">
      <c r="A64" s="451" t="s">
        <v>42</v>
      </c>
      <c r="B64" s="426" t="s">
        <v>125</v>
      </c>
      <c r="C64" s="426" t="s">
        <v>33</v>
      </c>
      <c r="D64" s="426" t="s">
        <v>6</v>
      </c>
      <c r="E64" s="426" t="s">
        <v>33</v>
      </c>
      <c r="F64" s="426" t="s">
        <v>6</v>
      </c>
      <c r="G64" s="427" t="s">
        <v>33</v>
      </c>
      <c r="H64" s="427" t="s">
        <v>6</v>
      </c>
      <c r="I64" s="427" t="s">
        <v>33</v>
      </c>
      <c r="J64" s="452" t="s">
        <v>6</v>
      </c>
    </row>
    <row r="65" spans="1:13" x14ac:dyDescent="0.25">
      <c r="A65" s="223" t="s">
        <v>7</v>
      </c>
      <c r="B65" s="7" t="s">
        <v>43</v>
      </c>
      <c r="C65" s="216">
        <v>8.3299999999999999E-2</v>
      </c>
      <c r="D65" s="8">
        <f>C65*$C$32</f>
        <v>122.256078</v>
      </c>
      <c r="E65" s="216">
        <v>8.3299999999999999E-2</v>
      </c>
      <c r="F65" s="8">
        <f>E65*$C$32</f>
        <v>122.256078</v>
      </c>
      <c r="G65" s="336">
        <v>8.3299999999999999E-2</v>
      </c>
      <c r="H65" s="327">
        <f>G65*$G$32</f>
        <v>135.09260799999998</v>
      </c>
      <c r="I65" s="372">
        <v>8.3299999999999999E-2</v>
      </c>
      <c r="J65" s="375">
        <f>I65*$I$32</f>
        <v>143.96822299999999</v>
      </c>
    </row>
    <row r="66" spans="1:13" x14ac:dyDescent="0.25">
      <c r="A66" s="223" t="s">
        <v>9</v>
      </c>
      <c r="B66" s="7" t="s">
        <v>126</v>
      </c>
      <c r="C66" s="216">
        <v>2.7799999999999998E-2</v>
      </c>
      <c r="D66" s="8">
        <f>C66*$C$32</f>
        <v>40.800947999999998</v>
      </c>
      <c r="E66" s="216">
        <v>2.7799999999999998E-2</v>
      </c>
      <c r="F66" s="8">
        <f>E66*$C$32</f>
        <v>40.800947999999998</v>
      </c>
      <c r="G66" s="336">
        <v>2.7799999999999998E-2</v>
      </c>
      <c r="H66" s="327">
        <f>G66*$G$32</f>
        <v>45.084927999999998</v>
      </c>
      <c r="I66" s="372">
        <v>2.7799999999999998E-2</v>
      </c>
      <c r="J66" s="375">
        <f>I66*$I$32</f>
        <v>48.047017999999994</v>
      </c>
    </row>
    <row r="67" spans="1:13" x14ac:dyDescent="0.25">
      <c r="A67" s="223"/>
      <c r="B67" s="5" t="s">
        <v>44</v>
      </c>
      <c r="C67" s="10">
        <f t="shared" ref="C67:H67" si="5">SUM(C65:C66)</f>
        <v>0.1111</v>
      </c>
      <c r="D67" s="58">
        <f t="shared" si="5"/>
        <v>163.05702600000001</v>
      </c>
      <c r="E67" s="10">
        <f t="shared" si="5"/>
        <v>0.1111</v>
      </c>
      <c r="F67" s="58">
        <f t="shared" si="5"/>
        <v>163.05702600000001</v>
      </c>
      <c r="G67" s="314">
        <f t="shared" si="5"/>
        <v>0.1111</v>
      </c>
      <c r="H67" s="53">
        <f t="shared" si="5"/>
        <v>180.17753599999998</v>
      </c>
      <c r="I67" s="373">
        <f>SUM(I65:I66)</f>
        <v>0.1111</v>
      </c>
      <c r="J67" s="376">
        <f>SUM(J65:J66)</f>
        <v>192.015241</v>
      </c>
    </row>
    <row r="68" spans="1:13" x14ac:dyDescent="0.25">
      <c r="A68" s="223" t="s">
        <v>9</v>
      </c>
      <c r="B68" s="7" t="s">
        <v>97</v>
      </c>
      <c r="C68" s="9">
        <f>C60*C67</f>
        <v>3.9240520000000008E-2</v>
      </c>
      <c r="D68" s="8">
        <f>C68*$C$32</f>
        <v>57.591741583200012</v>
      </c>
      <c r="E68" s="9">
        <f>E60*E67</f>
        <v>3.9240520000000008E-2</v>
      </c>
      <c r="F68" s="8">
        <f>E68*$C$32</f>
        <v>57.591741583200012</v>
      </c>
      <c r="G68" s="313">
        <f>G60*G67</f>
        <v>3.9396060000000011E-2</v>
      </c>
      <c r="H68" s="327">
        <f>G68*$G$32</f>
        <v>63.890954265600016</v>
      </c>
      <c r="I68" s="372">
        <f>I60*I67</f>
        <v>3.9396060000000011E-2</v>
      </c>
      <c r="J68" s="375">
        <f>I68*$I$32</f>
        <v>68.088604458600017</v>
      </c>
    </row>
    <row r="69" spans="1:13" x14ac:dyDescent="0.25">
      <c r="A69" s="581" t="s">
        <v>41</v>
      </c>
      <c r="B69" s="526"/>
      <c r="C69" s="432">
        <f t="shared" ref="C69:H69" si="6">SUM(C68,C67)</f>
        <v>0.15034052000000001</v>
      </c>
      <c r="D69" s="428">
        <f t="shared" si="6"/>
        <v>220.64876758320003</v>
      </c>
      <c r="E69" s="432">
        <f t="shared" si="6"/>
        <v>0.15034052000000001</v>
      </c>
      <c r="F69" s="428">
        <f t="shared" si="6"/>
        <v>220.64876758320003</v>
      </c>
      <c r="G69" s="434">
        <f t="shared" si="6"/>
        <v>0.15049606000000001</v>
      </c>
      <c r="H69" s="429">
        <f t="shared" si="6"/>
        <v>244.06849026559999</v>
      </c>
      <c r="I69" s="373">
        <f>SUM(I68,I67)</f>
        <v>0.15049606000000001</v>
      </c>
      <c r="J69" s="460">
        <f>SUM(J68,J67)</f>
        <v>260.10384545860001</v>
      </c>
    </row>
    <row r="70" spans="1:13" ht="16.5" customHeight="1" x14ac:dyDescent="0.25">
      <c r="A70" s="588" t="s">
        <v>45</v>
      </c>
      <c r="B70" s="570"/>
      <c r="C70" s="570"/>
      <c r="D70" s="570"/>
      <c r="E70" s="570"/>
      <c r="F70" s="570"/>
      <c r="G70" s="570"/>
      <c r="H70" s="570"/>
      <c r="I70" s="570"/>
      <c r="J70" s="589"/>
    </row>
    <row r="71" spans="1:13" x14ac:dyDescent="0.25">
      <c r="A71" s="451" t="s">
        <v>46</v>
      </c>
      <c r="B71" s="426" t="s">
        <v>47</v>
      </c>
      <c r="C71" s="426" t="s">
        <v>33</v>
      </c>
      <c r="D71" s="426" t="s">
        <v>6</v>
      </c>
      <c r="E71" s="426" t="s">
        <v>33</v>
      </c>
      <c r="F71" s="426" t="s">
        <v>6</v>
      </c>
      <c r="G71" s="427" t="s">
        <v>33</v>
      </c>
      <c r="H71" s="427" t="s">
        <v>6</v>
      </c>
      <c r="I71" s="427" t="s">
        <v>33</v>
      </c>
      <c r="J71" s="452" t="s">
        <v>6</v>
      </c>
    </row>
    <row r="72" spans="1:13" x14ac:dyDescent="0.25">
      <c r="A72" s="223" t="s">
        <v>7</v>
      </c>
      <c r="B72" s="7" t="s">
        <v>127</v>
      </c>
      <c r="C72" s="9">
        <v>7.3999999999999999E-4</v>
      </c>
      <c r="D72" s="8">
        <f>C72*$C$32</f>
        <v>1.0860684</v>
      </c>
      <c r="E72" s="9">
        <v>7.3999999999999999E-4</v>
      </c>
      <c r="F72" s="8">
        <f>E72*$C$32</f>
        <v>1.0860684</v>
      </c>
      <c r="G72" s="313">
        <v>7.3999999999999999E-4</v>
      </c>
      <c r="H72" s="327">
        <f>G72*$G$32</f>
        <v>1.2001024</v>
      </c>
      <c r="I72" s="372">
        <v>7.3999999999999999E-4</v>
      </c>
      <c r="J72" s="375">
        <f>I72*$I$32</f>
        <v>1.2789493999999999</v>
      </c>
    </row>
    <row r="73" spans="1:13" x14ac:dyDescent="0.25">
      <c r="A73" s="223" t="s">
        <v>9</v>
      </c>
      <c r="B73" s="7" t="s">
        <v>48</v>
      </c>
      <c r="C73" s="9">
        <f>C60*C72</f>
        <v>2.6136800000000005E-4</v>
      </c>
      <c r="D73" s="8">
        <f>C73*$C$32</f>
        <v>0.38359935888000007</v>
      </c>
      <c r="E73" s="9">
        <f>E60*E72</f>
        <v>2.6136800000000005E-4</v>
      </c>
      <c r="F73" s="8">
        <f>E73*$C$32</f>
        <v>0.38359935888000007</v>
      </c>
      <c r="G73" s="313">
        <f>G60*G72</f>
        <v>2.6240400000000004E-4</v>
      </c>
      <c r="H73" s="327">
        <f>G73*$G$32</f>
        <v>0.42555631104000008</v>
      </c>
      <c r="I73" s="372">
        <f>I60*I72</f>
        <v>2.6240400000000004E-4</v>
      </c>
      <c r="J73" s="375">
        <f>I73*$I$32</f>
        <v>0.45351545724000009</v>
      </c>
    </row>
    <row r="74" spans="1:13" x14ac:dyDescent="0.25">
      <c r="A74" s="581" t="s">
        <v>41</v>
      </c>
      <c r="B74" s="526"/>
      <c r="C74" s="432">
        <f t="shared" ref="C74:H74" si="7">SUM(C73,C72)</f>
        <v>1.0013680000000001E-3</v>
      </c>
      <c r="D74" s="428">
        <f t="shared" si="7"/>
        <v>1.46966775888</v>
      </c>
      <c r="E74" s="432">
        <f t="shared" si="7"/>
        <v>1.0013680000000001E-3</v>
      </c>
      <c r="F74" s="428">
        <f t="shared" si="7"/>
        <v>1.46966775888</v>
      </c>
      <c r="G74" s="434">
        <f t="shared" si="7"/>
        <v>1.0024040000000001E-3</v>
      </c>
      <c r="H74" s="429">
        <f t="shared" si="7"/>
        <v>1.62565871104</v>
      </c>
      <c r="I74" s="434">
        <f>SUM(I73,I72)</f>
        <v>1.0024040000000001E-3</v>
      </c>
      <c r="J74" s="454">
        <f>SUM(J73,J72)</f>
        <v>1.7324648572400001</v>
      </c>
    </row>
    <row r="75" spans="1:13" ht="18.75" x14ac:dyDescent="0.25">
      <c r="A75" s="588" t="s">
        <v>102</v>
      </c>
      <c r="B75" s="570"/>
      <c r="C75" s="570"/>
      <c r="D75" s="570"/>
      <c r="E75" s="570"/>
      <c r="F75" s="570"/>
      <c r="G75" s="570"/>
      <c r="H75" s="570"/>
      <c r="I75" s="570"/>
      <c r="J75" s="589"/>
    </row>
    <row r="76" spans="1:13" x14ac:dyDescent="0.25">
      <c r="A76" s="451" t="s">
        <v>49</v>
      </c>
      <c r="B76" s="426" t="s">
        <v>50</v>
      </c>
      <c r="C76" s="426" t="s">
        <v>33</v>
      </c>
      <c r="D76" s="426" t="s">
        <v>6</v>
      </c>
      <c r="E76" s="426" t="s">
        <v>33</v>
      </c>
      <c r="F76" s="426" t="s">
        <v>6</v>
      </c>
      <c r="G76" s="427" t="s">
        <v>33</v>
      </c>
      <c r="H76" s="427" t="s">
        <v>6</v>
      </c>
      <c r="I76" s="427" t="s">
        <v>33</v>
      </c>
      <c r="J76" s="452" t="s">
        <v>6</v>
      </c>
    </row>
    <row r="77" spans="1:13" x14ac:dyDescent="0.25">
      <c r="A77" s="223" t="s">
        <v>7</v>
      </c>
      <c r="B77" s="7" t="s">
        <v>51</v>
      </c>
      <c r="C77" s="9">
        <v>4.1599999999999998E-2</v>
      </c>
      <c r="D77" s="8">
        <f t="shared" ref="D77:D82" si="8">C77*$C$32</f>
        <v>61.054656000000001</v>
      </c>
      <c r="E77" s="9">
        <v>4.1599999999999998E-2</v>
      </c>
      <c r="F77" s="8">
        <f t="shared" ref="F77:F82" si="9">E77*$C$32</f>
        <v>61.054656000000001</v>
      </c>
      <c r="G77" s="313">
        <v>4.1599999999999998E-2</v>
      </c>
      <c r="H77" s="327">
        <f t="shared" ref="H77:H82" si="10">G77*$G$32</f>
        <v>67.465215999999998</v>
      </c>
      <c r="I77" s="372">
        <v>4.1599999999999998E-2</v>
      </c>
      <c r="J77" s="375">
        <f t="shared" ref="J77:J82" si="11">I77*$I$32</f>
        <v>71.897695999999996</v>
      </c>
    </row>
    <row r="78" spans="1:13" x14ac:dyDescent="0.25">
      <c r="A78" s="223" t="s">
        <v>9</v>
      </c>
      <c r="B78" s="7" t="s">
        <v>495</v>
      </c>
      <c r="C78" s="9">
        <f>C60*C77</f>
        <v>1.4693120000000002E-2</v>
      </c>
      <c r="D78" s="8">
        <f>C78*$C$32</f>
        <v>21.564504499200005</v>
      </c>
      <c r="E78" s="9">
        <f>E60*E77</f>
        <v>1.4693120000000002E-2</v>
      </c>
      <c r="F78" s="8">
        <f t="shared" si="9"/>
        <v>21.564504499200005</v>
      </c>
      <c r="G78" s="313">
        <f>G60*G77</f>
        <v>1.4751360000000003E-2</v>
      </c>
      <c r="H78" s="327">
        <f t="shared" si="10"/>
        <v>23.923165593600004</v>
      </c>
      <c r="I78" s="372">
        <f>I60*I77</f>
        <v>1.4751360000000003E-2</v>
      </c>
      <c r="J78" s="375">
        <f t="shared" si="11"/>
        <v>25.494923001600004</v>
      </c>
      <c r="K78" s="4">
        <f>'$ TOTAL ATUAL'!D33</f>
        <v>-133463.52000000002</v>
      </c>
      <c r="M78" s="4">
        <f>'$ TOTAL ATUAL'!F33</f>
        <v>0</v>
      </c>
    </row>
    <row r="79" spans="1:13" x14ac:dyDescent="0.25">
      <c r="A79" s="223" t="s">
        <v>11</v>
      </c>
      <c r="B79" s="7" t="s">
        <v>98</v>
      </c>
      <c r="C79" s="216">
        <v>2.0799999999999999E-2</v>
      </c>
      <c r="D79" s="8">
        <f t="shared" si="8"/>
        <v>30.527328000000001</v>
      </c>
      <c r="E79" s="216">
        <v>2.0799999999999999E-2</v>
      </c>
      <c r="F79" s="8">
        <f t="shared" si="9"/>
        <v>30.527328000000001</v>
      </c>
      <c r="G79" s="336">
        <v>2.0799999999999999E-2</v>
      </c>
      <c r="H79" s="327">
        <f t="shared" si="10"/>
        <v>33.732607999999999</v>
      </c>
      <c r="I79" s="372">
        <v>2.0799999999999999E-2</v>
      </c>
      <c r="J79" s="375">
        <f t="shared" si="11"/>
        <v>35.948847999999998</v>
      </c>
    </row>
    <row r="80" spans="1:13" x14ac:dyDescent="0.25">
      <c r="A80" s="223" t="s">
        <v>13</v>
      </c>
      <c r="B80" s="7" t="s">
        <v>52</v>
      </c>
      <c r="C80" s="216">
        <v>2.0000000000000001E-4</v>
      </c>
      <c r="D80" s="8">
        <f t="shared" si="8"/>
        <v>0.29353200000000002</v>
      </c>
      <c r="E80" s="216">
        <v>2.0000000000000001E-4</v>
      </c>
      <c r="F80" s="8">
        <f t="shared" si="9"/>
        <v>0.29353200000000002</v>
      </c>
      <c r="G80" s="336">
        <v>2.0000000000000001E-4</v>
      </c>
      <c r="H80" s="327">
        <f t="shared" si="10"/>
        <v>0.32435200000000003</v>
      </c>
      <c r="I80" s="372">
        <v>2.0000000000000001E-4</v>
      </c>
      <c r="J80" s="375">
        <f t="shared" si="11"/>
        <v>0.34566200000000002</v>
      </c>
    </row>
    <row r="81" spans="1:14" x14ac:dyDescent="0.25">
      <c r="A81" s="223" t="s">
        <v>15</v>
      </c>
      <c r="B81" s="7" t="s">
        <v>53</v>
      </c>
      <c r="C81" s="9">
        <f>C60*C80</f>
        <v>7.0640000000000015E-5</v>
      </c>
      <c r="D81" s="8">
        <f>C81*$C$32</f>
        <v>0.10367550240000002</v>
      </c>
      <c r="E81" s="9">
        <f>E60*E80</f>
        <v>7.0640000000000015E-5</v>
      </c>
      <c r="F81" s="8">
        <f t="shared" si="9"/>
        <v>0.10367550240000002</v>
      </c>
      <c r="G81" s="313">
        <f>G60*G80</f>
        <v>7.0920000000000019E-5</v>
      </c>
      <c r="H81" s="327">
        <f t="shared" si="10"/>
        <v>0.11501521920000003</v>
      </c>
      <c r="I81" s="372">
        <f>I60*I80</f>
        <v>7.0920000000000019E-5</v>
      </c>
      <c r="J81" s="375">
        <f t="shared" si="11"/>
        <v>0.12257174520000003</v>
      </c>
    </row>
    <row r="82" spans="1:14" x14ac:dyDescent="0.25">
      <c r="A82" s="223" t="s">
        <v>17</v>
      </c>
      <c r="B82" s="224" t="s">
        <v>99</v>
      </c>
      <c r="C82" s="9">
        <v>9.7000000000000003E-3</v>
      </c>
      <c r="D82" s="8">
        <f t="shared" si="8"/>
        <v>14.236302000000002</v>
      </c>
      <c r="E82" s="9">
        <v>9.7000000000000003E-3</v>
      </c>
      <c r="F82" s="8">
        <f t="shared" si="9"/>
        <v>14.236302000000002</v>
      </c>
      <c r="G82" s="313">
        <v>9.7000000000000003E-3</v>
      </c>
      <c r="H82" s="327">
        <f t="shared" si="10"/>
        <v>15.731072000000001</v>
      </c>
      <c r="I82" s="372">
        <v>9.7000000000000003E-3</v>
      </c>
      <c r="J82" s="375">
        <f t="shared" si="11"/>
        <v>16.764607000000002</v>
      </c>
    </row>
    <row r="83" spans="1:14" x14ac:dyDescent="0.25">
      <c r="A83" s="581" t="s">
        <v>54</v>
      </c>
      <c r="B83" s="526"/>
      <c r="C83" s="432">
        <f t="shared" ref="C83:H83" si="12">SUM(C77:C82)</f>
        <v>8.7063760000000004E-2</v>
      </c>
      <c r="D83" s="428">
        <f t="shared" si="12"/>
        <v>127.77999800160001</v>
      </c>
      <c r="E83" s="432">
        <f t="shared" si="12"/>
        <v>8.7063760000000004E-2</v>
      </c>
      <c r="F83" s="428">
        <f t="shared" si="12"/>
        <v>127.77999800160001</v>
      </c>
      <c r="G83" s="434">
        <f t="shared" si="12"/>
        <v>8.712228000000001E-2</v>
      </c>
      <c r="H83" s="429">
        <f t="shared" si="12"/>
        <v>141.29142881280001</v>
      </c>
      <c r="I83" s="373">
        <f>SUM(I77:I82)</f>
        <v>8.712228000000001E-2</v>
      </c>
      <c r="J83" s="460">
        <f>SUM(J77:J82)</f>
        <v>150.5743077468</v>
      </c>
    </row>
    <row r="84" spans="1:14" ht="18.75" x14ac:dyDescent="0.25">
      <c r="A84" s="588" t="s">
        <v>55</v>
      </c>
      <c r="B84" s="570"/>
      <c r="C84" s="570"/>
      <c r="D84" s="570"/>
      <c r="E84" s="570"/>
      <c r="F84" s="570"/>
      <c r="G84" s="570"/>
      <c r="H84" s="570"/>
      <c r="I84" s="570"/>
      <c r="J84" s="589"/>
    </row>
    <row r="85" spans="1:14" ht="22.5" customHeight="1" x14ac:dyDescent="0.25">
      <c r="A85" s="451" t="s">
        <v>56</v>
      </c>
      <c r="B85" s="426" t="s">
        <v>57</v>
      </c>
      <c r="C85" s="426" t="s">
        <v>33</v>
      </c>
      <c r="D85" s="426" t="s">
        <v>6</v>
      </c>
      <c r="E85" s="426" t="s">
        <v>33</v>
      </c>
      <c r="F85" s="426" t="s">
        <v>6</v>
      </c>
      <c r="G85" s="427" t="s">
        <v>33</v>
      </c>
      <c r="H85" s="427" t="s">
        <v>6</v>
      </c>
      <c r="I85" s="427" t="s">
        <v>33</v>
      </c>
      <c r="J85" s="452" t="s">
        <v>6</v>
      </c>
    </row>
    <row r="86" spans="1:14" x14ac:dyDescent="0.25">
      <c r="A86" s="223" t="s">
        <v>7</v>
      </c>
      <c r="B86" s="7" t="s">
        <v>452</v>
      </c>
      <c r="C86" s="9">
        <v>0.1111</v>
      </c>
      <c r="D86" s="8">
        <f>C86*$C$32</f>
        <v>163.05702600000001</v>
      </c>
      <c r="E86" s="9">
        <v>0.1111</v>
      </c>
      <c r="F86" s="8">
        <f>E86*$C$32</f>
        <v>163.05702600000001</v>
      </c>
      <c r="G86" s="336">
        <v>0.1111</v>
      </c>
      <c r="H86" s="327">
        <f>G86*$G$32</f>
        <v>180.177536</v>
      </c>
      <c r="I86" s="372">
        <v>0.1111</v>
      </c>
      <c r="J86" s="375">
        <f>I86*$I$32</f>
        <v>192.015241</v>
      </c>
    </row>
    <row r="87" spans="1:14" x14ac:dyDescent="0.25">
      <c r="A87" s="223" t="s">
        <v>9</v>
      </c>
      <c r="B87" s="7" t="s">
        <v>58</v>
      </c>
      <c r="C87" s="9">
        <v>1.3899999999999999E-2</v>
      </c>
      <c r="D87" s="8">
        <f>C87*$C$32</f>
        <v>20.400473999999999</v>
      </c>
      <c r="E87" s="9">
        <v>1.3899999999999999E-2</v>
      </c>
      <c r="F87" s="8">
        <f>E87*$C$32</f>
        <v>20.400473999999999</v>
      </c>
      <c r="G87" s="336">
        <v>1.3899999999999999E-2</v>
      </c>
      <c r="H87" s="327">
        <f>G87*$G$32</f>
        <v>22.542463999999999</v>
      </c>
      <c r="I87" s="372">
        <v>1.3899999999999999E-2</v>
      </c>
      <c r="J87" s="375">
        <f>I87*$I$32</f>
        <v>24.023508999999997</v>
      </c>
    </row>
    <row r="88" spans="1:14" x14ac:dyDescent="0.25">
      <c r="A88" s="223" t="s">
        <v>11</v>
      </c>
      <c r="B88" s="7" t="s">
        <v>59</v>
      </c>
      <c r="C88" s="9">
        <v>2.0000000000000001E-4</v>
      </c>
      <c r="D88" s="8">
        <f>C88*$C$32</f>
        <v>0.29353200000000002</v>
      </c>
      <c r="E88" s="9">
        <v>2.0000000000000001E-4</v>
      </c>
      <c r="F88" s="8">
        <f>E88*$C$32</f>
        <v>0.29353200000000002</v>
      </c>
      <c r="G88" s="336">
        <v>2.0000000000000001E-4</v>
      </c>
      <c r="H88" s="327">
        <f>G88*$G$32</f>
        <v>0.32435200000000003</v>
      </c>
      <c r="I88" s="372">
        <v>2.0000000000000001E-4</v>
      </c>
      <c r="J88" s="375">
        <f>I88*$I$32</f>
        <v>0.34566200000000002</v>
      </c>
    </row>
    <row r="89" spans="1:14" x14ac:dyDescent="0.25">
      <c r="A89" s="223" t="s">
        <v>13</v>
      </c>
      <c r="B89" s="7" t="s">
        <v>60</v>
      </c>
      <c r="C89" s="9">
        <v>2.8E-3</v>
      </c>
      <c r="D89" s="8">
        <f>C89*$C$32</f>
        <v>4.1094480000000004</v>
      </c>
      <c r="E89" s="9">
        <v>2.8E-3</v>
      </c>
      <c r="F89" s="8">
        <f>E89*$C$32</f>
        <v>4.1094480000000004</v>
      </c>
      <c r="G89" s="336">
        <v>2.8E-3</v>
      </c>
      <c r="H89" s="327">
        <f>G89*$G$32</f>
        <v>4.5409280000000001</v>
      </c>
      <c r="I89" s="372">
        <v>2.8E-3</v>
      </c>
      <c r="J89" s="375">
        <f>I89*$I$32</f>
        <v>4.8392679999999997</v>
      </c>
    </row>
    <row r="90" spans="1:14" x14ac:dyDescent="0.25">
      <c r="A90" s="223" t="s">
        <v>15</v>
      </c>
      <c r="B90" s="7" t="s">
        <v>61</v>
      </c>
      <c r="C90" s="9">
        <v>3.3E-3</v>
      </c>
      <c r="D90" s="8">
        <f>C90*$C$32</f>
        <v>4.8432780000000006</v>
      </c>
      <c r="E90" s="9">
        <v>3.3E-3</v>
      </c>
      <c r="F90" s="8">
        <f>E90*$C$32</f>
        <v>4.8432780000000006</v>
      </c>
      <c r="G90" s="336">
        <v>3.3E-3</v>
      </c>
      <c r="H90" s="327">
        <f>G90*$G$32</f>
        <v>5.3518080000000001</v>
      </c>
      <c r="I90" s="372">
        <v>3.3E-3</v>
      </c>
      <c r="J90" s="375">
        <f>I90*$I$32</f>
        <v>5.7034229999999999</v>
      </c>
    </row>
    <row r="91" spans="1:14" x14ac:dyDescent="0.25">
      <c r="A91" s="223" t="s">
        <v>17</v>
      </c>
      <c r="B91" s="7" t="s">
        <v>21</v>
      </c>
      <c r="C91" s="9"/>
      <c r="D91" s="8"/>
      <c r="E91" s="9"/>
      <c r="F91" s="8"/>
      <c r="G91" s="313"/>
      <c r="H91" s="327"/>
      <c r="I91" s="372"/>
      <c r="J91" s="375"/>
    </row>
    <row r="92" spans="1:14" x14ac:dyDescent="0.25">
      <c r="A92" s="223"/>
      <c r="B92" s="5" t="s">
        <v>44</v>
      </c>
      <c r="C92" s="225">
        <f t="shared" ref="C92:H92" si="13">SUM(C86:C91)</f>
        <v>0.1313</v>
      </c>
      <c r="D92" s="226">
        <f t="shared" si="13"/>
        <v>192.70375799999999</v>
      </c>
      <c r="E92" s="225">
        <f t="shared" si="13"/>
        <v>0.1313</v>
      </c>
      <c r="F92" s="226">
        <f t="shared" si="13"/>
        <v>192.70375799999999</v>
      </c>
      <c r="G92" s="314">
        <f t="shared" si="13"/>
        <v>0.1313</v>
      </c>
      <c r="H92" s="410">
        <f t="shared" si="13"/>
        <v>212.93708800000002</v>
      </c>
      <c r="I92" s="373">
        <f>SUM(I86:I91)</f>
        <v>0.1313</v>
      </c>
      <c r="J92" s="381">
        <f>SUM(J86:J91)</f>
        <v>226.92710299999999</v>
      </c>
    </row>
    <row r="93" spans="1:14" x14ac:dyDescent="0.25">
      <c r="A93" s="223" t="s">
        <v>19</v>
      </c>
      <c r="B93" s="7" t="s">
        <v>62</v>
      </c>
      <c r="C93" s="9">
        <f>C60*C92</f>
        <v>4.6375160000000012E-2</v>
      </c>
      <c r="D93" s="8">
        <f>C93*$C$32</f>
        <v>68.062967325600027</v>
      </c>
      <c r="E93" s="9">
        <f>E60*E92</f>
        <v>4.6375160000000012E-2</v>
      </c>
      <c r="F93" s="8">
        <f>E93*$C$32</f>
        <v>68.062967325600027</v>
      </c>
      <c r="G93" s="313">
        <f>G60*G92</f>
        <v>4.6558980000000014E-2</v>
      </c>
      <c r="H93" s="327">
        <f>G93*$G$32</f>
        <v>75.507491404800021</v>
      </c>
      <c r="I93" s="372">
        <f>I60*I92</f>
        <v>4.6558980000000014E-2</v>
      </c>
      <c r="J93" s="375">
        <f>I93*$I$32</f>
        <v>80.468350723800015</v>
      </c>
    </row>
    <row r="94" spans="1:14" x14ac:dyDescent="0.25">
      <c r="A94" s="581" t="s">
        <v>54</v>
      </c>
      <c r="B94" s="526"/>
      <c r="C94" s="432">
        <f t="shared" ref="C94:H94" si="14">SUM(C92:C93)</f>
        <v>0.17767516</v>
      </c>
      <c r="D94" s="428">
        <f t="shared" si="14"/>
        <v>260.76672532560002</v>
      </c>
      <c r="E94" s="432">
        <f t="shared" si="14"/>
        <v>0.17767516</v>
      </c>
      <c r="F94" s="428">
        <f t="shared" si="14"/>
        <v>260.76672532560002</v>
      </c>
      <c r="G94" s="434">
        <f t="shared" si="14"/>
        <v>0.17785898</v>
      </c>
      <c r="H94" s="429">
        <f t="shared" si="14"/>
        <v>288.44457940480004</v>
      </c>
      <c r="I94" s="373">
        <f>SUM(I92:I93)</f>
        <v>0.17785898</v>
      </c>
      <c r="J94" s="460">
        <f>SUM(J92:J93)</f>
        <v>307.39545372380002</v>
      </c>
      <c r="K94" t="s">
        <v>317</v>
      </c>
      <c r="L94" s="61">
        <f>SUM(C94+C83+C74+C69+C60)</f>
        <v>0.76928080800000009</v>
      </c>
      <c r="M94" t="s">
        <v>317</v>
      </c>
      <c r="N94" s="61">
        <f>SUM(G94+G83+G74+G69+G60)</f>
        <v>0.77107972400000002</v>
      </c>
    </row>
    <row r="95" spans="1:14" x14ac:dyDescent="0.25">
      <c r="A95" s="440"/>
      <c r="B95" s="3"/>
      <c r="C95" s="3"/>
      <c r="D95" s="3"/>
      <c r="E95" s="3"/>
      <c r="F95" s="3"/>
      <c r="G95" s="343"/>
      <c r="H95" s="343"/>
      <c r="I95" s="393"/>
      <c r="J95" s="383"/>
    </row>
    <row r="96" spans="1:14" x14ac:dyDescent="0.25">
      <c r="A96" s="613" t="s">
        <v>63</v>
      </c>
      <c r="B96" s="561"/>
      <c r="C96" s="561"/>
      <c r="D96" s="561"/>
      <c r="E96" s="561"/>
      <c r="F96" s="561"/>
      <c r="G96" s="561"/>
      <c r="H96" s="561"/>
      <c r="I96" s="561"/>
      <c r="J96" s="614"/>
    </row>
    <row r="97" spans="1:13" x14ac:dyDescent="0.25">
      <c r="A97" s="236"/>
      <c r="B97" s="3"/>
      <c r="C97" s="3"/>
      <c r="D97" s="3"/>
      <c r="E97" s="3"/>
      <c r="F97" s="3"/>
      <c r="G97" s="343"/>
      <c r="H97" s="343"/>
      <c r="I97" s="393"/>
      <c r="J97" s="383"/>
    </row>
    <row r="98" spans="1:13" x14ac:dyDescent="0.25">
      <c r="A98" s="451">
        <v>4</v>
      </c>
      <c r="B98" s="426" t="s">
        <v>64</v>
      </c>
      <c r="C98" s="426" t="s">
        <v>6</v>
      </c>
      <c r="D98" s="426" t="s">
        <v>6</v>
      </c>
      <c r="E98" s="426"/>
      <c r="F98" s="426" t="s">
        <v>6</v>
      </c>
      <c r="G98" s="427"/>
      <c r="H98" s="427" t="s">
        <v>6</v>
      </c>
      <c r="I98" s="427"/>
      <c r="J98" s="452" t="s">
        <v>6</v>
      </c>
    </row>
    <row r="99" spans="1:13" x14ac:dyDescent="0.25">
      <c r="A99" s="221" t="s">
        <v>31</v>
      </c>
      <c r="B99" s="7" t="s">
        <v>128</v>
      </c>
      <c r="C99" s="227"/>
      <c r="D99" s="64">
        <f>D60</f>
        <v>518.37751200000002</v>
      </c>
      <c r="E99" s="64"/>
      <c r="F99" s="64">
        <f>F60</f>
        <v>518.37751200000002</v>
      </c>
      <c r="G99" s="331"/>
      <c r="H99" s="443">
        <f>H60</f>
        <v>575.07609599999989</v>
      </c>
      <c r="I99" s="414"/>
      <c r="J99" s="465">
        <f>J60</f>
        <v>612.85872600000005</v>
      </c>
    </row>
    <row r="100" spans="1:13" x14ac:dyDescent="0.25">
      <c r="A100" s="221" t="s">
        <v>42</v>
      </c>
      <c r="B100" s="7" t="s">
        <v>129</v>
      </c>
      <c r="C100" s="227"/>
      <c r="D100" s="64">
        <f>D69</f>
        <v>220.64876758320003</v>
      </c>
      <c r="E100" s="64"/>
      <c r="F100" s="64">
        <f>F69</f>
        <v>220.64876758320003</v>
      </c>
      <c r="G100" s="331"/>
      <c r="H100" s="443">
        <f>H69</f>
        <v>244.06849026559999</v>
      </c>
      <c r="I100" s="414"/>
      <c r="J100" s="465">
        <f>J69</f>
        <v>260.10384545860001</v>
      </c>
    </row>
    <row r="101" spans="1:13" x14ac:dyDescent="0.25">
      <c r="A101" s="221" t="s">
        <v>46</v>
      </c>
      <c r="B101" s="7" t="s">
        <v>47</v>
      </c>
      <c r="C101" s="227"/>
      <c r="D101" s="64">
        <f>D74</f>
        <v>1.46966775888</v>
      </c>
      <c r="E101" s="64"/>
      <c r="F101" s="64">
        <f>F74</f>
        <v>1.46966775888</v>
      </c>
      <c r="G101" s="331"/>
      <c r="H101" s="443">
        <f>H74</f>
        <v>1.62565871104</v>
      </c>
      <c r="I101" s="414"/>
      <c r="J101" s="465">
        <f>J74</f>
        <v>1.7324648572400001</v>
      </c>
    </row>
    <row r="102" spans="1:13" x14ac:dyDescent="0.25">
      <c r="A102" s="221" t="s">
        <v>49</v>
      </c>
      <c r="B102" s="7" t="s">
        <v>65</v>
      </c>
      <c r="C102" s="227"/>
      <c r="D102" s="64">
        <f>D83</f>
        <v>127.77999800160001</v>
      </c>
      <c r="E102" s="64"/>
      <c r="F102" s="64">
        <f>F83</f>
        <v>127.77999800160001</v>
      </c>
      <c r="G102" s="331"/>
      <c r="H102" s="443">
        <f>H83</f>
        <v>141.29142881280001</v>
      </c>
      <c r="I102" s="414"/>
      <c r="J102" s="465">
        <f>J83</f>
        <v>150.5743077468</v>
      </c>
    </row>
    <row r="103" spans="1:13" x14ac:dyDescent="0.25">
      <c r="A103" s="221" t="s">
        <v>56</v>
      </c>
      <c r="B103" s="7" t="s">
        <v>66</v>
      </c>
      <c r="C103" s="227"/>
      <c r="D103" s="64">
        <f>D94</f>
        <v>260.76672532560002</v>
      </c>
      <c r="E103" s="64"/>
      <c r="F103" s="64">
        <f>F94</f>
        <v>260.76672532560002</v>
      </c>
      <c r="G103" s="331"/>
      <c r="H103" s="443">
        <f>H94</f>
        <v>288.44457940480004</v>
      </c>
      <c r="I103" s="414"/>
      <c r="J103" s="465">
        <f>J94</f>
        <v>307.39545372380002</v>
      </c>
    </row>
    <row r="104" spans="1:13" x14ac:dyDescent="0.25">
      <c r="A104" s="221" t="s">
        <v>67</v>
      </c>
      <c r="B104" s="7" t="s">
        <v>68</v>
      </c>
      <c r="C104" s="6"/>
      <c r="D104" s="3"/>
      <c r="E104" s="3"/>
      <c r="F104" s="3"/>
      <c r="G104" s="388"/>
      <c r="H104" s="345"/>
      <c r="I104" s="416"/>
      <c r="J104" s="466"/>
    </row>
    <row r="105" spans="1:13" x14ac:dyDescent="0.25">
      <c r="A105" s="581" t="s">
        <v>54</v>
      </c>
      <c r="B105" s="526"/>
      <c r="C105" s="436"/>
      <c r="D105" s="436">
        <f>SUM(D99:D104)</f>
        <v>1129.0426706692799</v>
      </c>
      <c r="E105" s="436"/>
      <c r="F105" s="436">
        <f>SUM(F99:F104)</f>
        <v>1129.0426706692799</v>
      </c>
      <c r="G105" s="437"/>
      <c r="H105" s="437">
        <f>SUM(H99:H104)</f>
        <v>1250.5062531942399</v>
      </c>
      <c r="I105" s="365"/>
      <c r="J105" s="462">
        <f>SUM(J99:J104)</f>
        <v>1332.66479778644</v>
      </c>
    </row>
    <row r="106" spans="1:13" s="152" customFormat="1" x14ac:dyDescent="0.25">
      <c r="A106" s="441"/>
      <c r="B106" s="404"/>
      <c r="C106" s="404"/>
      <c r="D106" s="404"/>
      <c r="E106" s="404"/>
      <c r="F106" s="404"/>
      <c r="G106" s="405"/>
      <c r="H106" s="405"/>
      <c r="I106" s="406"/>
      <c r="J106" s="459"/>
    </row>
    <row r="107" spans="1:13" ht="18.75" x14ac:dyDescent="0.25">
      <c r="A107" s="563" t="s">
        <v>69</v>
      </c>
      <c r="B107" s="564"/>
      <c r="C107" s="564"/>
      <c r="D107" s="564"/>
      <c r="E107" s="564"/>
      <c r="F107" s="564"/>
      <c r="G107" s="564"/>
      <c r="H107" s="564"/>
      <c r="I107" s="564"/>
      <c r="J107" s="565"/>
    </row>
    <row r="108" spans="1:13" x14ac:dyDescent="0.25">
      <c r="A108" s="456">
        <v>5</v>
      </c>
      <c r="B108" s="426" t="s">
        <v>70</v>
      </c>
      <c r="C108" s="426" t="s">
        <v>33</v>
      </c>
      <c r="D108" s="426" t="s">
        <v>6</v>
      </c>
      <c r="E108" s="426" t="s">
        <v>33</v>
      </c>
      <c r="F108" s="426" t="s">
        <v>6</v>
      </c>
      <c r="G108" s="427" t="s">
        <v>33</v>
      </c>
      <c r="H108" s="427" t="s">
        <v>6</v>
      </c>
      <c r="I108" s="427" t="s">
        <v>33</v>
      </c>
      <c r="J108" s="452" t="s">
        <v>6</v>
      </c>
    </row>
    <row r="109" spans="1:13" x14ac:dyDescent="0.25">
      <c r="A109" s="223" t="s">
        <v>7</v>
      </c>
      <c r="B109" s="7" t="s">
        <v>71</v>
      </c>
      <c r="C109" s="9">
        <v>2.6100000000000002E-2</v>
      </c>
      <c r="D109" s="8">
        <f>SUM(C32+C42+C48+D105)*C109</f>
        <v>91.555832534468195</v>
      </c>
      <c r="E109" s="9">
        <v>2.6100000000000002E-2</v>
      </c>
      <c r="F109" s="8">
        <f>SUM(E32+E42+E48+F105)*E109</f>
        <v>93.450111809468211</v>
      </c>
      <c r="G109" s="313">
        <v>2.6100000000000002E-2</v>
      </c>
      <c r="H109" s="327">
        <f>SUM(G32+G42+G48+H105)*G109</f>
        <v>102.43376267336966</v>
      </c>
      <c r="I109" s="372">
        <v>2.6100000000000002E-2</v>
      </c>
      <c r="J109" s="375">
        <f>SUM(I32+I42+I48+J105)*I109</f>
        <v>109.7059759522261</v>
      </c>
    </row>
    <row r="110" spans="1:13" x14ac:dyDescent="0.25">
      <c r="A110" s="223" t="s">
        <v>9</v>
      </c>
      <c r="B110" s="1" t="s">
        <v>72</v>
      </c>
      <c r="C110" s="225">
        <v>0.14249999999999999</v>
      </c>
      <c r="D110" s="8"/>
      <c r="E110" s="225">
        <v>0.14249999999999999</v>
      </c>
      <c r="F110" s="8"/>
      <c r="G110" s="314">
        <v>0.14249999999999999</v>
      </c>
      <c r="H110" s="327"/>
      <c r="I110" s="373">
        <v>0.14249999999999999</v>
      </c>
      <c r="J110" s="375"/>
      <c r="K110" s="60">
        <v>1.6500000000000001E-2</v>
      </c>
      <c r="M110" s="60">
        <v>1.6500000000000001E-2</v>
      </c>
    </row>
    <row r="111" spans="1:13" x14ac:dyDescent="0.25">
      <c r="A111" s="223"/>
      <c r="B111" s="7" t="s">
        <v>131</v>
      </c>
      <c r="C111" s="9"/>
      <c r="D111" s="8">
        <f>ROUND(K116*K112,2)</f>
        <v>392.16</v>
      </c>
      <c r="E111" s="9"/>
      <c r="F111" s="8">
        <f>ROUND(M116*M112,2)</f>
        <v>400.27</v>
      </c>
      <c r="G111" s="313"/>
      <c r="H111" s="327">
        <f>ROUND(M118*M112,2)</f>
        <v>438.75</v>
      </c>
      <c r="I111" s="372"/>
      <c r="J111" s="327">
        <f>ROUND(M120*M112,2)</f>
        <v>469.9</v>
      </c>
      <c r="K111" s="60">
        <v>7.5999999999999998E-2</v>
      </c>
      <c r="M111" s="60">
        <v>7.5999999999999998E-2</v>
      </c>
    </row>
    <row r="112" spans="1:13" x14ac:dyDescent="0.25">
      <c r="A112" s="223"/>
      <c r="B112" s="7" t="s">
        <v>130</v>
      </c>
      <c r="C112" s="9"/>
      <c r="D112" s="8">
        <f>ROUND(K116*K113,2)</f>
        <v>211.98</v>
      </c>
      <c r="E112" s="9"/>
      <c r="F112" s="8">
        <f>ROUND(M116*M113,2)</f>
        <v>216.36</v>
      </c>
      <c r="G112" s="313"/>
      <c r="H112" s="327">
        <f>ROUND(M118*M113,2)</f>
        <v>237.16</v>
      </c>
      <c r="I112" s="372"/>
      <c r="J112" s="327">
        <f>ROUND(M120*M113,2)</f>
        <v>254</v>
      </c>
      <c r="K112" s="60">
        <f>SUM(K110:K111)</f>
        <v>9.2499999999999999E-2</v>
      </c>
      <c r="M112" s="60">
        <f>SUM(M110:M111)</f>
        <v>9.2499999999999999E-2</v>
      </c>
    </row>
    <row r="113" spans="1:13" x14ac:dyDescent="0.25">
      <c r="A113" s="223"/>
      <c r="B113" s="7" t="s">
        <v>132</v>
      </c>
      <c r="C113" s="9"/>
      <c r="D113" s="8"/>
      <c r="E113" s="9"/>
      <c r="F113" s="8"/>
      <c r="G113" s="313"/>
      <c r="H113" s="327"/>
      <c r="I113" s="372"/>
      <c r="J113" s="375"/>
      <c r="K113" s="60">
        <v>0.05</v>
      </c>
      <c r="M113" s="60">
        <v>0.05</v>
      </c>
    </row>
    <row r="114" spans="1:13" x14ac:dyDescent="0.25">
      <c r="A114" s="223"/>
      <c r="B114" s="7" t="s">
        <v>133</v>
      </c>
      <c r="C114" s="9"/>
      <c r="D114" s="8"/>
      <c r="E114" s="9"/>
      <c r="F114" s="8"/>
      <c r="G114" s="313"/>
      <c r="H114" s="327"/>
      <c r="I114" s="372"/>
      <c r="J114" s="375"/>
    </row>
    <row r="115" spans="1:13" x14ac:dyDescent="0.25">
      <c r="A115" s="229" t="s">
        <v>11</v>
      </c>
      <c r="B115" s="7" t="s">
        <v>134</v>
      </c>
      <c r="C115" s="230">
        <v>0.01</v>
      </c>
      <c r="D115" s="8">
        <f>SUM(D109+D105+C48+C42+C32)*C115</f>
        <v>35.994421365370819</v>
      </c>
      <c r="E115" s="230">
        <v>0.01</v>
      </c>
      <c r="F115" s="8">
        <f>SUM(F109+F105+E48+E42+E32)*E115</f>
        <v>36.739141658120815</v>
      </c>
      <c r="G115" s="315">
        <v>0.01</v>
      </c>
      <c r="H115" s="327">
        <f>SUM(H109+H105+G48+G42+G32)*G115</f>
        <v>40.270989992009426</v>
      </c>
      <c r="I115" s="373">
        <v>0.01</v>
      </c>
      <c r="J115" s="375">
        <f>SUM(J109+J105+I48+I42+I32)*I115</f>
        <v>43.130000737386652</v>
      </c>
    </row>
    <row r="116" spans="1:13" x14ac:dyDescent="0.25">
      <c r="A116" s="581" t="s">
        <v>41</v>
      </c>
      <c r="B116" s="526"/>
      <c r="C116" s="526"/>
      <c r="D116" s="436">
        <f>SUM(D109:D115)</f>
        <v>731.69025389983904</v>
      </c>
      <c r="E116" s="436"/>
      <c r="F116" s="436">
        <f>SUM(F109:F115)</f>
        <v>746.81925346758908</v>
      </c>
      <c r="G116" s="437"/>
      <c r="H116" s="437">
        <f>SUM(H109:H115)</f>
        <v>818.614752665379</v>
      </c>
      <c r="I116" s="437"/>
      <c r="J116" s="455">
        <f>SUM(J109:J115)</f>
        <v>876.73597668961281</v>
      </c>
      <c r="K116" s="59">
        <f>SUM(D115+D109+D105+C48+C42+C32)/(1-C110)</f>
        <v>4239.576160819186</v>
      </c>
      <c r="M116" s="59">
        <f>SUM(F115+F109+F105+E48+E42+E32)/(1-E110)</f>
        <v>4327.2924868457167</v>
      </c>
    </row>
    <row r="117" spans="1:13" x14ac:dyDescent="0.25">
      <c r="A117" s="580" t="s">
        <v>73</v>
      </c>
      <c r="B117" s="528"/>
      <c r="C117" s="528"/>
      <c r="D117" s="528"/>
      <c r="E117" s="396"/>
      <c r="F117" s="396"/>
      <c r="G117" s="420"/>
      <c r="H117" s="420"/>
      <c r="I117" s="421"/>
      <c r="J117" s="463"/>
    </row>
    <row r="118" spans="1:13" x14ac:dyDescent="0.25">
      <c r="A118" s="580" t="s">
        <v>74</v>
      </c>
      <c r="B118" s="528"/>
      <c r="C118" s="528"/>
      <c r="D118" s="528"/>
      <c r="E118" s="396"/>
      <c r="F118" s="396"/>
      <c r="G118" s="420"/>
      <c r="H118" s="420"/>
      <c r="I118" s="421"/>
      <c r="J118" s="463"/>
      <c r="M118" s="59">
        <f>SUM(H115+H109+H105+G48+G42+G32)/(1-G110)</f>
        <v>4743.2886171346381</v>
      </c>
    </row>
    <row r="119" spans="1:13" ht="15.75" thickBot="1" x14ac:dyDescent="0.3">
      <c r="A119" s="583" t="s">
        <v>135</v>
      </c>
      <c r="B119" s="527"/>
      <c r="C119" s="527"/>
      <c r="D119" s="527"/>
      <c r="E119" s="422"/>
      <c r="F119" s="422"/>
      <c r="G119" s="423"/>
      <c r="H119" s="423"/>
      <c r="I119" s="424"/>
      <c r="J119" s="464"/>
      <c r="M119" s="59"/>
    </row>
    <row r="120" spans="1:13" ht="15.75" thickBot="1" x14ac:dyDescent="0.3">
      <c r="A120" s="583" t="s">
        <v>75</v>
      </c>
      <c r="B120" s="527"/>
      <c r="C120" s="527"/>
      <c r="D120" s="527"/>
      <c r="E120" s="422"/>
      <c r="F120" s="422"/>
      <c r="G120" s="423"/>
      <c r="H120" s="423"/>
      <c r="I120" s="424"/>
      <c r="J120" s="464"/>
      <c r="M120" s="468">
        <f>SUM(J115+J109+J105+I48+I42+I32)/(1-I110)</f>
        <v>5080.0350722752801</v>
      </c>
    </row>
    <row r="121" spans="1:13" x14ac:dyDescent="0.25">
      <c r="A121" s="442"/>
      <c r="B121" s="3"/>
      <c r="C121" s="3"/>
      <c r="D121" s="3"/>
      <c r="E121" s="3"/>
      <c r="F121" s="3"/>
      <c r="G121" s="343"/>
      <c r="H121" s="343"/>
      <c r="I121" s="393"/>
      <c r="J121" s="383"/>
    </row>
    <row r="122" spans="1:13" x14ac:dyDescent="0.25">
      <c r="A122" s="581" t="s">
        <v>76</v>
      </c>
      <c r="B122" s="526"/>
      <c r="C122" s="526" t="s">
        <v>77</v>
      </c>
      <c r="D122" s="526"/>
      <c r="E122" s="526" t="s">
        <v>77</v>
      </c>
      <c r="F122" s="526"/>
      <c r="G122" s="525" t="s">
        <v>77</v>
      </c>
      <c r="H122" s="525"/>
      <c r="I122" s="525" t="s">
        <v>77</v>
      </c>
      <c r="J122" s="599"/>
      <c r="K122" s="4">
        <f>'$ TOTAL ATUAL'!D33</f>
        <v>-133463.52000000002</v>
      </c>
      <c r="M122" s="4">
        <f>'$ TOTAL ATUAL'!F33</f>
        <v>0</v>
      </c>
    </row>
    <row r="123" spans="1:13" x14ac:dyDescent="0.25">
      <c r="A123" s="223" t="s">
        <v>7</v>
      </c>
      <c r="B123" s="7" t="s">
        <v>78</v>
      </c>
      <c r="C123" s="518">
        <f>C32</f>
        <v>1467.66</v>
      </c>
      <c r="D123" s="519"/>
      <c r="E123" s="518">
        <f>E32</f>
        <v>1467.66</v>
      </c>
      <c r="F123" s="519"/>
      <c r="G123" s="522">
        <f>G32</f>
        <v>1621.76</v>
      </c>
      <c r="H123" s="523"/>
      <c r="I123" s="515">
        <f>I32</f>
        <v>1728.31</v>
      </c>
      <c r="J123" s="593"/>
    </row>
    <row r="124" spans="1:13" x14ac:dyDescent="0.25">
      <c r="A124" s="223" t="s">
        <v>9</v>
      </c>
      <c r="B124" s="7" t="s">
        <v>79</v>
      </c>
      <c r="C124" s="518">
        <f>C42</f>
        <v>641.89030000000002</v>
      </c>
      <c r="D124" s="519"/>
      <c r="E124" s="522">
        <f>E42</f>
        <v>714.46804999999995</v>
      </c>
      <c r="F124" s="523"/>
      <c r="G124" s="522">
        <f>G42</f>
        <v>783.10564999999997</v>
      </c>
      <c r="H124" s="523"/>
      <c r="I124" s="515">
        <f>I42</f>
        <v>873.02930000000003</v>
      </c>
      <c r="J124" s="593"/>
    </row>
    <row r="125" spans="1:13" ht="30" x14ac:dyDescent="0.25">
      <c r="A125" s="223" t="s">
        <v>11</v>
      </c>
      <c r="B125" s="7" t="s">
        <v>80</v>
      </c>
      <c r="C125" s="518">
        <f>C48</f>
        <v>269.29333333333329</v>
      </c>
      <c r="D125" s="519"/>
      <c r="E125" s="518">
        <f>E48</f>
        <v>269.29333333333329</v>
      </c>
      <c r="F125" s="519"/>
      <c r="G125" s="522">
        <f>G48</f>
        <v>269.29333333333329</v>
      </c>
      <c r="H125" s="523"/>
      <c r="I125" s="515">
        <f>I48</f>
        <v>269.28999999999996</v>
      </c>
      <c r="J125" s="593"/>
    </row>
    <row r="126" spans="1:13" x14ac:dyDescent="0.25">
      <c r="A126" s="223" t="s">
        <v>13</v>
      </c>
      <c r="B126" s="7" t="s">
        <v>64</v>
      </c>
      <c r="C126" s="518">
        <f>D105</f>
        <v>1129.0426706692799</v>
      </c>
      <c r="D126" s="519"/>
      <c r="E126" s="518">
        <f>F105</f>
        <v>1129.0426706692799</v>
      </c>
      <c r="F126" s="519"/>
      <c r="G126" s="522">
        <f>H105</f>
        <v>1250.5062531942399</v>
      </c>
      <c r="H126" s="523"/>
      <c r="I126" s="515">
        <f>J105</f>
        <v>1332.66479778644</v>
      </c>
      <c r="J126" s="593"/>
    </row>
    <row r="127" spans="1:13" x14ac:dyDescent="0.25">
      <c r="A127" s="578" t="s">
        <v>81</v>
      </c>
      <c r="B127" s="533"/>
      <c r="C127" s="518">
        <f>SUM(C123:D126)</f>
        <v>3507.8863040026126</v>
      </c>
      <c r="D127" s="519"/>
      <c r="E127" s="522">
        <f>SUM(E123:F126)</f>
        <v>3580.464054002613</v>
      </c>
      <c r="F127" s="523"/>
      <c r="G127" s="522">
        <f>SUM(G123:H126)</f>
        <v>3924.6652365275727</v>
      </c>
      <c r="H127" s="523"/>
      <c r="I127" s="515">
        <f>SUM(I123:J126)</f>
        <v>4203.29409778644</v>
      </c>
      <c r="J127" s="593"/>
    </row>
    <row r="128" spans="1:13" x14ac:dyDescent="0.25">
      <c r="A128" s="223" t="s">
        <v>15</v>
      </c>
      <c r="B128" s="7" t="s">
        <v>82</v>
      </c>
      <c r="C128" s="518">
        <f>D116</f>
        <v>731.69025389983904</v>
      </c>
      <c r="D128" s="519"/>
      <c r="E128" s="522">
        <f>F116</f>
        <v>746.81925346758908</v>
      </c>
      <c r="F128" s="523"/>
      <c r="G128" s="522">
        <f>H116</f>
        <v>818.614752665379</v>
      </c>
      <c r="H128" s="523"/>
      <c r="I128" s="515">
        <f>J116</f>
        <v>876.73597668961281</v>
      </c>
      <c r="J128" s="593"/>
    </row>
    <row r="129" spans="1:14" ht="15.75" thickBot="1" x14ac:dyDescent="0.3">
      <c r="A129" s="574" t="s">
        <v>83</v>
      </c>
      <c r="B129" s="575"/>
      <c r="C129" s="576">
        <f>SUM(C127:C128)</f>
        <v>4239.5765579024519</v>
      </c>
      <c r="D129" s="577"/>
      <c r="E129" s="591">
        <f>SUM(E127:E128)</f>
        <v>4327.2833074702021</v>
      </c>
      <c r="F129" s="592"/>
      <c r="G129" s="572">
        <f>SUM(G127:G128)</f>
        <v>4743.2799891929517</v>
      </c>
      <c r="H129" s="573"/>
      <c r="I129" s="572">
        <f>SUM(I127:I128)</f>
        <v>5080.0300744760525</v>
      </c>
      <c r="J129" s="596"/>
    </row>
    <row r="130" spans="1:14" x14ac:dyDescent="0.25">
      <c r="L130" s="4"/>
      <c r="N130" s="4"/>
    </row>
  </sheetData>
  <mergeCells count="76">
    <mergeCell ref="A1:J1"/>
    <mergeCell ref="A3:J3"/>
    <mergeCell ref="A4:J4"/>
    <mergeCell ref="A2:J2"/>
    <mergeCell ref="A17:J17"/>
    <mergeCell ref="I126:J126"/>
    <mergeCell ref="I127:J127"/>
    <mergeCell ref="I128:J128"/>
    <mergeCell ref="I129:J129"/>
    <mergeCell ref="I9:J9"/>
    <mergeCell ref="J45:J46"/>
    <mergeCell ref="A96:J96"/>
    <mergeCell ref="A118:D118"/>
    <mergeCell ref="I122:J122"/>
    <mergeCell ref="I123:J123"/>
    <mergeCell ref="I124:J124"/>
    <mergeCell ref="I125:J125"/>
    <mergeCell ref="E122:F122"/>
    <mergeCell ref="E123:F123"/>
    <mergeCell ref="E124:F124"/>
    <mergeCell ref="A16:B16"/>
    <mergeCell ref="A60:B60"/>
    <mergeCell ref="A69:B69"/>
    <mergeCell ref="A61:D61"/>
    <mergeCell ref="A62:D62"/>
    <mergeCell ref="A32:B32"/>
    <mergeCell ref="A33:C33"/>
    <mergeCell ref="A42:B42"/>
    <mergeCell ref="A43:C43"/>
    <mergeCell ref="A23:C23"/>
    <mergeCell ref="A105:B105"/>
    <mergeCell ref="A116:C116"/>
    <mergeCell ref="A117:D117"/>
    <mergeCell ref="B5:C5"/>
    <mergeCell ref="A6:C6"/>
    <mergeCell ref="A8:C8"/>
    <mergeCell ref="A14:C14"/>
    <mergeCell ref="A107:J107"/>
    <mergeCell ref="A63:J63"/>
    <mergeCell ref="A15:B15"/>
    <mergeCell ref="A94:B94"/>
    <mergeCell ref="A48:B48"/>
    <mergeCell ref="A49:C49"/>
    <mergeCell ref="A18:J18"/>
    <mergeCell ref="A50:J50"/>
    <mergeCell ref="C123:D123"/>
    <mergeCell ref="A119:D119"/>
    <mergeCell ref="A120:D120"/>
    <mergeCell ref="A122:B122"/>
    <mergeCell ref="C122:D122"/>
    <mergeCell ref="A74:B74"/>
    <mergeCell ref="A83:B83"/>
    <mergeCell ref="A70:J70"/>
    <mergeCell ref="A75:J75"/>
    <mergeCell ref="A84:J84"/>
    <mergeCell ref="C124:D124"/>
    <mergeCell ref="C125:D125"/>
    <mergeCell ref="C126:D126"/>
    <mergeCell ref="A127:B127"/>
    <mergeCell ref="C127:D127"/>
    <mergeCell ref="A129:B129"/>
    <mergeCell ref="C129:D129"/>
    <mergeCell ref="E128:F128"/>
    <mergeCell ref="E129:F129"/>
    <mergeCell ref="E127:F127"/>
    <mergeCell ref="C128:D128"/>
    <mergeCell ref="G125:H125"/>
    <mergeCell ref="G126:H126"/>
    <mergeCell ref="G127:H127"/>
    <mergeCell ref="E125:F125"/>
    <mergeCell ref="E126:F126"/>
    <mergeCell ref="G129:H129"/>
    <mergeCell ref="G128:H128"/>
    <mergeCell ref="G122:H122"/>
    <mergeCell ref="G123:H123"/>
    <mergeCell ref="G124:H124"/>
  </mergeCells>
  <printOptions horizontalCentered="1"/>
  <pageMargins left="0.9055118110236221" right="0.78740157480314965" top="0.78740157480314965" bottom="0.98425196850393704" header="0.31496062992125984" footer="0.31496062992125984"/>
  <pageSetup paperSize="9" scale="51" fitToHeight="0" orientation="portrait" horizontalDpi="4294967295" verticalDpi="4294967295" r:id="rId1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0"/>
  <sheetViews>
    <sheetView view="pageBreakPreview" zoomScale="80" zoomScaleNormal="100" zoomScaleSheetLayoutView="80" workbookViewId="0">
      <selection activeCell="I11" sqref="I11"/>
    </sheetView>
  </sheetViews>
  <sheetFormatPr defaultRowHeight="15" x14ac:dyDescent="0.25"/>
  <cols>
    <col min="1" max="1" width="13.28515625" style="54" customWidth="1"/>
    <col min="2" max="2" width="58" style="54" customWidth="1"/>
    <col min="3" max="3" width="22" style="54" hidden="1" customWidth="1"/>
    <col min="4" max="6" width="23.140625" style="54" hidden="1" customWidth="1"/>
    <col min="7" max="7" width="22" style="54" customWidth="1"/>
    <col min="8" max="8" width="23.140625" style="54" customWidth="1"/>
    <col min="9" max="9" width="22" style="370" customWidth="1"/>
    <col min="10" max="10" width="23.140625" style="370" customWidth="1"/>
    <col min="11" max="11" width="17.85546875" customWidth="1"/>
    <col min="13" max="13" width="17.85546875" customWidth="1"/>
    <col min="14" max="14" width="10.28515625" bestFit="1" customWidth="1"/>
  </cols>
  <sheetData>
    <row r="1" spans="1:10" ht="22.5" customHeight="1" x14ac:dyDescent="0.25">
      <c r="A1" s="608" t="s">
        <v>525</v>
      </c>
      <c r="B1" s="609"/>
      <c r="C1" s="609"/>
      <c r="D1" s="609"/>
      <c r="E1" s="609"/>
      <c r="F1" s="609"/>
      <c r="G1" s="609"/>
      <c r="H1" s="609"/>
      <c r="I1" s="609"/>
      <c r="J1" s="610"/>
    </row>
    <row r="2" spans="1:10" x14ac:dyDescent="0.25">
      <c r="A2" s="626"/>
      <c r="B2" s="524"/>
      <c r="C2" s="524"/>
      <c r="D2" s="524"/>
      <c r="E2" s="524"/>
      <c r="F2" s="524"/>
      <c r="G2" s="524"/>
      <c r="H2" s="524"/>
      <c r="I2" s="524"/>
      <c r="J2" s="627"/>
    </row>
    <row r="3" spans="1:10" x14ac:dyDescent="0.25">
      <c r="A3" s="636" t="s">
        <v>497</v>
      </c>
      <c r="B3" s="538"/>
      <c r="C3" s="538"/>
      <c r="D3" s="538"/>
      <c r="E3" s="538"/>
      <c r="F3" s="538"/>
      <c r="G3" s="538"/>
      <c r="H3" s="538"/>
      <c r="I3" s="538"/>
      <c r="J3" s="637"/>
    </row>
    <row r="4" spans="1:10" ht="15" customHeight="1" x14ac:dyDescent="0.25">
      <c r="A4" s="638" t="s">
        <v>112</v>
      </c>
      <c r="B4" s="541"/>
      <c r="C4" s="541"/>
      <c r="D4" s="541"/>
      <c r="E4" s="541"/>
      <c r="F4" s="541"/>
      <c r="G4" s="541"/>
      <c r="H4" s="541"/>
      <c r="I4" s="541"/>
      <c r="J4" s="639"/>
    </row>
    <row r="5" spans="1:10" ht="29.25" customHeight="1" x14ac:dyDescent="0.25">
      <c r="A5" s="231" t="s">
        <v>84</v>
      </c>
      <c r="B5" s="533" t="s">
        <v>113</v>
      </c>
      <c r="C5" s="533"/>
      <c r="D5" s="3"/>
      <c r="E5" s="3"/>
      <c r="F5" s="3"/>
      <c r="G5" s="3"/>
      <c r="H5" s="3"/>
      <c r="I5" s="389"/>
      <c r="J5" s="457"/>
    </row>
    <row r="6" spans="1:10" x14ac:dyDescent="0.25">
      <c r="A6" s="590" t="s">
        <v>114</v>
      </c>
      <c r="B6" s="553"/>
      <c r="C6" s="553"/>
      <c r="D6" s="3"/>
      <c r="E6" s="3"/>
      <c r="F6" s="3"/>
      <c r="G6" s="3"/>
      <c r="H6" s="3"/>
      <c r="I6" s="389"/>
      <c r="J6" s="457"/>
    </row>
    <row r="7" spans="1:10" x14ac:dyDescent="0.25">
      <c r="A7" s="387"/>
      <c r="B7" s="384"/>
      <c r="C7" s="384"/>
      <c r="D7" s="3"/>
      <c r="E7" s="3"/>
      <c r="F7" s="3"/>
      <c r="G7" s="384"/>
      <c r="H7" s="3"/>
      <c r="I7" s="391"/>
      <c r="J7" s="457"/>
    </row>
    <row r="8" spans="1:10" x14ac:dyDescent="0.25">
      <c r="A8" s="618" t="s">
        <v>85</v>
      </c>
      <c r="B8" s="554"/>
      <c r="C8" s="554"/>
      <c r="D8" s="3"/>
      <c r="E8" s="3"/>
      <c r="F8" s="3"/>
      <c r="G8" s="3"/>
      <c r="H8" s="3"/>
      <c r="I8" s="389"/>
      <c r="J8" s="457"/>
    </row>
    <row r="9" spans="1:10" x14ac:dyDescent="0.25">
      <c r="A9" s="221" t="s">
        <v>7</v>
      </c>
      <c r="B9" s="7" t="s">
        <v>115</v>
      </c>
      <c r="C9" s="232">
        <v>42227</v>
      </c>
      <c r="D9" s="48"/>
      <c r="E9" s="232">
        <v>42283</v>
      </c>
      <c r="F9" s="48"/>
      <c r="G9" s="332">
        <v>42423</v>
      </c>
      <c r="H9" s="343"/>
      <c r="I9" s="597">
        <v>42815</v>
      </c>
      <c r="J9" s="598"/>
    </row>
    <row r="10" spans="1:10" x14ac:dyDescent="0.25">
      <c r="A10" s="221" t="s">
        <v>9</v>
      </c>
      <c r="B10" s="7" t="s">
        <v>86</v>
      </c>
      <c r="C10" s="2" t="s">
        <v>87</v>
      </c>
      <c r="D10" s="48"/>
      <c r="E10" s="2" t="s">
        <v>87</v>
      </c>
      <c r="F10" s="48"/>
      <c r="G10" s="333" t="s">
        <v>87</v>
      </c>
      <c r="H10" s="343"/>
      <c r="I10" s="364" t="s">
        <v>87</v>
      </c>
      <c r="J10" s="383"/>
    </row>
    <row r="11" spans="1:10" ht="30" x14ac:dyDescent="0.25">
      <c r="A11" s="221" t="s">
        <v>11</v>
      </c>
      <c r="B11" s="7" t="s">
        <v>116</v>
      </c>
      <c r="C11" s="2" t="s">
        <v>117</v>
      </c>
      <c r="D11" s="3"/>
      <c r="E11" s="334" t="s">
        <v>498</v>
      </c>
      <c r="F11" s="3"/>
      <c r="G11" s="334" t="s">
        <v>538</v>
      </c>
      <c r="H11" s="343"/>
      <c r="I11" s="367" t="s">
        <v>538</v>
      </c>
      <c r="J11" s="383"/>
    </row>
    <row r="12" spans="1:10" x14ac:dyDescent="0.25">
      <c r="A12" s="221" t="s">
        <v>13</v>
      </c>
      <c r="B12" s="7" t="s">
        <v>88</v>
      </c>
      <c r="C12" s="2" t="s">
        <v>89</v>
      </c>
      <c r="D12" s="3"/>
      <c r="E12" s="2" t="s">
        <v>89</v>
      </c>
      <c r="F12" s="3"/>
      <c r="G12" s="333" t="s">
        <v>89</v>
      </c>
      <c r="H12" s="343"/>
      <c r="I12" s="364" t="s">
        <v>89</v>
      </c>
      <c r="J12" s="383"/>
    </row>
    <row r="13" spans="1:10" x14ac:dyDescent="0.25">
      <c r="A13" s="387"/>
      <c r="B13" s="384"/>
      <c r="C13" s="384"/>
      <c r="D13" s="3"/>
      <c r="E13" s="3"/>
      <c r="F13" s="3"/>
      <c r="G13" s="394"/>
      <c r="H13" s="343"/>
      <c r="I13" s="395"/>
      <c r="J13" s="383"/>
    </row>
    <row r="14" spans="1:10" x14ac:dyDescent="0.25">
      <c r="A14" s="580" t="s">
        <v>90</v>
      </c>
      <c r="B14" s="528"/>
      <c r="C14" s="528"/>
      <c r="D14" s="3"/>
      <c r="E14" s="3"/>
      <c r="F14" s="3"/>
      <c r="G14" s="343"/>
      <c r="H14" s="343"/>
      <c r="I14" s="393"/>
      <c r="J14" s="383"/>
    </row>
    <row r="15" spans="1:10" ht="42.75" x14ac:dyDescent="0.25">
      <c r="A15" s="578" t="s">
        <v>91</v>
      </c>
      <c r="B15" s="533"/>
      <c r="C15" s="5" t="s">
        <v>92</v>
      </c>
      <c r="D15" s="5" t="s">
        <v>93</v>
      </c>
      <c r="E15" s="5" t="s">
        <v>92</v>
      </c>
      <c r="F15" s="5" t="s">
        <v>93</v>
      </c>
      <c r="G15" s="334" t="s">
        <v>92</v>
      </c>
      <c r="H15" s="334" t="s">
        <v>93</v>
      </c>
      <c r="I15" s="367" t="s">
        <v>92</v>
      </c>
      <c r="J15" s="368" t="s">
        <v>93</v>
      </c>
    </row>
    <row r="16" spans="1:10" ht="24.75" customHeight="1" x14ac:dyDescent="0.25">
      <c r="A16" s="584" t="s">
        <v>210</v>
      </c>
      <c r="B16" s="535"/>
      <c r="C16" s="2" t="s">
        <v>204</v>
      </c>
      <c r="D16" s="2" t="s">
        <v>205</v>
      </c>
      <c r="E16" s="2" t="s">
        <v>204</v>
      </c>
      <c r="F16" s="2" t="s">
        <v>205</v>
      </c>
      <c r="G16" s="333" t="s">
        <v>204</v>
      </c>
      <c r="H16" s="333" t="s">
        <v>205</v>
      </c>
      <c r="I16" s="364" t="s">
        <v>204</v>
      </c>
      <c r="J16" s="369" t="s">
        <v>205</v>
      </c>
    </row>
    <row r="17" spans="1:10" x14ac:dyDescent="0.25">
      <c r="A17" s="600"/>
      <c r="B17" s="544"/>
      <c r="C17" s="544"/>
      <c r="D17" s="544"/>
      <c r="E17" s="544"/>
      <c r="F17" s="544"/>
      <c r="G17" s="544"/>
      <c r="H17" s="544"/>
      <c r="I17" s="544"/>
      <c r="J17" s="601"/>
    </row>
    <row r="18" spans="1:10" ht="21" customHeight="1" x14ac:dyDescent="0.25">
      <c r="A18" s="615" t="s">
        <v>540</v>
      </c>
      <c r="B18" s="616"/>
      <c r="C18" s="616"/>
      <c r="D18" s="616"/>
      <c r="E18" s="616"/>
      <c r="F18" s="616"/>
      <c r="G18" s="616"/>
      <c r="H18" s="616"/>
      <c r="I18" s="616"/>
      <c r="J18" s="617"/>
    </row>
    <row r="19" spans="1:10" x14ac:dyDescent="0.25">
      <c r="A19" s="223">
        <v>1</v>
      </c>
      <c r="B19" s="224" t="s">
        <v>1</v>
      </c>
      <c r="C19" s="2" t="str">
        <f>A16</f>
        <v>JARDINEIRO</v>
      </c>
      <c r="D19" s="3"/>
      <c r="E19" s="3" t="s">
        <v>543</v>
      </c>
      <c r="F19" s="3"/>
      <c r="G19" s="333" t="s">
        <v>543</v>
      </c>
      <c r="H19" s="343"/>
      <c r="I19" s="364" t="s">
        <v>543</v>
      </c>
      <c r="J19" s="383"/>
    </row>
    <row r="20" spans="1:10" x14ac:dyDescent="0.25">
      <c r="A20" s="223">
        <v>2</v>
      </c>
      <c r="B20" s="224" t="s">
        <v>2</v>
      </c>
      <c r="C20" s="222">
        <v>1405.85</v>
      </c>
      <c r="D20" s="3"/>
      <c r="E20" s="222">
        <v>1405.85</v>
      </c>
      <c r="F20" s="3"/>
      <c r="G20" s="335">
        <v>1553.46</v>
      </c>
      <c r="H20" s="343"/>
      <c r="I20" s="365">
        <v>1655.52</v>
      </c>
      <c r="J20" s="383"/>
    </row>
    <row r="21" spans="1:10" x14ac:dyDescent="0.25">
      <c r="A21" s="223">
        <v>3</v>
      </c>
      <c r="B21" s="224" t="s">
        <v>118</v>
      </c>
      <c r="C21" s="2" t="str">
        <f>A16</f>
        <v>JARDINEIRO</v>
      </c>
      <c r="D21" s="3"/>
      <c r="E21" s="3" t="s">
        <v>543</v>
      </c>
      <c r="F21" s="3"/>
      <c r="G21" s="333" t="s">
        <v>543</v>
      </c>
      <c r="H21" s="343"/>
      <c r="I21" s="364" t="s">
        <v>543</v>
      </c>
      <c r="J21" s="383"/>
    </row>
    <row r="22" spans="1:10" x14ac:dyDescent="0.25">
      <c r="A22" s="223">
        <v>4</v>
      </c>
      <c r="B22" s="224" t="s">
        <v>3</v>
      </c>
      <c r="C22" s="232">
        <v>42005</v>
      </c>
      <c r="D22" s="3"/>
      <c r="E22" s="3"/>
      <c r="F22" s="3"/>
      <c r="G22" s="332"/>
      <c r="H22" s="343"/>
      <c r="I22" s="366"/>
      <c r="J22" s="383"/>
    </row>
    <row r="23" spans="1:10" ht="18.75" x14ac:dyDescent="0.25">
      <c r="A23" s="588" t="s">
        <v>4</v>
      </c>
      <c r="B23" s="570"/>
      <c r="C23" s="570"/>
      <c r="D23" s="570"/>
      <c r="E23" s="570"/>
      <c r="F23" s="570"/>
      <c r="G23" s="570"/>
      <c r="H23" s="570"/>
      <c r="I23" s="570"/>
      <c r="J23" s="589"/>
    </row>
    <row r="24" spans="1:10" x14ac:dyDescent="0.25">
      <c r="A24" s="451">
        <v>1</v>
      </c>
      <c r="B24" s="426" t="s">
        <v>5</v>
      </c>
      <c r="C24" s="426" t="s">
        <v>6</v>
      </c>
      <c r="D24" s="355"/>
      <c r="E24" s="426" t="s">
        <v>6</v>
      </c>
      <c r="F24" s="355"/>
      <c r="G24" s="427" t="s">
        <v>6</v>
      </c>
      <c r="H24" s="425"/>
      <c r="I24" s="427" t="s">
        <v>6</v>
      </c>
      <c r="J24" s="450"/>
    </row>
    <row r="25" spans="1:10" x14ac:dyDescent="0.25">
      <c r="A25" s="221" t="s">
        <v>7</v>
      </c>
      <c r="B25" s="7" t="s">
        <v>8</v>
      </c>
      <c r="C25" s="8">
        <f>C20</f>
        <v>1405.85</v>
      </c>
      <c r="D25" s="3"/>
      <c r="E25" s="8">
        <f>E20</f>
        <v>1405.85</v>
      </c>
      <c r="F25" s="3"/>
      <c r="G25" s="327">
        <f>G20</f>
        <v>1553.46</v>
      </c>
      <c r="H25" s="343"/>
      <c r="I25" s="362">
        <f>I20</f>
        <v>1655.52</v>
      </c>
      <c r="J25" s="383"/>
    </row>
    <row r="26" spans="1:10" x14ac:dyDescent="0.25">
      <c r="A26" s="221" t="s">
        <v>9</v>
      </c>
      <c r="B26" s="7" t="s">
        <v>10</v>
      </c>
      <c r="C26" s="8"/>
      <c r="D26" s="3"/>
      <c r="E26" s="8"/>
      <c r="F26" s="3"/>
      <c r="G26" s="327"/>
      <c r="H26" s="343"/>
      <c r="I26" s="362"/>
      <c r="J26" s="383"/>
    </row>
    <row r="27" spans="1:10" x14ac:dyDescent="0.25">
      <c r="A27" s="221" t="s">
        <v>11</v>
      </c>
      <c r="B27" s="7" t="s">
        <v>12</v>
      </c>
      <c r="C27" s="8"/>
      <c r="D27" s="3"/>
      <c r="E27" s="8"/>
      <c r="F27" s="3"/>
      <c r="G27" s="327"/>
      <c r="H27" s="343"/>
      <c r="I27" s="362"/>
      <c r="J27" s="383"/>
    </row>
    <row r="28" spans="1:10" x14ac:dyDescent="0.25">
      <c r="A28" s="221" t="s">
        <v>13</v>
      </c>
      <c r="B28" s="7" t="s">
        <v>14</v>
      </c>
      <c r="C28" s="8"/>
      <c r="D28" s="3"/>
      <c r="E28" s="8"/>
      <c r="F28" s="3"/>
      <c r="G28" s="327"/>
      <c r="H28" s="343"/>
      <c r="I28" s="362"/>
      <c r="J28" s="383"/>
    </row>
    <row r="29" spans="1:10" x14ac:dyDescent="0.25">
      <c r="A29" s="221" t="s">
        <v>15</v>
      </c>
      <c r="B29" s="7" t="s">
        <v>16</v>
      </c>
      <c r="C29" s="8"/>
      <c r="D29" s="3"/>
      <c r="E29" s="8"/>
      <c r="F29" s="3"/>
      <c r="G29" s="327"/>
      <c r="H29" s="343"/>
      <c r="I29" s="362"/>
      <c r="J29" s="383"/>
    </row>
    <row r="30" spans="1:10" x14ac:dyDescent="0.25">
      <c r="A30" s="221" t="s">
        <v>17</v>
      </c>
      <c r="B30" s="7" t="s">
        <v>18</v>
      </c>
      <c r="C30" s="8"/>
      <c r="D30" s="3"/>
      <c r="E30" s="8"/>
      <c r="F30" s="3"/>
      <c r="G30" s="327"/>
      <c r="H30" s="343"/>
      <c r="I30" s="362"/>
      <c r="J30" s="383"/>
    </row>
    <row r="31" spans="1:10" x14ac:dyDescent="0.25">
      <c r="A31" s="221" t="s">
        <v>19</v>
      </c>
      <c r="B31" s="7" t="s">
        <v>21</v>
      </c>
      <c r="C31" s="8"/>
      <c r="D31" s="3"/>
      <c r="E31" s="8"/>
      <c r="F31" s="3"/>
      <c r="G31" s="327"/>
      <c r="H31" s="343"/>
      <c r="I31" s="362"/>
      <c r="J31" s="383"/>
    </row>
    <row r="32" spans="1:10" ht="20.25" customHeight="1" x14ac:dyDescent="0.25">
      <c r="A32" s="581" t="s">
        <v>22</v>
      </c>
      <c r="B32" s="526"/>
      <c r="C32" s="428">
        <f>SUM(C25:C31)</f>
        <v>1405.85</v>
      </c>
      <c r="D32" s="355"/>
      <c r="E32" s="428">
        <f>SUM(E25:E31)</f>
        <v>1405.85</v>
      </c>
      <c r="F32" s="355"/>
      <c r="G32" s="429">
        <f>SUM(G25:G31)</f>
        <v>1553.46</v>
      </c>
      <c r="H32" s="425"/>
      <c r="I32" s="429">
        <f>SUM(I25:I31)</f>
        <v>1655.52</v>
      </c>
      <c r="J32" s="450"/>
    </row>
    <row r="33" spans="1:14" ht="18.75" x14ac:dyDescent="0.25">
      <c r="A33" s="588" t="s">
        <v>23</v>
      </c>
      <c r="B33" s="570"/>
      <c r="C33" s="570"/>
      <c r="D33" s="570"/>
      <c r="E33" s="570"/>
      <c r="F33" s="570"/>
      <c r="G33" s="570"/>
      <c r="H33" s="570"/>
      <c r="I33" s="570"/>
      <c r="J33" s="589"/>
    </row>
    <row r="34" spans="1:14" x14ac:dyDescent="0.25">
      <c r="A34" s="451">
        <v>2</v>
      </c>
      <c r="B34" s="426" t="s">
        <v>24</v>
      </c>
      <c r="C34" s="426" t="s">
        <v>6</v>
      </c>
      <c r="D34" s="355"/>
      <c r="E34" s="426" t="s">
        <v>6</v>
      </c>
      <c r="F34" s="355"/>
      <c r="G34" s="427" t="s">
        <v>6</v>
      </c>
      <c r="H34" s="425"/>
      <c r="I34" s="427" t="s">
        <v>6</v>
      </c>
      <c r="J34" s="450"/>
    </row>
    <row r="35" spans="1:14" x14ac:dyDescent="0.25">
      <c r="A35" s="221" t="s">
        <v>7</v>
      </c>
      <c r="B35" s="509" t="s">
        <v>564</v>
      </c>
      <c r="C35" s="53">
        <f>K35-L35</f>
        <v>102.27750000000002</v>
      </c>
      <c r="D35" s="3"/>
      <c r="E35" s="53">
        <f>M35-N35</f>
        <v>174.85525000000001</v>
      </c>
      <c r="F35" s="3"/>
      <c r="G35" s="337">
        <f>(20.7365*12.5)-G25*6%</f>
        <v>165.99865</v>
      </c>
      <c r="H35" s="343"/>
      <c r="I35" s="363">
        <f>(20.7365*15)-I25*6%</f>
        <v>211.71630000000002</v>
      </c>
      <c r="J35" s="383"/>
      <c r="K35" s="174">
        <f>9*20.7365</f>
        <v>186.6285</v>
      </c>
      <c r="L35">
        <f>C20*6%</f>
        <v>84.350999999999985</v>
      </c>
      <c r="M35" s="174">
        <f>12.5*20.7365</f>
        <v>259.20625000000001</v>
      </c>
      <c r="N35" s="4">
        <f>E20*6%</f>
        <v>84.350999999999985</v>
      </c>
    </row>
    <row r="36" spans="1:14" x14ac:dyDescent="0.25">
      <c r="A36" s="221" t="s">
        <v>9</v>
      </c>
      <c r="B36" s="509" t="s">
        <v>565</v>
      </c>
      <c r="C36" s="8">
        <f>24*21.5</f>
        <v>516</v>
      </c>
      <c r="D36" s="3"/>
      <c r="E36" s="8">
        <f>24*21.5</f>
        <v>516</v>
      </c>
      <c r="F36" s="3"/>
      <c r="G36" s="338">
        <f>27.5*21.5</f>
        <v>591.25</v>
      </c>
      <c r="H36" s="343"/>
      <c r="I36" s="362">
        <f>29.5*21.5</f>
        <v>634.25</v>
      </c>
      <c r="J36" s="383"/>
      <c r="K36" t="s">
        <v>462</v>
      </c>
      <c r="M36" t="s">
        <v>462</v>
      </c>
    </row>
    <row r="37" spans="1:14" x14ac:dyDescent="0.25">
      <c r="A37" s="221" t="s">
        <v>11</v>
      </c>
      <c r="B37" s="340" t="s">
        <v>25</v>
      </c>
      <c r="C37" s="8">
        <v>0</v>
      </c>
      <c r="D37" s="3"/>
      <c r="E37" s="8">
        <v>0</v>
      </c>
      <c r="F37" s="3"/>
      <c r="G37" s="337"/>
      <c r="H37" s="343"/>
      <c r="I37" s="363"/>
      <c r="J37" s="383"/>
    </row>
    <row r="38" spans="1:14" x14ac:dyDescent="0.25">
      <c r="A38" s="221" t="s">
        <v>13</v>
      </c>
      <c r="B38" s="340" t="s">
        <v>94</v>
      </c>
      <c r="C38" s="8"/>
      <c r="D38" s="3"/>
      <c r="E38" s="8"/>
      <c r="F38" s="3"/>
      <c r="G38" s="338"/>
      <c r="H38" s="343"/>
      <c r="I38" s="362"/>
      <c r="J38" s="383"/>
    </row>
    <row r="39" spans="1:14" x14ac:dyDescent="0.25">
      <c r="A39" s="221" t="s">
        <v>15</v>
      </c>
      <c r="B39" s="340" t="s">
        <v>119</v>
      </c>
      <c r="C39" s="8">
        <v>2.5</v>
      </c>
      <c r="D39" s="3"/>
      <c r="E39" s="8">
        <v>2.5</v>
      </c>
      <c r="F39" s="3"/>
      <c r="G39" s="338">
        <v>2.5</v>
      </c>
      <c r="H39" s="343"/>
      <c r="I39" s="362">
        <v>2.5</v>
      </c>
      <c r="J39" s="383"/>
    </row>
    <row r="40" spans="1:14" x14ac:dyDescent="0.25">
      <c r="A40" s="221" t="s">
        <v>17</v>
      </c>
      <c r="B40" s="340" t="s">
        <v>120</v>
      </c>
      <c r="C40" s="8">
        <v>0</v>
      </c>
      <c r="D40" s="3"/>
      <c r="E40" s="8">
        <v>0</v>
      </c>
      <c r="F40" s="3"/>
      <c r="G40" s="338">
        <v>0</v>
      </c>
      <c r="H40" s="343"/>
      <c r="I40" s="362">
        <v>0</v>
      </c>
      <c r="J40" s="383"/>
    </row>
    <row r="41" spans="1:14" x14ac:dyDescent="0.25">
      <c r="A41" s="221" t="s">
        <v>19</v>
      </c>
      <c r="B41" s="341" t="s">
        <v>544</v>
      </c>
      <c r="C41" s="8">
        <v>4.5</v>
      </c>
      <c r="D41" s="3"/>
      <c r="E41" s="8">
        <v>4.5</v>
      </c>
      <c r="F41" s="3"/>
      <c r="G41" s="338">
        <v>5</v>
      </c>
      <c r="H41" s="343"/>
      <c r="I41" s="362">
        <v>5</v>
      </c>
      <c r="J41" s="383"/>
    </row>
    <row r="42" spans="1:14" x14ac:dyDescent="0.25">
      <c r="A42" s="581" t="s">
        <v>26</v>
      </c>
      <c r="B42" s="526"/>
      <c r="C42" s="428">
        <f>SUM(C35:C41)</f>
        <v>625.27750000000003</v>
      </c>
      <c r="D42" s="355"/>
      <c r="E42" s="428">
        <f>SUM(E35:E41)</f>
        <v>697.85525000000007</v>
      </c>
      <c r="F42" s="355"/>
      <c r="G42" s="429">
        <f>SUM(G35:G41)</f>
        <v>764.74865</v>
      </c>
      <c r="H42" s="425"/>
      <c r="I42" s="429">
        <f>SUM(I35:I41)</f>
        <v>853.46630000000005</v>
      </c>
      <c r="J42" s="450"/>
    </row>
    <row r="43" spans="1:14" ht="21" customHeight="1" x14ac:dyDescent="0.25">
      <c r="A43" s="633" t="s">
        <v>122</v>
      </c>
      <c r="B43" s="634"/>
      <c r="C43" s="634"/>
      <c r="D43" s="634"/>
      <c r="E43" s="634"/>
      <c r="F43" s="634"/>
      <c r="G43" s="634"/>
      <c r="H43" s="634"/>
      <c r="I43" s="634"/>
      <c r="J43" s="635"/>
    </row>
    <row r="44" spans="1:14" x14ac:dyDescent="0.25">
      <c r="A44" s="451">
        <v>3</v>
      </c>
      <c r="B44" s="426" t="s">
        <v>27</v>
      </c>
      <c r="C44" s="426" t="s">
        <v>6</v>
      </c>
      <c r="D44" s="355"/>
      <c r="E44" s="426" t="s">
        <v>6</v>
      </c>
      <c r="F44" s="355"/>
      <c r="G44" s="427" t="s">
        <v>6</v>
      </c>
      <c r="H44" s="425"/>
      <c r="I44" s="427" t="s">
        <v>6</v>
      </c>
      <c r="J44" s="450"/>
    </row>
    <row r="45" spans="1:14" x14ac:dyDescent="0.25">
      <c r="A45" s="221" t="s">
        <v>7</v>
      </c>
      <c r="B45" s="340" t="s">
        <v>28</v>
      </c>
      <c r="C45" s="8">
        <f>UNIFORMES!H41</f>
        <v>21.67</v>
      </c>
      <c r="D45" s="3"/>
      <c r="E45" s="8">
        <f>UNIFORMES!H41</f>
        <v>21.67</v>
      </c>
      <c r="F45" s="3"/>
      <c r="G45" s="338">
        <f>UNIFORMES!H41</f>
        <v>21.67</v>
      </c>
      <c r="H45" s="343"/>
      <c r="I45" s="362">
        <v>21.67</v>
      </c>
      <c r="J45" s="611" t="s">
        <v>553</v>
      </c>
    </row>
    <row r="46" spans="1:14" x14ac:dyDescent="0.25">
      <c r="A46" s="221" t="s">
        <v>9</v>
      </c>
      <c r="B46" s="7" t="s">
        <v>123</v>
      </c>
      <c r="C46" s="8">
        <f>'EQUIPTO JARDINAGEM'!F23</f>
        <v>662.68333333333339</v>
      </c>
      <c r="D46" s="64"/>
      <c r="E46" s="8">
        <f>'EQUIPTO JARDINAGEM'!F23</f>
        <v>662.68333333333339</v>
      </c>
      <c r="F46" s="64"/>
      <c r="G46" s="338">
        <f>'EQUIPTO JARDINAGEM'!F23</f>
        <v>662.68333333333339</v>
      </c>
      <c r="H46" s="400"/>
      <c r="I46" s="362">
        <v>662.68</v>
      </c>
      <c r="J46" s="612"/>
      <c r="K46" s="4"/>
      <c r="M46" s="4"/>
    </row>
    <row r="47" spans="1:14" ht="30" x14ac:dyDescent="0.25">
      <c r="A47" s="221" t="s">
        <v>11</v>
      </c>
      <c r="B47" s="153" t="s">
        <v>506</v>
      </c>
      <c r="C47" s="233">
        <v>3</v>
      </c>
      <c r="D47" s="3"/>
      <c r="E47" s="8">
        <v>3</v>
      </c>
      <c r="F47" s="3"/>
      <c r="G47" s="338">
        <v>3</v>
      </c>
      <c r="H47" s="343"/>
      <c r="I47" s="362">
        <v>3</v>
      </c>
      <c r="J47" s="383"/>
      <c r="K47" s="57" t="s">
        <v>316</v>
      </c>
      <c r="M47" s="57" t="s">
        <v>316</v>
      </c>
    </row>
    <row r="48" spans="1:14" x14ac:dyDescent="0.25">
      <c r="A48" s="581" t="s">
        <v>29</v>
      </c>
      <c r="B48" s="526"/>
      <c r="C48" s="428">
        <f>SUM(C45:C47)</f>
        <v>687.35333333333335</v>
      </c>
      <c r="D48" s="355"/>
      <c r="E48" s="428">
        <f>SUM(E45:E47)</f>
        <v>687.35333333333335</v>
      </c>
      <c r="F48" s="355"/>
      <c r="G48" s="429">
        <f>SUM(G45:G47)</f>
        <v>687.35333333333335</v>
      </c>
      <c r="H48" s="425"/>
      <c r="I48" s="429">
        <f>SUM(I45:I47)</f>
        <v>687.34999999999991</v>
      </c>
      <c r="J48" s="450"/>
    </row>
    <row r="49" spans="1:10" ht="18.75" x14ac:dyDescent="0.25">
      <c r="A49" s="588" t="s">
        <v>30</v>
      </c>
      <c r="B49" s="570"/>
      <c r="C49" s="570"/>
      <c r="D49" s="570"/>
      <c r="E49" s="570"/>
      <c r="F49" s="570"/>
      <c r="G49" s="570"/>
      <c r="H49" s="570"/>
      <c r="I49" s="570"/>
      <c r="J49" s="589"/>
    </row>
    <row r="50" spans="1:10" ht="18.75" x14ac:dyDescent="0.25">
      <c r="A50" s="588" t="s">
        <v>95</v>
      </c>
      <c r="B50" s="570"/>
      <c r="C50" s="570"/>
      <c r="D50" s="570"/>
      <c r="E50" s="570"/>
      <c r="F50" s="570"/>
      <c r="G50" s="570"/>
      <c r="H50" s="570"/>
      <c r="I50" s="570"/>
      <c r="J50" s="589"/>
    </row>
    <row r="51" spans="1:10" x14ac:dyDescent="0.25">
      <c r="A51" s="451" t="s">
        <v>31</v>
      </c>
      <c r="B51" s="426" t="s">
        <v>32</v>
      </c>
      <c r="C51" s="426" t="s">
        <v>33</v>
      </c>
      <c r="D51" s="426" t="s">
        <v>6</v>
      </c>
      <c r="E51" s="426" t="s">
        <v>33</v>
      </c>
      <c r="F51" s="426" t="s">
        <v>6</v>
      </c>
      <c r="G51" s="427" t="s">
        <v>33</v>
      </c>
      <c r="H51" s="427" t="s">
        <v>6</v>
      </c>
      <c r="I51" s="427" t="s">
        <v>33</v>
      </c>
      <c r="J51" s="452" t="s">
        <v>6</v>
      </c>
    </row>
    <row r="52" spans="1:10" x14ac:dyDescent="0.25">
      <c r="A52" s="223" t="s">
        <v>7</v>
      </c>
      <c r="B52" s="7" t="s">
        <v>34</v>
      </c>
      <c r="C52" s="9">
        <v>0.2</v>
      </c>
      <c r="D52" s="8">
        <f t="shared" ref="D52:D59" si="0">C52*$C$32</f>
        <v>281.17</v>
      </c>
      <c r="E52" s="9">
        <v>0.2</v>
      </c>
      <c r="F52" s="8">
        <f t="shared" ref="F52:F59" si="1">E52*$E$32</f>
        <v>281.17</v>
      </c>
      <c r="G52" s="313">
        <v>0.2</v>
      </c>
      <c r="H52" s="327">
        <f t="shared" ref="H52:H59" si="2">G52*$G$32</f>
        <v>310.69200000000001</v>
      </c>
      <c r="I52" s="372">
        <v>0.2</v>
      </c>
      <c r="J52" s="375">
        <f>I52*$I$32</f>
        <v>331.10400000000004</v>
      </c>
    </row>
    <row r="53" spans="1:10" x14ac:dyDescent="0.25">
      <c r="A53" s="223" t="s">
        <v>9</v>
      </c>
      <c r="B53" s="7" t="s">
        <v>35</v>
      </c>
      <c r="C53" s="9">
        <v>1.4999999999999999E-2</v>
      </c>
      <c r="D53" s="8">
        <f t="shared" si="0"/>
        <v>21.087749999999996</v>
      </c>
      <c r="E53" s="9">
        <v>1.4999999999999999E-2</v>
      </c>
      <c r="F53" s="8">
        <f t="shared" si="1"/>
        <v>21.087749999999996</v>
      </c>
      <c r="G53" s="313">
        <v>1.4999999999999999E-2</v>
      </c>
      <c r="H53" s="327">
        <f t="shared" si="2"/>
        <v>23.3019</v>
      </c>
      <c r="I53" s="372">
        <v>1.4999999999999999E-2</v>
      </c>
      <c r="J53" s="375">
        <f t="shared" ref="J53:J59" si="3">I53*$I$32</f>
        <v>24.832799999999999</v>
      </c>
    </row>
    <row r="54" spans="1:10" x14ac:dyDescent="0.25">
      <c r="A54" s="223" t="s">
        <v>11</v>
      </c>
      <c r="B54" s="7" t="s">
        <v>36</v>
      </c>
      <c r="C54" s="9">
        <v>0.01</v>
      </c>
      <c r="D54" s="8">
        <f t="shared" si="0"/>
        <v>14.058499999999999</v>
      </c>
      <c r="E54" s="9">
        <v>0.01</v>
      </c>
      <c r="F54" s="8">
        <f t="shared" si="1"/>
        <v>14.058499999999999</v>
      </c>
      <c r="G54" s="313">
        <v>0.01</v>
      </c>
      <c r="H54" s="327">
        <f t="shared" si="2"/>
        <v>15.534600000000001</v>
      </c>
      <c r="I54" s="372">
        <v>0.01</v>
      </c>
      <c r="J54" s="375">
        <f t="shared" si="3"/>
        <v>16.555199999999999</v>
      </c>
    </row>
    <row r="55" spans="1:10" x14ac:dyDescent="0.25">
      <c r="A55" s="223" t="s">
        <v>13</v>
      </c>
      <c r="B55" s="7" t="s">
        <v>37</v>
      </c>
      <c r="C55" s="9">
        <v>2E-3</v>
      </c>
      <c r="D55" s="8">
        <f t="shared" si="0"/>
        <v>2.8117000000000001</v>
      </c>
      <c r="E55" s="9">
        <v>2E-3</v>
      </c>
      <c r="F55" s="8">
        <f t="shared" si="1"/>
        <v>2.8117000000000001</v>
      </c>
      <c r="G55" s="313">
        <v>2E-3</v>
      </c>
      <c r="H55" s="327">
        <f t="shared" si="2"/>
        <v>3.1069200000000001</v>
      </c>
      <c r="I55" s="372">
        <v>2E-3</v>
      </c>
      <c r="J55" s="375">
        <f t="shared" si="3"/>
        <v>3.3110400000000002</v>
      </c>
    </row>
    <row r="56" spans="1:10" x14ac:dyDescent="0.25">
      <c r="A56" s="223" t="s">
        <v>15</v>
      </c>
      <c r="B56" s="6" t="s">
        <v>38</v>
      </c>
      <c r="C56" s="9">
        <v>2.5000000000000001E-2</v>
      </c>
      <c r="D56" s="8">
        <f t="shared" si="0"/>
        <v>35.146250000000002</v>
      </c>
      <c r="E56" s="9">
        <v>2.5000000000000001E-2</v>
      </c>
      <c r="F56" s="8">
        <f t="shared" si="1"/>
        <v>35.146250000000002</v>
      </c>
      <c r="G56" s="313">
        <v>2.5000000000000001E-2</v>
      </c>
      <c r="H56" s="327">
        <f t="shared" si="2"/>
        <v>38.836500000000001</v>
      </c>
      <c r="I56" s="372">
        <v>2.5000000000000001E-2</v>
      </c>
      <c r="J56" s="375">
        <f t="shared" si="3"/>
        <v>41.388000000000005</v>
      </c>
    </row>
    <row r="57" spans="1:10" x14ac:dyDescent="0.25">
      <c r="A57" s="223" t="s">
        <v>17</v>
      </c>
      <c r="B57" s="7" t="s">
        <v>39</v>
      </c>
      <c r="C57" s="9">
        <v>0.08</v>
      </c>
      <c r="D57" s="8">
        <f t="shared" si="0"/>
        <v>112.46799999999999</v>
      </c>
      <c r="E57" s="9">
        <v>0.08</v>
      </c>
      <c r="F57" s="8">
        <f t="shared" si="1"/>
        <v>112.46799999999999</v>
      </c>
      <c r="G57" s="313">
        <v>0.08</v>
      </c>
      <c r="H57" s="327">
        <f t="shared" si="2"/>
        <v>124.27680000000001</v>
      </c>
      <c r="I57" s="372">
        <v>0.08</v>
      </c>
      <c r="J57" s="375">
        <f t="shared" si="3"/>
        <v>132.44159999999999</v>
      </c>
    </row>
    <row r="58" spans="1:10" x14ac:dyDescent="0.25">
      <c r="A58" s="223" t="s">
        <v>19</v>
      </c>
      <c r="B58" s="7" t="s">
        <v>124</v>
      </c>
      <c r="C58" s="9">
        <v>1.52E-2</v>
      </c>
      <c r="D58" s="8">
        <f t="shared" si="0"/>
        <v>21.368919999999999</v>
      </c>
      <c r="E58" s="9">
        <v>1.52E-2</v>
      </c>
      <c r="F58" s="8">
        <f t="shared" si="1"/>
        <v>21.368919999999999</v>
      </c>
      <c r="G58" s="313">
        <v>1.66E-2</v>
      </c>
      <c r="H58" s="327">
        <f t="shared" si="2"/>
        <v>25.787436</v>
      </c>
      <c r="I58" s="372">
        <v>1.66E-2</v>
      </c>
      <c r="J58" s="375">
        <f t="shared" si="3"/>
        <v>27.481632000000001</v>
      </c>
    </row>
    <row r="59" spans="1:10" x14ac:dyDescent="0.25">
      <c r="A59" s="223" t="s">
        <v>20</v>
      </c>
      <c r="B59" s="7" t="s">
        <v>40</v>
      </c>
      <c r="C59" s="9">
        <v>6.0000000000000001E-3</v>
      </c>
      <c r="D59" s="8">
        <f t="shared" si="0"/>
        <v>8.4351000000000003</v>
      </c>
      <c r="E59" s="9">
        <v>6.0000000000000001E-3</v>
      </c>
      <c r="F59" s="8">
        <f t="shared" si="1"/>
        <v>8.4351000000000003</v>
      </c>
      <c r="G59" s="313">
        <v>6.0000000000000001E-3</v>
      </c>
      <c r="H59" s="327">
        <f t="shared" si="2"/>
        <v>9.3207599999999999</v>
      </c>
      <c r="I59" s="372">
        <v>6.0000000000000001E-3</v>
      </c>
      <c r="J59" s="375">
        <f t="shared" si="3"/>
        <v>9.9331200000000006</v>
      </c>
    </row>
    <row r="60" spans="1:10" x14ac:dyDescent="0.25">
      <c r="A60" s="581" t="s">
        <v>41</v>
      </c>
      <c r="B60" s="526"/>
      <c r="C60" s="432">
        <f t="shared" ref="C60:H60" si="4">SUM(C52:C59)</f>
        <v>0.35320000000000007</v>
      </c>
      <c r="D60" s="433">
        <f t="shared" si="4"/>
        <v>496.54621999999989</v>
      </c>
      <c r="E60" s="432">
        <f t="shared" si="4"/>
        <v>0.35320000000000007</v>
      </c>
      <c r="F60" s="433">
        <f t="shared" si="4"/>
        <v>496.54621999999989</v>
      </c>
      <c r="G60" s="434">
        <f t="shared" si="4"/>
        <v>0.35460000000000008</v>
      </c>
      <c r="H60" s="435">
        <f t="shared" si="4"/>
        <v>550.85691599999996</v>
      </c>
      <c r="I60" s="434">
        <f>SUM(I52:I59)</f>
        <v>0.35460000000000008</v>
      </c>
      <c r="J60" s="453">
        <f>SUM(J52:J59)</f>
        <v>587.04739200000006</v>
      </c>
    </row>
    <row r="61" spans="1:10" s="151" customFormat="1" x14ac:dyDescent="0.25">
      <c r="A61" s="582" t="s">
        <v>460</v>
      </c>
      <c r="B61" s="530"/>
      <c r="C61" s="530"/>
      <c r="D61" s="530"/>
      <c r="E61" s="404"/>
      <c r="F61" s="404"/>
      <c r="G61" s="405"/>
      <c r="H61" s="405"/>
      <c r="I61" s="406"/>
      <c r="J61" s="459"/>
    </row>
    <row r="62" spans="1:10" s="151" customFormat="1" x14ac:dyDescent="0.25">
      <c r="A62" s="582" t="s">
        <v>461</v>
      </c>
      <c r="B62" s="530"/>
      <c r="C62" s="530"/>
      <c r="D62" s="530"/>
      <c r="E62" s="404"/>
      <c r="F62" s="404"/>
      <c r="G62" s="405"/>
      <c r="H62" s="405"/>
      <c r="I62" s="406"/>
      <c r="J62" s="459"/>
    </row>
    <row r="63" spans="1:10" ht="18.75" x14ac:dyDescent="0.25">
      <c r="A63" s="631" t="s">
        <v>96</v>
      </c>
      <c r="B63" s="632"/>
      <c r="C63" s="632"/>
      <c r="D63" s="632"/>
      <c r="E63" s="228"/>
      <c r="F63" s="228"/>
      <c r="G63" s="402"/>
      <c r="H63" s="402"/>
      <c r="I63" s="403"/>
      <c r="J63" s="458"/>
    </row>
    <row r="64" spans="1:10" x14ac:dyDescent="0.25">
      <c r="A64" s="451" t="s">
        <v>42</v>
      </c>
      <c r="B64" s="426" t="s">
        <v>125</v>
      </c>
      <c r="C64" s="426" t="s">
        <v>33</v>
      </c>
      <c r="D64" s="426" t="s">
        <v>6</v>
      </c>
      <c r="E64" s="426" t="s">
        <v>33</v>
      </c>
      <c r="F64" s="426" t="s">
        <v>6</v>
      </c>
      <c r="G64" s="427" t="s">
        <v>33</v>
      </c>
      <c r="H64" s="427" t="s">
        <v>6</v>
      </c>
      <c r="I64" s="427" t="s">
        <v>33</v>
      </c>
      <c r="J64" s="452" t="s">
        <v>6</v>
      </c>
    </row>
    <row r="65" spans="1:13" x14ac:dyDescent="0.25">
      <c r="A65" s="223" t="s">
        <v>7</v>
      </c>
      <c r="B65" s="7" t="s">
        <v>43</v>
      </c>
      <c r="C65" s="216">
        <v>8.3299999999999999E-2</v>
      </c>
      <c r="D65" s="8">
        <f>C65*$C$32</f>
        <v>117.107305</v>
      </c>
      <c r="E65" s="216">
        <v>8.3299999999999999E-2</v>
      </c>
      <c r="F65" s="8">
        <f>E65*$E$32</f>
        <v>117.107305</v>
      </c>
      <c r="G65" s="336">
        <v>8.3299999999999999E-2</v>
      </c>
      <c r="H65" s="327">
        <f>G65*$G$32</f>
        <v>129.40321800000001</v>
      </c>
      <c r="I65" s="372">
        <v>8.3299999999999999E-2</v>
      </c>
      <c r="J65" s="375">
        <f>I65*$I$32</f>
        <v>137.90481600000001</v>
      </c>
    </row>
    <row r="66" spans="1:13" x14ac:dyDescent="0.25">
      <c r="A66" s="223" t="s">
        <v>9</v>
      </c>
      <c r="B66" s="7" t="s">
        <v>126</v>
      </c>
      <c r="C66" s="216">
        <v>2.7799999999999998E-2</v>
      </c>
      <c r="D66" s="8">
        <f>C66*$C$32</f>
        <v>39.082629999999995</v>
      </c>
      <c r="E66" s="216">
        <v>2.7799999999999998E-2</v>
      </c>
      <c r="F66" s="8">
        <f>E66*$E$32</f>
        <v>39.082629999999995</v>
      </c>
      <c r="G66" s="336">
        <v>2.7799999999999998E-2</v>
      </c>
      <c r="H66" s="327">
        <f>G66*$G$32</f>
        <v>43.186188000000001</v>
      </c>
      <c r="I66" s="372">
        <v>2.7799999999999998E-2</v>
      </c>
      <c r="J66" s="375">
        <f>I66*$I$32</f>
        <v>46.023455999999996</v>
      </c>
    </row>
    <row r="67" spans="1:13" x14ac:dyDescent="0.25">
      <c r="A67" s="223"/>
      <c r="B67" s="5" t="s">
        <v>44</v>
      </c>
      <c r="C67" s="10">
        <f t="shared" ref="C67:H67" si="5">SUM(C65:C66)</f>
        <v>0.1111</v>
      </c>
      <c r="D67" s="58">
        <f t="shared" si="5"/>
        <v>156.18993499999999</v>
      </c>
      <c r="E67" s="10">
        <f t="shared" si="5"/>
        <v>0.1111</v>
      </c>
      <c r="F67" s="58">
        <f t="shared" si="5"/>
        <v>156.18993499999999</v>
      </c>
      <c r="G67" s="314">
        <f t="shared" si="5"/>
        <v>0.1111</v>
      </c>
      <c r="H67" s="53">
        <f t="shared" si="5"/>
        <v>172.589406</v>
      </c>
      <c r="I67" s="373">
        <f>SUM(I65:I66)</f>
        <v>0.1111</v>
      </c>
      <c r="J67" s="376">
        <f>SUM(J65:J66)</f>
        <v>183.92827199999999</v>
      </c>
    </row>
    <row r="68" spans="1:13" x14ac:dyDescent="0.25">
      <c r="A68" s="223" t="s">
        <v>9</v>
      </c>
      <c r="B68" s="7" t="s">
        <v>97</v>
      </c>
      <c r="C68" s="9">
        <f>C60*C67</f>
        <v>3.9240520000000008E-2</v>
      </c>
      <c r="D68" s="8">
        <f>C68*$C$32</f>
        <v>55.166285042000005</v>
      </c>
      <c r="E68" s="9">
        <f>E60*E67</f>
        <v>3.9240520000000008E-2</v>
      </c>
      <c r="F68" s="8">
        <f>E68*$E$32</f>
        <v>55.166285042000005</v>
      </c>
      <c r="G68" s="313">
        <f>G60*G67</f>
        <v>3.9396060000000011E-2</v>
      </c>
      <c r="H68" s="327">
        <f>G68*$G$32</f>
        <v>61.200203367600018</v>
      </c>
      <c r="I68" s="372">
        <f>I60*I67</f>
        <v>3.9396060000000011E-2</v>
      </c>
      <c r="J68" s="375">
        <f>I68*$I$32</f>
        <v>65.220965251200013</v>
      </c>
    </row>
    <row r="69" spans="1:13" x14ac:dyDescent="0.25">
      <c r="A69" s="581" t="s">
        <v>41</v>
      </c>
      <c r="B69" s="526"/>
      <c r="C69" s="432">
        <f t="shared" ref="C69:H69" si="6">SUM(C68,C67)</f>
        <v>0.15034052000000001</v>
      </c>
      <c r="D69" s="428">
        <f t="shared" si="6"/>
        <v>211.35622004199999</v>
      </c>
      <c r="E69" s="432">
        <f t="shared" si="6"/>
        <v>0.15034052000000001</v>
      </c>
      <c r="F69" s="428">
        <f t="shared" si="6"/>
        <v>211.35622004199999</v>
      </c>
      <c r="G69" s="434">
        <f t="shared" si="6"/>
        <v>0.15049606000000001</v>
      </c>
      <c r="H69" s="429">
        <f t="shared" si="6"/>
        <v>233.78960936760001</v>
      </c>
      <c r="I69" s="434">
        <f>SUM(I68,I67)</f>
        <v>0.15049606000000001</v>
      </c>
      <c r="J69" s="454">
        <f>SUM(J68,J67)</f>
        <v>249.14923725120002</v>
      </c>
    </row>
    <row r="70" spans="1:13" ht="18.75" x14ac:dyDescent="0.25">
      <c r="A70" s="631" t="s">
        <v>45</v>
      </c>
      <c r="B70" s="632"/>
      <c r="C70" s="632"/>
      <c r="D70" s="632"/>
      <c r="E70" s="228"/>
      <c r="F70" s="228"/>
      <c r="G70" s="408"/>
      <c r="H70" s="408"/>
      <c r="I70" s="409"/>
      <c r="J70" s="461"/>
    </row>
    <row r="71" spans="1:13" x14ac:dyDescent="0.25">
      <c r="A71" s="451" t="s">
        <v>46</v>
      </c>
      <c r="B71" s="426" t="s">
        <v>47</v>
      </c>
      <c r="C71" s="426" t="s">
        <v>33</v>
      </c>
      <c r="D71" s="426" t="s">
        <v>6</v>
      </c>
      <c r="E71" s="426" t="s">
        <v>33</v>
      </c>
      <c r="F71" s="426" t="s">
        <v>6</v>
      </c>
      <c r="G71" s="427" t="s">
        <v>33</v>
      </c>
      <c r="H71" s="427" t="s">
        <v>6</v>
      </c>
      <c r="I71" s="427" t="s">
        <v>33</v>
      </c>
      <c r="J71" s="452" t="s">
        <v>6</v>
      </c>
    </row>
    <row r="72" spans="1:13" x14ac:dyDescent="0.25">
      <c r="A72" s="223" t="s">
        <v>7</v>
      </c>
      <c r="B72" s="7" t="s">
        <v>127</v>
      </c>
      <c r="C72" s="9">
        <v>7.3999999999999999E-4</v>
      </c>
      <c r="D72" s="8">
        <f>C72*$C$32</f>
        <v>1.0403289999999998</v>
      </c>
      <c r="E72" s="9">
        <v>7.3999999999999999E-4</v>
      </c>
      <c r="F72" s="8">
        <f>E72*$E$32</f>
        <v>1.0403289999999998</v>
      </c>
      <c r="G72" s="313">
        <v>7.3999999999999999E-4</v>
      </c>
      <c r="H72" s="327">
        <f>G72*$G$32</f>
        <v>1.1495603999999999</v>
      </c>
      <c r="I72" s="372">
        <v>7.3999999999999999E-4</v>
      </c>
      <c r="J72" s="375">
        <f>I72*$I$32</f>
        <v>1.2250847999999999</v>
      </c>
    </row>
    <row r="73" spans="1:13" x14ac:dyDescent="0.25">
      <c r="A73" s="223" t="s">
        <v>9</v>
      </c>
      <c r="B73" s="7" t="s">
        <v>48</v>
      </c>
      <c r="C73" s="9">
        <f>C60*C72</f>
        <v>2.6136800000000005E-4</v>
      </c>
      <c r="D73" s="8">
        <f>C73*$C$32</f>
        <v>0.36744420280000006</v>
      </c>
      <c r="E73" s="9">
        <f>E60*E72</f>
        <v>2.6136800000000005E-4</v>
      </c>
      <c r="F73" s="8">
        <f>E73*$E$32</f>
        <v>0.36744420280000006</v>
      </c>
      <c r="G73" s="313">
        <f>G60*G72</f>
        <v>2.6240400000000004E-4</v>
      </c>
      <c r="H73" s="327">
        <f>G73*$G$32</f>
        <v>0.40763411784000009</v>
      </c>
      <c r="I73" s="372">
        <f>I60*I72</f>
        <v>2.6240400000000004E-4</v>
      </c>
      <c r="J73" s="375">
        <f>I73*$I$32</f>
        <v>0.43441507008000008</v>
      </c>
    </row>
    <row r="74" spans="1:13" x14ac:dyDescent="0.25">
      <c r="A74" s="581" t="s">
        <v>41</v>
      </c>
      <c r="B74" s="526"/>
      <c r="C74" s="432">
        <f t="shared" ref="C74:H74" si="7">SUM(C73,C72)</f>
        <v>1.0013680000000001E-3</v>
      </c>
      <c r="D74" s="428">
        <f t="shared" si="7"/>
        <v>1.4077732027999998</v>
      </c>
      <c r="E74" s="432">
        <f t="shared" si="7"/>
        <v>1.0013680000000001E-3</v>
      </c>
      <c r="F74" s="428">
        <f t="shared" si="7"/>
        <v>1.4077732027999998</v>
      </c>
      <c r="G74" s="434">
        <f t="shared" si="7"/>
        <v>1.0024040000000001E-3</v>
      </c>
      <c r="H74" s="429">
        <f t="shared" si="7"/>
        <v>1.55719451784</v>
      </c>
      <c r="I74" s="434">
        <f>SUM(I73,I72)</f>
        <v>1.0024040000000001E-3</v>
      </c>
      <c r="J74" s="454">
        <f>SUM(J73,J72)</f>
        <v>1.6594998700799999</v>
      </c>
    </row>
    <row r="75" spans="1:13" ht="18.75" x14ac:dyDescent="0.25">
      <c r="A75" s="631" t="s">
        <v>102</v>
      </c>
      <c r="B75" s="632"/>
      <c r="C75" s="632"/>
      <c r="D75" s="632"/>
      <c r="E75" s="228"/>
      <c r="F75" s="228"/>
      <c r="G75" s="408"/>
      <c r="H75" s="408"/>
      <c r="I75" s="409"/>
      <c r="J75" s="461"/>
    </row>
    <row r="76" spans="1:13" x14ac:dyDescent="0.25">
      <c r="A76" s="451" t="s">
        <v>49</v>
      </c>
      <c r="B76" s="426" t="s">
        <v>50</v>
      </c>
      <c r="C76" s="426" t="s">
        <v>33</v>
      </c>
      <c r="D76" s="426" t="s">
        <v>6</v>
      </c>
      <c r="E76" s="426" t="s">
        <v>33</v>
      </c>
      <c r="F76" s="426" t="s">
        <v>6</v>
      </c>
      <c r="G76" s="427" t="s">
        <v>33</v>
      </c>
      <c r="H76" s="427" t="s">
        <v>6</v>
      </c>
      <c r="I76" s="427" t="s">
        <v>33</v>
      </c>
      <c r="J76" s="452" t="s">
        <v>6</v>
      </c>
    </row>
    <row r="77" spans="1:13" x14ac:dyDescent="0.25">
      <c r="A77" s="223" t="s">
        <v>7</v>
      </c>
      <c r="B77" s="7" t="s">
        <v>51</v>
      </c>
      <c r="C77" s="9">
        <v>4.1599999999999998E-2</v>
      </c>
      <c r="D77" s="8">
        <f t="shared" ref="D77:D82" si="8">C77*$C$32</f>
        <v>58.48335999999999</v>
      </c>
      <c r="E77" s="9">
        <v>4.1599999999999998E-2</v>
      </c>
      <c r="F77" s="8">
        <f t="shared" ref="F77:F82" si="9">E77*$E$32</f>
        <v>58.48335999999999</v>
      </c>
      <c r="G77" s="313">
        <v>4.1599999999999998E-2</v>
      </c>
      <c r="H77" s="327">
        <f t="shared" ref="H77:H82" si="10">G77*$G$32</f>
        <v>64.623936</v>
      </c>
      <c r="I77" s="372">
        <v>4.1599999999999998E-2</v>
      </c>
      <c r="J77" s="375">
        <f t="shared" ref="J77:J82" si="11">I77*$I$32</f>
        <v>68.869631999999996</v>
      </c>
    </row>
    <row r="78" spans="1:13" x14ac:dyDescent="0.25">
      <c r="A78" s="223" t="s">
        <v>9</v>
      </c>
      <c r="B78" s="7" t="s">
        <v>495</v>
      </c>
      <c r="C78" s="9">
        <f>C60*C77</f>
        <v>1.4693120000000002E-2</v>
      </c>
      <c r="D78" s="8">
        <f>C78*$C$32</f>
        <v>20.656322752000001</v>
      </c>
      <c r="E78" s="9">
        <f>E60*E77</f>
        <v>1.4693120000000002E-2</v>
      </c>
      <c r="F78" s="8">
        <f t="shared" si="9"/>
        <v>20.656322752000001</v>
      </c>
      <c r="G78" s="313">
        <f>G60*G77</f>
        <v>1.4751360000000003E-2</v>
      </c>
      <c r="H78" s="327">
        <f t="shared" si="10"/>
        <v>22.915647705600005</v>
      </c>
      <c r="I78" s="372">
        <f>I60*I77</f>
        <v>1.4751360000000003E-2</v>
      </c>
      <c r="J78" s="375">
        <f t="shared" si="11"/>
        <v>24.421171507200004</v>
      </c>
      <c r="K78" s="4">
        <f>'$ TOTAL ATUAL'!D33</f>
        <v>-133463.52000000002</v>
      </c>
      <c r="M78" s="4">
        <f>'$ TOTAL ATUAL'!F33</f>
        <v>0</v>
      </c>
    </row>
    <row r="79" spans="1:13" x14ac:dyDescent="0.25">
      <c r="A79" s="223" t="s">
        <v>11</v>
      </c>
      <c r="B79" s="7" t="s">
        <v>98</v>
      </c>
      <c r="C79" s="216">
        <v>2.0799999999999999E-2</v>
      </c>
      <c r="D79" s="8">
        <f t="shared" si="8"/>
        <v>29.241679999999995</v>
      </c>
      <c r="E79" s="216">
        <v>2.0799999999999999E-2</v>
      </c>
      <c r="F79" s="8">
        <f t="shared" si="9"/>
        <v>29.241679999999995</v>
      </c>
      <c r="G79" s="336">
        <v>2.0799999999999999E-2</v>
      </c>
      <c r="H79" s="327">
        <f t="shared" si="10"/>
        <v>32.311968</v>
      </c>
      <c r="I79" s="372">
        <v>2.0799999999999999E-2</v>
      </c>
      <c r="J79" s="375">
        <f t="shared" si="11"/>
        <v>34.434815999999998</v>
      </c>
    </row>
    <row r="80" spans="1:13" x14ac:dyDescent="0.25">
      <c r="A80" s="223" t="s">
        <v>13</v>
      </c>
      <c r="B80" s="7" t="s">
        <v>52</v>
      </c>
      <c r="C80" s="216">
        <v>2.0000000000000001E-4</v>
      </c>
      <c r="D80" s="8">
        <f t="shared" si="8"/>
        <v>0.28116999999999998</v>
      </c>
      <c r="E80" s="216">
        <v>2.0000000000000001E-4</v>
      </c>
      <c r="F80" s="8">
        <f t="shared" si="9"/>
        <v>0.28116999999999998</v>
      </c>
      <c r="G80" s="336">
        <v>2.0000000000000001E-4</v>
      </c>
      <c r="H80" s="327">
        <f t="shared" si="10"/>
        <v>0.31069200000000002</v>
      </c>
      <c r="I80" s="372">
        <v>2.0000000000000001E-4</v>
      </c>
      <c r="J80" s="375">
        <f t="shared" si="11"/>
        <v>0.33110400000000001</v>
      </c>
    </row>
    <row r="81" spans="1:14" x14ac:dyDescent="0.25">
      <c r="A81" s="223" t="s">
        <v>15</v>
      </c>
      <c r="B81" s="7" t="s">
        <v>53</v>
      </c>
      <c r="C81" s="9">
        <f>C60*C80</f>
        <v>7.0640000000000015E-5</v>
      </c>
      <c r="D81" s="8">
        <f>C81*$C$32</f>
        <v>9.9309244000000019E-2</v>
      </c>
      <c r="E81" s="9">
        <f>E60*E80</f>
        <v>7.0640000000000015E-5</v>
      </c>
      <c r="F81" s="8">
        <f t="shared" si="9"/>
        <v>9.9309244000000019E-2</v>
      </c>
      <c r="G81" s="313">
        <f>G60*G80</f>
        <v>7.0920000000000019E-5</v>
      </c>
      <c r="H81" s="327">
        <f t="shared" si="10"/>
        <v>0.11017138320000003</v>
      </c>
      <c r="I81" s="372">
        <f>I60*I80</f>
        <v>7.0920000000000019E-5</v>
      </c>
      <c r="J81" s="375">
        <f t="shared" si="11"/>
        <v>0.11740947840000003</v>
      </c>
    </row>
    <row r="82" spans="1:14" x14ac:dyDescent="0.25">
      <c r="A82" s="223" t="s">
        <v>17</v>
      </c>
      <c r="B82" s="224" t="s">
        <v>99</v>
      </c>
      <c r="C82" s="9">
        <v>9.7000000000000003E-3</v>
      </c>
      <c r="D82" s="8">
        <f t="shared" si="8"/>
        <v>13.636744999999999</v>
      </c>
      <c r="E82" s="9">
        <v>9.7000000000000003E-3</v>
      </c>
      <c r="F82" s="8">
        <f t="shared" si="9"/>
        <v>13.636744999999999</v>
      </c>
      <c r="G82" s="313">
        <v>9.7000000000000003E-3</v>
      </c>
      <c r="H82" s="327">
        <f t="shared" si="10"/>
        <v>15.068562</v>
      </c>
      <c r="I82" s="372">
        <v>9.7000000000000003E-3</v>
      </c>
      <c r="J82" s="375">
        <f t="shared" si="11"/>
        <v>16.058544000000001</v>
      </c>
    </row>
    <row r="83" spans="1:14" x14ac:dyDescent="0.25">
      <c r="A83" s="581" t="s">
        <v>54</v>
      </c>
      <c r="B83" s="526"/>
      <c r="C83" s="432">
        <f t="shared" ref="C83:H83" si="12">SUM(C77:C82)</f>
        <v>8.7063760000000004E-2</v>
      </c>
      <c r="D83" s="428">
        <f t="shared" si="12"/>
        <v>122.39858699600001</v>
      </c>
      <c r="E83" s="432">
        <f t="shared" si="12"/>
        <v>8.7063760000000004E-2</v>
      </c>
      <c r="F83" s="428">
        <f t="shared" si="12"/>
        <v>122.39858699600001</v>
      </c>
      <c r="G83" s="434">
        <f t="shared" si="12"/>
        <v>8.712228000000001E-2</v>
      </c>
      <c r="H83" s="429">
        <f t="shared" si="12"/>
        <v>135.3409770888</v>
      </c>
      <c r="I83" s="434">
        <f>SUM(I77:I82)</f>
        <v>8.712228000000001E-2</v>
      </c>
      <c r="J83" s="454">
        <f>SUM(J77:J82)</f>
        <v>144.23267698559999</v>
      </c>
    </row>
    <row r="84" spans="1:14" ht="18.75" x14ac:dyDescent="0.25">
      <c r="A84" s="588" t="s">
        <v>55</v>
      </c>
      <c r="B84" s="570"/>
      <c r="C84" s="570"/>
      <c r="D84" s="570"/>
      <c r="E84" s="570"/>
      <c r="F84" s="570"/>
      <c r="G84" s="570"/>
      <c r="H84" s="570"/>
      <c r="I84" s="570"/>
      <c r="J84" s="589"/>
    </row>
    <row r="85" spans="1:14" ht="19.5" customHeight="1" x14ac:dyDescent="0.25">
      <c r="A85" s="451" t="s">
        <v>56</v>
      </c>
      <c r="B85" s="426" t="s">
        <v>57</v>
      </c>
      <c r="C85" s="426" t="s">
        <v>33</v>
      </c>
      <c r="D85" s="426" t="s">
        <v>6</v>
      </c>
      <c r="E85" s="426" t="s">
        <v>33</v>
      </c>
      <c r="F85" s="426" t="s">
        <v>6</v>
      </c>
      <c r="G85" s="427" t="s">
        <v>33</v>
      </c>
      <c r="H85" s="427" t="s">
        <v>6</v>
      </c>
      <c r="I85" s="427" t="s">
        <v>33</v>
      </c>
      <c r="J85" s="452" t="s">
        <v>6</v>
      </c>
    </row>
    <row r="86" spans="1:14" x14ac:dyDescent="0.25">
      <c r="A86" s="223" t="s">
        <v>7</v>
      </c>
      <c r="B86" s="7" t="s">
        <v>452</v>
      </c>
      <c r="C86" s="9">
        <v>0.1111</v>
      </c>
      <c r="D86" s="8">
        <f>C86*$C$32</f>
        <v>156.18993499999999</v>
      </c>
      <c r="E86" s="9">
        <v>0.1111</v>
      </c>
      <c r="F86" s="8">
        <f>E86*$E$32</f>
        <v>156.18993499999999</v>
      </c>
      <c r="G86" s="336">
        <v>0.1111</v>
      </c>
      <c r="H86" s="327">
        <f>G86*$G$32</f>
        <v>172.589406</v>
      </c>
      <c r="I86" s="372">
        <v>0.1111</v>
      </c>
      <c r="J86" s="375">
        <f>I86*$I$32</f>
        <v>183.92827199999999</v>
      </c>
    </row>
    <row r="87" spans="1:14" x14ac:dyDescent="0.25">
      <c r="A87" s="223" t="s">
        <v>9</v>
      </c>
      <c r="B87" s="7" t="s">
        <v>58</v>
      </c>
      <c r="C87" s="9">
        <v>1.3899999999999999E-2</v>
      </c>
      <c r="D87" s="8">
        <f>C87*$C$32</f>
        <v>19.541314999999997</v>
      </c>
      <c r="E87" s="9">
        <v>1.3899999999999999E-2</v>
      </c>
      <c r="F87" s="8">
        <f>E87*$E$32</f>
        <v>19.541314999999997</v>
      </c>
      <c r="G87" s="336">
        <v>1.3899999999999999E-2</v>
      </c>
      <c r="H87" s="327">
        <f>G87*$G$32</f>
        <v>21.593094000000001</v>
      </c>
      <c r="I87" s="372">
        <v>1.3899999999999999E-2</v>
      </c>
      <c r="J87" s="375">
        <f>I87*$I$32</f>
        <v>23.011727999999998</v>
      </c>
    </row>
    <row r="88" spans="1:14" x14ac:dyDescent="0.25">
      <c r="A88" s="223" t="s">
        <v>11</v>
      </c>
      <c r="B88" s="7" t="s">
        <v>59</v>
      </c>
      <c r="C88" s="9">
        <v>2.0000000000000001E-4</v>
      </c>
      <c r="D88" s="8">
        <f>C88*$C$32</f>
        <v>0.28116999999999998</v>
      </c>
      <c r="E88" s="9">
        <v>2.0000000000000001E-4</v>
      </c>
      <c r="F88" s="8">
        <f>E88*$E$32</f>
        <v>0.28116999999999998</v>
      </c>
      <c r="G88" s="336">
        <v>2.0000000000000001E-4</v>
      </c>
      <c r="H88" s="327">
        <f>G88*$G$32</f>
        <v>0.31069200000000002</v>
      </c>
      <c r="I88" s="372">
        <v>2.0000000000000001E-4</v>
      </c>
      <c r="J88" s="375">
        <f>I88*$I$32</f>
        <v>0.33110400000000001</v>
      </c>
    </row>
    <row r="89" spans="1:14" x14ac:dyDescent="0.25">
      <c r="A89" s="223" t="s">
        <v>13</v>
      </c>
      <c r="B89" s="7" t="s">
        <v>60</v>
      </c>
      <c r="C89" s="9">
        <v>2.8E-3</v>
      </c>
      <c r="D89" s="8">
        <f>C89*$C$32</f>
        <v>3.9363799999999998</v>
      </c>
      <c r="E89" s="9">
        <v>2.8E-3</v>
      </c>
      <c r="F89" s="8">
        <f>E89*$E$32</f>
        <v>3.9363799999999998</v>
      </c>
      <c r="G89" s="336">
        <v>2.8E-3</v>
      </c>
      <c r="H89" s="327">
        <f>G89*$G$32</f>
        <v>4.3496880000000004</v>
      </c>
      <c r="I89" s="372">
        <v>2.8E-3</v>
      </c>
      <c r="J89" s="375">
        <f>I89*$I$32</f>
        <v>4.6354559999999996</v>
      </c>
    </row>
    <row r="90" spans="1:14" x14ac:dyDescent="0.25">
      <c r="A90" s="223" t="s">
        <v>15</v>
      </c>
      <c r="B90" s="7" t="s">
        <v>61</v>
      </c>
      <c r="C90" s="9">
        <v>3.3E-3</v>
      </c>
      <c r="D90" s="8">
        <f>C90*$C$32</f>
        <v>4.6393049999999993</v>
      </c>
      <c r="E90" s="9">
        <v>3.3E-3</v>
      </c>
      <c r="F90" s="8">
        <f>E90*$E$32</f>
        <v>4.6393049999999993</v>
      </c>
      <c r="G90" s="336">
        <v>3.3E-3</v>
      </c>
      <c r="H90" s="327">
        <f>G90*$G$32</f>
        <v>5.1264180000000001</v>
      </c>
      <c r="I90" s="372">
        <v>3.3E-3</v>
      </c>
      <c r="J90" s="375">
        <f>I90*$I$32</f>
        <v>5.4632160000000001</v>
      </c>
    </row>
    <row r="91" spans="1:14" x14ac:dyDescent="0.25">
      <c r="A91" s="223" t="s">
        <v>17</v>
      </c>
      <c r="B91" s="7" t="s">
        <v>21</v>
      </c>
      <c r="C91" s="9"/>
      <c r="D91" s="8"/>
      <c r="E91" s="9"/>
      <c r="F91" s="8"/>
      <c r="G91" s="313"/>
      <c r="H91" s="327"/>
      <c r="I91" s="372"/>
      <c r="J91" s="375"/>
    </row>
    <row r="92" spans="1:14" x14ac:dyDescent="0.25">
      <c r="A92" s="223"/>
      <c r="B92" s="5" t="s">
        <v>44</v>
      </c>
      <c r="C92" s="225">
        <f t="shared" ref="C92:H92" si="13">SUM(C86:C91)</f>
        <v>0.1313</v>
      </c>
      <c r="D92" s="226">
        <f t="shared" si="13"/>
        <v>184.58810500000001</v>
      </c>
      <c r="E92" s="225">
        <f t="shared" si="13"/>
        <v>0.1313</v>
      </c>
      <c r="F92" s="226">
        <f t="shared" si="13"/>
        <v>184.58810500000001</v>
      </c>
      <c r="G92" s="314">
        <f t="shared" si="13"/>
        <v>0.1313</v>
      </c>
      <c r="H92" s="410">
        <f t="shared" si="13"/>
        <v>203.96929799999998</v>
      </c>
      <c r="I92" s="373">
        <f>SUM(I86:I91)</f>
        <v>0.1313</v>
      </c>
      <c r="J92" s="381">
        <f>SUM(J86:J91)</f>
        <v>217.369776</v>
      </c>
    </row>
    <row r="93" spans="1:14" x14ac:dyDescent="0.25">
      <c r="A93" s="223" t="s">
        <v>19</v>
      </c>
      <c r="B93" s="7" t="s">
        <v>62</v>
      </c>
      <c r="C93" s="9">
        <f>C60*C92</f>
        <v>4.6375160000000012E-2</v>
      </c>
      <c r="D93" s="8">
        <f>C93*$C$32</f>
        <v>65.196518686000019</v>
      </c>
      <c r="E93" s="9">
        <f>E60*E92</f>
        <v>4.6375160000000012E-2</v>
      </c>
      <c r="F93" s="8">
        <f>E93*$E$32</f>
        <v>65.196518686000019</v>
      </c>
      <c r="G93" s="313">
        <f>G60*G92</f>
        <v>4.6558980000000014E-2</v>
      </c>
      <c r="H93" s="327">
        <f>G93*$G$32</f>
        <v>72.327513070800023</v>
      </c>
      <c r="I93" s="372">
        <f>I60*I92</f>
        <v>4.6558980000000014E-2</v>
      </c>
      <c r="J93" s="375">
        <f>I93*$I$32</f>
        <v>77.079322569600023</v>
      </c>
    </row>
    <row r="94" spans="1:14" x14ac:dyDescent="0.25">
      <c r="A94" s="581" t="s">
        <v>54</v>
      </c>
      <c r="B94" s="526"/>
      <c r="C94" s="432">
        <f t="shared" ref="C94:H94" si="14">SUM(C92:C93)</f>
        <v>0.17767516</v>
      </c>
      <c r="D94" s="428">
        <f t="shared" si="14"/>
        <v>249.78462368600003</v>
      </c>
      <c r="E94" s="432">
        <f t="shared" si="14"/>
        <v>0.17767516</v>
      </c>
      <c r="F94" s="428">
        <f t="shared" si="14"/>
        <v>249.78462368600003</v>
      </c>
      <c r="G94" s="434">
        <f t="shared" si="14"/>
        <v>0.17785898</v>
      </c>
      <c r="H94" s="429">
        <f t="shared" si="14"/>
        <v>276.2968110708</v>
      </c>
      <c r="I94" s="434">
        <f>SUM(I92:I93)</f>
        <v>0.17785898</v>
      </c>
      <c r="J94" s="454">
        <f>SUM(J92:J93)</f>
        <v>294.44909856960004</v>
      </c>
      <c r="K94" t="s">
        <v>317</v>
      </c>
      <c r="L94" s="61">
        <f>SUM(C94+C83+C74+C69+C60)</f>
        <v>0.76928080800000009</v>
      </c>
      <c r="M94" t="s">
        <v>317</v>
      </c>
      <c r="N94" s="61">
        <f>SUM(G94+G83+G74+G69+G60)</f>
        <v>0.77107972400000002</v>
      </c>
    </row>
    <row r="95" spans="1:14" ht="13.5" customHeight="1" x14ac:dyDescent="0.25">
      <c r="A95" s="444"/>
      <c r="B95" s="3"/>
      <c r="C95" s="3"/>
      <c r="D95" s="3"/>
      <c r="E95" s="3"/>
      <c r="F95" s="3"/>
      <c r="G95" s="343"/>
      <c r="H95" s="343"/>
      <c r="I95" s="393"/>
      <c r="J95" s="383"/>
    </row>
    <row r="96" spans="1:14" x14ac:dyDescent="0.25">
      <c r="A96" s="613" t="s">
        <v>63</v>
      </c>
      <c r="B96" s="561"/>
      <c r="C96" s="561"/>
      <c r="D96" s="561"/>
      <c r="E96" s="561"/>
      <c r="F96" s="561"/>
      <c r="G96" s="561"/>
      <c r="H96" s="561"/>
      <c r="I96" s="561"/>
      <c r="J96" s="614"/>
    </row>
    <row r="97" spans="1:13" ht="12" customHeight="1" x14ac:dyDescent="0.25">
      <c r="A97" s="236"/>
      <c r="B97" s="3"/>
      <c r="C97" s="3"/>
      <c r="D97" s="3"/>
      <c r="E97" s="3"/>
      <c r="F97" s="3"/>
      <c r="G97" s="343"/>
      <c r="H97" s="343"/>
      <c r="I97" s="393"/>
      <c r="J97" s="383"/>
    </row>
    <row r="98" spans="1:13" x14ac:dyDescent="0.25">
      <c r="A98" s="451">
        <v>4</v>
      </c>
      <c r="B98" s="426" t="s">
        <v>64</v>
      </c>
      <c r="C98" s="426"/>
      <c r="D98" s="438" t="s">
        <v>6</v>
      </c>
      <c r="E98" s="438"/>
      <c r="F98" s="438" t="s">
        <v>6</v>
      </c>
      <c r="G98" s="427"/>
      <c r="H98" s="427" t="s">
        <v>6</v>
      </c>
      <c r="I98" s="427"/>
      <c r="J98" s="452" t="s">
        <v>6</v>
      </c>
    </row>
    <row r="99" spans="1:13" x14ac:dyDescent="0.25">
      <c r="A99" s="221" t="s">
        <v>31</v>
      </c>
      <c r="B99" s="7" t="s">
        <v>128</v>
      </c>
      <c r="C99" s="227"/>
      <c r="D99" s="319">
        <f>D60</f>
        <v>496.54621999999989</v>
      </c>
      <c r="E99" s="319"/>
      <c r="F99" s="319">
        <f>F60</f>
        <v>496.54621999999989</v>
      </c>
      <c r="G99" s="331"/>
      <c r="H99" s="443">
        <f>H60</f>
        <v>550.85691599999996</v>
      </c>
      <c r="I99" s="414"/>
      <c r="J99" s="465">
        <f>J60</f>
        <v>587.04739200000006</v>
      </c>
    </row>
    <row r="100" spans="1:13" x14ac:dyDescent="0.25">
      <c r="A100" s="221" t="s">
        <v>42</v>
      </c>
      <c r="B100" s="7" t="s">
        <v>129</v>
      </c>
      <c r="C100" s="227"/>
      <c r="D100" s="319">
        <f>D69</f>
        <v>211.35622004199999</v>
      </c>
      <c r="E100" s="319"/>
      <c r="F100" s="319">
        <f>F69</f>
        <v>211.35622004199999</v>
      </c>
      <c r="G100" s="331"/>
      <c r="H100" s="443">
        <f>H69</f>
        <v>233.78960936760001</v>
      </c>
      <c r="I100" s="414"/>
      <c r="J100" s="465">
        <f>J69</f>
        <v>249.14923725120002</v>
      </c>
    </row>
    <row r="101" spans="1:13" x14ac:dyDescent="0.25">
      <c r="A101" s="221" t="s">
        <v>46</v>
      </c>
      <c r="B101" s="7" t="s">
        <v>47</v>
      </c>
      <c r="C101" s="227"/>
      <c r="D101" s="319">
        <f>D74</f>
        <v>1.4077732027999998</v>
      </c>
      <c r="E101" s="319"/>
      <c r="F101" s="319">
        <f>F74</f>
        <v>1.4077732027999998</v>
      </c>
      <c r="G101" s="331"/>
      <c r="H101" s="443">
        <f>H74</f>
        <v>1.55719451784</v>
      </c>
      <c r="I101" s="414"/>
      <c r="J101" s="465">
        <f>J74</f>
        <v>1.6594998700799999</v>
      </c>
    </row>
    <row r="102" spans="1:13" x14ac:dyDescent="0.25">
      <c r="A102" s="221" t="s">
        <v>49</v>
      </c>
      <c r="B102" s="7" t="s">
        <v>65</v>
      </c>
      <c r="C102" s="227"/>
      <c r="D102" s="319">
        <f>D83</f>
        <v>122.39858699600001</v>
      </c>
      <c r="E102" s="319"/>
      <c r="F102" s="319">
        <f>F83</f>
        <v>122.39858699600001</v>
      </c>
      <c r="G102" s="331"/>
      <c r="H102" s="443">
        <f>H83</f>
        <v>135.3409770888</v>
      </c>
      <c r="I102" s="414"/>
      <c r="J102" s="465">
        <f>J83</f>
        <v>144.23267698559999</v>
      </c>
    </row>
    <row r="103" spans="1:13" x14ac:dyDescent="0.25">
      <c r="A103" s="221" t="s">
        <v>56</v>
      </c>
      <c r="B103" s="7" t="s">
        <v>66</v>
      </c>
      <c r="C103" s="227"/>
      <c r="D103" s="319">
        <f>D94</f>
        <v>249.78462368600003</v>
      </c>
      <c r="E103" s="319"/>
      <c r="F103" s="319">
        <f>F94</f>
        <v>249.78462368600003</v>
      </c>
      <c r="G103" s="331"/>
      <c r="H103" s="443">
        <f>H94</f>
        <v>276.2968110708</v>
      </c>
      <c r="I103" s="414"/>
      <c r="J103" s="465">
        <f>J94</f>
        <v>294.44909856960004</v>
      </c>
    </row>
    <row r="104" spans="1:13" x14ac:dyDescent="0.25">
      <c r="A104" s="221" t="s">
        <v>67</v>
      </c>
      <c r="B104" s="7" t="s">
        <v>68</v>
      </c>
      <c r="C104" s="6"/>
      <c r="D104" s="320"/>
      <c r="E104" s="320"/>
      <c r="F104" s="320"/>
      <c r="G104" s="388"/>
      <c r="H104" s="345"/>
      <c r="I104" s="416"/>
      <c r="J104" s="466"/>
    </row>
    <row r="105" spans="1:13" x14ac:dyDescent="0.25">
      <c r="A105" s="581" t="s">
        <v>54</v>
      </c>
      <c r="B105" s="526"/>
      <c r="C105" s="436"/>
      <c r="D105" s="436">
        <f>SUM(D99:D104)</f>
        <v>1081.4934239267998</v>
      </c>
      <c r="E105" s="436"/>
      <c r="F105" s="436">
        <f>SUM(F99:F104)</f>
        <v>1081.4934239267998</v>
      </c>
      <c r="G105" s="437"/>
      <c r="H105" s="437">
        <f>SUM(H99:H104)</f>
        <v>1197.84150804504</v>
      </c>
      <c r="I105" s="437"/>
      <c r="J105" s="455">
        <f>SUM(J99:J104)</f>
        <v>1276.5379046764801</v>
      </c>
    </row>
    <row r="106" spans="1:13" s="152" customFormat="1" x14ac:dyDescent="0.25">
      <c r="A106" s="385"/>
      <c r="B106" s="386"/>
      <c r="C106" s="417"/>
      <c r="D106" s="418"/>
      <c r="E106" s="418"/>
      <c r="F106" s="418"/>
      <c r="G106" s="419"/>
      <c r="H106" s="399"/>
      <c r="I106" s="365"/>
      <c r="J106" s="383"/>
    </row>
    <row r="107" spans="1:13" ht="18.75" x14ac:dyDescent="0.25">
      <c r="A107" s="563" t="s">
        <v>69</v>
      </c>
      <c r="B107" s="564"/>
      <c r="C107" s="564"/>
      <c r="D107" s="564"/>
      <c r="E107" s="564"/>
      <c r="F107" s="564"/>
      <c r="G107" s="564"/>
      <c r="H107" s="564"/>
      <c r="I107" s="564"/>
      <c r="J107" s="565"/>
    </row>
    <row r="108" spans="1:13" x14ac:dyDescent="0.25">
      <c r="A108" s="451">
        <v>5</v>
      </c>
      <c r="B108" s="426" t="s">
        <v>70</v>
      </c>
      <c r="C108" s="426" t="s">
        <v>33</v>
      </c>
      <c r="D108" s="426" t="s">
        <v>6</v>
      </c>
      <c r="E108" s="426" t="s">
        <v>33</v>
      </c>
      <c r="F108" s="426" t="s">
        <v>6</v>
      </c>
      <c r="G108" s="427" t="s">
        <v>33</v>
      </c>
      <c r="H108" s="427" t="s">
        <v>6</v>
      </c>
      <c r="I108" s="427" t="s">
        <v>33</v>
      </c>
      <c r="J108" s="452" t="s">
        <v>6</v>
      </c>
    </row>
    <row r="109" spans="1:13" x14ac:dyDescent="0.25">
      <c r="A109" s="223" t="s">
        <v>7</v>
      </c>
      <c r="B109" s="7" t="s">
        <v>71</v>
      </c>
      <c r="C109" s="9">
        <v>2.6100000000000002E-2</v>
      </c>
      <c r="D109" s="8">
        <f>SUM(C32+C42+C48+D105)*C109</f>
        <v>99.179328114489493</v>
      </c>
      <c r="E109" s="9">
        <v>2.6100000000000002E-2</v>
      </c>
      <c r="F109" s="8">
        <f>SUM(E32+E42+E48+F105)*E109</f>
        <v>101.07360738948948</v>
      </c>
      <c r="G109" s="313">
        <v>2.6100000000000002E-2</v>
      </c>
      <c r="H109" s="327">
        <f>SUM(G32+G42+G48+H105)*G109</f>
        <v>109.70883112497556</v>
      </c>
      <c r="I109" s="372">
        <v>2.6100000000000002E-2</v>
      </c>
      <c r="J109" s="375">
        <f>SUM(I32+I42+I48+J105)*I109</f>
        <v>116.74201674205614</v>
      </c>
    </row>
    <row r="110" spans="1:13" x14ac:dyDescent="0.25">
      <c r="A110" s="223" t="s">
        <v>9</v>
      </c>
      <c r="B110" s="1" t="s">
        <v>72</v>
      </c>
      <c r="C110" s="225">
        <v>0.14249999999999999</v>
      </c>
      <c r="D110" s="8"/>
      <c r="E110" s="225">
        <v>0.14249999999999999</v>
      </c>
      <c r="F110" s="8"/>
      <c r="G110" s="314">
        <v>0.14249999999999999</v>
      </c>
      <c r="H110" s="327"/>
      <c r="I110" s="373">
        <v>0.14249999999999999</v>
      </c>
      <c r="J110" s="375"/>
      <c r="K110" s="60">
        <v>1.6500000000000001E-2</v>
      </c>
      <c r="M110" s="60">
        <v>1.6500000000000001E-2</v>
      </c>
    </row>
    <row r="111" spans="1:13" x14ac:dyDescent="0.25">
      <c r="A111" s="223"/>
      <c r="B111" s="7" t="s">
        <v>131</v>
      </c>
      <c r="C111" s="9"/>
      <c r="D111" s="8">
        <f>ROUND(K116*K112,2)</f>
        <v>424.81</v>
      </c>
      <c r="E111" s="9"/>
      <c r="F111" s="8">
        <f>ROUND(M118*M112,2)</f>
        <v>432.93</v>
      </c>
      <c r="G111" s="313"/>
      <c r="H111" s="327">
        <f>ROUND(M116*M112,2)</f>
        <v>469.92</v>
      </c>
      <c r="I111" s="372"/>
      <c r="J111" s="375">
        <f>ROUND(M120*M112,2)</f>
        <v>500.04</v>
      </c>
      <c r="K111" s="60">
        <v>7.5999999999999998E-2</v>
      </c>
      <c r="M111" s="60">
        <v>7.5999999999999998E-2</v>
      </c>
    </row>
    <row r="112" spans="1:13" x14ac:dyDescent="0.25">
      <c r="A112" s="223"/>
      <c r="B112" s="7" t="s">
        <v>130</v>
      </c>
      <c r="C112" s="9"/>
      <c r="D112" s="8">
        <f>ROUND(K116*K113,2)</f>
        <v>229.63</v>
      </c>
      <c r="E112" s="9"/>
      <c r="F112" s="8">
        <f>ROUND(M118*M113,2)</f>
        <v>234.02</v>
      </c>
      <c r="G112" s="313"/>
      <c r="H112" s="327">
        <f>ROUND(M116*M113,2)</f>
        <v>254.01</v>
      </c>
      <c r="I112" s="372"/>
      <c r="J112" s="375">
        <f>ROUND(M120*M113,2)</f>
        <v>270.29000000000002</v>
      </c>
      <c r="K112" s="60">
        <f>SUM(K110:K111)</f>
        <v>9.2499999999999999E-2</v>
      </c>
      <c r="M112" s="60">
        <f>SUM(M110:M111)</f>
        <v>9.2499999999999999E-2</v>
      </c>
    </row>
    <row r="113" spans="1:13" x14ac:dyDescent="0.25">
      <c r="A113" s="223"/>
      <c r="B113" s="7" t="s">
        <v>132</v>
      </c>
      <c r="C113" s="9"/>
      <c r="D113" s="8"/>
      <c r="E113" s="9"/>
      <c r="F113" s="8"/>
      <c r="G113" s="313"/>
      <c r="H113" s="327"/>
      <c r="I113" s="372"/>
      <c r="J113" s="375"/>
      <c r="K113" s="60">
        <v>0.05</v>
      </c>
      <c r="M113" s="60">
        <v>0.05</v>
      </c>
    </row>
    <row r="114" spans="1:13" x14ac:dyDescent="0.25">
      <c r="A114" s="223"/>
      <c r="B114" s="7" t="s">
        <v>133</v>
      </c>
      <c r="C114" s="9"/>
      <c r="D114" s="8"/>
      <c r="E114" s="9"/>
      <c r="F114" s="8"/>
      <c r="G114" s="313"/>
      <c r="H114" s="327"/>
      <c r="I114" s="372"/>
      <c r="J114" s="375"/>
    </row>
    <row r="115" spans="1:13" x14ac:dyDescent="0.25">
      <c r="A115" s="229" t="s">
        <v>11</v>
      </c>
      <c r="B115" s="7" t="s">
        <v>134</v>
      </c>
      <c r="C115" s="230">
        <v>0.01</v>
      </c>
      <c r="D115" s="8">
        <f>SUM(D109+D105+C48+C42+C32)*C115</f>
        <v>38.991535853746228</v>
      </c>
      <c r="E115" s="230">
        <v>0.01</v>
      </c>
      <c r="F115" s="8">
        <f>SUM(F109+F105+E48+E42+E32)*E115</f>
        <v>39.736256146496224</v>
      </c>
      <c r="G115" s="315">
        <v>0.01</v>
      </c>
      <c r="H115" s="327">
        <f>SUM(H109+H105+G48+G42+G32)*G115</f>
        <v>43.131123225033491</v>
      </c>
      <c r="I115" s="373">
        <v>0.01</v>
      </c>
      <c r="J115" s="375">
        <f>SUM(J109+J105+I48+I42+I32)*I115</f>
        <v>45.896162214185374</v>
      </c>
    </row>
    <row r="116" spans="1:13" x14ac:dyDescent="0.25">
      <c r="A116" s="581" t="s">
        <v>41</v>
      </c>
      <c r="B116" s="526"/>
      <c r="C116" s="526"/>
      <c r="D116" s="436">
        <f>SUM(D109:D115)</f>
        <v>792.61086396823566</v>
      </c>
      <c r="E116" s="436"/>
      <c r="F116" s="436">
        <f>SUM(F109:F115)</f>
        <v>807.75986353598569</v>
      </c>
      <c r="G116" s="437"/>
      <c r="H116" s="437">
        <f>SUM(H109:H115)</f>
        <v>876.76995435000913</v>
      </c>
      <c r="I116" s="437"/>
      <c r="J116" s="455">
        <f>SUM(J109:J115)</f>
        <v>932.96817895624145</v>
      </c>
      <c r="K116" s="59">
        <f>SUM(D115+D109+D105+C48+C42+C32)/(1-C110)</f>
        <v>4592.5890626569899</v>
      </c>
      <c r="M116" s="59">
        <f>SUM(H115+H109+H105+G48+G42+G32)/(1-G110)</f>
        <v>5080.1672836482594</v>
      </c>
    </row>
    <row r="117" spans="1:13" x14ac:dyDescent="0.25">
      <c r="A117" s="580" t="s">
        <v>73</v>
      </c>
      <c r="B117" s="528"/>
      <c r="C117" s="528"/>
      <c r="D117" s="528"/>
      <c r="E117" s="396"/>
      <c r="F117" s="396"/>
      <c r="G117" s="420"/>
      <c r="H117" s="420"/>
      <c r="I117" s="421"/>
      <c r="J117" s="463"/>
    </row>
    <row r="118" spans="1:13" x14ac:dyDescent="0.25">
      <c r="A118" s="580" t="s">
        <v>74</v>
      </c>
      <c r="B118" s="528"/>
      <c r="C118" s="528"/>
      <c r="D118" s="528"/>
      <c r="E118" s="396"/>
      <c r="F118" s="396"/>
      <c r="G118" s="420"/>
      <c r="H118" s="420"/>
      <c r="I118" s="421"/>
      <c r="J118" s="463"/>
      <c r="M118" s="59">
        <f>SUM(F115+F109+F105+E48+E42+E32)/(1-E110)</f>
        <v>4680.3053886835205</v>
      </c>
    </row>
    <row r="119" spans="1:13" ht="15.75" thickBot="1" x14ac:dyDescent="0.3">
      <c r="A119" s="583" t="s">
        <v>135</v>
      </c>
      <c r="B119" s="527"/>
      <c r="C119" s="527"/>
      <c r="D119" s="527"/>
      <c r="E119" s="422"/>
      <c r="F119" s="422"/>
      <c r="G119" s="423"/>
      <c r="H119" s="423"/>
      <c r="I119" s="424"/>
      <c r="J119" s="464"/>
      <c r="M119" s="59"/>
    </row>
    <row r="120" spans="1:13" ht="15.75" thickBot="1" x14ac:dyDescent="0.3">
      <c r="A120" s="583" t="s">
        <v>75</v>
      </c>
      <c r="B120" s="527"/>
      <c r="C120" s="527"/>
      <c r="D120" s="527"/>
      <c r="E120" s="422"/>
      <c r="F120" s="422"/>
      <c r="G120" s="423"/>
      <c r="H120" s="423"/>
      <c r="I120" s="424"/>
      <c r="J120" s="464"/>
      <c r="M120" s="468">
        <f>SUM(J115+J109+J105+I48+I42+I32)/(1-I110)</f>
        <v>5405.8453453442817</v>
      </c>
    </row>
    <row r="121" spans="1:13" x14ac:dyDescent="0.25">
      <c r="A121" s="442"/>
      <c r="B121" s="3"/>
      <c r="C121" s="3"/>
      <c r="D121" s="3"/>
      <c r="E121" s="3"/>
      <c r="F121" s="3"/>
      <c r="G121" s="343"/>
      <c r="H121" s="343"/>
      <c r="I121" s="393"/>
      <c r="J121" s="383"/>
    </row>
    <row r="122" spans="1:13" ht="18.75" customHeight="1" x14ac:dyDescent="0.25">
      <c r="A122" s="581" t="s">
        <v>76</v>
      </c>
      <c r="B122" s="526"/>
      <c r="C122" s="526" t="s">
        <v>77</v>
      </c>
      <c r="D122" s="526"/>
      <c r="E122" s="526" t="s">
        <v>77</v>
      </c>
      <c r="F122" s="526"/>
      <c r="G122" s="525" t="s">
        <v>77</v>
      </c>
      <c r="H122" s="525"/>
      <c r="I122" s="525" t="s">
        <v>77</v>
      </c>
      <c r="J122" s="599"/>
      <c r="K122" s="4">
        <f>'$ TOTAL ATUAL'!D33</f>
        <v>-133463.52000000002</v>
      </c>
      <c r="M122" s="4">
        <f>'$ TOTAL ATUAL'!F33</f>
        <v>0</v>
      </c>
    </row>
    <row r="123" spans="1:13" x14ac:dyDescent="0.25">
      <c r="A123" s="223" t="s">
        <v>7</v>
      </c>
      <c r="B123" s="7" t="s">
        <v>78</v>
      </c>
      <c r="C123" s="518">
        <f>C32</f>
        <v>1405.85</v>
      </c>
      <c r="D123" s="519"/>
      <c r="E123" s="518">
        <f>E32</f>
        <v>1405.85</v>
      </c>
      <c r="F123" s="519"/>
      <c r="G123" s="522">
        <f>G32</f>
        <v>1553.46</v>
      </c>
      <c r="H123" s="523"/>
      <c r="I123" s="515">
        <f>I32</f>
        <v>1655.52</v>
      </c>
      <c r="J123" s="593"/>
    </row>
    <row r="124" spans="1:13" x14ac:dyDescent="0.25">
      <c r="A124" s="223" t="s">
        <v>9</v>
      </c>
      <c r="B124" s="7" t="s">
        <v>79</v>
      </c>
      <c r="C124" s="518">
        <f>C42</f>
        <v>625.27750000000003</v>
      </c>
      <c r="D124" s="519"/>
      <c r="E124" s="518">
        <f>E42</f>
        <v>697.85525000000007</v>
      </c>
      <c r="F124" s="519"/>
      <c r="G124" s="522">
        <f>G42</f>
        <v>764.74865</v>
      </c>
      <c r="H124" s="523"/>
      <c r="I124" s="515">
        <f>I42</f>
        <v>853.46630000000005</v>
      </c>
      <c r="J124" s="593"/>
    </row>
    <row r="125" spans="1:13" x14ac:dyDescent="0.25">
      <c r="A125" s="223" t="s">
        <v>11</v>
      </c>
      <c r="B125" s="235" t="s">
        <v>80</v>
      </c>
      <c r="C125" s="518">
        <f>C48</f>
        <v>687.35333333333335</v>
      </c>
      <c r="D125" s="519"/>
      <c r="E125" s="518">
        <f>E48</f>
        <v>687.35333333333335</v>
      </c>
      <c r="F125" s="519"/>
      <c r="G125" s="522">
        <f>G48</f>
        <v>687.35333333333335</v>
      </c>
      <c r="H125" s="523"/>
      <c r="I125" s="515">
        <f>I48</f>
        <v>687.34999999999991</v>
      </c>
      <c r="J125" s="593"/>
    </row>
    <row r="126" spans="1:13" x14ac:dyDescent="0.25">
      <c r="A126" s="223" t="s">
        <v>13</v>
      </c>
      <c r="B126" s="7" t="s">
        <v>64</v>
      </c>
      <c r="C126" s="518">
        <f>D105</f>
        <v>1081.4934239267998</v>
      </c>
      <c r="D126" s="519"/>
      <c r="E126" s="518">
        <f>F105</f>
        <v>1081.4934239267998</v>
      </c>
      <c r="F126" s="519"/>
      <c r="G126" s="522">
        <f>H105</f>
        <v>1197.84150804504</v>
      </c>
      <c r="H126" s="523"/>
      <c r="I126" s="515">
        <f>J105</f>
        <v>1276.5379046764801</v>
      </c>
      <c r="J126" s="593"/>
    </row>
    <row r="127" spans="1:13" ht="14.25" customHeight="1" x14ac:dyDescent="0.25">
      <c r="A127" s="578" t="s">
        <v>81</v>
      </c>
      <c r="B127" s="533"/>
      <c r="C127" s="518">
        <f>SUM(C123:D126)</f>
        <v>3799.9742572601335</v>
      </c>
      <c r="D127" s="519"/>
      <c r="E127" s="518">
        <f>SUM(E123:F126)</f>
        <v>3872.552007260133</v>
      </c>
      <c r="F127" s="519"/>
      <c r="G127" s="522">
        <f>SUM(G123:H126)</f>
        <v>4203.4034913783735</v>
      </c>
      <c r="H127" s="523"/>
      <c r="I127" s="515">
        <f>SUM(I123:J126)</f>
        <v>4472.8742046764801</v>
      </c>
      <c r="J127" s="593"/>
    </row>
    <row r="128" spans="1:13" x14ac:dyDescent="0.25">
      <c r="A128" s="223" t="s">
        <v>15</v>
      </c>
      <c r="B128" s="7" t="s">
        <v>82</v>
      </c>
      <c r="C128" s="518">
        <f>D116</f>
        <v>792.61086396823566</v>
      </c>
      <c r="D128" s="519"/>
      <c r="E128" s="518">
        <f>F116</f>
        <v>807.75986353598569</v>
      </c>
      <c r="F128" s="519"/>
      <c r="G128" s="522">
        <f>H116</f>
        <v>876.76995435000913</v>
      </c>
      <c r="H128" s="523"/>
      <c r="I128" s="515">
        <f>J116</f>
        <v>932.96817895624145</v>
      </c>
      <c r="J128" s="593"/>
    </row>
    <row r="129" spans="1:14" ht="18" customHeight="1" thickBot="1" x14ac:dyDescent="0.3">
      <c r="A129" s="574" t="s">
        <v>83</v>
      </c>
      <c r="B129" s="575"/>
      <c r="C129" s="576">
        <f>SUM(C127:C128)</f>
        <v>4592.5851212283687</v>
      </c>
      <c r="D129" s="577"/>
      <c r="E129" s="591">
        <f>SUM(E127:E128)</f>
        <v>4680.3118707961185</v>
      </c>
      <c r="F129" s="592"/>
      <c r="G129" s="572">
        <f>SUM(G127:G128)</f>
        <v>5080.1734457283828</v>
      </c>
      <c r="H129" s="573"/>
      <c r="I129" s="572">
        <f>SUM(I127:I128)</f>
        <v>5405.842383632722</v>
      </c>
      <c r="J129" s="596"/>
    </row>
    <row r="130" spans="1:14" x14ac:dyDescent="0.25">
      <c r="L130" s="4"/>
      <c r="N130" s="4"/>
    </row>
  </sheetData>
  <mergeCells count="76">
    <mergeCell ref="A2:J2"/>
    <mergeCell ref="J45:J46"/>
    <mergeCell ref="A1:J1"/>
    <mergeCell ref="A3:J3"/>
    <mergeCell ref="A4:J4"/>
    <mergeCell ref="A17:J17"/>
    <mergeCell ref="E126:F126"/>
    <mergeCell ref="G126:H126"/>
    <mergeCell ref="G127:H127"/>
    <mergeCell ref="I129:J129"/>
    <mergeCell ref="I9:J9"/>
    <mergeCell ref="A107:J107"/>
    <mergeCell ref="I123:J123"/>
    <mergeCell ref="I124:J124"/>
    <mergeCell ref="I125:J125"/>
    <mergeCell ref="I126:J126"/>
    <mergeCell ref="I127:J127"/>
    <mergeCell ref="I128:J128"/>
    <mergeCell ref="A120:D120"/>
    <mergeCell ref="A122:B122"/>
    <mergeCell ref="C122:D122"/>
    <mergeCell ref="A129:B129"/>
    <mergeCell ref="C129:D129"/>
    <mergeCell ref="C123:D123"/>
    <mergeCell ref="C124:D124"/>
    <mergeCell ref="C125:D125"/>
    <mergeCell ref="C126:D126"/>
    <mergeCell ref="A127:B127"/>
    <mergeCell ref="C127:D127"/>
    <mergeCell ref="C128:D128"/>
    <mergeCell ref="A61:D61"/>
    <mergeCell ref="A62:D62"/>
    <mergeCell ref="A18:J18"/>
    <mergeCell ref="A23:J23"/>
    <mergeCell ref="A83:B83"/>
    <mergeCell ref="A42:B42"/>
    <mergeCell ref="A48:B48"/>
    <mergeCell ref="A50:J50"/>
    <mergeCell ref="A33:J33"/>
    <mergeCell ref="A43:J43"/>
    <mergeCell ref="A49:J49"/>
    <mergeCell ref="A60:B60"/>
    <mergeCell ref="A74:B74"/>
    <mergeCell ref="A75:D75"/>
    <mergeCell ref="B5:C5"/>
    <mergeCell ref="A6:C6"/>
    <mergeCell ref="A8:C8"/>
    <mergeCell ref="A14:C14"/>
    <mergeCell ref="G129:H129"/>
    <mergeCell ref="G128:H128"/>
    <mergeCell ref="G122:H122"/>
    <mergeCell ref="G123:H123"/>
    <mergeCell ref="G124:H124"/>
    <mergeCell ref="E127:F127"/>
    <mergeCell ref="A15:B15"/>
    <mergeCell ref="A16:B16"/>
    <mergeCell ref="A32:B32"/>
    <mergeCell ref="A63:D63"/>
    <mergeCell ref="A69:B69"/>
    <mergeCell ref="A70:D70"/>
    <mergeCell ref="A84:J84"/>
    <mergeCell ref="E128:F128"/>
    <mergeCell ref="E129:F129"/>
    <mergeCell ref="E122:F122"/>
    <mergeCell ref="E123:F123"/>
    <mergeCell ref="E124:F124"/>
    <mergeCell ref="E125:F125"/>
    <mergeCell ref="A117:D117"/>
    <mergeCell ref="A118:D118"/>
    <mergeCell ref="A119:D119"/>
    <mergeCell ref="A94:B94"/>
    <mergeCell ref="G125:H125"/>
    <mergeCell ref="A105:B105"/>
    <mergeCell ref="A96:J96"/>
    <mergeCell ref="A116:C116"/>
    <mergeCell ref="I122:J122"/>
  </mergeCells>
  <printOptions horizontalCentered="1"/>
  <pageMargins left="0.9055118110236221" right="0.78740157480314965" top="0.78740157480314965" bottom="0.98425196850393704" header="0.31496062992125984" footer="0.31496062992125984"/>
  <pageSetup paperSize="9" scale="51" fitToHeight="0" orientation="portrait" horizontalDpi="4294967295" verticalDpi="4294967295" r:id="rId1"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0"/>
  <sheetViews>
    <sheetView view="pageBreakPreview" topLeftCell="A4" zoomScale="80" zoomScaleNormal="100" zoomScaleSheetLayoutView="80" workbookViewId="0">
      <selection activeCell="I45" sqref="I45"/>
    </sheetView>
  </sheetViews>
  <sheetFormatPr defaultRowHeight="15" x14ac:dyDescent="0.25"/>
  <cols>
    <col min="1" max="1" width="12.85546875" style="54" customWidth="1"/>
    <col min="2" max="2" width="59.85546875" style="54" customWidth="1"/>
    <col min="3" max="3" width="20.140625" style="54" hidden="1" customWidth="1"/>
    <col min="4" max="4" width="19.140625" style="54" hidden="1" customWidth="1"/>
    <col min="5" max="5" width="18.5703125" style="323" hidden="1" customWidth="1"/>
    <col min="6" max="6" width="19.140625" style="323" hidden="1" customWidth="1"/>
    <col min="7" max="7" width="18.140625" style="323" customWidth="1"/>
    <col min="8" max="8" width="18.28515625" style="323" customWidth="1"/>
    <col min="9" max="9" width="18.140625" style="477" customWidth="1"/>
    <col min="10" max="10" width="25" style="477" customWidth="1"/>
    <col min="11" max="11" width="17.85546875" customWidth="1"/>
    <col min="13" max="13" width="17.85546875" customWidth="1"/>
    <col min="14" max="14" width="10" bestFit="1" customWidth="1"/>
  </cols>
  <sheetData>
    <row r="1" spans="1:10" ht="19.5" customHeight="1" x14ac:dyDescent="0.25">
      <c r="A1" s="608" t="s">
        <v>337</v>
      </c>
      <c r="B1" s="609"/>
      <c r="C1" s="609"/>
      <c r="D1" s="609"/>
      <c r="E1" s="609"/>
      <c r="F1" s="609"/>
      <c r="G1" s="609"/>
      <c r="H1" s="609"/>
      <c r="I1" s="609"/>
      <c r="J1" s="610"/>
    </row>
    <row r="2" spans="1:10" x14ac:dyDescent="0.25">
      <c r="A2" s="594"/>
      <c r="B2" s="556"/>
      <c r="C2" s="556"/>
      <c r="D2" s="556"/>
      <c r="E2" s="556"/>
      <c r="F2" s="556"/>
      <c r="G2" s="556"/>
      <c r="H2" s="556"/>
      <c r="I2" s="556"/>
      <c r="J2" s="595"/>
    </row>
    <row r="3" spans="1:10" x14ac:dyDescent="0.25">
      <c r="A3" s="636" t="s">
        <v>497</v>
      </c>
      <c r="B3" s="538"/>
      <c r="C3" s="538"/>
      <c r="D3" s="538"/>
      <c r="E3" s="538"/>
      <c r="F3" s="538"/>
      <c r="G3" s="538"/>
      <c r="H3" s="538"/>
      <c r="I3" s="538"/>
      <c r="J3" s="637"/>
    </row>
    <row r="4" spans="1:10" ht="15" customHeight="1" x14ac:dyDescent="0.25">
      <c r="A4" s="638" t="s">
        <v>112</v>
      </c>
      <c r="B4" s="541"/>
      <c r="C4" s="541"/>
      <c r="D4" s="541"/>
      <c r="E4" s="541"/>
      <c r="F4" s="541"/>
      <c r="G4" s="541"/>
      <c r="H4" s="541"/>
      <c r="I4" s="541"/>
      <c r="J4" s="639"/>
    </row>
    <row r="5" spans="1:10" ht="29.25" customHeight="1" x14ac:dyDescent="0.25">
      <c r="A5" s="231" t="s">
        <v>84</v>
      </c>
      <c r="B5" s="533" t="s">
        <v>113</v>
      </c>
      <c r="C5" s="533"/>
      <c r="D5" s="3"/>
      <c r="E5" s="320"/>
      <c r="F5" s="320"/>
      <c r="G5" s="320"/>
      <c r="H5" s="320"/>
      <c r="I5" s="470"/>
      <c r="J5" s="471"/>
    </row>
    <row r="6" spans="1:10" x14ac:dyDescent="0.25">
      <c r="A6" s="590" t="s">
        <v>114</v>
      </c>
      <c r="B6" s="553"/>
      <c r="C6" s="553"/>
      <c r="D6" s="3"/>
      <c r="E6" s="320"/>
      <c r="F6" s="320"/>
      <c r="G6" s="320"/>
      <c r="H6" s="320"/>
      <c r="I6" s="470"/>
      <c r="J6" s="471"/>
    </row>
    <row r="7" spans="1:10" x14ac:dyDescent="0.25">
      <c r="A7" s="387"/>
      <c r="B7" s="384"/>
      <c r="C7" s="384"/>
      <c r="D7" s="3"/>
      <c r="E7" s="320"/>
      <c r="F7" s="320"/>
      <c r="G7" s="390"/>
      <c r="H7" s="320"/>
      <c r="I7" s="472"/>
      <c r="J7" s="471"/>
    </row>
    <row r="8" spans="1:10" x14ac:dyDescent="0.25">
      <c r="A8" s="618" t="s">
        <v>85</v>
      </c>
      <c r="B8" s="554"/>
      <c r="C8" s="554"/>
      <c r="D8" s="3"/>
      <c r="E8" s="320"/>
      <c r="F8" s="320"/>
      <c r="G8" s="320"/>
      <c r="H8" s="320"/>
      <c r="I8" s="470"/>
      <c r="J8" s="471"/>
    </row>
    <row r="9" spans="1:10" x14ac:dyDescent="0.25">
      <c r="A9" s="221" t="s">
        <v>7</v>
      </c>
      <c r="B9" s="7" t="s">
        <v>115</v>
      </c>
      <c r="C9" s="232">
        <v>42227</v>
      </c>
      <c r="D9" s="48"/>
      <c r="E9" s="240">
        <v>42283</v>
      </c>
      <c r="F9" s="445"/>
      <c r="G9" s="344">
        <v>42423</v>
      </c>
      <c r="H9" s="345"/>
      <c r="I9" s="597">
        <v>42815</v>
      </c>
      <c r="J9" s="598"/>
    </row>
    <row r="10" spans="1:10" x14ac:dyDescent="0.25">
      <c r="A10" s="221" t="s">
        <v>9</v>
      </c>
      <c r="B10" s="7" t="s">
        <v>86</v>
      </c>
      <c r="C10" s="2" t="s">
        <v>87</v>
      </c>
      <c r="D10" s="48"/>
      <c r="E10" s="312" t="s">
        <v>87</v>
      </c>
      <c r="F10" s="445"/>
      <c r="G10" s="333" t="s">
        <v>87</v>
      </c>
      <c r="H10" s="345"/>
      <c r="I10" s="364" t="s">
        <v>87</v>
      </c>
      <c r="J10" s="466"/>
    </row>
    <row r="11" spans="1:10" ht="30" x14ac:dyDescent="0.25">
      <c r="A11" s="221" t="s">
        <v>11</v>
      </c>
      <c r="B11" s="237" t="s">
        <v>116</v>
      </c>
      <c r="C11" s="239" t="s">
        <v>117</v>
      </c>
      <c r="D11" s="3"/>
      <c r="E11" s="238" t="s">
        <v>498</v>
      </c>
      <c r="F11" s="320"/>
      <c r="G11" s="334" t="s">
        <v>538</v>
      </c>
      <c r="H11" s="345"/>
      <c r="I11" s="367" t="s">
        <v>538</v>
      </c>
      <c r="J11" s="466"/>
    </row>
    <row r="12" spans="1:10" x14ac:dyDescent="0.25">
      <c r="A12" s="221" t="s">
        <v>13</v>
      </c>
      <c r="B12" s="7" t="s">
        <v>88</v>
      </c>
      <c r="C12" s="2" t="s">
        <v>89</v>
      </c>
      <c r="D12" s="3"/>
      <c r="E12" s="312" t="s">
        <v>89</v>
      </c>
      <c r="F12" s="320"/>
      <c r="G12" s="333" t="s">
        <v>89</v>
      </c>
      <c r="H12" s="345"/>
      <c r="I12" s="364" t="s">
        <v>89</v>
      </c>
      <c r="J12" s="466"/>
    </row>
    <row r="13" spans="1:10" x14ac:dyDescent="0.25">
      <c r="A13" s="387"/>
      <c r="B13" s="384"/>
      <c r="C13" s="384"/>
      <c r="D13" s="3"/>
      <c r="E13" s="320"/>
      <c r="F13" s="320"/>
      <c r="G13" s="394"/>
      <c r="H13" s="345"/>
      <c r="I13" s="395"/>
      <c r="J13" s="466"/>
    </row>
    <row r="14" spans="1:10" x14ac:dyDescent="0.25">
      <c r="A14" s="580" t="s">
        <v>90</v>
      </c>
      <c r="B14" s="528"/>
      <c r="C14" s="528"/>
      <c r="D14" s="3"/>
      <c r="E14" s="320"/>
      <c r="F14" s="320"/>
      <c r="G14" s="345"/>
      <c r="H14" s="345"/>
      <c r="I14" s="473"/>
      <c r="J14" s="466"/>
    </row>
    <row r="15" spans="1:10" ht="57" x14ac:dyDescent="0.25">
      <c r="A15" s="578" t="s">
        <v>91</v>
      </c>
      <c r="B15" s="533"/>
      <c r="C15" s="5" t="s">
        <v>92</v>
      </c>
      <c r="D15" s="5" t="s">
        <v>93</v>
      </c>
      <c r="E15" s="239" t="s">
        <v>92</v>
      </c>
      <c r="F15" s="239" t="s">
        <v>93</v>
      </c>
      <c r="G15" s="334" t="s">
        <v>92</v>
      </c>
      <c r="H15" s="334" t="s">
        <v>93</v>
      </c>
      <c r="I15" s="367" t="s">
        <v>92</v>
      </c>
      <c r="J15" s="368" t="s">
        <v>93</v>
      </c>
    </row>
    <row r="16" spans="1:10" ht="18.75" customHeight="1" x14ac:dyDescent="0.25">
      <c r="A16" s="584" t="s">
        <v>209</v>
      </c>
      <c r="B16" s="535"/>
      <c r="C16" s="2" t="s">
        <v>204</v>
      </c>
      <c r="D16" s="2" t="s">
        <v>205</v>
      </c>
      <c r="E16" s="312" t="s">
        <v>204</v>
      </c>
      <c r="F16" s="312" t="s">
        <v>205</v>
      </c>
      <c r="G16" s="333" t="s">
        <v>204</v>
      </c>
      <c r="H16" s="333" t="s">
        <v>205</v>
      </c>
      <c r="I16" s="364" t="s">
        <v>204</v>
      </c>
      <c r="J16" s="369" t="s">
        <v>205</v>
      </c>
    </row>
    <row r="17" spans="1:10" x14ac:dyDescent="0.25">
      <c r="A17" s="234"/>
      <c r="B17" s="3"/>
      <c r="C17" s="3"/>
      <c r="D17" s="3"/>
      <c r="E17" s="320"/>
      <c r="F17" s="320"/>
      <c r="G17" s="345"/>
      <c r="H17" s="345"/>
      <c r="I17" s="473"/>
      <c r="J17" s="466"/>
    </row>
    <row r="18" spans="1:10" ht="19.5" customHeight="1" x14ac:dyDescent="0.25">
      <c r="A18" s="619" t="s">
        <v>0</v>
      </c>
      <c r="B18" s="567"/>
      <c r="C18" s="567"/>
      <c r="D18" s="567"/>
      <c r="E18" s="567"/>
      <c r="F18" s="567"/>
      <c r="G18" s="567"/>
      <c r="H18" s="567"/>
      <c r="I18" s="567"/>
      <c r="J18" s="620"/>
    </row>
    <row r="19" spans="1:10" ht="30" x14ac:dyDescent="0.25">
      <c r="A19" s="223">
        <v>1</v>
      </c>
      <c r="B19" s="224" t="s">
        <v>1</v>
      </c>
      <c r="C19" s="2" t="str">
        <f>A16</f>
        <v>LAVADOR DE AUTO</v>
      </c>
      <c r="D19" s="3"/>
      <c r="E19" s="326" t="s">
        <v>209</v>
      </c>
      <c r="F19" s="320"/>
      <c r="G19" s="346" t="str">
        <f>C19</f>
        <v>LAVADOR DE AUTO</v>
      </c>
      <c r="H19" s="345"/>
      <c r="I19" s="474" t="str">
        <f>E19</f>
        <v>LAVADOR DE AUTO</v>
      </c>
      <c r="J19" s="466"/>
    </row>
    <row r="20" spans="1:10" x14ac:dyDescent="0.25">
      <c r="A20" s="223">
        <v>2</v>
      </c>
      <c r="B20" s="224" t="s">
        <v>2</v>
      </c>
      <c r="C20" s="222">
        <v>952.22</v>
      </c>
      <c r="D20" s="3"/>
      <c r="E20" s="321">
        <v>952.22</v>
      </c>
      <c r="F20" s="320"/>
      <c r="G20" s="335">
        <v>1052.2</v>
      </c>
      <c r="H20" s="345"/>
      <c r="I20" s="365">
        <v>1121.33</v>
      </c>
      <c r="J20" s="466"/>
    </row>
    <row r="21" spans="1:10" ht="30" x14ac:dyDescent="0.25">
      <c r="A21" s="223">
        <v>3</v>
      </c>
      <c r="B21" s="224" t="s">
        <v>118</v>
      </c>
      <c r="C21" s="2" t="str">
        <f>A16</f>
        <v>LAVADOR DE AUTO</v>
      </c>
      <c r="D21" s="3"/>
      <c r="E21" s="326" t="s">
        <v>209</v>
      </c>
      <c r="F21" s="320"/>
      <c r="G21" s="346" t="str">
        <f>C19</f>
        <v>LAVADOR DE AUTO</v>
      </c>
      <c r="H21" s="345"/>
      <c r="I21" s="474" t="str">
        <f>E19</f>
        <v>LAVADOR DE AUTO</v>
      </c>
      <c r="J21" s="466"/>
    </row>
    <row r="22" spans="1:10" x14ac:dyDescent="0.25">
      <c r="A22" s="223">
        <v>4</v>
      </c>
      <c r="B22" s="224" t="s">
        <v>3</v>
      </c>
      <c r="C22" s="232">
        <v>42005</v>
      </c>
      <c r="D22" s="3"/>
      <c r="E22" s="320"/>
      <c r="F22" s="320"/>
      <c r="G22" s="332"/>
      <c r="H22" s="345"/>
      <c r="I22" s="366"/>
      <c r="J22" s="466"/>
    </row>
    <row r="23" spans="1:10" ht="18.75" x14ac:dyDescent="0.25">
      <c r="A23" s="631" t="s">
        <v>4</v>
      </c>
      <c r="B23" s="632"/>
      <c r="C23" s="632"/>
      <c r="D23" s="3"/>
      <c r="E23" s="320"/>
      <c r="F23" s="320"/>
      <c r="G23" s="345"/>
      <c r="H23" s="345"/>
      <c r="I23" s="473"/>
      <c r="J23" s="466"/>
    </row>
    <row r="24" spans="1:10" x14ac:dyDescent="0.25">
      <c r="A24" s="451">
        <v>1</v>
      </c>
      <c r="B24" s="426" t="s">
        <v>5</v>
      </c>
      <c r="C24" s="426" t="s">
        <v>6</v>
      </c>
      <c r="D24" s="355"/>
      <c r="E24" s="438" t="s">
        <v>6</v>
      </c>
      <c r="F24" s="478"/>
      <c r="G24" s="427" t="s">
        <v>6</v>
      </c>
      <c r="H24" s="479"/>
      <c r="I24" s="427" t="s">
        <v>6</v>
      </c>
      <c r="J24" s="480"/>
    </row>
    <row r="25" spans="1:10" x14ac:dyDescent="0.25">
      <c r="A25" s="221" t="s">
        <v>7</v>
      </c>
      <c r="B25" s="7" t="s">
        <v>8</v>
      </c>
      <c r="C25" s="8">
        <f>C20</f>
        <v>952.22</v>
      </c>
      <c r="D25" s="3"/>
      <c r="E25" s="322">
        <f>E20</f>
        <v>952.22</v>
      </c>
      <c r="F25" s="320"/>
      <c r="G25" s="327">
        <f>G20</f>
        <v>1052.2</v>
      </c>
      <c r="H25" s="345"/>
      <c r="I25" s="362">
        <f>I20</f>
        <v>1121.33</v>
      </c>
      <c r="J25" s="466"/>
    </row>
    <row r="26" spans="1:10" x14ac:dyDescent="0.25">
      <c r="A26" s="221" t="s">
        <v>9</v>
      </c>
      <c r="B26" s="7" t="s">
        <v>10</v>
      </c>
      <c r="C26" s="8"/>
      <c r="D26" s="3"/>
      <c r="E26" s="322"/>
      <c r="F26" s="320"/>
      <c r="G26" s="327"/>
      <c r="H26" s="345"/>
      <c r="I26" s="362"/>
      <c r="J26" s="466"/>
    </row>
    <row r="27" spans="1:10" x14ac:dyDescent="0.25">
      <c r="A27" s="221" t="s">
        <v>11</v>
      </c>
      <c r="B27" s="7" t="s">
        <v>12</v>
      </c>
      <c r="C27" s="8"/>
      <c r="D27" s="3"/>
      <c r="E27" s="322"/>
      <c r="F27" s="320"/>
      <c r="G27" s="327"/>
      <c r="H27" s="345"/>
      <c r="I27" s="362"/>
      <c r="J27" s="466"/>
    </row>
    <row r="28" spans="1:10" x14ac:dyDescent="0.25">
      <c r="A28" s="221" t="s">
        <v>13</v>
      </c>
      <c r="B28" s="7" t="s">
        <v>14</v>
      </c>
      <c r="C28" s="8"/>
      <c r="D28" s="3"/>
      <c r="E28" s="322"/>
      <c r="F28" s="320"/>
      <c r="G28" s="327"/>
      <c r="H28" s="345"/>
      <c r="I28" s="362"/>
      <c r="J28" s="466"/>
    </row>
    <row r="29" spans="1:10" x14ac:dyDescent="0.25">
      <c r="A29" s="221" t="s">
        <v>15</v>
      </c>
      <c r="B29" s="7" t="s">
        <v>16</v>
      </c>
      <c r="C29" s="8"/>
      <c r="D29" s="3"/>
      <c r="E29" s="322"/>
      <c r="F29" s="320"/>
      <c r="G29" s="327"/>
      <c r="H29" s="345"/>
      <c r="I29" s="362"/>
      <c r="J29" s="466"/>
    </row>
    <row r="30" spans="1:10" x14ac:dyDescent="0.25">
      <c r="A30" s="221" t="s">
        <v>17</v>
      </c>
      <c r="B30" s="7" t="s">
        <v>18</v>
      </c>
      <c r="C30" s="8"/>
      <c r="D30" s="3"/>
      <c r="E30" s="322"/>
      <c r="F30" s="320"/>
      <c r="G30" s="327"/>
      <c r="H30" s="345"/>
      <c r="I30" s="362"/>
      <c r="J30" s="466"/>
    </row>
    <row r="31" spans="1:10" x14ac:dyDescent="0.25">
      <c r="A31" s="221" t="s">
        <v>19</v>
      </c>
      <c r="B31" s="7" t="s">
        <v>21</v>
      </c>
      <c r="C31" s="8"/>
      <c r="D31" s="3"/>
      <c r="E31" s="322"/>
      <c r="F31" s="320"/>
      <c r="G31" s="327"/>
      <c r="H31" s="345"/>
      <c r="I31" s="362"/>
      <c r="J31" s="466"/>
    </row>
    <row r="32" spans="1:10" ht="15" customHeight="1" x14ac:dyDescent="0.25">
      <c r="A32" s="581" t="s">
        <v>22</v>
      </c>
      <c r="B32" s="526"/>
      <c r="C32" s="428">
        <f>SUM(C25:C31)</f>
        <v>952.22</v>
      </c>
      <c r="D32" s="355"/>
      <c r="E32" s="428">
        <f>SUM(E25:E31)</f>
        <v>952.22</v>
      </c>
      <c r="F32" s="478"/>
      <c r="G32" s="429">
        <f>SUM(G25:G31)</f>
        <v>1052.2</v>
      </c>
      <c r="H32" s="479"/>
      <c r="I32" s="429">
        <f>SUM(I25:I31)</f>
        <v>1121.33</v>
      </c>
      <c r="J32" s="480"/>
    </row>
    <row r="33" spans="1:14" ht="18.75" x14ac:dyDescent="0.25">
      <c r="A33" s="631" t="s">
        <v>23</v>
      </c>
      <c r="B33" s="632"/>
      <c r="C33" s="632"/>
      <c r="D33" s="3"/>
      <c r="E33" s="320"/>
      <c r="F33" s="320"/>
      <c r="G33" s="345"/>
      <c r="H33" s="345"/>
      <c r="I33" s="473"/>
      <c r="J33" s="466"/>
    </row>
    <row r="34" spans="1:14" x14ac:dyDescent="0.25">
      <c r="A34" s="451">
        <v>2</v>
      </c>
      <c r="B34" s="426" t="s">
        <v>24</v>
      </c>
      <c r="C34" s="426" t="s">
        <v>6</v>
      </c>
      <c r="D34" s="355"/>
      <c r="E34" s="438" t="s">
        <v>6</v>
      </c>
      <c r="F34" s="478"/>
      <c r="G34" s="427" t="s">
        <v>6</v>
      </c>
      <c r="H34" s="479"/>
      <c r="I34" s="427" t="s">
        <v>6</v>
      </c>
      <c r="J34" s="480"/>
    </row>
    <row r="35" spans="1:14" ht="15.75" customHeight="1" x14ac:dyDescent="0.25">
      <c r="A35" s="221" t="s">
        <v>7</v>
      </c>
      <c r="B35" s="509" t="s">
        <v>564</v>
      </c>
      <c r="C35" s="53">
        <f>K35-L35</f>
        <v>129.49529999999999</v>
      </c>
      <c r="D35" s="3"/>
      <c r="E35" s="53">
        <f>M35-N35</f>
        <v>202.07305000000002</v>
      </c>
      <c r="F35" s="446"/>
      <c r="G35" s="337">
        <f>(20.7365*12.5)-G25*6%</f>
        <v>196.07425000000001</v>
      </c>
      <c r="H35" s="345"/>
      <c r="I35" s="363">
        <f>(20.7365*15)-I25*6%</f>
        <v>243.76770000000002</v>
      </c>
      <c r="J35" s="466"/>
      <c r="K35" s="174">
        <f>9*20.7365</f>
        <v>186.6285</v>
      </c>
      <c r="L35">
        <f>C20*6%</f>
        <v>57.133200000000002</v>
      </c>
      <c r="M35" s="174">
        <f>12.5*20.7365</f>
        <v>259.20625000000001</v>
      </c>
      <c r="N35" s="4">
        <f>E20*6%</f>
        <v>57.133200000000002</v>
      </c>
    </row>
    <row r="36" spans="1:14" x14ac:dyDescent="0.25">
      <c r="A36" s="221" t="s">
        <v>9</v>
      </c>
      <c r="B36" s="509" t="s">
        <v>565</v>
      </c>
      <c r="C36" s="8">
        <f>24*21.5</f>
        <v>516</v>
      </c>
      <c r="D36" s="3"/>
      <c r="E36" s="322">
        <f>24*21.5</f>
        <v>516</v>
      </c>
      <c r="F36" s="320"/>
      <c r="G36" s="338">
        <f>27.5*21.5</f>
        <v>591.25</v>
      </c>
      <c r="H36" s="345"/>
      <c r="I36" s="362">
        <f>29.5*21.5</f>
        <v>634.25</v>
      </c>
      <c r="J36" s="466"/>
      <c r="K36" t="s">
        <v>462</v>
      </c>
      <c r="M36" t="s">
        <v>462</v>
      </c>
      <c r="N36" s="4">
        <f>G20*6%</f>
        <v>63.131999999999998</v>
      </c>
    </row>
    <row r="37" spans="1:14" x14ac:dyDescent="0.25">
      <c r="A37" s="221" t="s">
        <v>11</v>
      </c>
      <c r="B37" s="340" t="s">
        <v>25</v>
      </c>
      <c r="C37" s="8">
        <v>0</v>
      </c>
      <c r="D37" s="3"/>
      <c r="E37" s="322">
        <v>0</v>
      </c>
      <c r="F37" s="320"/>
      <c r="G37" s="337"/>
      <c r="H37" s="345"/>
      <c r="I37" s="363"/>
      <c r="J37" s="466"/>
    </row>
    <row r="38" spans="1:14" x14ac:dyDescent="0.25">
      <c r="A38" s="221" t="s">
        <v>13</v>
      </c>
      <c r="B38" s="340" t="s">
        <v>94</v>
      </c>
      <c r="C38" s="8"/>
      <c r="D38" s="3"/>
      <c r="E38" s="322"/>
      <c r="F38" s="320"/>
      <c r="G38" s="338"/>
      <c r="H38" s="345"/>
      <c r="I38" s="362"/>
      <c r="J38" s="466"/>
    </row>
    <row r="39" spans="1:14" x14ac:dyDescent="0.25">
      <c r="A39" s="221" t="s">
        <v>15</v>
      </c>
      <c r="B39" s="340" t="s">
        <v>119</v>
      </c>
      <c r="C39" s="8">
        <v>2.5</v>
      </c>
      <c r="D39" s="3"/>
      <c r="E39" s="322">
        <v>2.5</v>
      </c>
      <c r="F39" s="320"/>
      <c r="G39" s="338">
        <v>2.5</v>
      </c>
      <c r="H39" s="345"/>
      <c r="I39" s="362">
        <v>2.5</v>
      </c>
      <c r="J39" s="466"/>
    </row>
    <row r="40" spans="1:14" x14ac:dyDescent="0.25">
      <c r="A40" s="221" t="s">
        <v>17</v>
      </c>
      <c r="B40" s="340" t="s">
        <v>120</v>
      </c>
      <c r="C40" s="8">
        <f>C32*C88</f>
        <v>0.190444</v>
      </c>
      <c r="D40" s="3"/>
      <c r="E40" s="322">
        <f>E32*E88</f>
        <v>0.190444</v>
      </c>
      <c r="F40" s="320"/>
      <c r="G40" s="338"/>
      <c r="H40" s="345"/>
      <c r="I40" s="362"/>
      <c r="J40" s="466"/>
    </row>
    <row r="41" spans="1:14" x14ac:dyDescent="0.25">
      <c r="A41" s="221" t="s">
        <v>19</v>
      </c>
      <c r="B41" s="340" t="s">
        <v>121</v>
      </c>
      <c r="C41" s="8">
        <v>4.5</v>
      </c>
      <c r="D41" s="3"/>
      <c r="E41" s="322">
        <v>4.5</v>
      </c>
      <c r="F41" s="320"/>
      <c r="G41" s="338">
        <v>5</v>
      </c>
      <c r="H41" s="345"/>
      <c r="I41" s="362">
        <v>5</v>
      </c>
      <c r="J41" s="466"/>
    </row>
    <row r="42" spans="1:14" x14ac:dyDescent="0.25">
      <c r="A42" s="581" t="s">
        <v>26</v>
      </c>
      <c r="B42" s="526"/>
      <c r="C42" s="428">
        <f>SUM(C35:C41)</f>
        <v>652.685744</v>
      </c>
      <c r="D42" s="355"/>
      <c r="E42" s="428">
        <f>SUM(E35:E41)</f>
        <v>725.26349399999992</v>
      </c>
      <c r="F42" s="478"/>
      <c r="G42" s="429">
        <f>SUM(G35:G41)</f>
        <v>794.82425000000001</v>
      </c>
      <c r="H42" s="479"/>
      <c r="I42" s="429">
        <f>SUM(I35:I41)</f>
        <v>885.51769999999999</v>
      </c>
      <c r="J42" s="480"/>
    </row>
    <row r="43" spans="1:14" ht="15.75" customHeight="1" x14ac:dyDescent="0.25">
      <c r="A43" s="641" t="s">
        <v>122</v>
      </c>
      <c r="B43" s="642"/>
      <c r="C43" s="642"/>
      <c r="D43" s="3"/>
      <c r="E43" s="320"/>
      <c r="F43" s="320"/>
      <c r="G43" s="345"/>
      <c r="H43" s="345"/>
      <c r="I43" s="473"/>
      <c r="J43" s="466"/>
    </row>
    <row r="44" spans="1:14" x14ac:dyDescent="0.25">
      <c r="A44" s="451">
        <v>3</v>
      </c>
      <c r="B44" s="426" t="s">
        <v>27</v>
      </c>
      <c r="C44" s="426" t="s">
        <v>6</v>
      </c>
      <c r="D44" s="355"/>
      <c r="E44" s="438" t="s">
        <v>6</v>
      </c>
      <c r="F44" s="478"/>
      <c r="G44" s="427" t="s">
        <v>6</v>
      </c>
      <c r="H44" s="479"/>
      <c r="I44" s="427" t="s">
        <v>6</v>
      </c>
      <c r="J44" s="480"/>
    </row>
    <row r="45" spans="1:14" x14ac:dyDescent="0.25">
      <c r="A45" s="221" t="s">
        <v>7</v>
      </c>
      <c r="B45" s="7" t="s">
        <v>28</v>
      </c>
      <c r="C45" s="8">
        <f>UNIFORMES!H32</f>
        <v>39.984999999999999</v>
      </c>
      <c r="D45" s="3"/>
      <c r="E45" s="322">
        <f>UNIFORMES!H32</f>
        <v>39.984999999999999</v>
      </c>
      <c r="F45" s="320"/>
      <c r="G45" s="327">
        <f>UNIFORMES!H32</f>
        <v>39.984999999999999</v>
      </c>
      <c r="H45" s="345"/>
      <c r="I45" s="362">
        <v>39.99</v>
      </c>
      <c r="J45" s="611" t="s">
        <v>553</v>
      </c>
    </row>
    <row r="46" spans="1:14" x14ac:dyDescent="0.25">
      <c r="A46" s="221" t="s">
        <v>9</v>
      </c>
      <c r="B46" s="7" t="s">
        <v>123</v>
      </c>
      <c r="C46" s="8">
        <v>0</v>
      </c>
      <c r="D46" s="64"/>
      <c r="E46" s="322"/>
      <c r="F46" s="319"/>
      <c r="G46" s="327">
        <f>C46</f>
        <v>0</v>
      </c>
      <c r="H46" s="443"/>
      <c r="I46" s="362">
        <f>E46</f>
        <v>0</v>
      </c>
      <c r="J46" s="612"/>
      <c r="K46" s="4"/>
      <c r="M46" s="4"/>
    </row>
    <row r="47" spans="1:14" ht="30" x14ac:dyDescent="0.25">
      <c r="A47" s="221" t="s">
        <v>11</v>
      </c>
      <c r="B47" s="153" t="s">
        <v>506</v>
      </c>
      <c r="C47" s="233">
        <v>3</v>
      </c>
      <c r="D47" s="3"/>
      <c r="E47" s="322">
        <f>C47</f>
        <v>3</v>
      </c>
      <c r="F47" s="320"/>
      <c r="G47" s="327">
        <f>E47</f>
        <v>3</v>
      </c>
      <c r="H47" s="345"/>
      <c r="I47" s="362">
        <f>G47</f>
        <v>3</v>
      </c>
      <c r="J47" s="466"/>
      <c r="K47" s="57" t="s">
        <v>316</v>
      </c>
      <c r="M47" s="57" t="s">
        <v>316</v>
      </c>
    </row>
    <row r="48" spans="1:14" x14ac:dyDescent="0.25">
      <c r="A48" s="581" t="s">
        <v>29</v>
      </c>
      <c r="B48" s="526"/>
      <c r="C48" s="428">
        <f>SUM(C45:C47)</f>
        <v>42.984999999999999</v>
      </c>
      <c r="D48" s="355"/>
      <c r="E48" s="428">
        <f>SUM(E45:E47)</f>
        <v>42.984999999999999</v>
      </c>
      <c r="F48" s="478"/>
      <c r="G48" s="429">
        <f>SUM(G45:G47)</f>
        <v>42.984999999999999</v>
      </c>
      <c r="H48" s="479"/>
      <c r="I48" s="429">
        <f>SUM(I45:I47)</f>
        <v>42.99</v>
      </c>
      <c r="J48" s="480"/>
    </row>
    <row r="49" spans="1:10" ht="18.75" x14ac:dyDescent="0.25">
      <c r="A49" s="563" t="s">
        <v>30</v>
      </c>
      <c r="B49" s="564"/>
      <c r="C49" s="564"/>
      <c r="D49" s="564"/>
      <c r="E49" s="564"/>
      <c r="F49" s="564"/>
      <c r="G49" s="564"/>
      <c r="H49" s="564"/>
      <c r="I49" s="564"/>
      <c r="J49" s="565"/>
    </row>
    <row r="50" spans="1:10" ht="18.75" x14ac:dyDescent="0.25">
      <c r="A50" s="588" t="s">
        <v>95</v>
      </c>
      <c r="B50" s="570"/>
      <c r="C50" s="570"/>
      <c r="D50" s="570"/>
      <c r="E50" s="570"/>
      <c r="F50" s="570"/>
      <c r="G50" s="570"/>
      <c r="H50" s="570"/>
      <c r="I50" s="570"/>
      <c r="J50" s="589"/>
    </row>
    <row r="51" spans="1:10" x14ac:dyDescent="0.25">
      <c r="A51" s="451" t="s">
        <v>31</v>
      </c>
      <c r="B51" s="426" t="s">
        <v>32</v>
      </c>
      <c r="C51" s="426" t="s">
        <v>33</v>
      </c>
      <c r="D51" s="426" t="s">
        <v>6</v>
      </c>
      <c r="E51" s="438" t="s">
        <v>33</v>
      </c>
      <c r="F51" s="438" t="s">
        <v>6</v>
      </c>
      <c r="G51" s="427" t="s">
        <v>33</v>
      </c>
      <c r="H51" s="427" t="s">
        <v>6</v>
      </c>
      <c r="I51" s="427" t="s">
        <v>33</v>
      </c>
      <c r="J51" s="452" t="s">
        <v>6</v>
      </c>
    </row>
    <row r="52" spans="1:10" x14ac:dyDescent="0.25">
      <c r="A52" s="223" t="s">
        <v>7</v>
      </c>
      <c r="B52" s="7" t="s">
        <v>34</v>
      </c>
      <c r="C52" s="9">
        <v>0.2</v>
      </c>
      <c r="D52" s="8">
        <f t="shared" ref="D52:D59" si="0">C52*$C$32</f>
        <v>190.44400000000002</v>
      </c>
      <c r="E52" s="324">
        <v>0.2</v>
      </c>
      <c r="F52" s="322">
        <f t="shared" ref="F52:F59" si="1">E52*$E$32</f>
        <v>190.44400000000002</v>
      </c>
      <c r="G52" s="313">
        <v>0.2</v>
      </c>
      <c r="H52" s="327">
        <f t="shared" ref="H52:H59" si="2">G52*$G$32</f>
        <v>210.44000000000003</v>
      </c>
      <c r="I52" s="372">
        <v>0.2</v>
      </c>
      <c r="J52" s="375">
        <f>I52*$I$32</f>
        <v>224.26599999999999</v>
      </c>
    </row>
    <row r="53" spans="1:10" x14ac:dyDescent="0.25">
      <c r="A53" s="223" t="s">
        <v>9</v>
      </c>
      <c r="B53" s="7" t="s">
        <v>35</v>
      </c>
      <c r="C53" s="9">
        <v>1.4999999999999999E-2</v>
      </c>
      <c r="D53" s="8">
        <f t="shared" si="0"/>
        <v>14.283300000000001</v>
      </c>
      <c r="E53" s="324">
        <v>1.4999999999999999E-2</v>
      </c>
      <c r="F53" s="322">
        <f t="shared" si="1"/>
        <v>14.283300000000001</v>
      </c>
      <c r="G53" s="313">
        <v>1.4999999999999999E-2</v>
      </c>
      <c r="H53" s="327">
        <f t="shared" si="2"/>
        <v>15.782999999999999</v>
      </c>
      <c r="I53" s="372">
        <v>1.4999999999999999E-2</v>
      </c>
      <c r="J53" s="375">
        <f t="shared" ref="J53:J59" si="3">I53*$I$32</f>
        <v>16.819949999999999</v>
      </c>
    </row>
    <row r="54" spans="1:10" x14ac:dyDescent="0.25">
      <c r="A54" s="223" t="s">
        <v>11</v>
      </c>
      <c r="B54" s="7" t="s">
        <v>36</v>
      </c>
      <c r="C54" s="9">
        <v>0.01</v>
      </c>
      <c r="D54" s="8">
        <f t="shared" si="0"/>
        <v>9.5221999999999998</v>
      </c>
      <c r="E54" s="324">
        <v>0.01</v>
      </c>
      <c r="F54" s="322">
        <f t="shared" si="1"/>
        <v>9.5221999999999998</v>
      </c>
      <c r="G54" s="313">
        <v>0.01</v>
      </c>
      <c r="H54" s="327">
        <f t="shared" si="2"/>
        <v>10.522</v>
      </c>
      <c r="I54" s="372">
        <v>0.01</v>
      </c>
      <c r="J54" s="375">
        <f t="shared" si="3"/>
        <v>11.2133</v>
      </c>
    </row>
    <row r="55" spans="1:10" x14ac:dyDescent="0.25">
      <c r="A55" s="223" t="s">
        <v>13</v>
      </c>
      <c r="B55" s="7" t="s">
        <v>37</v>
      </c>
      <c r="C55" s="9">
        <v>2E-3</v>
      </c>
      <c r="D55" s="8">
        <f t="shared" si="0"/>
        <v>1.9044400000000001</v>
      </c>
      <c r="E55" s="324">
        <v>2E-3</v>
      </c>
      <c r="F55" s="322">
        <f t="shared" si="1"/>
        <v>1.9044400000000001</v>
      </c>
      <c r="G55" s="313">
        <v>2E-3</v>
      </c>
      <c r="H55" s="327">
        <f t="shared" si="2"/>
        <v>2.1044</v>
      </c>
      <c r="I55" s="372">
        <v>2E-3</v>
      </c>
      <c r="J55" s="375">
        <f t="shared" si="3"/>
        <v>2.2426599999999999</v>
      </c>
    </row>
    <row r="56" spans="1:10" x14ac:dyDescent="0.25">
      <c r="A56" s="223" t="s">
        <v>15</v>
      </c>
      <c r="B56" s="6" t="s">
        <v>38</v>
      </c>
      <c r="C56" s="9">
        <v>2.5000000000000001E-2</v>
      </c>
      <c r="D56" s="8">
        <f t="shared" si="0"/>
        <v>23.805500000000002</v>
      </c>
      <c r="E56" s="324">
        <v>2.5000000000000001E-2</v>
      </c>
      <c r="F56" s="322">
        <f t="shared" si="1"/>
        <v>23.805500000000002</v>
      </c>
      <c r="G56" s="313">
        <v>2.5000000000000001E-2</v>
      </c>
      <c r="H56" s="327">
        <f t="shared" si="2"/>
        <v>26.305000000000003</v>
      </c>
      <c r="I56" s="372">
        <v>2.5000000000000001E-2</v>
      </c>
      <c r="J56" s="375">
        <f t="shared" si="3"/>
        <v>28.033249999999999</v>
      </c>
    </row>
    <row r="57" spans="1:10" x14ac:dyDescent="0.25">
      <c r="A57" s="223" t="s">
        <v>17</v>
      </c>
      <c r="B57" s="7" t="s">
        <v>39</v>
      </c>
      <c r="C57" s="9">
        <v>0.08</v>
      </c>
      <c r="D57" s="8">
        <f t="shared" si="0"/>
        <v>76.177599999999998</v>
      </c>
      <c r="E57" s="324">
        <v>0.08</v>
      </c>
      <c r="F57" s="322">
        <f t="shared" si="1"/>
        <v>76.177599999999998</v>
      </c>
      <c r="G57" s="313">
        <v>0.08</v>
      </c>
      <c r="H57" s="327">
        <f t="shared" si="2"/>
        <v>84.176000000000002</v>
      </c>
      <c r="I57" s="372">
        <v>0.08</v>
      </c>
      <c r="J57" s="375">
        <f t="shared" si="3"/>
        <v>89.706400000000002</v>
      </c>
    </row>
    <row r="58" spans="1:10" x14ac:dyDescent="0.25">
      <c r="A58" s="223" t="s">
        <v>19</v>
      </c>
      <c r="B58" s="7" t="s">
        <v>124</v>
      </c>
      <c r="C58" s="9">
        <v>1.52E-2</v>
      </c>
      <c r="D58" s="8">
        <f t="shared" si="0"/>
        <v>14.473744</v>
      </c>
      <c r="E58" s="324">
        <v>1.52E-2</v>
      </c>
      <c r="F58" s="322">
        <f t="shared" si="1"/>
        <v>14.473744</v>
      </c>
      <c r="G58" s="313">
        <v>1.66E-2</v>
      </c>
      <c r="H58" s="327">
        <f t="shared" si="2"/>
        <v>17.466520000000003</v>
      </c>
      <c r="I58" s="372">
        <v>1.66E-2</v>
      </c>
      <c r="J58" s="375">
        <f t="shared" si="3"/>
        <v>18.614077999999999</v>
      </c>
    </row>
    <row r="59" spans="1:10" x14ac:dyDescent="0.25">
      <c r="A59" s="223" t="s">
        <v>20</v>
      </c>
      <c r="B59" s="7" t="s">
        <v>40</v>
      </c>
      <c r="C59" s="9">
        <v>6.0000000000000001E-3</v>
      </c>
      <c r="D59" s="8">
        <f t="shared" si="0"/>
        <v>5.7133200000000004</v>
      </c>
      <c r="E59" s="324">
        <v>6.0000000000000001E-3</v>
      </c>
      <c r="F59" s="322">
        <f t="shared" si="1"/>
        <v>5.7133200000000004</v>
      </c>
      <c r="G59" s="313">
        <v>6.0000000000000001E-3</v>
      </c>
      <c r="H59" s="327">
        <f t="shared" si="2"/>
        <v>6.3132000000000001</v>
      </c>
      <c r="I59" s="372">
        <v>6.0000000000000001E-3</v>
      </c>
      <c r="J59" s="375">
        <f t="shared" si="3"/>
        <v>6.7279799999999996</v>
      </c>
    </row>
    <row r="60" spans="1:10" x14ac:dyDescent="0.25">
      <c r="A60" s="581" t="s">
        <v>41</v>
      </c>
      <c r="B60" s="526"/>
      <c r="C60" s="432">
        <f t="shared" ref="C60:H60" si="4">SUM(C52:C59)</f>
        <v>0.35320000000000007</v>
      </c>
      <c r="D60" s="433">
        <f t="shared" si="4"/>
        <v>336.32410400000003</v>
      </c>
      <c r="E60" s="481">
        <f t="shared" si="4"/>
        <v>0.35320000000000007</v>
      </c>
      <c r="F60" s="482">
        <f t="shared" si="4"/>
        <v>336.32410400000003</v>
      </c>
      <c r="G60" s="434">
        <f t="shared" si="4"/>
        <v>0.35460000000000008</v>
      </c>
      <c r="H60" s="435">
        <f t="shared" si="4"/>
        <v>373.11011999999999</v>
      </c>
      <c r="I60" s="434">
        <f>SUM(I52:I59)</f>
        <v>0.35460000000000008</v>
      </c>
      <c r="J60" s="453">
        <f>SUM(J52:J59)</f>
        <v>397.62361800000002</v>
      </c>
    </row>
    <row r="61" spans="1:10" s="151" customFormat="1" x14ac:dyDescent="0.25">
      <c r="A61" s="582" t="s">
        <v>460</v>
      </c>
      <c r="B61" s="530"/>
      <c r="C61" s="530"/>
      <c r="D61" s="530"/>
      <c r="E61" s="404"/>
      <c r="F61" s="404"/>
      <c r="G61" s="405"/>
      <c r="H61" s="405"/>
      <c r="I61" s="406"/>
      <c r="J61" s="459"/>
    </row>
    <row r="62" spans="1:10" s="151" customFormat="1" x14ac:dyDescent="0.25">
      <c r="A62" s="582" t="s">
        <v>461</v>
      </c>
      <c r="B62" s="530"/>
      <c r="C62" s="530"/>
      <c r="D62" s="530"/>
      <c r="E62" s="404"/>
      <c r="F62" s="404"/>
      <c r="G62" s="405"/>
      <c r="H62" s="405"/>
      <c r="I62" s="406"/>
      <c r="J62" s="459"/>
    </row>
    <row r="63" spans="1:10" ht="18.75" x14ac:dyDescent="0.25">
      <c r="A63" s="631" t="s">
        <v>96</v>
      </c>
      <c r="B63" s="632"/>
      <c r="C63" s="632"/>
      <c r="D63" s="632"/>
      <c r="E63" s="228"/>
      <c r="F63" s="228"/>
      <c r="G63" s="402"/>
      <c r="H63" s="402"/>
      <c r="I63" s="403"/>
      <c r="J63" s="458"/>
    </row>
    <row r="64" spans="1:10" x14ac:dyDescent="0.25">
      <c r="A64" s="451" t="s">
        <v>42</v>
      </c>
      <c r="B64" s="426" t="s">
        <v>125</v>
      </c>
      <c r="C64" s="426" t="s">
        <v>33</v>
      </c>
      <c r="D64" s="426" t="s">
        <v>6</v>
      </c>
      <c r="E64" s="438" t="s">
        <v>33</v>
      </c>
      <c r="F64" s="438" t="s">
        <v>6</v>
      </c>
      <c r="G64" s="427" t="s">
        <v>33</v>
      </c>
      <c r="H64" s="427" t="s">
        <v>6</v>
      </c>
      <c r="I64" s="427" t="s">
        <v>33</v>
      </c>
      <c r="J64" s="452" t="s">
        <v>6</v>
      </c>
    </row>
    <row r="65" spans="1:13" x14ac:dyDescent="0.25">
      <c r="A65" s="223" t="s">
        <v>7</v>
      </c>
      <c r="B65" s="7" t="s">
        <v>43</v>
      </c>
      <c r="C65" s="216">
        <v>8.3299999999999999E-2</v>
      </c>
      <c r="D65" s="8">
        <f>C65*$C$32</f>
        <v>79.319925999999995</v>
      </c>
      <c r="E65" s="325">
        <v>8.3299999999999999E-2</v>
      </c>
      <c r="F65" s="322">
        <f>E65*$E$32</f>
        <v>79.319925999999995</v>
      </c>
      <c r="G65" s="336">
        <v>8.3299999999999999E-2</v>
      </c>
      <c r="H65" s="327">
        <f>G65*$G$32</f>
        <v>87.648260000000008</v>
      </c>
      <c r="I65" s="372">
        <v>8.3299999999999999E-2</v>
      </c>
      <c r="J65" s="375">
        <f>I65*$I$32</f>
        <v>93.406788999999989</v>
      </c>
    </row>
    <row r="66" spans="1:13" x14ac:dyDescent="0.25">
      <c r="A66" s="223" t="s">
        <v>9</v>
      </c>
      <c r="B66" s="7" t="s">
        <v>126</v>
      </c>
      <c r="C66" s="216">
        <v>2.7799999999999998E-2</v>
      </c>
      <c r="D66" s="8">
        <f>C66*$C$32</f>
        <v>26.471716000000001</v>
      </c>
      <c r="E66" s="325">
        <v>2.7799999999999998E-2</v>
      </c>
      <c r="F66" s="322">
        <f>E66*$E$32</f>
        <v>26.471716000000001</v>
      </c>
      <c r="G66" s="336">
        <v>2.7799999999999998E-2</v>
      </c>
      <c r="H66" s="327">
        <f>G66*$G$32</f>
        <v>29.251159999999999</v>
      </c>
      <c r="I66" s="372">
        <v>2.7799999999999998E-2</v>
      </c>
      <c r="J66" s="375">
        <f>I66*$I$32</f>
        <v>31.172973999999996</v>
      </c>
    </row>
    <row r="67" spans="1:13" x14ac:dyDescent="0.25">
      <c r="A67" s="223"/>
      <c r="B67" s="5" t="s">
        <v>44</v>
      </c>
      <c r="C67" s="10">
        <f t="shared" ref="C67:H67" si="5">SUM(C65:C66)</f>
        <v>0.1111</v>
      </c>
      <c r="D67" s="58">
        <f t="shared" si="5"/>
        <v>105.791642</v>
      </c>
      <c r="E67" s="225">
        <f t="shared" si="5"/>
        <v>0.1111</v>
      </c>
      <c r="F67" s="58">
        <f t="shared" si="5"/>
        <v>105.791642</v>
      </c>
      <c r="G67" s="314">
        <f t="shared" si="5"/>
        <v>0.1111</v>
      </c>
      <c r="H67" s="53">
        <f t="shared" si="5"/>
        <v>116.89942000000001</v>
      </c>
      <c r="I67" s="373">
        <f>SUM(I65:I66)</f>
        <v>0.1111</v>
      </c>
      <c r="J67" s="376">
        <f>SUM(J65:J66)</f>
        <v>124.57976299999999</v>
      </c>
    </row>
    <row r="68" spans="1:13" x14ac:dyDescent="0.25">
      <c r="A68" s="223" t="s">
        <v>9</v>
      </c>
      <c r="B68" s="7" t="s">
        <v>97</v>
      </c>
      <c r="C68" s="9">
        <f>C60*C67</f>
        <v>3.9240520000000008E-2</v>
      </c>
      <c r="D68" s="8">
        <f>C68*$C$32</f>
        <v>37.365607954400005</v>
      </c>
      <c r="E68" s="324">
        <f>E60*E67</f>
        <v>3.9240520000000008E-2</v>
      </c>
      <c r="F68" s="322">
        <f>E68*$E$32</f>
        <v>37.365607954400005</v>
      </c>
      <c r="G68" s="313">
        <f>G60*G67</f>
        <v>3.9396060000000011E-2</v>
      </c>
      <c r="H68" s="327">
        <f>G68*$G$32</f>
        <v>41.452534332000013</v>
      </c>
      <c r="I68" s="372">
        <f>I60*I67</f>
        <v>3.9396060000000011E-2</v>
      </c>
      <c r="J68" s="375">
        <f>I68*$I$32</f>
        <v>44.175983959800007</v>
      </c>
    </row>
    <row r="69" spans="1:13" x14ac:dyDescent="0.25">
      <c r="A69" s="581" t="s">
        <v>41</v>
      </c>
      <c r="B69" s="526"/>
      <c r="C69" s="432">
        <f t="shared" ref="C69:H69" si="6">SUM(C68,C67)</f>
        <v>0.15034052000000001</v>
      </c>
      <c r="D69" s="428">
        <f t="shared" si="6"/>
        <v>143.15724995440002</v>
      </c>
      <c r="E69" s="481">
        <f t="shared" si="6"/>
        <v>0.15034052000000001</v>
      </c>
      <c r="F69" s="428">
        <f t="shared" si="6"/>
        <v>143.15724995440002</v>
      </c>
      <c r="G69" s="434">
        <f t="shared" si="6"/>
        <v>0.15049606000000001</v>
      </c>
      <c r="H69" s="429">
        <f t="shared" si="6"/>
        <v>158.35195433200002</v>
      </c>
      <c r="I69" s="434">
        <f>SUM(I68,I67)</f>
        <v>0.15049606000000001</v>
      </c>
      <c r="J69" s="454">
        <f>SUM(J68,J67)</f>
        <v>168.75574695979998</v>
      </c>
    </row>
    <row r="70" spans="1:13" ht="18.75" x14ac:dyDescent="0.25">
      <c r="A70" s="631" t="s">
        <v>45</v>
      </c>
      <c r="B70" s="632"/>
      <c r="C70" s="632"/>
      <c r="D70" s="632"/>
      <c r="E70" s="228"/>
      <c r="F70" s="228"/>
      <c r="G70" s="408"/>
      <c r="H70" s="408"/>
      <c r="I70" s="409"/>
      <c r="J70" s="461"/>
    </row>
    <row r="71" spans="1:13" x14ac:dyDescent="0.25">
      <c r="A71" s="451" t="s">
        <v>46</v>
      </c>
      <c r="B71" s="426" t="s">
        <v>47</v>
      </c>
      <c r="C71" s="426" t="s">
        <v>33</v>
      </c>
      <c r="D71" s="426" t="s">
        <v>6</v>
      </c>
      <c r="E71" s="438" t="s">
        <v>33</v>
      </c>
      <c r="F71" s="438" t="s">
        <v>6</v>
      </c>
      <c r="G71" s="427" t="s">
        <v>33</v>
      </c>
      <c r="H71" s="427" t="s">
        <v>6</v>
      </c>
      <c r="I71" s="427" t="s">
        <v>33</v>
      </c>
      <c r="J71" s="452" t="s">
        <v>6</v>
      </c>
    </row>
    <row r="72" spans="1:13" x14ac:dyDescent="0.25">
      <c r="A72" s="223" t="s">
        <v>7</v>
      </c>
      <c r="B72" s="7" t="s">
        <v>127</v>
      </c>
      <c r="C72" s="9">
        <v>7.3999999999999999E-4</v>
      </c>
      <c r="D72" s="8">
        <f>C72*$C$32</f>
        <v>0.70464280000000001</v>
      </c>
      <c r="E72" s="324">
        <v>7.3999999999999999E-4</v>
      </c>
      <c r="F72" s="322">
        <f>E72*$E$32</f>
        <v>0.70464280000000001</v>
      </c>
      <c r="G72" s="313">
        <v>7.3999999999999999E-4</v>
      </c>
      <c r="H72" s="327">
        <f>G72*$G$32</f>
        <v>0.77862799999999999</v>
      </c>
      <c r="I72" s="372">
        <v>7.3999999999999999E-4</v>
      </c>
      <c r="J72" s="375">
        <f>I72*$I$32</f>
        <v>0.82978419999999997</v>
      </c>
    </row>
    <row r="73" spans="1:13" x14ac:dyDescent="0.25">
      <c r="A73" s="223" t="s">
        <v>9</v>
      </c>
      <c r="B73" s="7" t="s">
        <v>48</v>
      </c>
      <c r="C73" s="9">
        <f>C60*C72</f>
        <v>2.6136800000000005E-4</v>
      </c>
      <c r="D73" s="8">
        <f>C73*$C$32</f>
        <v>0.24887983696000004</v>
      </c>
      <c r="E73" s="324">
        <f>E60*E72</f>
        <v>2.6136800000000005E-4</v>
      </c>
      <c r="F73" s="322">
        <f>E73*$E$32</f>
        <v>0.24887983696000004</v>
      </c>
      <c r="G73" s="313">
        <f>G60*G72</f>
        <v>2.6240400000000004E-4</v>
      </c>
      <c r="H73" s="327">
        <f>G73*$G$32</f>
        <v>0.27610148880000007</v>
      </c>
      <c r="I73" s="372">
        <f>I60*I72</f>
        <v>2.6240400000000004E-4</v>
      </c>
      <c r="J73" s="375">
        <f>I73*$I$32</f>
        <v>0.29424147732000006</v>
      </c>
    </row>
    <row r="74" spans="1:13" x14ac:dyDescent="0.25">
      <c r="A74" s="581" t="s">
        <v>41</v>
      </c>
      <c r="B74" s="526"/>
      <c r="C74" s="432">
        <f t="shared" ref="C74:H74" si="7">SUM(C73,C72)</f>
        <v>1.0013680000000001E-3</v>
      </c>
      <c r="D74" s="428">
        <f t="shared" si="7"/>
        <v>0.95352263696000006</v>
      </c>
      <c r="E74" s="481">
        <f t="shared" si="7"/>
        <v>1.0013680000000001E-3</v>
      </c>
      <c r="F74" s="428">
        <f t="shared" si="7"/>
        <v>0.95352263696000006</v>
      </c>
      <c r="G74" s="434">
        <f t="shared" si="7"/>
        <v>1.0024040000000001E-3</v>
      </c>
      <c r="H74" s="429">
        <f t="shared" si="7"/>
        <v>1.0547294888000001</v>
      </c>
      <c r="I74" s="434">
        <f>SUM(I73,I72)</f>
        <v>1.0024040000000001E-3</v>
      </c>
      <c r="J74" s="454">
        <f>SUM(J73,J72)</f>
        <v>1.1240256773200001</v>
      </c>
    </row>
    <row r="75" spans="1:13" ht="18.75" x14ac:dyDescent="0.25">
      <c r="A75" s="631" t="s">
        <v>102</v>
      </c>
      <c r="B75" s="632"/>
      <c r="C75" s="632"/>
      <c r="D75" s="632"/>
      <c r="E75" s="228"/>
      <c r="F75" s="228"/>
      <c r="G75" s="408"/>
      <c r="H75" s="408"/>
      <c r="I75" s="409"/>
      <c r="J75" s="461"/>
    </row>
    <row r="76" spans="1:13" x14ac:dyDescent="0.25">
      <c r="A76" s="451" t="s">
        <v>49</v>
      </c>
      <c r="B76" s="426" t="s">
        <v>50</v>
      </c>
      <c r="C76" s="426" t="s">
        <v>33</v>
      </c>
      <c r="D76" s="426" t="s">
        <v>6</v>
      </c>
      <c r="E76" s="438" t="s">
        <v>33</v>
      </c>
      <c r="F76" s="438" t="s">
        <v>6</v>
      </c>
      <c r="G76" s="427" t="s">
        <v>33</v>
      </c>
      <c r="H76" s="427" t="s">
        <v>6</v>
      </c>
      <c r="I76" s="427" t="s">
        <v>33</v>
      </c>
      <c r="J76" s="452" t="s">
        <v>6</v>
      </c>
    </row>
    <row r="77" spans="1:13" x14ac:dyDescent="0.25">
      <c r="A77" s="223" t="s">
        <v>7</v>
      </c>
      <c r="B77" s="7" t="s">
        <v>51</v>
      </c>
      <c r="C77" s="9">
        <v>4.1599999999999998E-2</v>
      </c>
      <c r="D77" s="8">
        <f t="shared" ref="D77:D82" si="8">C77*$C$32</f>
        <v>39.612352000000001</v>
      </c>
      <c r="E77" s="324">
        <v>4.1599999999999998E-2</v>
      </c>
      <c r="F77" s="322">
        <f t="shared" ref="F77:F82" si="9">E77*$E$32</f>
        <v>39.612352000000001</v>
      </c>
      <c r="G77" s="313">
        <v>4.1599999999999998E-2</v>
      </c>
      <c r="H77" s="327">
        <f t="shared" ref="H77:H82" si="10">G77*$G$32</f>
        <v>43.771520000000002</v>
      </c>
      <c r="I77" s="372">
        <v>4.1599999999999998E-2</v>
      </c>
      <c r="J77" s="375">
        <f t="shared" ref="J77:J82" si="11">I77*$I$32</f>
        <v>46.647327999999995</v>
      </c>
    </row>
    <row r="78" spans="1:13" x14ac:dyDescent="0.25">
      <c r="A78" s="223" t="s">
        <v>9</v>
      </c>
      <c r="B78" s="7" t="s">
        <v>495</v>
      </c>
      <c r="C78" s="9">
        <f>C60*C77</f>
        <v>1.4693120000000002E-2</v>
      </c>
      <c r="D78" s="8">
        <f>C78*$C$32</f>
        <v>13.991082726400002</v>
      </c>
      <c r="E78" s="324">
        <f>E60*E77</f>
        <v>1.4693120000000002E-2</v>
      </c>
      <c r="F78" s="322">
        <f t="shared" si="9"/>
        <v>13.991082726400002</v>
      </c>
      <c r="G78" s="313">
        <f>G60*G77</f>
        <v>1.4751360000000003E-2</v>
      </c>
      <c r="H78" s="327">
        <f t="shared" si="10"/>
        <v>15.521380992000005</v>
      </c>
      <c r="I78" s="372">
        <f>I60*I77</f>
        <v>1.4751360000000003E-2</v>
      </c>
      <c r="J78" s="375">
        <f t="shared" si="11"/>
        <v>16.541142508800004</v>
      </c>
      <c r="K78" s="4">
        <f>'$ TOTAL ATUAL'!D33</f>
        <v>-133463.52000000002</v>
      </c>
      <c r="M78" s="4">
        <f>'$ TOTAL ATUAL'!F33</f>
        <v>0</v>
      </c>
    </row>
    <row r="79" spans="1:13" x14ac:dyDescent="0.25">
      <c r="A79" s="223" t="s">
        <v>11</v>
      </c>
      <c r="B79" s="7" t="s">
        <v>98</v>
      </c>
      <c r="C79" s="216">
        <v>2.0799999999999999E-2</v>
      </c>
      <c r="D79" s="8">
        <f t="shared" si="8"/>
        <v>19.806176000000001</v>
      </c>
      <c r="E79" s="325">
        <v>2.0799999999999999E-2</v>
      </c>
      <c r="F79" s="322">
        <f t="shared" si="9"/>
        <v>19.806176000000001</v>
      </c>
      <c r="G79" s="336">
        <v>2.0799999999999999E-2</v>
      </c>
      <c r="H79" s="327">
        <f t="shared" si="10"/>
        <v>21.885760000000001</v>
      </c>
      <c r="I79" s="372">
        <v>2.0799999999999999E-2</v>
      </c>
      <c r="J79" s="375">
        <f t="shared" si="11"/>
        <v>23.323663999999997</v>
      </c>
    </row>
    <row r="80" spans="1:13" x14ac:dyDescent="0.25">
      <c r="A80" s="223" t="s">
        <v>13</v>
      </c>
      <c r="B80" s="7" t="s">
        <v>52</v>
      </c>
      <c r="C80" s="216">
        <v>2.0000000000000001E-4</v>
      </c>
      <c r="D80" s="8">
        <f t="shared" si="8"/>
        <v>0.190444</v>
      </c>
      <c r="E80" s="325">
        <v>2.0000000000000001E-4</v>
      </c>
      <c r="F80" s="322">
        <f t="shared" si="9"/>
        <v>0.190444</v>
      </c>
      <c r="G80" s="336">
        <v>2.0000000000000001E-4</v>
      </c>
      <c r="H80" s="327">
        <f t="shared" si="10"/>
        <v>0.21044000000000002</v>
      </c>
      <c r="I80" s="372">
        <v>2.0000000000000001E-4</v>
      </c>
      <c r="J80" s="375">
        <f t="shared" si="11"/>
        <v>0.22426599999999999</v>
      </c>
    </row>
    <row r="81" spans="1:14" x14ac:dyDescent="0.25">
      <c r="A81" s="223" t="s">
        <v>15</v>
      </c>
      <c r="B81" s="7" t="s">
        <v>53</v>
      </c>
      <c r="C81" s="9">
        <f>C60*C80</f>
        <v>7.0640000000000015E-5</v>
      </c>
      <c r="D81" s="8">
        <f>C81*$C$32</f>
        <v>6.7264820800000014E-2</v>
      </c>
      <c r="E81" s="324">
        <f>E60*E80</f>
        <v>7.0640000000000015E-5</v>
      </c>
      <c r="F81" s="322">
        <f t="shared" si="9"/>
        <v>6.7264820800000014E-2</v>
      </c>
      <c r="G81" s="313">
        <f>G60*G80</f>
        <v>7.0920000000000019E-5</v>
      </c>
      <c r="H81" s="327">
        <f t="shared" si="10"/>
        <v>7.4622024000000023E-2</v>
      </c>
      <c r="I81" s="372">
        <f>I60*I80</f>
        <v>7.0920000000000019E-5</v>
      </c>
      <c r="J81" s="375">
        <f t="shared" si="11"/>
        <v>7.9524723600000014E-2</v>
      </c>
    </row>
    <row r="82" spans="1:14" x14ac:dyDescent="0.25">
      <c r="A82" s="223" t="s">
        <v>17</v>
      </c>
      <c r="B82" s="224" t="s">
        <v>99</v>
      </c>
      <c r="C82" s="9">
        <v>9.7000000000000003E-3</v>
      </c>
      <c r="D82" s="8">
        <f t="shared" si="8"/>
        <v>9.2365340000000007</v>
      </c>
      <c r="E82" s="324">
        <v>9.7000000000000003E-3</v>
      </c>
      <c r="F82" s="322">
        <f t="shared" si="9"/>
        <v>9.2365340000000007</v>
      </c>
      <c r="G82" s="313">
        <v>9.7000000000000003E-3</v>
      </c>
      <c r="H82" s="327">
        <f t="shared" si="10"/>
        <v>10.206340000000001</v>
      </c>
      <c r="I82" s="372">
        <v>9.7000000000000003E-3</v>
      </c>
      <c r="J82" s="375">
        <f t="shared" si="11"/>
        <v>10.876901</v>
      </c>
    </row>
    <row r="83" spans="1:14" x14ac:dyDescent="0.25">
      <c r="A83" s="581" t="s">
        <v>54</v>
      </c>
      <c r="B83" s="526"/>
      <c r="C83" s="432">
        <f t="shared" ref="C83:H83" si="12">SUM(C77:C82)</f>
        <v>8.7063760000000004E-2</v>
      </c>
      <c r="D83" s="428">
        <f t="shared" si="12"/>
        <v>82.903853547200015</v>
      </c>
      <c r="E83" s="481">
        <f t="shared" si="12"/>
        <v>8.7063760000000004E-2</v>
      </c>
      <c r="F83" s="428">
        <f t="shared" si="12"/>
        <v>82.903853547200015</v>
      </c>
      <c r="G83" s="434">
        <f t="shared" si="12"/>
        <v>8.712228000000001E-2</v>
      </c>
      <c r="H83" s="429">
        <f t="shared" si="12"/>
        <v>91.670063016000014</v>
      </c>
      <c r="I83" s="434">
        <f>SUM(I77:I82)</f>
        <v>8.712228000000001E-2</v>
      </c>
      <c r="J83" s="454">
        <f>SUM(J77:J82)</f>
        <v>97.692826232399995</v>
      </c>
    </row>
    <row r="84" spans="1:14" ht="18.75" x14ac:dyDescent="0.25">
      <c r="A84" s="631" t="s">
        <v>55</v>
      </c>
      <c r="B84" s="632"/>
      <c r="C84" s="632"/>
      <c r="D84" s="632"/>
      <c r="E84" s="228"/>
      <c r="F84" s="228"/>
      <c r="G84" s="408"/>
      <c r="H84" s="408"/>
      <c r="I84" s="409"/>
      <c r="J84" s="461"/>
    </row>
    <row r="85" spans="1:14" x14ac:dyDescent="0.25">
      <c r="A85" s="451" t="s">
        <v>56</v>
      </c>
      <c r="B85" s="426" t="s">
        <v>57</v>
      </c>
      <c r="C85" s="426" t="s">
        <v>33</v>
      </c>
      <c r="D85" s="426" t="s">
        <v>6</v>
      </c>
      <c r="E85" s="438" t="s">
        <v>33</v>
      </c>
      <c r="F85" s="438" t="s">
        <v>6</v>
      </c>
      <c r="G85" s="427" t="s">
        <v>33</v>
      </c>
      <c r="H85" s="427" t="s">
        <v>6</v>
      </c>
      <c r="I85" s="427" t="s">
        <v>33</v>
      </c>
      <c r="J85" s="452" t="s">
        <v>6</v>
      </c>
    </row>
    <row r="86" spans="1:14" x14ac:dyDescent="0.25">
      <c r="A86" s="223" t="s">
        <v>7</v>
      </c>
      <c r="B86" s="7" t="s">
        <v>452</v>
      </c>
      <c r="C86" s="9">
        <v>0.1111</v>
      </c>
      <c r="D86" s="8">
        <f>C86*$C$32</f>
        <v>105.79164200000001</v>
      </c>
      <c r="E86" s="324">
        <v>0.1111</v>
      </c>
      <c r="F86" s="322">
        <f>E86*$E$32</f>
        <v>105.79164200000001</v>
      </c>
      <c r="G86" s="336">
        <v>0.1111</v>
      </c>
      <c r="H86" s="327">
        <f>G86*$G$32</f>
        <v>116.89942000000001</v>
      </c>
      <c r="I86" s="372">
        <v>0.1111</v>
      </c>
      <c r="J86" s="375">
        <f>I86*$I$32</f>
        <v>124.579763</v>
      </c>
    </row>
    <row r="87" spans="1:14" x14ac:dyDescent="0.25">
      <c r="A87" s="223" t="s">
        <v>9</v>
      </c>
      <c r="B87" s="7" t="s">
        <v>58</v>
      </c>
      <c r="C87" s="9">
        <v>1.3899999999999999E-2</v>
      </c>
      <c r="D87" s="8">
        <f>C87*$C$32</f>
        <v>13.235858</v>
      </c>
      <c r="E87" s="324">
        <v>1.3899999999999999E-2</v>
      </c>
      <c r="F87" s="322">
        <f>E87*$E$32</f>
        <v>13.235858</v>
      </c>
      <c r="G87" s="336">
        <v>1.3899999999999999E-2</v>
      </c>
      <c r="H87" s="327">
        <f>G87*$G$32</f>
        <v>14.625579999999999</v>
      </c>
      <c r="I87" s="372">
        <v>1.3899999999999999E-2</v>
      </c>
      <c r="J87" s="375">
        <f>I87*$I$32</f>
        <v>15.586486999999998</v>
      </c>
    </row>
    <row r="88" spans="1:14" x14ac:dyDescent="0.25">
      <c r="A88" s="223" t="s">
        <v>11</v>
      </c>
      <c r="B88" s="7" t="s">
        <v>59</v>
      </c>
      <c r="C88" s="9">
        <v>2.0000000000000001E-4</v>
      </c>
      <c r="D88" s="8">
        <f>C88*$C$32</f>
        <v>0.190444</v>
      </c>
      <c r="E88" s="324">
        <v>2.0000000000000001E-4</v>
      </c>
      <c r="F88" s="322">
        <f>E88*$E$32</f>
        <v>0.190444</v>
      </c>
      <c r="G88" s="336">
        <v>2.0000000000000001E-4</v>
      </c>
      <c r="H88" s="327">
        <f>G88*$G$32</f>
        <v>0.21044000000000002</v>
      </c>
      <c r="I88" s="372">
        <v>2.0000000000000001E-4</v>
      </c>
      <c r="J88" s="375">
        <f>I88*$I$32</f>
        <v>0.22426599999999999</v>
      </c>
    </row>
    <row r="89" spans="1:14" x14ac:dyDescent="0.25">
      <c r="A89" s="223" t="s">
        <v>13</v>
      </c>
      <c r="B89" s="7" t="s">
        <v>60</v>
      </c>
      <c r="C89" s="9">
        <v>2.8E-3</v>
      </c>
      <c r="D89" s="8">
        <f>C89*$C$32</f>
        <v>2.6662159999999999</v>
      </c>
      <c r="E89" s="324">
        <v>2.8E-3</v>
      </c>
      <c r="F89" s="322">
        <f>E89*$E$32</f>
        <v>2.6662159999999999</v>
      </c>
      <c r="G89" s="336">
        <v>2.8E-3</v>
      </c>
      <c r="H89" s="327">
        <f>G89*$G$32</f>
        <v>2.9461599999999999</v>
      </c>
      <c r="I89" s="372">
        <v>2.8E-3</v>
      </c>
      <c r="J89" s="375">
        <f>I89*$I$32</f>
        <v>3.1397239999999997</v>
      </c>
    </row>
    <row r="90" spans="1:14" x14ac:dyDescent="0.25">
      <c r="A90" s="223" t="s">
        <v>15</v>
      </c>
      <c r="B90" s="7" t="s">
        <v>61</v>
      </c>
      <c r="C90" s="9">
        <v>3.3E-3</v>
      </c>
      <c r="D90" s="8">
        <f>C90*$C$32</f>
        <v>3.1423260000000002</v>
      </c>
      <c r="E90" s="324">
        <v>3.3E-3</v>
      </c>
      <c r="F90" s="322">
        <f>E90*$E$32</f>
        <v>3.1423260000000002</v>
      </c>
      <c r="G90" s="336">
        <v>3.3E-3</v>
      </c>
      <c r="H90" s="327">
        <f>G90*$G$32</f>
        <v>3.4722600000000003</v>
      </c>
      <c r="I90" s="372">
        <v>3.3E-3</v>
      </c>
      <c r="J90" s="375">
        <f>I90*$I$32</f>
        <v>3.7003889999999999</v>
      </c>
    </row>
    <row r="91" spans="1:14" x14ac:dyDescent="0.25">
      <c r="A91" s="223" t="s">
        <v>17</v>
      </c>
      <c r="B91" s="7" t="s">
        <v>21</v>
      </c>
      <c r="C91" s="9"/>
      <c r="D91" s="8"/>
      <c r="E91" s="324"/>
      <c r="F91" s="322"/>
      <c r="G91" s="313"/>
      <c r="H91" s="327"/>
      <c r="I91" s="372"/>
      <c r="J91" s="375"/>
    </row>
    <row r="92" spans="1:14" x14ac:dyDescent="0.25">
      <c r="A92" s="223"/>
      <c r="B92" s="5" t="s">
        <v>44</v>
      </c>
      <c r="C92" s="225">
        <f t="shared" ref="C92:H92" si="13">SUM(C86:C91)</f>
        <v>0.1313</v>
      </c>
      <c r="D92" s="226">
        <f t="shared" si="13"/>
        <v>125.02648600000001</v>
      </c>
      <c r="E92" s="225">
        <f t="shared" si="13"/>
        <v>0.1313</v>
      </c>
      <c r="F92" s="226">
        <f t="shared" si="13"/>
        <v>125.02648600000001</v>
      </c>
      <c r="G92" s="314">
        <f t="shared" si="13"/>
        <v>0.1313</v>
      </c>
      <c r="H92" s="410">
        <f t="shared" si="13"/>
        <v>138.15386000000001</v>
      </c>
      <c r="I92" s="373">
        <f>SUM(I86:I91)</f>
        <v>0.1313</v>
      </c>
      <c r="J92" s="381">
        <f>SUM(J86:J91)</f>
        <v>147.23062899999999</v>
      </c>
    </row>
    <row r="93" spans="1:14" x14ac:dyDescent="0.25">
      <c r="A93" s="223" t="s">
        <v>19</v>
      </c>
      <c r="B93" s="7" t="s">
        <v>62</v>
      </c>
      <c r="C93" s="9">
        <f>C60*C92</f>
        <v>4.6375160000000012E-2</v>
      </c>
      <c r="D93" s="8">
        <f>C93*$C$32</f>
        <v>44.159354855200014</v>
      </c>
      <c r="E93" s="324">
        <f>E60*E92</f>
        <v>4.6375160000000012E-2</v>
      </c>
      <c r="F93" s="322">
        <f>E93*$E$32</f>
        <v>44.159354855200014</v>
      </c>
      <c r="G93" s="313">
        <f>G60*G92</f>
        <v>4.6558980000000014E-2</v>
      </c>
      <c r="H93" s="327">
        <f>G93*$G$32</f>
        <v>48.989358756000016</v>
      </c>
      <c r="I93" s="372">
        <f>I60*I92</f>
        <v>4.6558980000000014E-2</v>
      </c>
      <c r="J93" s="375">
        <f>I93*$I$32</f>
        <v>52.207981043400011</v>
      </c>
    </row>
    <row r="94" spans="1:14" x14ac:dyDescent="0.25">
      <c r="A94" s="581" t="s">
        <v>54</v>
      </c>
      <c r="B94" s="526"/>
      <c r="C94" s="432">
        <f t="shared" ref="C94:H94" si="14">SUM(C92:C93)</f>
        <v>0.17767516</v>
      </c>
      <c r="D94" s="428">
        <f t="shared" si="14"/>
        <v>169.18584085520001</v>
      </c>
      <c r="E94" s="481">
        <f t="shared" si="14"/>
        <v>0.17767516</v>
      </c>
      <c r="F94" s="428">
        <f t="shared" si="14"/>
        <v>169.18584085520001</v>
      </c>
      <c r="G94" s="434">
        <f t="shared" si="14"/>
        <v>0.17785898</v>
      </c>
      <c r="H94" s="429">
        <f t="shared" si="14"/>
        <v>187.14321875600001</v>
      </c>
      <c r="I94" s="434">
        <f>SUM(I92:I93)</f>
        <v>0.17785898</v>
      </c>
      <c r="J94" s="454">
        <f>SUM(J92:J93)</f>
        <v>199.43861004339999</v>
      </c>
      <c r="K94" t="s">
        <v>317</v>
      </c>
      <c r="L94" s="61">
        <f>SUM(C94+C83+C74+C69+C60)</f>
        <v>0.76928080800000009</v>
      </c>
      <c r="M94" t="s">
        <v>317</v>
      </c>
      <c r="N94" s="61">
        <f>SUM(G94+G83+G74+G69+G60)</f>
        <v>0.77107972400000002</v>
      </c>
    </row>
    <row r="95" spans="1:14" x14ac:dyDescent="0.25">
      <c r="A95" s="440"/>
      <c r="B95" s="3"/>
      <c r="C95" s="3"/>
      <c r="D95" s="3"/>
      <c r="E95" s="320"/>
      <c r="F95" s="320"/>
      <c r="G95" s="345"/>
      <c r="H95" s="345"/>
      <c r="I95" s="473"/>
      <c r="J95" s="466"/>
    </row>
    <row r="96" spans="1:14" x14ac:dyDescent="0.25">
      <c r="A96" s="613" t="s">
        <v>63</v>
      </c>
      <c r="B96" s="561"/>
      <c r="C96" s="561"/>
      <c r="D96" s="561"/>
      <c r="E96" s="561"/>
      <c r="F96" s="561"/>
      <c r="G96" s="561"/>
      <c r="H96" s="561"/>
      <c r="I96" s="561"/>
      <c r="J96" s="614"/>
    </row>
    <row r="97" spans="1:13" x14ac:dyDescent="0.25">
      <c r="A97" s="236"/>
      <c r="B97" s="3"/>
      <c r="C97" s="3"/>
      <c r="D97" s="3"/>
      <c r="E97" s="320"/>
      <c r="F97" s="320"/>
      <c r="G97" s="345"/>
      <c r="H97" s="345"/>
      <c r="I97" s="473"/>
      <c r="J97" s="466"/>
    </row>
    <row r="98" spans="1:13" x14ac:dyDescent="0.25">
      <c r="A98" s="451">
        <v>4</v>
      </c>
      <c r="B98" s="426" t="s">
        <v>64</v>
      </c>
      <c r="C98" s="426"/>
      <c r="D98" s="426" t="s">
        <v>6</v>
      </c>
      <c r="E98" s="438"/>
      <c r="F98" s="438" t="s">
        <v>6</v>
      </c>
      <c r="G98" s="427"/>
      <c r="H98" s="427" t="s">
        <v>6</v>
      </c>
      <c r="I98" s="427"/>
      <c r="J98" s="452" t="s">
        <v>6</v>
      </c>
    </row>
    <row r="99" spans="1:13" x14ac:dyDescent="0.25">
      <c r="A99" s="221" t="s">
        <v>31</v>
      </c>
      <c r="B99" s="7" t="s">
        <v>128</v>
      </c>
      <c r="C99" s="227"/>
      <c r="D99" s="64">
        <f>D60</f>
        <v>336.32410400000003</v>
      </c>
      <c r="E99" s="319"/>
      <c r="F99" s="319">
        <f>F60</f>
        <v>336.32410400000003</v>
      </c>
      <c r="G99" s="331"/>
      <c r="H99" s="443">
        <f>H60</f>
        <v>373.11011999999999</v>
      </c>
      <c r="I99" s="414"/>
      <c r="J99" s="465">
        <f>J60</f>
        <v>397.62361800000002</v>
      </c>
    </row>
    <row r="100" spans="1:13" x14ac:dyDescent="0.25">
      <c r="A100" s="221" t="s">
        <v>42</v>
      </c>
      <c r="B100" s="7" t="s">
        <v>129</v>
      </c>
      <c r="C100" s="227"/>
      <c r="D100" s="64">
        <f>D69</f>
        <v>143.15724995440002</v>
      </c>
      <c r="E100" s="319"/>
      <c r="F100" s="319">
        <f>F69</f>
        <v>143.15724995440002</v>
      </c>
      <c r="G100" s="331"/>
      <c r="H100" s="443">
        <f>H69</f>
        <v>158.35195433200002</v>
      </c>
      <c r="I100" s="414"/>
      <c r="J100" s="465">
        <f>J69</f>
        <v>168.75574695979998</v>
      </c>
    </row>
    <row r="101" spans="1:13" x14ac:dyDescent="0.25">
      <c r="A101" s="221" t="s">
        <v>46</v>
      </c>
      <c r="B101" s="7" t="s">
        <v>47</v>
      </c>
      <c r="C101" s="227"/>
      <c r="D101" s="64">
        <f>D74</f>
        <v>0.95352263696000006</v>
      </c>
      <c r="E101" s="319"/>
      <c r="F101" s="319">
        <f>F74</f>
        <v>0.95352263696000006</v>
      </c>
      <c r="G101" s="331"/>
      <c r="H101" s="443">
        <f>H74</f>
        <v>1.0547294888000001</v>
      </c>
      <c r="I101" s="414"/>
      <c r="J101" s="465">
        <f>J74</f>
        <v>1.1240256773200001</v>
      </c>
    </row>
    <row r="102" spans="1:13" x14ac:dyDescent="0.25">
      <c r="A102" s="221" t="s">
        <v>49</v>
      </c>
      <c r="B102" s="7" t="s">
        <v>65</v>
      </c>
      <c r="C102" s="227"/>
      <c r="D102" s="64">
        <f>D83</f>
        <v>82.903853547200015</v>
      </c>
      <c r="E102" s="319"/>
      <c r="F102" s="319">
        <f>F83</f>
        <v>82.903853547200015</v>
      </c>
      <c r="G102" s="331"/>
      <c r="H102" s="443">
        <f>H83</f>
        <v>91.670063016000014</v>
      </c>
      <c r="I102" s="414"/>
      <c r="J102" s="465">
        <f>J83</f>
        <v>97.692826232399995</v>
      </c>
    </row>
    <row r="103" spans="1:13" x14ac:dyDescent="0.25">
      <c r="A103" s="221" t="s">
        <v>56</v>
      </c>
      <c r="B103" s="7" t="s">
        <v>66</v>
      </c>
      <c r="C103" s="227"/>
      <c r="D103" s="64">
        <f>D94</f>
        <v>169.18584085520001</v>
      </c>
      <c r="E103" s="319"/>
      <c r="F103" s="319">
        <f>F94</f>
        <v>169.18584085520001</v>
      </c>
      <c r="G103" s="331"/>
      <c r="H103" s="443">
        <f>H94</f>
        <v>187.14321875600001</v>
      </c>
      <c r="I103" s="414"/>
      <c r="J103" s="465">
        <f>J94</f>
        <v>199.43861004339999</v>
      </c>
    </row>
    <row r="104" spans="1:13" x14ac:dyDescent="0.25">
      <c r="A104" s="221" t="s">
        <v>67</v>
      </c>
      <c r="B104" s="7" t="s">
        <v>68</v>
      </c>
      <c r="C104" s="6"/>
      <c r="D104" s="3"/>
      <c r="E104" s="320"/>
      <c r="F104" s="320"/>
      <c r="G104" s="388"/>
      <c r="H104" s="345"/>
      <c r="I104" s="416"/>
      <c r="J104" s="466"/>
    </row>
    <row r="105" spans="1:13" x14ac:dyDescent="0.25">
      <c r="A105" s="581" t="s">
        <v>54</v>
      </c>
      <c r="B105" s="526"/>
      <c r="C105" s="436"/>
      <c r="D105" s="436">
        <f>SUM(D99:D104)</f>
        <v>732.52457099376011</v>
      </c>
      <c r="E105" s="436"/>
      <c r="F105" s="436">
        <f>SUM(F99:F104)</f>
        <v>732.52457099376011</v>
      </c>
      <c r="G105" s="437"/>
      <c r="H105" s="437">
        <f>SUM(H99:H104)</f>
        <v>811.33008559280006</v>
      </c>
      <c r="I105" s="437"/>
      <c r="J105" s="455">
        <f>SUM(J99:J104)</f>
        <v>864.63482691291995</v>
      </c>
    </row>
    <row r="106" spans="1:13" s="152" customFormat="1" x14ac:dyDescent="0.25">
      <c r="A106" s="582"/>
      <c r="B106" s="530"/>
      <c r="C106" s="530"/>
      <c r="D106" s="530"/>
      <c r="E106" s="404"/>
      <c r="F106" s="404"/>
      <c r="G106" s="405"/>
      <c r="H106" s="405"/>
      <c r="I106" s="406"/>
      <c r="J106" s="459"/>
    </row>
    <row r="107" spans="1:13" ht="18.75" x14ac:dyDescent="0.25">
      <c r="A107" s="563" t="s">
        <v>69</v>
      </c>
      <c r="B107" s="564"/>
      <c r="C107" s="564"/>
      <c r="D107" s="564"/>
      <c r="E107" s="564"/>
      <c r="F107" s="564"/>
      <c r="G107" s="564"/>
      <c r="H107" s="564"/>
      <c r="I107" s="564"/>
      <c r="J107" s="565"/>
    </row>
    <row r="108" spans="1:13" x14ac:dyDescent="0.25">
      <c r="A108" s="451">
        <v>5</v>
      </c>
      <c r="B108" s="426" t="s">
        <v>70</v>
      </c>
      <c r="C108" s="426" t="s">
        <v>33</v>
      </c>
      <c r="D108" s="426" t="s">
        <v>6</v>
      </c>
      <c r="E108" s="438" t="s">
        <v>33</v>
      </c>
      <c r="F108" s="438" t="s">
        <v>6</v>
      </c>
      <c r="G108" s="427" t="s">
        <v>33</v>
      </c>
      <c r="H108" s="427" t="s">
        <v>6</v>
      </c>
      <c r="I108" s="427" t="s">
        <v>33</v>
      </c>
      <c r="J108" s="452" t="s">
        <v>6</v>
      </c>
    </row>
    <row r="109" spans="1:13" x14ac:dyDescent="0.25">
      <c r="A109" s="223" t="s">
        <v>7</v>
      </c>
      <c r="B109" s="7" t="s">
        <v>71</v>
      </c>
      <c r="C109" s="9">
        <v>2.6100000000000002E-2</v>
      </c>
      <c r="D109" s="8">
        <f>SUM(C32+C42+C48+D105)*C109</f>
        <v>62.128839721337144</v>
      </c>
      <c r="E109" s="324">
        <v>2.6100000000000002E-2</v>
      </c>
      <c r="F109" s="322">
        <f>SUM(E32+E42+E48+F105)*E109</f>
        <v>64.023118996337146</v>
      </c>
      <c r="G109" s="313">
        <v>2.6100000000000002E-2</v>
      </c>
      <c r="H109" s="327">
        <f>SUM(G32+G42+G48+H105)*G109</f>
        <v>70.504956658972091</v>
      </c>
      <c r="I109" s="372">
        <v>2.6100000000000002E-2</v>
      </c>
      <c r="J109" s="375">
        <f>SUM(I32+I42+I48+J105)*I109</f>
        <v>76.067732952427207</v>
      </c>
    </row>
    <row r="110" spans="1:13" x14ac:dyDescent="0.25">
      <c r="A110" s="223" t="s">
        <v>9</v>
      </c>
      <c r="B110" s="1" t="s">
        <v>72</v>
      </c>
      <c r="C110" s="225">
        <v>0.14249999999999999</v>
      </c>
      <c r="D110" s="8"/>
      <c r="E110" s="225">
        <v>0.14249999999999999</v>
      </c>
      <c r="F110" s="322"/>
      <c r="G110" s="314">
        <v>0.14249999999999999</v>
      </c>
      <c r="H110" s="327"/>
      <c r="I110" s="373">
        <v>0.14249999999999999</v>
      </c>
      <c r="J110" s="375"/>
      <c r="K110" s="60">
        <v>1.6500000000000001E-2</v>
      </c>
      <c r="M110" s="60">
        <v>1.6500000000000001E-2</v>
      </c>
    </row>
    <row r="111" spans="1:13" x14ac:dyDescent="0.25">
      <c r="A111" s="223"/>
      <c r="B111" s="7" t="s">
        <v>131</v>
      </c>
      <c r="C111" s="9"/>
      <c r="D111" s="8">
        <f>ROUND(K116*K112,2)</f>
        <v>266.12</v>
      </c>
      <c r="E111" s="324"/>
      <c r="F111" s="322">
        <f>ROUND(M118*M112,2)</f>
        <v>274.23</v>
      </c>
      <c r="G111" s="313"/>
      <c r="H111" s="327">
        <f>ROUND(M116*M112,2)</f>
        <v>301.99</v>
      </c>
      <c r="I111" s="372"/>
      <c r="J111" s="327">
        <f>ROUND(M120*M112,2)</f>
        <v>325.82</v>
      </c>
      <c r="K111" s="60">
        <v>7.5999999999999998E-2</v>
      </c>
      <c r="M111" s="60">
        <v>7.5999999999999998E-2</v>
      </c>
    </row>
    <row r="112" spans="1:13" x14ac:dyDescent="0.25">
      <c r="A112" s="223"/>
      <c r="B112" s="7" t="s">
        <v>130</v>
      </c>
      <c r="C112" s="9"/>
      <c r="D112" s="8">
        <f>ROUND(K116*K113,2)</f>
        <v>143.85</v>
      </c>
      <c r="E112" s="324"/>
      <c r="F112" s="322">
        <f>ROUND(M118*M113,2)</f>
        <v>148.22999999999999</v>
      </c>
      <c r="G112" s="313"/>
      <c r="H112" s="327">
        <f>ROUND(M116*M113,2)</f>
        <v>163.24</v>
      </c>
      <c r="I112" s="372"/>
      <c r="J112" s="327">
        <f>ROUND(M120*M113,2)</f>
        <v>176.12</v>
      </c>
      <c r="K112" s="60">
        <f>SUM(K110:K111)</f>
        <v>9.2499999999999999E-2</v>
      </c>
      <c r="M112" s="60">
        <f>SUM(M110:M111)</f>
        <v>9.2499999999999999E-2</v>
      </c>
    </row>
    <row r="113" spans="1:13" x14ac:dyDescent="0.25">
      <c r="A113" s="223"/>
      <c r="B113" s="7" t="s">
        <v>132</v>
      </c>
      <c r="C113" s="9"/>
      <c r="D113" s="8"/>
      <c r="E113" s="324"/>
      <c r="F113" s="322"/>
      <c r="G113" s="313"/>
      <c r="H113" s="327"/>
      <c r="I113" s="372"/>
      <c r="J113" s="375"/>
      <c r="K113" s="60">
        <v>0.05</v>
      </c>
      <c r="M113" s="60">
        <v>0.05</v>
      </c>
    </row>
    <row r="114" spans="1:13" x14ac:dyDescent="0.25">
      <c r="A114" s="223"/>
      <c r="B114" s="7" t="s">
        <v>133</v>
      </c>
      <c r="C114" s="9"/>
      <c r="D114" s="8"/>
      <c r="E114" s="324"/>
      <c r="F114" s="322"/>
      <c r="G114" s="313"/>
      <c r="H114" s="327"/>
      <c r="I114" s="372"/>
      <c r="J114" s="375"/>
    </row>
    <row r="115" spans="1:13" x14ac:dyDescent="0.25">
      <c r="A115" s="229" t="s">
        <v>11</v>
      </c>
      <c r="B115" s="7" t="s">
        <v>134</v>
      </c>
      <c r="C115" s="230">
        <v>0.01</v>
      </c>
      <c r="D115" s="8">
        <f>SUM(D109+D105+C48+C42+C32)*C115</f>
        <v>24.425441547150978</v>
      </c>
      <c r="E115" s="230">
        <v>0.01</v>
      </c>
      <c r="F115" s="322">
        <f>SUM(F109+F105+E48+E42+E32)*E115</f>
        <v>25.170161839900974</v>
      </c>
      <c r="G115" s="315">
        <v>0.01</v>
      </c>
      <c r="H115" s="327">
        <f>SUM(H109+H105+G48+G42+G32)*G115</f>
        <v>27.718442922517724</v>
      </c>
      <c r="I115" s="373">
        <v>0.01</v>
      </c>
      <c r="J115" s="375">
        <f>SUM(J109+J105+I48+I42+I32)*I115</f>
        <v>29.905402598653474</v>
      </c>
    </row>
    <row r="116" spans="1:13" x14ac:dyDescent="0.25">
      <c r="A116" s="581" t="s">
        <v>41</v>
      </c>
      <c r="B116" s="526"/>
      <c r="C116" s="526"/>
      <c r="D116" s="436">
        <f>SUM(D109:D115)</f>
        <v>496.52428126848815</v>
      </c>
      <c r="E116" s="436"/>
      <c r="F116" s="436">
        <f>SUM(F109:F115)</f>
        <v>511.65328083623808</v>
      </c>
      <c r="G116" s="437"/>
      <c r="H116" s="437">
        <f>SUM(H109:H115)</f>
        <v>563.45339958148986</v>
      </c>
      <c r="I116" s="437"/>
      <c r="J116" s="455">
        <f>SUM(J109:J115)</f>
        <v>607.9131355510807</v>
      </c>
      <c r="K116" s="59">
        <f>SUM(D115+D109+D105+C48+C42+C32)/(1-C110)</f>
        <v>2876.9324737752163</v>
      </c>
      <c r="M116" s="59">
        <f>SUM(H115+H109+H105+G48+G42+G32)/(1-G110)</f>
        <v>3264.7961926230782</v>
      </c>
    </row>
    <row r="117" spans="1:13" x14ac:dyDescent="0.25">
      <c r="A117" s="580" t="s">
        <v>73</v>
      </c>
      <c r="B117" s="528"/>
      <c r="C117" s="528"/>
      <c r="D117" s="528"/>
      <c r="E117" s="447"/>
      <c r="F117" s="447"/>
      <c r="G117" s="420"/>
      <c r="H117" s="420"/>
      <c r="I117" s="421"/>
      <c r="J117" s="463"/>
    </row>
    <row r="118" spans="1:13" x14ac:dyDescent="0.25">
      <c r="A118" s="580" t="s">
        <v>74</v>
      </c>
      <c r="B118" s="528"/>
      <c r="C118" s="528"/>
      <c r="D118" s="528"/>
      <c r="E118" s="447"/>
      <c r="F118" s="447"/>
      <c r="G118" s="420"/>
      <c r="H118" s="420"/>
      <c r="I118" s="421"/>
      <c r="J118" s="463"/>
      <c r="M118" s="59">
        <f>SUM(F115+F109+F105+E48+E42+E32)/(1-E110)</f>
        <v>2964.6487998017474</v>
      </c>
    </row>
    <row r="119" spans="1:13" x14ac:dyDescent="0.25">
      <c r="A119" s="583" t="s">
        <v>135</v>
      </c>
      <c r="B119" s="527"/>
      <c r="C119" s="527"/>
      <c r="D119" s="527"/>
      <c r="E119" s="448"/>
      <c r="F119" s="448"/>
      <c r="G119" s="449"/>
      <c r="H119" s="449"/>
      <c r="I119" s="475"/>
      <c r="J119" s="476"/>
      <c r="M119" s="59"/>
    </row>
    <row r="120" spans="1:13" x14ac:dyDescent="0.25">
      <c r="A120" s="583" t="s">
        <v>75</v>
      </c>
      <c r="B120" s="527"/>
      <c r="C120" s="527"/>
      <c r="D120" s="527"/>
      <c r="E120" s="448"/>
      <c r="F120" s="448"/>
      <c r="G120" s="449"/>
      <c r="H120" s="449"/>
      <c r="I120" s="475"/>
      <c r="J120" s="476"/>
      <c r="M120" s="59">
        <f>SUM(J115+J109+J105+I48+I42+I32)/(1-I110)</f>
        <v>3522.385612202916</v>
      </c>
    </row>
    <row r="121" spans="1:13" x14ac:dyDescent="0.25">
      <c r="A121" s="442"/>
      <c r="B121" s="3"/>
      <c r="C121" s="3"/>
      <c r="D121" s="3"/>
      <c r="E121" s="320"/>
      <c r="F121" s="320"/>
      <c r="G121" s="345"/>
      <c r="H121" s="345"/>
      <c r="I121" s="473"/>
      <c r="J121" s="466"/>
    </row>
    <row r="122" spans="1:13" ht="16.5" customHeight="1" x14ac:dyDescent="0.25">
      <c r="A122" s="581" t="s">
        <v>76</v>
      </c>
      <c r="B122" s="526"/>
      <c r="C122" s="526" t="s">
        <v>77</v>
      </c>
      <c r="D122" s="526"/>
      <c r="E122" s="532" t="s">
        <v>77</v>
      </c>
      <c r="F122" s="532"/>
      <c r="G122" s="525" t="s">
        <v>77</v>
      </c>
      <c r="H122" s="525"/>
      <c r="I122" s="525" t="s">
        <v>77</v>
      </c>
      <c r="J122" s="599"/>
      <c r="K122" s="4">
        <f>'$ TOTAL ATUAL'!D33</f>
        <v>-133463.52000000002</v>
      </c>
      <c r="M122" s="4">
        <f>'$ TOTAL ATUAL'!F33</f>
        <v>0</v>
      </c>
    </row>
    <row r="123" spans="1:13" x14ac:dyDescent="0.25">
      <c r="A123" s="223" t="s">
        <v>7</v>
      </c>
      <c r="B123" s="7" t="s">
        <v>78</v>
      </c>
      <c r="C123" s="518">
        <f>C32</f>
        <v>952.22</v>
      </c>
      <c r="D123" s="519"/>
      <c r="E123" s="522">
        <f>E32</f>
        <v>952.22</v>
      </c>
      <c r="F123" s="523"/>
      <c r="G123" s="522">
        <f>G32</f>
        <v>1052.2</v>
      </c>
      <c r="H123" s="523"/>
      <c r="I123" s="515">
        <f>I32</f>
        <v>1121.33</v>
      </c>
      <c r="J123" s="593"/>
    </row>
    <row r="124" spans="1:13" x14ac:dyDescent="0.25">
      <c r="A124" s="223" t="s">
        <v>9</v>
      </c>
      <c r="B124" s="7" t="s">
        <v>79</v>
      </c>
      <c r="C124" s="518">
        <f>C42</f>
        <v>652.685744</v>
      </c>
      <c r="D124" s="519"/>
      <c r="E124" s="522">
        <f>E42</f>
        <v>725.26349399999992</v>
      </c>
      <c r="F124" s="523"/>
      <c r="G124" s="522">
        <f>G42</f>
        <v>794.82425000000001</v>
      </c>
      <c r="H124" s="523"/>
      <c r="I124" s="515">
        <f>I42</f>
        <v>885.51769999999999</v>
      </c>
      <c r="J124" s="593"/>
    </row>
    <row r="125" spans="1:13" x14ac:dyDescent="0.25">
      <c r="A125" s="223" t="s">
        <v>11</v>
      </c>
      <c r="B125" s="235" t="s">
        <v>80</v>
      </c>
      <c r="C125" s="643">
        <f>C48</f>
        <v>42.984999999999999</v>
      </c>
      <c r="D125" s="644"/>
      <c r="E125" s="522">
        <f>E48</f>
        <v>42.984999999999999</v>
      </c>
      <c r="F125" s="523"/>
      <c r="G125" s="522">
        <f>G48</f>
        <v>42.984999999999999</v>
      </c>
      <c r="H125" s="523"/>
      <c r="I125" s="515">
        <f>I48</f>
        <v>42.99</v>
      </c>
      <c r="J125" s="593"/>
    </row>
    <row r="126" spans="1:13" x14ac:dyDescent="0.25">
      <c r="A126" s="223" t="s">
        <v>13</v>
      </c>
      <c r="B126" s="7" t="s">
        <v>64</v>
      </c>
      <c r="C126" s="518">
        <f>D105</f>
        <v>732.52457099376011</v>
      </c>
      <c r="D126" s="519"/>
      <c r="E126" s="522">
        <f>F105</f>
        <v>732.52457099376011</v>
      </c>
      <c r="F126" s="523"/>
      <c r="G126" s="522">
        <f>H105</f>
        <v>811.33008559280006</v>
      </c>
      <c r="H126" s="523"/>
      <c r="I126" s="515">
        <f>J105</f>
        <v>864.63482691291995</v>
      </c>
      <c r="J126" s="593"/>
    </row>
    <row r="127" spans="1:13" ht="15.75" customHeight="1" x14ac:dyDescent="0.25">
      <c r="A127" s="578" t="s">
        <v>81</v>
      </c>
      <c r="B127" s="533"/>
      <c r="C127" s="518">
        <f>SUM(C123:D126)</f>
        <v>2380.4153149937601</v>
      </c>
      <c r="D127" s="519"/>
      <c r="E127" s="522">
        <f>SUM(E123:F126)</f>
        <v>2452.9930649937601</v>
      </c>
      <c r="F127" s="523"/>
      <c r="G127" s="522">
        <f>SUM(G123:H126)</f>
        <v>2701.3393355928001</v>
      </c>
      <c r="H127" s="523"/>
      <c r="I127" s="515">
        <f>SUM(I123:J126)</f>
        <v>2914.4725269129194</v>
      </c>
      <c r="J127" s="593"/>
    </row>
    <row r="128" spans="1:13" x14ac:dyDescent="0.25">
      <c r="A128" s="223" t="s">
        <v>15</v>
      </c>
      <c r="B128" s="7" t="s">
        <v>82</v>
      </c>
      <c r="C128" s="518">
        <f>D116</f>
        <v>496.52428126848815</v>
      </c>
      <c r="D128" s="519"/>
      <c r="E128" s="522">
        <f>F116</f>
        <v>511.65328083623808</v>
      </c>
      <c r="F128" s="523"/>
      <c r="G128" s="522">
        <f>H116</f>
        <v>563.45339958148986</v>
      </c>
      <c r="H128" s="523"/>
      <c r="I128" s="515">
        <f>J116</f>
        <v>607.9131355510807</v>
      </c>
      <c r="J128" s="593"/>
    </row>
    <row r="129" spans="1:14" ht="18" customHeight="1" thickBot="1" x14ac:dyDescent="0.3">
      <c r="A129" s="574" t="s">
        <v>83</v>
      </c>
      <c r="B129" s="575"/>
      <c r="C129" s="576">
        <f>SUM(C127:C128)</f>
        <v>2876.9395962622484</v>
      </c>
      <c r="D129" s="577"/>
      <c r="E129" s="572">
        <f>SUM(E127:E128)</f>
        <v>2964.6463458299982</v>
      </c>
      <c r="F129" s="640"/>
      <c r="G129" s="572">
        <f>SUM(G127:G128)</f>
        <v>3264.7927351742901</v>
      </c>
      <c r="H129" s="640"/>
      <c r="I129" s="572">
        <f>SUM(I127:I128)</f>
        <v>3522.3856624640002</v>
      </c>
      <c r="J129" s="645"/>
    </row>
    <row r="130" spans="1:14" x14ac:dyDescent="0.25">
      <c r="L130" s="4"/>
      <c r="N130" s="4"/>
    </row>
  </sheetData>
  <mergeCells count="76">
    <mergeCell ref="I127:J127"/>
    <mergeCell ref="I128:J128"/>
    <mergeCell ref="I129:J129"/>
    <mergeCell ref="I9:J9"/>
    <mergeCell ref="A2:J2"/>
    <mergeCell ref="A3:J3"/>
    <mergeCell ref="A4:J4"/>
    <mergeCell ref="J45:J46"/>
    <mergeCell ref="A18:J18"/>
    <mergeCell ref="A49:J49"/>
    <mergeCell ref="A50:J50"/>
    <mergeCell ref="I122:J122"/>
    <mergeCell ref="I123:J123"/>
    <mergeCell ref="I124:J124"/>
    <mergeCell ref="I125:J125"/>
    <mergeCell ref="I126:J126"/>
    <mergeCell ref="A118:D118"/>
    <mergeCell ref="A117:D117"/>
    <mergeCell ref="A61:D61"/>
    <mergeCell ref="A62:D62"/>
    <mergeCell ref="A106:D106"/>
    <mergeCell ref="A119:D119"/>
    <mergeCell ref="A120:D120"/>
    <mergeCell ref="A122:B122"/>
    <mergeCell ref="C122:D122"/>
    <mergeCell ref="G129:H129"/>
    <mergeCell ref="C128:D128"/>
    <mergeCell ref="A129:B129"/>
    <mergeCell ref="C129:D129"/>
    <mergeCell ref="C123:D123"/>
    <mergeCell ref="C124:D124"/>
    <mergeCell ref="C125:D125"/>
    <mergeCell ref="C126:D126"/>
    <mergeCell ref="A127:B127"/>
    <mergeCell ref="C127:D127"/>
    <mergeCell ref="A84:D84"/>
    <mergeCell ref="A94:B94"/>
    <mergeCell ref="A105:B105"/>
    <mergeCell ref="A116:C116"/>
    <mergeCell ref="A96:J96"/>
    <mergeCell ref="A107:J107"/>
    <mergeCell ref="A69:B69"/>
    <mergeCell ref="A70:D70"/>
    <mergeCell ref="A74:B74"/>
    <mergeCell ref="A75:D75"/>
    <mergeCell ref="A83:B83"/>
    <mergeCell ref="A14:C14"/>
    <mergeCell ref="A15:B15"/>
    <mergeCell ref="A16:B16"/>
    <mergeCell ref="A23:C23"/>
    <mergeCell ref="A63:D63"/>
    <mergeCell ref="A1:J1"/>
    <mergeCell ref="E129:F129"/>
    <mergeCell ref="E123:F123"/>
    <mergeCell ref="E124:F124"/>
    <mergeCell ref="E125:F125"/>
    <mergeCell ref="E126:F126"/>
    <mergeCell ref="E127:F127"/>
    <mergeCell ref="A32:B32"/>
    <mergeCell ref="A48:B48"/>
    <mergeCell ref="A60:B60"/>
    <mergeCell ref="B5:C5"/>
    <mergeCell ref="A6:C6"/>
    <mergeCell ref="A8:C8"/>
    <mergeCell ref="A42:B42"/>
    <mergeCell ref="A43:C43"/>
    <mergeCell ref="A33:C33"/>
    <mergeCell ref="E128:F128"/>
    <mergeCell ref="G128:H128"/>
    <mergeCell ref="G122:H122"/>
    <mergeCell ref="G126:H126"/>
    <mergeCell ref="G127:H127"/>
    <mergeCell ref="E122:F122"/>
    <mergeCell ref="G123:H123"/>
    <mergeCell ref="G124:H124"/>
    <mergeCell ref="G125:H125"/>
  </mergeCells>
  <printOptions horizontalCentered="1"/>
  <pageMargins left="0.9055118110236221" right="0.78740157480314965" top="0.78740157480314965" bottom="0.98425196850393704" header="0.31496062992125984" footer="0.31496062992125984"/>
  <pageSetup paperSize="9" scale="55" fitToHeight="0" orientation="portrait" horizontalDpi="4294967295" verticalDpi="4294967295" r:id="rId1"/>
  <rowBreaks count="1" manualBreakCount="1">
    <brk id="78" max="9" man="1"/>
  </rowBreaks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0"/>
  <sheetViews>
    <sheetView view="pageBreakPreview" zoomScale="80" zoomScaleNormal="100" zoomScaleSheetLayoutView="80" workbookViewId="0">
      <selection activeCell="B35" sqref="B35:B36"/>
    </sheetView>
  </sheetViews>
  <sheetFormatPr defaultRowHeight="15" x14ac:dyDescent="0.25"/>
  <cols>
    <col min="1" max="1" width="14.28515625" style="54" customWidth="1"/>
    <col min="2" max="2" width="58" style="54" customWidth="1"/>
    <col min="3" max="3" width="22" style="54" hidden="1" customWidth="1"/>
    <col min="4" max="6" width="23.140625" style="54" hidden="1" customWidth="1"/>
    <col min="7" max="7" width="22" style="54" customWidth="1"/>
    <col min="8" max="8" width="20.42578125" style="54" customWidth="1"/>
    <col min="9" max="9" width="22" style="370" customWidth="1"/>
    <col min="10" max="10" width="20.42578125" style="370" customWidth="1"/>
    <col min="11" max="11" width="17.85546875" customWidth="1"/>
    <col min="12" max="12" width="9.7109375" bestFit="1" customWidth="1"/>
    <col min="13" max="13" width="17.85546875" customWidth="1"/>
    <col min="14" max="14" width="9.7109375" bestFit="1" customWidth="1"/>
  </cols>
  <sheetData>
    <row r="1" spans="1:10" ht="21" customHeight="1" x14ac:dyDescent="0.25">
      <c r="A1" s="623" t="s">
        <v>337</v>
      </c>
      <c r="B1" s="624"/>
      <c r="C1" s="624"/>
      <c r="D1" s="624"/>
      <c r="E1" s="624"/>
      <c r="F1" s="624"/>
      <c r="G1" s="624"/>
      <c r="H1" s="624"/>
      <c r="I1" s="624"/>
      <c r="J1" s="625"/>
    </row>
    <row r="2" spans="1:10" x14ac:dyDescent="0.25">
      <c r="A2" s="626"/>
      <c r="B2" s="524"/>
      <c r="C2" s="524"/>
      <c r="D2" s="524"/>
      <c r="E2" s="524"/>
      <c r="F2" s="524"/>
      <c r="G2" s="524"/>
      <c r="H2" s="524"/>
      <c r="I2" s="524"/>
      <c r="J2" s="627"/>
    </row>
    <row r="3" spans="1:10" ht="21" customHeight="1" x14ac:dyDescent="0.25">
      <c r="A3" s="602" t="s">
        <v>505</v>
      </c>
      <c r="B3" s="603"/>
      <c r="C3" s="603"/>
      <c r="D3" s="603"/>
      <c r="E3" s="603"/>
      <c r="F3" s="603"/>
      <c r="G3" s="603"/>
      <c r="H3" s="603"/>
      <c r="I3" s="603"/>
      <c r="J3" s="604"/>
    </row>
    <row r="4" spans="1:10" ht="15" customHeight="1" x14ac:dyDescent="0.25">
      <c r="A4" s="605" t="s">
        <v>112</v>
      </c>
      <c r="B4" s="606"/>
      <c r="C4" s="606"/>
      <c r="D4" s="606"/>
      <c r="E4" s="606"/>
      <c r="F4" s="606"/>
      <c r="G4" s="606"/>
      <c r="H4" s="606"/>
      <c r="I4" s="606"/>
      <c r="J4" s="607"/>
    </row>
    <row r="5" spans="1:10" x14ac:dyDescent="0.25">
      <c r="A5" s="231" t="s">
        <v>84</v>
      </c>
      <c r="B5" s="533" t="s">
        <v>113</v>
      </c>
      <c r="C5" s="533"/>
      <c r="D5" s="3"/>
      <c r="E5" s="3"/>
      <c r="F5" s="3"/>
      <c r="G5" s="3"/>
      <c r="H5" s="3"/>
      <c r="I5" s="389"/>
      <c r="J5" s="457"/>
    </row>
    <row r="6" spans="1:10" x14ac:dyDescent="0.25">
      <c r="A6" s="590" t="s">
        <v>114</v>
      </c>
      <c r="B6" s="553"/>
      <c r="C6" s="553"/>
      <c r="D6" s="3"/>
      <c r="E6" s="3"/>
      <c r="F6" s="3"/>
      <c r="G6" s="3"/>
      <c r="H6" s="3"/>
      <c r="I6" s="389"/>
      <c r="J6" s="457"/>
    </row>
    <row r="7" spans="1:10" x14ac:dyDescent="0.25">
      <c r="A7" s="387"/>
      <c r="B7" s="384"/>
      <c r="C7" s="384"/>
      <c r="D7" s="3"/>
      <c r="E7" s="3"/>
      <c r="F7" s="3"/>
      <c r="G7" s="384"/>
      <c r="H7" s="3"/>
      <c r="I7" s="391"/>
      <c r="J7" s="457"/>
    </row>
    <row r="8" spans="1:10" x14ac:dyDescent="0.25">
      <c r="A8" s="618" t="s">
        <v>85</v>
      </c>
      <c r="B8" s="554"/>
      <c r="C8" s="554"/>
      <c r="D8" s="3"/>
      <c r="E8" s="3"/>
      <c r="F8" s="3"/>
      <c r="G8" s="3"/>
      <c r="H8" s="3"/>
      <c r="I8" s="389"/>
      <c r="J8" s="457"/>
    </row>
    <row r="9" spans="1:10" x14ac:dyDescent="0.25">
      <c r="A9" s="221" t="s">
        <v>7</v>
      </c>
      <c r="B9" s="7" t="s">
        <v>115</v>
      </c>
      <c r="C9" s="232">
        <v>42227</v>
      </c>
      <c r="D9" s="48"/>
      <c r="E9" s="232">
        <v>42283</v>
      </c>
      <c r="F9" s="3"/>
      <c r="G9" s="332">
        <v>42423</v>
      </c>
      <c r="H9" s="343"/>
      <c r="I9" s="597">
        <v>42815</v>
      </c>
      <c r="J9" s="598"/>
    </row>
    <row r="10" spans="1:10" x14ac:dyDescent="0.25">
      <c r="A10" s="221" t="s">
        <v>9</v>
      </c>
      <c r="B10" s="7" t="s">
        <v>86</v>
      </c>
      <c r="C10" s="2" t="s">
        <v>87</v>
      </c>
      <c r="D10" s="48"/>
      <c r="E10" s="2" t="s">
        <v>87</v>
      </c>
      <c r="F10" s="3"/>
      <c r="G10" s="333" t="s">
        <v>87</v>
      </c>
      <c r="H10" s="343"/>
      <c r="I10" s="364" t="s">
        <v>87</v>
      </c>
      <c r="J10" s="383"/>
    </row>
    <row r="11" spans="1:10" ht="30" x14ac:dyDescent="0.25">
      <c r="A11" s="221" t="s">
        <v>11</v>
      </c>
      <c r="B11" s="7" t="s">
        <v>116</v>
      </c>
      <c r="C11" s="2" t="s">
        <v>117</v>
      </c>
      <c r="D11" s="3"/>
      <c r="E11" s="238" t="s">
        <v>498</v>
      </c>
      <c r="F11" s="3"/>
      <c r="G11" s="334" t="s">
        <v>538</v>
      </c>
      <c r="H11" s="343"/>
      <c r="I11" s="367" t="s">
        <v>538</v>
      </c>
      <c r="J11" s="383"/>
    </row>
    <row r="12" spans="1:10" x14ac:dyDescent="0.25">
      <c r="A12" s="221" t="s">
        <v>13</v>
      </c>
      <c r="B12" s="7" t="s">
        <v>88</v>
      </c>
      <c r="C12" s="2" t="s">
        <v>89</v>
      </c>
      <c r="D12" s="3"/>
      <c r="E12" s="2" t="s">
        <v>89</v>
      </c>
      <c r="F12" s="3"/>
      <c r="G12" s="333" t="s">
        <v>89</v>
      </c>
      <c r="H12" s="343"/>
      <c r="I12" s="364" t="s">
        <v>89</v>
      </c>
      <c r="J12" s="383"/>
    </row>
    <row r="13" spans="1:10" x14ac:dyDescent="0.25">
      <c r="A13" s="387"/>
      <c r="B13" s="384"/>
      <c r="C13" s="384"/>
      <c r="D13" s="3"/>
      <c r="E13" s="3"/>
      <c r="F13" s="3"/>
      <c r="G13" s="394"/>
      <c r="H13" s="343"/>
      <c r="I13" s="395"/>
      <c r="J13" s="383"/>
    </row>
    <row r="14" spans="1:10" x14ac:dyDescent="0.25">
      <c r="A14" s="580" t="s">
        <v>90</v>
      </c>
      <c r="B14" s="528"/>
      <c r="C14" s="528"/>
      <c r="D14" s="3"/>
      <c r="E14" s="3"/>
      <c r="F14" s="3"/>
      <c r="G14" s="343"/>
      <c r="H14" s="343"/>
      <c r="I14" s="393"/>
      <c r="J14" s="383"/>
    </row>
    <row r="15" spans="1:10" ht="61.5" customHeight="1" x14ac:dyDescent="0.25">
      <c r="A15" s="578" t="s">
        <v>91</v>
      </c>
      <c r="B15" s="533"/>
      <c r="C15" s="5" t="s">
        <v>92</v>
      </c>
      <c r="D15" s="5" t="s">
        <v>93</v>
      </c>
      <c r="E15" s="5" t="s">
        <v>92</v>
      </c>
      <c r="F15" s="5" t="s">
        <v>93</v>
      </c>
      <c r="G15" s="334" t="s">
        <v>92</v>
      </c>
      <c r="H15" s="334" t="s">
        <v>93</v>
      </c>
      <c r="I15" s="367" t="s">
        <v>92</v>
      </c>
      <c r="J15" s="368" t="s">
        <v>93</v>
      </c>
    </row>
    <row r="16" spans="1:10" ht="19.5" customHeight="1" x14ac:dyDescent="0.25">
      <c r="A16" s="584" t="s">
        <v>319</v>
      </c>
      <c r="B16" s="535"/>
      <c r="C16" s="2" t="s">
        <v>204</v>
      </c>
      <c r="D16" s="2" t="s">
        <v>205</v>
      </c>
      <c r="E16" s="2" t="s">
        <v>204</v>
      </c>
      <c r="F16" s="2" t="s">
        <v>205</v>
      </c>
      <c r="G16" s="333" t="s">
        <v>204</v>
      </c>
      <c r="H16" s="333" t="s">
        <v>205</v>
      </c>
      <c r="I16" s="364" t="s">
        <v>204</v>
      </c>
      <c r="J16" s="369" t="s">
        <v>205</v>
      </c>
    </row>
    <row r="17" spans="1:10" x14ac:dyDescent="0.25">
      <c r="A17" s="628"/>
      <c r="B17" s="629"/>
      <c r="C17" s="629"/>
      <c r="D17" s="629"/>
      <c r="E17" s="629"/>
      <c r="F17" s="629"/>
      <c r="G17" s="629"/>
      <c r="H17" s="629"/>
      <c r="I17" s="629"/>
      <c r="J17" s="630"/>
    </row>
    <row r="18" spans="1:10" x14ac:dyDescent="0.25">
      <c r="A18" s="581" t="s">
        <v>0</v>
      </c>
      <c r="B18" s="526"/>
      <c r="C18" s="526"/>
      <c r="D18" s="355"/>
      <c r="E18" s="355"/>
      <c r="F18" s="355"/>
      <c r="G18" s="425"/>
      <c r="H18" s="425"/>
      <c r="I18" s="425"/>
      <c r="J18" s="450"/>
    </row>
    <row r="19" spans="1:10" x14ac:dyDescent="0.25">
      <c r="A19" s="223">
        <v>1</v>
      </c>
      <c r="B19" s="224" t="s">
        <v>1</v>
      </c>
      <c r="C19" s="2" t="str">
        <f>A16</f>
        <v>CARREGADOR</v>
      </c>
      <c r="D19" s="3"/>
      <c r="E19" s="3" t="s">
        <v>545</v>
      </c>
      <c r="F19" s="3"/>
      <c r="G19" s="333" t="str">
        <f>C19</f>
        <v>CARREGADOR</v>
      </c>
      <c r="H19" s="343"/>
      <c r="I19" s="364" t="str">
        <f>E19</f>
        <v xml:space="preserve">CARREGADOR </v>
      </c>
      <c r="J19" s="383"/>
    </row>
    <row r="20" spans="1:10" x14ac:dyDescent="0.25">
      <c r="A20" s="223">
        <v>2</v>
      </c>
      <c r="B20" s="224" t="s">
        <v>2</v>
      </c>
      <c r="C20" s="222">
        <v>952.22</v>
      </c>
      <c r="D20" s="3"/>
      <c r="E20" s="222">
        <v>952.22</v>
      </c>
      <c r="F20" s="3"/>
      <c r="G20" s="335">
        <v>1052.2</v>
      </c>
      <c r="H20" s="343"/>
      <c r="I20" s="365">
        <v>1121.33</v>
      </c>
      <c r="J20" s="383"/>
    </row>
    <row r="21" spans="1:10" x14ac:dyDescent="0.25">
      <c r="A21" s="223">
        <v>3</v>
      </c>
      <c r="B21" s="224" t="s">
        <v>118</v>
      </c>
      <c r="C21" s="2" t="str">
        <f>A16</f>
        <v>CARREGADOR</v>
      </c>
      <c r="D21" s="3"/>
      <c r="E21" s="3" t="s">
        <v>319</v>
      </c>
      <c r="F21" s="3"/>
      <c r="G21" s="333" t="str">
        <f>C19</f>
        <v>CARREGADOR</v>
      </c>
      <c r="H21" s="343"/>
      <c r="I21" s="364" t="str">
        <f>E19</f>
        <v xml:space="preserve">CARREGADOR </v>
      </c>
      <c r="J21" s="383"/>
    </row>
    <row r="22" spans="1:10" x14ac:dyDescent="0.25">
      <c r="A22" s="223">
        <v>4</v>
      </c>
      <c r="B22" s="224" t="s">
        <v>3</v>
      </c>
      <c r="C22" s="232">
        <v>42005</v>
      </c>
      <c r="D22" s="3"/>
      <c r="E22" s="3"/>
      <c r="F22" s="3"/>
      <c r="G22" s="332"/>
      <c r="H22" s="343"/>
      <c r="I22" s="366"/>
      <c r="J22" s="383"/>
    </row>
    <row r="23" spans="1:10" ht="18.75" x14ac:dyDescent="0.25">
      <c r="A23" s="579" t="s">
        <v>4</v>
      </c>
      <c r="B23" s="534"/>
      <c r="C23" s="534"/>
      <c r="D23" s="3"/>
      <c r="E23" s="3"/>
      <c r="F23" s="3"/>
      <c r="G23" s="343"/>
      <c r="H23" s="343"/>
      <c r="I23" s="393"/>
      <c r="J23" s="383"/>
    </row>
    <row r="24" spans="1:10" x14ac:dyDescent="0.25">
      <c r="A24" s="451">
        <v>1</v>
      </c>
      <c r="B24" s="426" t="s">
        <v>5</v>
      </c>
      <c r="C24" s="426" t="s">
        <v>6</v>
      </c>
      <c r="D24" s="355"/>
      <c r="E24" s="426" t="s">
        <v>6</v>
      </c>
      <c r="F24" s="355"/>
      <c r="G24" s="427" t="s">
        <v>6</v>
      </c>
      <c r="H24" s="425"/>
      <c r="I24" s="427" t="s">
        <v>6</v>
      </c>
      <c r="J24" s="450"/>
    </row>
    <row r="25" spans="1:10" x14ac:dyDescent="0.25">
      <c r="A25" s="221" t="s">
        <v>7</v>
      </c>
      <c r="B25" s="7" t="s">
        <v>8</v>
      </c>
      <c r="C25" s="8">
        <f>C20</f>
        <v>952.22</v>
      </c>
      <c r="D25" s="3"/>
      <c r="E25" s="8">
        <f>E20</f>
        <v>952.22</v>
      </c>
      <c r="F25" s="3"/>
      <c r="G25" s="327">
        <f>G20</f>
        <v>1052.2</v>
      </c>
      <c r="H25" s="343"/>
      <c r="I25" s="362">
        <f>I20</f>
        <v>1121.33</v>
      </c>
      <c r="J25" s="383"/>
    </row>
    <row r="26" spans="1:10" x14ac:dyDescent="0.25">
      <c r="A26" s="221" t="s">
        <v>9</v>
      </c>
      <c r="B26" s="7" t="s">
        <v>10</v>
      </c>
      <c r="C26" s="8"/>
      <c r="D26" s="3"/>
      <c r="E26" s="8"/>
      <c r="F26" s="3"/>
      <c r="G26" s="327"/>
      <c r="H26" s="343"/>
      <c r="I26" s="362"/>
      <c r="J26" s="383"/>
    </row>
    <row r="27" spans="1:10" x14ac:dyDescent="0.25">
      <c r="A27" s="221" t="s">
        <v>11</v>
      </c>
      <c r="B27" s="7" t="s">
        <v>12</v>
      </c>
      <c r="C27" s="8"/>
      <c r="D27" s="3"/>
      <c r="E27" s="8"/>
      <c r="F27" s="3"/>
      <c r="G27" s="327"/>
      <c r="H27" s="343"/>
      <c r="I27" s="362"/>
      <c r="J27" s="383"/>
    </row>
    <row r="28" spans="1:10" x14ac:dyDescent="0.25">
      <c r="A28" s="221" t="s">
        <v>13</v>
      </c>
      <c r="B28" s="7" t="s">
        <v>14</v>
      </c>
      <c r="C28" s="8"/>
      <c r="D28" s="3"/>
      <c r="E28" s="8"/>
      <c r="F28" s="3"/>
      <c r="G28" s="327"/>
      <c r="H28" s="343"/>
      <c r="I28" s="362"/>
      <c r="J28" s="383"/>
    </row>
    <row r="29" spans="1:10" x14ac:dyDescent="0.25">
      <c r="A29" s="221" t="s">
        <v>15</v>
      </c>
      <c r="B29" s="7" t="s">
        <v>16</v>
      </c>
      <c r="C29" s="8"/>
      <c r="D29" s="3"/>
      <c r="E29" s="8"/>
      <c r="F29" s="3"/>
      <c r="G29" s="327"/>
      <c r="H29" s="343"/>
      <c r="I29" s="362"/>
      <c r="J29" s="383"/>
    </row>
    <row r="30" spans="1:10" x14ac:dyDescent="0.25">
      <c r="A30" s="221" t="s">
        <v>17</v>
      </c>
      <c r="B30" s="7" t="s">
        <v>18</v>
      </c>
      <c r="C30" s="8"/>
      <c r="D30" s="3"/>
      <c r="E30" s="8"/>
      <c r="F30" s="3"/>
      <c r="G30" s="327"/>
      <c r="H30" s="343"/>
      <c r="I30" s="362"/>
      <c r="J30" s="383"/>
    </row>
    <row r="31" spans="1:10" x14ac:dyDescent="0.25">
      <c r="A31" s="221" t="s">
        <v>19</v>
      </c>
      <c r="B31" s="7" t="s">
        <v>21</v>
      </c>
      <c r="C31" s="8"/>
      <c r="D31" s="3"/>
      <c r="E31" s="8"/>
      <c r="F31" s="3"/>
      <c r="G31" s="327"/>
      <c r="H31" s="343"/>
      <c r="I31" s="362"/>
      <c r="J31" s="383"/>
    </row>
    <row r="32" spans="1:10" x14ac:dyDescent="0.25">
      <c r="A32" s="581" t="s">
        <v>22</v>
      </c>
      <c r="B32" s="526"/>
      <c r="C32" s="428">
        <f>SUM(C25:C31)</f>
        <v>952.22</v>
      </c>
      <c r="D32" s="355"/>
      <c r="E32" s="428">
        <f>SUM(E25:E31)</f>
        <v>952.22</v>
      </c>
      <c r="F32" s="355"/>
      <c r="G32" s="429">
        <f>SUM(G25:G31)</f>
        <v>1052.2</v>
      </c>
      <c r="H32" s="425"/>
      <c r="I32" s="429">
        <f>SUM(I25:I31)</f>
        <v>1121.33</v>
      </c>
      <c r="J32" s="450"/>
    </row>
    <row r="33" spans="1:14" ht="18.75" x14ac:dyDescent="0.25">
      <c r="A33" s="579" t="s">
        <v>23</v>
      </c>
      <c r="B33" s="534"/>
      <c r="C33" s="534"/>
      <c r="D33" s="3"/>
      <c r="E33" s="3"/>
      <c r="F33" s="3"/>
      <c r="G33" s="343"/>
      <c r="H33" s="343"/>
      <c r="I33" s="393"/>
      <c r="J33" s="383"/>
    </row>
    <row r="34" spans="1:14" x14ac:dyDescent="0.25">
      <c r="A34" s="451">
        <v>2</v>
      </c>
      <c r="B34" s="426" t="s">
        <v>24</v>
      </c>
      <c r="C34" s="426" t="s">
        <v>6</v>
      </c>
      <c r="D34" s="355"/>
      <c r="E34" s="426" t="s">
        <v>6</v>
      </c>
      <c r="F34" s="355"/>
      <c r="G34" s="427" t="s">
        <v>6</v>
      </c>
      <c r="H34" s="425"/>
      <c r="I34" s="427" t="s">
        <v>6</v>
      </c>
      <c r="J34" s="450"/>
    </row>
    <row r="35" spans="1:14" x14ac:dyDescent="0.25">
      <c r="A35" s="221" t="s">
        <v>7</v>
      </c>
      <c r="B35" s="509" t="s">
        <v>564</v>
      </c>
      <c r="C35" s="53">
        <f>K35-L35</f>
        <v>129.49529999999999</v>
      </c>
      <c r="D35" s="3"/>
      <c r="E35" s="53">
        <f>M35-N35</f>
        <v>202.07305000000002</v>
      </c>
      <c r="F35" s="3"/>
      <c r="G35" s="337">
        <f>(20.7365*12.5)-G25*6%</f>
        <v>196.07425000000001</v>
      </c>
      <c r="H35" s="343"/>
      <c r="I35" s="363">
        <f>(20.7365*15)-I25*6%</f>
        <v>243.76770000000002</v>
      </c>
      <c r="J35" s="383"/>
      <c r="K35" s="174">
        <f>9*20.7365</f>
        <v>186.6285</v>
      </c>
      <c r="L35" s="4">
        <f>C20*6%</f>
        <v>57.133200000000002</v>
      </c>
      <c r="M35" s="174">
        <f>12.5*20.7365</f>
        <v>259.20625000000001</v>
      </c>
      <c r="N35" s="4">
        <f>E20*6%</f>
        <v>57.133200000000002</v>
      </c>
    </row>
    <row r="36" spans="1:14" x14ac:dyDescent="0.25">
      <c r="A36" s="221" t="s">
        <v>9</v>
      </c>
      <c r="B36" s="509" t="s">
        <v>565</v>
      </c>
      <c r="C36" s="8">
        <f>24*21.5</f>
        <v>516</v>
      </c>
      <c r="D36" s="3"/>
      <c r="E36" s="8">
        <f>24*21.5</f>
        <v>516</v>
      </c>
      <c r="F36" s="3"/>
      <c r="G36" s="338">
        <f>27.5*21.5</f>
        <v>591.25</v>
      </c>
      <c r="H36" s="343"/>
      <c r="I36" s="362">
        <f>29.5*21.5</f>
        <v>634.25</v>
      </c>
      <c r="J36" s="383"/>
      <c r="K36" t="s">
        <v>462</v>
      </c>
      <c r="M36" t="s">
        <v>462</v>
      </c>
    </row>
    <row r="37" spans="1:14" x14ac:dyDescent="0.25">
      <c r="A37" s="221" t="s">
        <v>11</v>
      </c>
      <c r="B37" s="340" t="s">
        <v>25</v>
      </c>
      <c r="C37" s="8">
        <v>0</v>
      </c>
      <c r="D37" s="3"/>
      <c r="E37" s="8">
        <v>0</v>
      </c>
      <c r="F37" s="3"/>
      <c r="G37" s="338">
        <v>0</v>
      </c>
      <c r="H37" s="343"/>
      <c r="I37" s="362">
        <v>0</v>
      </c>
      <c r="J37" s="383"/>
    </row>
    <row r="38" spans="1:14" x14ac:dyDescent="0.25">
      <c r="A38" s="221" t="s">
        <v>13</v>
      </c>
      <c r="B38" s="340" t="s">
        <v>94</v>
      </c>
      <c r="C38" s="8"/>
      <c r="D38" s="3"/>
      <c r="E38" s="8"/>
      <c r="F38" s="3"/>
      <c r="G38" s="337"/>
      <c r="H38" s="343"/>
      <c r="I38" s="363"/>
      <c r="J38" s="383"/>
    </row>
    <row r="39" spans="1:14" x14ac:dyDescent="0.25">
      <c r="A39" s="221" t="s">
        <v>15</v>
      </c>
      <c r="B39" s="340" t="s">
        <v>119</v>
      </c>
      <c r="C39" s="8">
        <v>2.5</v>
      </c>
      <c r="D39" s="3"/>
      <c r="E39" s="8">
        <v>2.5</v>
      </c>
      <c r="F39" s="3"/>
      <c r="G39" s="338">
        <v>2.5</v>
      </c>
      <c r="H39" s="343"/>
      <c r="I39" s="362">
        <v>2.5</v>
      </c>
      <c r="J39" s="383"/>
    </row>
    <row r="40" spans="1:14" x14ac:dyDescent="0.25">
      <c r="A40" s="221" t="s">
        <v>17</v>
      </c>
      <c r="B40" s="340" t="s">
        <v>120</v>
      </c>
      <c r="C40" s="8">
        <f>C32*C88</f>
        <v>0.190444</v>
      </c>
      <c r="D40" s="3"/>
      <c r="E40" s="8">
        <f>E32*E88</f>
        <v>0.190444</v>
      </c>
      <c r="F40" s="3"/>
      <c r="G40" s="338"/>
      <c r="H40" s="343"/>
      <c r="I40" s="362"/>
      <c r="J40" s="383"/>
    </row>
    <row r="41" spans="1:14" x14ac:dyDescent="0.25">
      <c r="A41" s="221" t="s">
        <v>19</v>
      </c>
      <c r="B41" s="340" t="s">
        <v>121</v>
      </c>
      <c r="C41" s="8">
        <v>4.5</v>
      </c>
      <c r="D41" s="3"/>
      <c r="E41" s="8">
        <v>4.5</v>
      </c>
      <c r="F41" s="3"/>
      <c r="G41" s="338">
        <v>5</v>
      </c>
      <c r="H41" s="343"/>
      <c r="I41" s="362">
        <v>5</v>
      </c>
      <c r="J41" s="383"/>
    </row>
    <row r="42" spans="1:14" x14ac:dyDescent="0.25">
      <c r="A42" s="581" t="s">
        <v>26</v>
      </c>
      <c r="B42" s="526"/>
      <c r="C42" s="428">
        <f>SUM(C35:C41)</f>
        <v>652.685744</v>
      </c>
      <c r="D42" s="355"/>
      <c r="E42" s="428">
        <f>SUM(E35:E41)</f>
        <v>725.26349399999992</v>
      </c>
      <c r="F42" s="355"/>
      <c r="G42" s="429">
        <f>SUM(G35:G41)</f>
        <v>794.82425000000001</v>
      </c>
      <c r="H42" s="425"/>
      <c r="I42" s="429">
        <f>SUM(I35:I41)</f>
        <v>885.51769999999999</v>
      </c>
      <c r="J42" s="450"/>
    </row>
    <row r="43" spans="1:14" ht="18.75" customHeight="1" x14ac:dyDescent="0.25">
      <c r="A43" s="621" t="s">
        <v>122</v>
      </c>
      <c r="B43" s="622"/>
      <c r="C43" s="622"/>
      <c r="D43" s="622"/>
      <c r="E43" s="622"/>
      <c r="F43" s="622"/>
      <c r="G43" s="622"/>
      <c r="H43" s="622"/>
      <c r="I43" s="622"/>
      <c r="J43" s="647"/>
    </row>
    <row r="44" spans="1:14" x14ac:dyDescent="0.25">
      <c r="A44" s="451">
        <v>3</v>
      </c>
      <c r="B44" s="426" t="s">
        <v>27</v>
      </c>
      <c r="C44" s="426" t="s">
        <v>6</v>
      </c>
      <c r="D44" s="355"/>
      <c r="E44" s="426" t="s">
        <v>6</v>
      </c>
      <c r="F44" s="355"/>
      <c r="G44" s="427" t="s">
        <v>6</v>
      </c>
      <c r="H44" s="425"/>
      <c r="I44" s="427" t="s">
        <v>6</v>
      </c>
      <c r="J44" s="450"/>
    </row>
    <row r="45" spans="1:14" ht="15" customHeight="1" x14ac:dyDescent="0.25">
      <c r="A45" s="221" t="s">
        <v>7</v>
      </c>
      <c r="B45" s="340" t="s">
        <v>28</v>
      </c>
      <c r="C45" s="8">
        <f>UNIFORMES!H8</f>
        <v>24.433333333333334</v>
      </c>
      <c r="D45" s="3"/>
      <c r="E45" s="8">
        <f>UNIFORMES!H8</f>
        <v>24.433333333333334</v>
      </c>
      <c r="F45" s="3"/>
      <c r="G45" s="338">
        <f>UNIFORMES!H8</f>
        <v>24.433333333333334</v>
      </c>
      <c r="H45" s="343"/>
      <c r="I45" s="362">
        <v>24.43</v>
      </c>
      <c r="J45" s="611" t="s">
        <v>553</v>
      </c>
    </row>
    <row r="46" spans="1:14" x14ac:dyDescent="0.25">
      <c r="A46" s="221" t="s">
        <v>9</v>
      </c>
      <c r="B46" s="340" t="s">
        <v>123</v>
      </c>
      <c r="C46" s="8">
        <v>0</v>
      </c>
      <c r="D46" s="64"/>
      <c r="E46" s="8">
        <f>C46</f>
        <v>0</v>
      </c>
      <c r="F46" s="64"/>
      <c r="G46" s="338">
        <f>E46</f>
        <v>0</v>
      </c>
      <c r="H46" s="400"/>
      <c r="I46" s="362">
        <f>G46</f>
        <v>0</v>
      </c>
      <c r="J46" s="612"/>
      <c r="K46" s="4"/>
      <c r="M46" s="4"/>
    </row>
    <row r="47" spans="1:14" ht="30" x14ac:dyDescent="0.25">
      <c r="A47" s="221" t="s">
        <v>11</v>
      </c>
      <c r="B47" s="341" t="s">
        <v>506</v>
      </c>
      <c r="C47" s="233">
        <v>3</v>
      </c>
      <c r="D47" s="3"/>
      <c r="E47" s="8">
        <f>C47</f>
        <v>3</v>
      </c>
      <c r="F47" s="3"/>
      <c r="G47" s="338">
        <f>E47</f>
        <v>3</v>
      </c>
      <c r="H47" s="343"/>
      <c r="I47" s="362">
        <f>G47</f>
        <v>3</v>
      </c>
      <c r="J47" s="383"/>
      <c r="K47" s="57" t="s">
        <v>316</v>
      </c>
      <c r="M47" s="57" t="s">
        <v>316</v>
      </c>
    </row>
    <row r="48" spans="1:14" x14ac:dyDescent="0.25">
      <c r="A48" s="581" t="s">
        <v>29</v>
      </c>
      <c r="B48" s="526"/>
      <c r="C48" s="428">
        <f>SUM(C45:C47)</f>
        <v>27.433333333333334</v>
      </c>
      <c r="D48" s="355"/>
      <c r="E48" s="428">
        <f>SUM(E45:E47)</f>
        <v>27.433333333333334</v>
      </c>
      <c r="F48" s="355"/>
      <c r="G48" s="429">
        <f>SUM(G45:G47)</f>
        <v>27.433333333333334</v>
      </c>
      <c r="H48" s="425"/>
      <c r="I48" s="429">
        <f>SUM(I45:I47)</f>
        <v>27.43</v>
      </c>
      <c r="J48" s="450"/>
    </row>
    <row r="49" spans="1:10" ht="18.75" x14ac:dyDescent="0.25">
      <c r="A49" s="439" t="s">
        <v>30</v>
      </c>
      <c r="B49" s="401"/>
      <c r="C49" s="401"/>
      <c r="D49" s="401"/>
      <c r="E49" s="401"/>
      <c r="F49" s="401"/>
      <c r="G49" s="401"/>
      <c r="H49" s="401"/>
      <c r="I49" s="401"/>
      <c r="J49" s="484"/>
    </row>
    <row r="50" spans="1:10" ht="18.75" x14ac:dyDescent="0.25">
      <c r="A50" s="579" t="s">
        <v>95</v>
      </c>
      <c r="B50" s="534"/>
      <c r="C50" s="534"/>
      <c r="D50" s="534"/>
      <c r="E50" s="534"/>
      <c r="F50" s="534"/>
      <c r="G50" s="534"/>
      <c r="H50" s="534"/>
      <c r="I50" s="534"/>
      <c r="J50" s="646"/>
    </row>
    <row r="51" spans="1:10" x14ac:dyDescent="0.25">
      <c r="A51" s="451" t="s">
        <v>31</v>
      </c>
      <c r="B51" s="426" t="s">
        <v>32</v>
      </c>
      <c r="C51" s="426" t="s">
        <v>33</v>
      </c>
      <c r="D51" s="426" t="s">
        <v>6</v>
      </c>
      <c r="E51" s="426" t="s">
        <v>33</v>
      </c>
      <c r="F51" s="426" t="s">
        <v>6</v>
      </c>
      <c r="G51" s="427" t="s">
        <v>33</v>
      </c>
      <c r="H51" s="427" t="s">
        <v>6</v>
      </c>
      <c r="I51" s="427" t="s">
        <v>33</v>
      </c>
      <c r="J51" s="452" t="s">
        <v>6</v>
      </c>
    </row>
    <row r="52" spans="1:10" x14ac:dyDescent="0.25">
      <c r="A52" s="223" t="s">
        <v>7</v>
      </c>
      <c r="B52" s="7" t="s">
        <v>34</v>
      </c>
      <c r="C52" s="9">
        <v>0.2</v>
      </c>
      <c r="D52" s="8">
        <f t="shared" ref="D52:D59" si="0">C52*$C$32</f>
        <v>190.44400000000002</v>
      </c>
      <c r="E52" s="9">
        <v>0.2</v>
      </c>
      <c r="F52" s="8">
        <f t="shared" ref="F52:F59" si="1">E52*$E$32</f>
        <v>190.44400000000002</v>
      </c>
      <c r="G52" s="313">
        <v>0.2</v>
      </c>
      <c r="H52" s="327">
        <f t="shared" ref="H52:H59" si="2">G52*$G$32</f>
        <v>210.44000000000003</v>
      </c>
      <c r="I52" s="372">
        <v>0.2</v>
      </c>
      <c r="J52" s="375">
        <f>I52*$I$32</f>
        <v>224.26599999999999</v>
      </c>
    </row>
    <row r="53" spans="1:10" x14ac:dyDescent="0.25">
      <c r="A53" s="223" t="s">
        <v>9</v>
      </c>
      <c r="B53" s="7" t="s">
        <v>35</v>
      </c>
      <c r="C53" s="9">
        <v>1.4999999999999999E-2</v>
      </c>
      <c r="D53" s="8">
        <f t="shared" si="0"/>
        <v>14.283300000000001</v>
      </c>
      <c r="E53" s="9">
        <v>1.4999999999999999E-2</v>
      </c>
      <c r="F53" s="8">
        <f t="shared" si="1"/>
        <v>14.283300000000001</v>
      </c>
      <c r="G53" s="313">
        <v>1.4999999999999999E-2</v>
      </c>
      <c r="H53" s="327">
        <f t="shared" si="2"/>
        <v>15.782999999999999</v>
      </c>
      <c r="I53" s="372">
        <v>1.4999999999999999E-2</v>
      </c>
      <c r="J53" s="375">
        <f t="shared" ref="J53:J59" si="3">I53*$I$32</f>
        <v>16.819949999999999</v>
      </c>
    </row>
    <row r="54" spans="1:10" x14ac:dyDescent="0.25">
      <c r="A54" s="223" t="s">
        <v>11</v>
      </c>
      <c r="B54" s="7" t="s">
        <v>36</v>
      </c>
      <c r="C54" s="9">
        <v>0.01</v>
      </c>
      <c r="D54" s="8">
        <f t="shared" si="0"/>
        <v>9.5221999999999998</v>
      </c>
      <c r="E54" s="9">
        <v>0.01</v>
      </c>
      <c r="F54" s="8">
        <f t="shared" si="1"/>
        <v>9.5221999999999998</v>
      </c>
      <c r="G54" s="313">
        <v>0.01</v>
      </c>
      <c r="H54" s="327">
        <f t="shared" si="2"/>
        <v>10.522</v>
      </c>
      <c r="I54" s="372">
        <v>0.01</v>
      </c>
      <c r="J54" s="375">
        <f t="shared" si="3"/>
        <v>11.2133</v>
      </c>
    </row>
    <row r="55" spans="1:10" x14ac:dyDescent="0.25">
      <c r="A55" s="223" t="s">
        <v>13</v>
      </c>
      <c r="B55" s="7" t="s">
        <v>37</v>
      </c>
      <c r="C55" s="9">
        <v>2E-3</v>
      </c>
      <c r="D55" s="8">
        <f t="shared" si="0"/>
        <v>1.9044400000000001</v>
      </c>
      <c r="E55" s="9">
        <v>2E-3</v>
      </c>
      <c r="F55" s="8">
        <f t="shared" si="1"/>
        <v>1.9044400000000001</v>
      </c>
      <c r="G55" s="313">
        <v>2E-3</v>
      </c>
      <c r="H55" s="327">
        <f t="shared" si="2"/>
        <v>2.1044</v>
      </c>
      <c r="I55" s="372">
        <v>2E-3</v>
      </c>
      <c r="J55" s="375">
        <f t="shared" si="3"/>
        <v>2.2426599999999999</v>
      </c>
    </row>
    <row r="56" spans="1:10" x14ac:dyDescent="0.25">
      <c r="A56" s="223" t="s">
        <v>15</v>
      </c>
      <c r="B56" s="6" t="s">
        <v>38</v>
      </c>
      <c r="C56" s="9">
        <v>2.5000000000000001E-2</v>
      </c>
      <c r="D56" s="8">
        <f t="shared" si="0"/>
        <v>23.805500000000002</v>
      </c>
      <c r="E56" s="9">
        <v>2.5000000000000001E-2</v>
      </c>
      <c r="F56" s="8">
        <f t="shared" si="1"/>
        <v>23.805500000000002</v>
      </c>
      <c r="G56" s="313">
        <v>2.5000000000000001E-2</v>
      </c>
      <c r="H56" s="327">
        <f t="shared" si="2"/>
        <v>26.305000000000003</v>
      </c>
      <c r="I56" s="372">
        <v>2.5000000000000001E-2</v>
      </c>
      <c r="J56" s="375">
        <f t="shared" si="3"/>
        <v>28.033249999999999</v>
      </c>
    </row>
    <row r="57" spans="1:10" x14ac:dyDescent="0.25">
      <c r="A57" s="223" t="s">
        <v>17</v>
      </c>
      <c r="B57" s="7" t="s">
        <v>39</v>
      </c>
      <c r="C57" s="9">
        <v>0.08</v>
      </c>
      <c r="D57" s="8">
        <f t="shared" si="0"/>
        <v>76.177599999999998</v>
      </c>
      <c r="E57" s="9">
        <v>0.08</v>
      </c>
      <c r="F57" s="8">
        <f t="shared" si="1"/>
        <v>76.177599999999998</v>
      </c>
      <c r="G57" s="313">
        <v>0.08</v>
      </c>
      <c r="H57" s="327">
        <f t="shared" si="2"/>
        <v>84.176000000000002</v>
      </c>
      <c r="I57" s="372">
        <v>0.08</v>
      </c>
      <c r="J57" s="375">
        <f t="shared" si="3"/>
        <v>89.706400000000002</v>
      </c>
    </row>
    <row r="58" spans="1:10" x14ac:dyDescent="0.25">
      <c r="A58" s="223" t="s">
        <v>19</v>
      </c>
      <c r="B58" s="7" t="s">
        <v>124</v>
      </c>
      <c r="C58" s="9">
        <v>1.52E-2</v>
      </c>
      <c r="D58" s="8">
        <f t="shared" si="0"/>
        <v>14.473744</v>
      </c>
      <c r="E58" s="9">
        <v>1.52E-2</v>
      </c>
      <c r="F58" s="8">
        <f t="shared" si="1"/>
        <v>14.473744</v>
      </c>
      <c r="G58" s="313">
        <v>1.66E-2</v>
      </c>
      <c r="H58" s="327">
        <f t="shared" si="2"/>
        <v>17.466520000000003</v>
      </c>
      <c r="I58" s="372">
        <v>1.66E-2</v>
      </c>
      <c r="J58" s="375">
        <f t="shared" si="3"/>
        <v>18.614077999999999</v>
      </c>
    </row>
    <row r="59" spans="1:10" x14ac:dyDescent="0.25">
      <c r="A59" s="223" t="s">
        <v>20</v>
      </c>
      <c r="B59" s="7" t="s">
        <v>40</v>
      </c>
      <c r="C59" s="9">
        <v>6.0000000000000001E-3</v>
      </c>
      <c r="D59" s="8">
        <f t="shared" si="0"/>
        <v>5.7133200000000004</v>
      </c>
      <c r="E59" s="9">
        <v>6.0000000000000001E-3</v>
      </c>
      <c r="F59" s="8">
        <f t="shared" si="1"/>
        <v>5.7133200000000004</v>
      </c>
      <c r="G59" s="313">
        <v>6.0000000000000001E-3</v>
      </c>
      <c r="H59" s="327">
        <f t="shared" si="2"/>
        <v>6.3132000000000001</v>
      </c>
      <c r="I59" s="372">
        <v>6.0000000000000001E-3</v>
      </c>
      <c r="J59" s="375">
        <f t="shared" si="3"/>
        <v>6.7279799999999996</v>
      </c>
    </row>
    <row r="60" spans="1:10" x14ac:dyDescent="0.25">
      <c r="A60" s="581" t="s">
        <v>41</v>
      </c>
      <c r="B60" s="526"/>
      <c r="C60" s="432">
        <f t="shared" ref="C60:H60" si="4">SUM(C52:C59)</f>
        <v>0.35320000000000007</v>
      </c>
      <c r="D60" s="433">
        <f t="shared" si="4"/>
        <v>336.32410400000003</v>
      </c>
      <c r="E60" s="432">
        <f t="shared" si="4"/>
        <v>0.35320000000000007</v>
      </c>
      <c r="F60" s="433">
        <f t="shared" si="4"/>
        <v>336.32410400000003</v>
      </c>
      <c r="G60" s="434">
        <f t="shared" si="4"/>
        <v>0.35460000000000008</v>
      </c>
      <c r="H60" s="435">
        <f t="shared" si="4"/>
        <v>373.11011999999999</v>
      </c>
      <c r="I60" s="434">
        <f>SUM(I52:I59)</f>
        <v>0.35460000000000008</v>
      </c>
      <c r="J60" s="453">
        <f>SUM(J52:J59)</f>
        <v>397.62361800000002</v>
      </c>
    </row>
    <row r="61" spans="1:10" s="151" customFormat="1" x14ac:dyDescent="0.25">
      <c r="A61" s="582" t="s">
        <v>460</v>
      </c>
      <c r="B61" s="530"/>
      <c r="C61" s="530"/>
      <c r="D61" s="530"/>
      <c r="E61" s="404"/>
      <c r="F61" s="404"/>
      <c r="G61" s="405"/>
      <c r="H61" s="405"/>
      <c r="I61" s="406"/>
      <c r="J61" s="459"/>
    </row>
    <row r="62" spans="1:10" s="151" customFormat="1" x14ac:dyDescent="0.25">
      <c r="A62" s="582" t="s">
        <v>461</v>
      </c>
      <c r="B62" s="530"/>
      <c r="C62" s="530"/>
      <c r="D62" s="530"/>
      <c r="E62" s="404"/>
      <c r="F62" s="404"/>
      <c r="G62" s="405"/>
      <c r="H62" s="405"/>
      <c r="I62" s="406"/>
      <c r="J62" s="459"/>
    </row>
    <row r="63" spans="1:10" ht="18.75" x14ac:dyDescent="0.25">
      <c r="A63" s="579" t="s">
        <v>96</v>
      </c>
      <c r="B63" s="534"/>
      <c r="C63" s="534"/>
      <c r="D63" s="534"/>
      <c r="E63" s="534"/>
      <c r="F63" s="534"/>
      <c r="G63" s="534"/>
      <c r="H63" s="534"/>
      <c r="I63" s="534"/>
      <c r="J63" s="646"/>
    </row>
    <row r="64" spans="1:10" x14ac:dyDescent="0.25">
      <c r="A64" s="451" t="s">
        <v>42</v>
      </c>
      <c r="B64" s="426" t="s">
        <v>125</v>
      </c>
      <c r="C64" s="426" t="s">
        <v>33</v>
      </c>
      <c r="D64" s="426" t="s">
        <v>6</v>
      </c>
      <c r="E64" s="426" t="s">
        <v>33</v>
      </c>
      <c r="F64" s="426" t="s">
        <v>6</v>
      </c>
      <c r="G64" s="427" t="s">
        <v>33</v>
      </c>
      <c r="H64" s="427" t="s">
        <v>6</v>
      </c>
      <c r="I64" s="427" t="s">
        <v>33</v>
      </c>
      <c r="J64" s="452" t="s">
        <v>6</v>
      </c>
    </row>
    <row r="65" spans="1:13" x14ac:dyDescent="0.25">
      <c r="A65" s="223" t="s">
        <v>7</v>
      </c>
      <c r="B65" s="7" t="s">
        <v>43</v>
      </c>
      <c r="C65" s="216">
        <v>8.3299999999999999E-2</v>
      </c>
      <c r="D65" s="8">
        <f>C65*$C$32</f>
        <v>79.319925999999995</v>
      </c>
      <c r="E65" s="216">
        <v>8.3299999999999999E-2</v>
      </c>
      <c r="F65" s="8">
        <f>E65*$E$32</f>
        <v>79.319925999999995</v>
      </c>
      <c r="G65" s="336">
        <v>8.3299999999999999E-2</v>
      </c>
      <c r="H65" s="327">
        <f>G65*$G$32</f>
        <v>87.648260000000008</v>
      </c>
      <c r="I65" s="372">
        <v>8.3299999999999999E-2</v>
      </c>
      <c r="J65" s="375">
        <f>I65*$I$32</f>
        <v>93.406788999999989</v>
      </c>
    </row>
    <row r="66" spans="1:13" x14ac:dyDescent="0.25">
      <c r="A66" s="223" t="s">
        <v>9</v>
      </c>
      <c r="B66" s="7" t="s">
        <v>126</v>
      </c>
      <c r="C66" s="216">
        <v>2.7799999999999998E-2</v>
      </c>
      <c r="D66" s="8">
        <f>C66*$C$32</f>
        <v>26.471716000000001</v>
      </c>
      <c r="E66" s="216">
        <v>2.7799999999999998E-2</v>
      </c>
      <c r="F66" s="8">
        <f>E66*$E$32</f>
        <v>26.471716000000001</v>
      </c>
      <c r="G66" s="336">
        <v>2.7799999999999998E-2</v>
      </c>
      <c r="H66" s="327">
        <f>G66*$G$32</f>
        <v>29.251159999999999</v>
      </c>
      <c r="I66" s="372">
        <v>2.7799999999999998E-2</v>
      </c>
      <c r="J66" s="375">
        <f>I66*$I$32</f>
        <v>31.172973999999996</v>
      </c>
    </row>
    <row r="67" spans="1:13" x14ac:dyDescent="0.25">
      <c r="A67" s="223"/>
      <c r="B67" s="5" t="s">
        <v>44</v>
      </c>
      <c r="C67" s="10">
        <f t="shared" ref="C67:H67" si="5">SUM(C65:C66)</f>
        <v>0.1111</v>
      </c>
      <c r="D67" s="58">
        <f t="shared" si="5"/>
        <v>105.791642</v>
      </c>
      <c r="E67" s="10">
        <f t="shared" si="5"/>
        <v>0.1111</v>
      </c>
      <c r="F67" s="58">
        <f t="shared" si="5"/>
        <v>105.791642</v>
      </c>
      <c r="G67" s="314">
        <f t="shared" si="5"/>
        <v>0.1111</v>
      </c>
      <c r="H67" s="53">
        <f t="shared" si="5"/>
        <v>116.89942000000001</v>
      </c>
      <c r="I67" s="373">
        <f>SUM(I65:I66)</f>
        <v>0.1111</v>
      </c>
      <c r="J67" s="376">
        <f>SUM(J65:J66)</f>
        <v>124.57976299999999</v>
      </c>
    </row>
    <row r="68" spans="1:13" x14ac:dyDescent="0.25">
      <c r="A68" s="223" t="s">
        <v>9</v>
      </c>
      <c r="B68" s="7" t="s">
        <v>97</v>
      </c>
      <c r="C68" s="9">
        <f>C60*C67</f>
        <v>3.9240520000000008E-2</v>
      </c>
      <c r="D68" s="8">
        <f>C68*$C$32</f>
        <v>37.365607954400005</v>
      </c>
      <c r="E68" s="9">
        <f>E60*E67</f>
        <v>3.9240520000000008E-2</v>
      </c>
      <c r="F68" s="8">
        <f>E68*$E$32</f>
        <v>37.365607954400005</v>
      </c>
      <c r="G68" s="313">
        <f>G60*G67</f>
        <v>3.9396060000000011E-2</v>
      </c>
      <c r="H68" s="327">
        <f>G68*$G$32</f>
        <v>41.452534332000013</v>
      </c>
      <c r="I68" s="372">
        <f>I60*I67</f>
        <v>3.9396060000000011E-2</v>
      </c>
      <c r="J68" s="375">
        <f>I68*$I$32</f>
        <v>44.175983959800007</v>
      </c>
    </row>
    <row r="69" spans="1:13" x14ac:dyDescent="0.25">
      <c r="A69" s="581" t="s">
        <v>41</v>
      </c>
      <c r="B69" s="526"/>
      <c r="C69" s="432">
        <f t="shared" ref="C69:H69" si="6">SUM(C68,C67)</f>
        <v>0.15034052000000001</v>
      </c>
      <c r="D69" s="428">
        <f t="shared" si="6"/>
        <v>143.15724995440002</v>
      </c>
      <c r="E69" s="432">
        <f t="shared" si="6"/>
        <v>0.15034052000000001</v>
      </c>
      <c r="F69" s="428">
        <f t="shared" si="6"/>
        <v>143.15724995440002</v>
      </c>
      <c r="G69" s="434">
        <f t="shared" si="6"/>
        <v>0.15049606000000001</v>
      </c>
      <c r="H69" s="429">
        <f t="shared" si="6"/>
        <v>158.35195433200002</v>
      </c>
      <c r="I69" s="434">
        <f>SUM(I68,I67)</f>
        <v>0.15049606000000001</v>
      </c>
      <c r="J69" s="454">
        <f>SUM(J68,J67)</f>
        <v>168.75574695979998</v>
      </c>
    </row>
    <row r="70" spans="1:13" ht="18.75" x14ac:dyDescent="0.25">
      <c r="A70" s="579" t="s">
        <v>45</v>
      </c>
      <c r="B70" s="534"/>
      <c r="C70" s="534"/>
      <c r="D70" s="534"/>
      <c r="E70" s="534"/>
      <c r="F70" s="534"/>
      <c r="G70" s="534"/>
      <c r="H70" s="534"/>
      <c r="I70" s="534"/>
      <c r="J70" s="646"/>
    </row>
    <row r="71" spans="1:13" x14ac:dyDescent="0.25">
      <c r="A71" s="451" t="s">
        <v>46</v>
      </c>
      <c r="B71" s="426" t="s">
        <v>47</v>
      </c>
      <c r="C71" s="426" t="s">
        <v>33</v>
      </c>
      <c r="D71" s="426" t="s">
        <v>6</v>
      </c>
      <c r="E71" s="426" t="s">
        <v>33</v>
      </c>
      <c r="F71" s="426" t="s">
        <v>6</v>
      </c>
      <c r="G71" s="427" t="s">
        <v>33</v>
      </c>
      <c r="H71" s="427" t="s">
        <v>6</v>
      </c>
      <c r="I71" s="427" t="s">
        <v>33</v>
      </c>
      <c r="J71" s="452" t="s">
        <v>6</v>
      </c>
    </row>
    <row r="72" spans="1:13" x14ac:dyDescent="0.25">
      <c r="A72" s="223" t="s">
        <v>7</v>
      </c>
      <c r="B72" s="7" t="s">
        <v>127</v>
      </c>
      <c r="C72" s="9">
        <v>7.3999999999999999E-4</v>
      </c>
      <c r="D72" s="8">
        <f>C72*$C$32</f>
        <v>0.70464280000000001</v>
      </c>
      <c r="E72" s="9">
        <v>7.3999999999999999E-4</v>
      </c>
      <c r="F72" s="8">
        <f>E72*$E$32</f>
        <v>0.70464280000000001</v>
      </c>
      <c r="G72" s="313">
        <v>7.3999999999999999E-4</v>
      </c>
      <c r="H72" s="327">
        <f>G72*$G$32</f>
        <v>0.77862799999999999</v>
      </c>
      <c r="I72" s="372">
        <v>7.3999999999999999E-4</v>
      </c>
      <c r="J72" s="375">
        <f>I72*$I$32</f>
        <v>0.82978419999999997</v>
      </c>
    </row>
    <row r="73" spans="1:13" x14ac:dyDescent="0.25">
      <c r="A73" s="223" t="s">
        <v>9</v>
      </c>
      <c r="B73" s="7" t="s">
        <v>48</v>
      </c>
      <c r="C73" s="9">
        <f>C60*C72</f>
        <v>2.6136800000000005E-4</v>
      </c>
      <c r="D73" s="8">
        <f>C73*$C$32</f>
        <v>0.24887983696000004</v>
      </c>
      <c r="E73" s="9">
        <f>E60*E72</f>
        <v>2.6136800000000005E-4</v>
      </c>
      <c r="F73" s="8">
        <f>E73*$E$32</f>
        <v>0.24887983696000004</v>
      </c>
      <c r="G73" s="313">
        <f>G60*G72</f>
        <v>2.6240400000000004E-4</v>
      </c>
      <c r="H73" s="327">
        <f>G73*$G$32</f>
        <v>0.27610148880000007</v>
      </c>
      <c r="I73" s="372">
        <f>I60*I72</f>
        <v>2.6240400000000004E-4</v>
      </c>
      <c r="J73" s="375">
        <f>I73*$I$32</f>
        <v>0.29424147732000006</v>
      </c>
    </row>
    <row r="74" spans="1:13" x14ac:dyDescent="0.25">
      <c r="A74" s="581" t="s">
        <v>41</v>
      </c>
      <c r="B74" s="526"/>
      <c r="C74" s="432">
        <f t="shared" ref="C74:H74" si="7">SUM(C73,C72)</f>
        <v>1.0013680000000001E-3</v>
      </c>
      <c r="D74" s="428">
        <f t="shared" si="7"/>
        <v>0.95352263696000006</v>
      </c>
      <c r="E74" s="432">
        <f t="shared" si="7"/>
        <v>1.0013680000000001E-3</v>
      </c>
      <c r="F74" s="428">
        <f t="shared" si="7"/>
        <v>0.95352263696000006</v>
      </c>
      <c r="G74" s="434">
        <f t="shared" si="7"/>
        <v>1.0024040000000001E-3</v>
      </c>
      <c r="H74" s="429">
        <f t="shared" si="7"/>
        <v>1.0547294888000001</v>
      </c>
      <c r="I74" s="434">
        <f>SUM(I73,I72)</f>
        <v>1.0024040000000001E-3</v>
      </c>
      <c r="J74" s="454">
        <f>SUM(J73,J72)</f>
        <v>1.1240256773200001</v>
      </c>
    </row>
    <row r="75" spans="1:13" ht="18.75" x14ac:dyDescent="0.25">
      <c r="A75" s="579" t="s">
        <v>102</v>
      </c>
      <c r="B75" s="534"/>
      <c r="C75" s="534"/>
      <c r="D75" s="534"/>
      <c r="E75" s="534"/>
      <c r="F75" s="534"/>
      <c r="G75" s="534"/>
      <c r="H75" s="534"/>
      <c r="I75" s="534"/>
      <c r="J75" s="646"/>
    </row>
    <row r="76" spans="1:13" x14ac:dyDescent="0.25">
      <c r="A76" s="451" t="s">
        <v>49</v>
      </c>
      <c r="B76" s="426" t="s">
        <v>50</v>
      </c>
      <c r="C76" s="426" t="s">
        <v>33</v>
      </c>
      <c r="D76" s="426" t="s">
        <v>6</v>
      </c>
      <c r="E76" s="426" t="s">
        <v>33</v>
      </c>
      <c r="F76" s="426" t="s">
        <v>6</v>
      </c>
      <c r="G76" s="427" t="s">
        <v>33</v>
      </c>
      <c r="H76" s="427" t="s">
        <v>6</v>
      </c>
      <c r="I76" s="427" t="s">
        <v>33</v>
      </c>
      <c r="J76" s="452" t="s">
        <v>6</v>
      </c>
    </row>
    <row r="77" spans="1:13" x14ac:dyDescent="0.25">
      <c r="A77" s="223" t="s">
        <v>7</v>
      </c>
      <c r="B77" s="7" t="s">
        <v>51</v>
      </c>
      <c r="C77" s="9">
        <v>4.1599999999999998E-2</v>
      </c>
      <c r="D77" s="8">
        <f t="shared" ref="D77:D82" si="8">C77*$C$32</f>
        <v>39.612352000000001</v>
      </c>
      <c r="E77" s="9">
        <v>4.1599999999999998E-2</v>
      </c>
      <c r="F77" s="8">
        <f t="shared" ref="F77:F82" si="9">E77*$E$32</f>
        <v>39.612352000000001</v>
      </c>
      <c r="G77" s="313">
        <v>4.1599999999999998E-2</v>
      </c>
      <c r="H77" s="327">
        <f t="shared" ref="H77:H82" si="10">G77*$G$32</f>
        <v>43.771520000000002</v>
      </c>
      <c r="I77" s="372">
        <v>4.1599999999999998E-2</v>
      </c>
      <c r="J77" s="375">
        <f t="shared" ref="J77:J82" si="11">I77*$I$32</f>
        <v>46.647327999999995</v>
      </c>
    </row>
    <row r="78" spans="1:13" x14ac:dyDescent="0.25">
      <c r="A78" s="223" t="s">
        <v>9</v>
      </c>
      <c r="B78" s="7" t="s">
        <v>495</v>
      </c>
      <c r="C78" s="9">
        <f>C60*C77</f>
        <v>1.4693120000000002E-2</v>
      </c>
      <c r="D78" s="8">
        <f>C78*$C$32</f>
        <v>13.991082726400002</v>
      </c>
      <c r="E78" s="9">
        <f>E60*E77</f>
        <v>1.4693120000000002E-2</v>
      </c>
      <c r="F78" s="8">
        <f t="shared" si="9"/>
        <v>13.991082726400002</v>
      </c>
      <c r="G78" s="313">
        <f>G60*G77</f>
        <v>1.4751360000000003E-2</v>
      </c>
      <c r="H78" s="327">
        <f t="shared" si="10"/>
        <v>15.521380992000005</v>
      </c>
      <c r="I78" s="372">
        <f>I60*I77</f>
        <v>1.4751360000000003E-2</v>
      </c>
      <c r="J78" s="375">
        <f t="shared" si="11"/>
        <v>16.541142508800004</v>
      </c>
      <c r="K78" s="4">
        <f>'$ TOTAL ATUAL'!D33</f>
        <v>-133463.52000000002</v>
      </c>
      <c r="M78" s="4">
        <f>'$ TOTAL ATUAL'!F33</f>
        <v>0</v>
      </c>
    </row>
    <row r="79" spans="1:13" x14ac:dyDescent="0.25">
      <c r="A79" s="223" t="s">
        <v>11</v>
      </c>
      <c r="B79" s="7" t="s">
        <v>98</v>
      </c>
      <c r="C79" s="216">
        <v>2.0799999999999999E-2</v>
      </c>
      <c r="D79" s="8">
        <f t="shared" si="8"/>
        <v>19.806176000000001</v>
      </c>
      <c r="E79" s="216">
        <v>2.0799999999999999E-2</v>
      </c>
      <c r="F79" s="8">
        <f t="shared" si="9"/>
        <v>19.806176000000001</v>
      </c>
      <c r="G79" s="336">
        <v>2.0799999999999999E-2</v>
      </c>
      <c r="H79" s="327">
        <f t="shared" si="10"/>
        <v>21.885760000000001</v>
      </c>
      <c r="I79" s="372">
        <v>2.0799999999999999E-2</v>
      </c>
      <c r="J79" s="375">
        <f t="shared" si="11"/>
        <v>23.323663999999997</v>
      </c>
    </row>
    <row r="80" spans="1:13" x14ac:dyDescent="0.25">
      <c r="A80" s="223" t="s">
        <v>13</v>
      </c>
      <c r="B80" s="7" t="s">
        <v>52</v>
      </c>
      <c r="C80" s="216">
        <v>2.0000000000000001E-4</v>
      </c>
      <c r="D80" s="8">
        <f t="shared" si="8"/>
        <v>0.190444</v>
      </c>
      <c r="E80" s="216">
        <v>2.0000000000000001E-4</v>
      </c>
      <c r="F80" s="8">
        <f t="shared" si="9"/>
        <v>0.190444</v>
      </c>
      <c r="G80" s="336">
        <v>2.0000000000000001E-4</v>
      </c>
      <c r="H80" s="327">
        <f t="shared" si="10"/>
        <v>0.21044000000000002</v>
      </c>
      <c r="I80" s="372">
        <v>2.0000000000000001E-4</v>
      </c>
      <c r="J80" s="375">
        <f t="shared" si="11"/>
        <v>0.22426599999999999</v>
      </c>
    </row>
    <row r="81" spans="1:14" x14ac:dyDescent="0.25">
      <c r="A81" s="223" t="s">
        <v>15</v>
      </c>
      <c r="B81" s="7" t="s">
        <v>53</v>
      </c>
      <c r="C81" s="9">
        <f>C60*C80</f>
        <v>7.0640000000000015E-5</v>
      </c>
      <c r="D81" s="8">
        <f>C81*$C$32</f>
        <v>6.7264820800000014E-2</v>
      </c>
      <c r="E81" s="9">
        <f>E60*E80</f>
        <v>7.0640000000000015E-5</v>
      </c>
      <c r="F81" s="8">
        <f t="shared" si="9"/>
        <v>6.7264820800000014E-2</v>
      </c>
      <c r="G81" s="313">
        <f>G60*G80</f>
        <v>7.0920000000000019E-5</v>
      </c>
      <c r="H81" s="327">
        <f t="shared" si="10"/>
        <v>7.4622024000000023E-2</v>
      </c>
      <c r="I81" s="372">
        <f>I60*I80</f>
        <v>7.0920000000000019E-5</v>
      </c>
      <c r="J81" s="375">
        <f t="shared" si="11"/>
        <v>7.9524723600000014E-2</v>
      </c>
    </row>
    <row r="82" spans="1:14" x14ac:dyDescent="0.25">
      <c r="A82" s="223" t="s">
        <v>17</v>
      </c>
      <c r="B82" s="224" t="s">
        <v>99</v>
      </c>
      <c r="C82" s="9">
        <v>9.7000000000000003E-3</v>
      </c>
      <c r="D82" s="8">
        <f t="shared" si="8"/>
        <v>9.2365340000000007</v>
      </c>
      <c r="E82" s="9">
        <v>9.7000000000000003E-3</v>
      </c>
      <c r="F82" s="8">
        <f t="shared" si="9"/>
        <v>9.2365340000000007</v>
      </c>
      <c r="G82" s="313">
        <v>9.7000000000000003E-3</v>
      </c>
      <c r="H82" s="327">
        <f t="shared" si="10"/>
        <v>10.206340000000001</v>
      </c>
      <c r="I82" s="372">
        <v>9.7000000000000003E-3</v>
      </c>
      <c r="J82" s="375">
        <f t="shared" si="11"/>
        <v>10.876901</v>
      </c>
    </row>
    <row r="83" spans="1:14" x14ac:dyDescent="0.25">
      <c r="A83" s="581" t="s">
        <v>54</v>
      </c>
      <c r="B83" s="526"/>
      <c r="C83" s="432">
        <f t="shared" ref="C83:H83" si="12">SUM(C77:C82)</f>
        <v>8.7063760000000004E-2</v>
      </c>
      <c r="D83" s="428">
        <f t="shared" si="12"/>
        <v>82.903853547200015</v>
      </c>
      <c r="E83" s="432">
        <f t="shared" si="12"/>
        <v>8.7063760000000004E-2</v>
      </c>
      <c r="F83" s="428">
        <f t="shared" si="12"/>
        <v>82.903853547200015</v>
      </c>
      <c r="G83" s="434">
        <f t="shared" si="12"/>
        <v>8.712228000000001E-2</v>
      </c>
      <c r="H83" s="429">
        <f t="shared" si="12"/>
        <v>91.670063016000014</v>
      </c>
      <c r="I83" s="434">
        <f>SUM(I77:I82)</f>
        <v>8.712228000000001E-2</v>
      </c>
      <c r="J83" s="454">
        <f>SUM(J77:J82)</f>
        <v>97.692826232399995</v>
      </c>
    </row>
    <row r="84" spans="1:14" ht="18.75" x14ac:dyDescent="0.25">
      <c r="A84" s="631" t="s">
        <v>55</v>
      </c>
      <c r="B84" s="632"/>
      <c r="C84" s="632"/>
      <c r="D84" s="632"/>
      <c r="E84" s="228"/>
      <c r="F84" s="228"/>
      <c r="G84" s="408"/>
      <c r="H84" s="408"/>
      <c r="I84" s="409"/>
      <c r="J84" s="461"/>
    </row>
    <row r="85" spans="1:14" ht="20.25" customHeight="1" x14ac:dyDescent="0.25">
      <c r="A85" s="451" t="s">
        <v>56</v>
      </c>
      <c r="B85" s="426" t="s">
        <v>57</v>
      </c>
      <c r="C85" s="426" t="s">
        <v>33</v>
      </c>
      <c r="D85" s="426" t="s">
        <v>6</v>
      </c>
      <c r="E85" s="426" t="s">
        <v>33</v>
      </c>
      <c r="F85" s="426" t="s">
        <v>6</v>
      </c>
      <c r="G85" s="427" t="s">
        <v>33</v>
      </c>
      <c r="H85" s="427" t="s">
        <v>6</v>
      </c>
      <c r="I85" s="427" t="s">
        <v>33</v>
      </c>
      <c r="J85" s="452" t="s">
        <v>6</v>
      </c>
    </row>
    <row r="86" spans="1:14" x14ac:dyDescent="0.25">
      <c r="A86" s="223" t="s">
        <v>7</v>
      </c>
      <c r="B86" s="7" t="s">
        <v>452</v>
      </c>
      <c r="C86" s="9">
        <v>0.1111</v>
      </c>
      <c r="D86" s="8">
        <f>C86*$C$32</f>
        <v>105.79164200000001</v>
      </c>
      <c r="E86" s="9">
        <v>0.1111</v>
      </c>
      <c r="F86" s="8">
        <f>E86*$E$32</f>
        <v>105.79164200000001</v>
      </c>
      <c r="G86" s="336">
        <v>0.1111</v>
      </c>
      <c r="H86" s="327">
        <f>G86*$G$32</f>
        <v>116.89942000000001</v>
      </c>
      <c r="I86" s="372">
        <v>0.1111</v>
      </c>
      <c r="J86" s="375">
        <f t="shared" ref="J86:J91" si="13">I86*$I$32</f>
        <v>124.579763</v>
      </c>
    </row>
    <row r="87" spans="1:14" x14ac:dyDescent="0.25">
      <c r="A87" s="223" t="s">
        <v>9</v>
      </c>
      <c r="B87" s="7" t="s">
        <v>58</v>
      </c>
      <c r="C87" s="9">
        <v>1.3899999999999999E-2</v>
      </c>
      <c r="D87" s="8">
        <f>C87*$C$32</f>
        <v>13.235858</v>
      </c>
      <c r="E87" s="9">
        <v>1.3899999999999999E-2</v>
      </c>
      <c r="F87" s="8">
        <f>E87*$E$32</f>
        <v>13.235858</v>
      </c>
      <c r="G87" s="336">
        <v>1.3899999999999999E-2</v>
      </c>
      <c r="H87" s="327">
        <f>G87*$G$32</f>
        <v>14.625579999999999</v>
      </c>
      <c r="I87" s="372">
        <v>1.3899999999999999E-2</v>
      </c>
      <c r="J87" s="375">
        <f t="shared" si="13"/>
        <v>15.586486999999998</v>
      </c>
    </row>
    <row r="88" spans="1:14" x14ac:dyDescent="0.25">
      <c r="A88" s="223" t="s">
        <v>11</v>
      </c>
      <c r="B88" s="7" t="s">
        <v>59</v>
      </c>
      <c r="C88" s="9">
        <v>2.0000000000000001E-4</v>
      </c>
      <c r="D88" s="8">
        <f>C88*$C$32</f>
        <v>0.190444</v>
      </c>
      <c r="E88" s="9">
        <v>2.0000000000000001E-4</v>
      </c>
      <c r="F88" s="8">
        <f>E88*$E$32</f>
        <v>0.190444</v>
      </c>
      <c r="G88" s="336">
        <v>2.0000000000000001E-4</v>
      </c>
      <c r="H88" s="327">
        <f>G88*$G$32</f>
        <v>0.21044000000000002</v>
      </c>
      <c r="I88" s="372">
        <v>2.0000000000000001E-4</v>
      </c>
      <c r="J88" s="375">
        <f t="shared" si="13"/>
        <v>0.22426599999999999</v>
      </c>
    </row>
    <row r="89" spans="1:14" x14ac:dyDescent="0.25">
      <c r="A89" s="223" t="s">
        <v>13</v>
      </c>
      <c r="B89" s="7" t="s">
        <v>60</v>
      </c>
      <c r="C89" s="9">
        <v>2.8E-3</v>
      </c>
      <c r="D89" s="8">
        <f>C89*$C$32</f>
        <v>2.6662159999999999</v>
      </c>
      <c r="E89" s="9">
        <v>2.8E-3</v>
      </c>
      <c r="F89" s="8">
        <f>E89*$E$32</f>
        <v>2.6662159999999999</v>
      </c>
      <c r="G89" s="336">
        <v>2.8E-3</v>
      </c>
      <c r="H89" s="327">
        <f>G89*$G$32</f>
        <v>2.9461599999999999</v>
      </c>
      <c r="I89" s="372">
        <v>2.8E-3</v>
      </c>
      <c r="J89" s="375">
        <f t="shared" si="13"/>
        <v>3.1397239999999997</v>
      </c>
    </row>
    <row r="90" spans="1:14" x14ac:dyDescent="0.25">
      <c r="A90" s="223" t="s">
        <v>15</v>
      </c>
      <c r="B90" s="7" t="s">
        <v>61</v>
      </c>
      <c r="C90" s="9">
        <v>3.3E-3</v>
      </c>
      <c r="D90" s="8">
        <f>C90*$C$32</f>
        <v>3.1423260000000002</v>
      </c>
      <c r="E90" s="9">
        <v>3.3E-3</v>
      </c>
      <c r="F90" s="8">
        <f>E90*$E$32</f>
        <v>3.1423260000000002</v>
      </c>
      <c r="G90" s="336">
        <v>3.3E-3</v>
      </c>
      <c r="H90" s="327">
        <f>G90*$G$32</f>
        <v>3.4722600000000003</v>
      </c>
      <c r="I90" s="372">
        <v>3.3E-3</v>
      </c>
      <c r="J90" s="375">
        <f t="shared" si="13"/>
        <v>3.7003889999999999</v>
      </c>
    </row>
    <row r="91" spans="1:14" x14ac:dyDescent="0.25">
      <c r="A91" s="223" t="s">
        <v>17</v>
      </c>
      <c r="B91" s="7" t="s">
        <v>21</v>
      </c>
      <c r="C91" s="9"/>
      <c r="D91" s="8"/>
      <c r="E91" s="9"/>
      <c r="F91" s="8"/>
      <c r="G91" s="313"/>
      <c r="H91" s="327"/>
      <c r="I91" s="372"/>
      <c r="J91" s="375">
        <f t="shared" si="13"/>
        <v>0</v>
      </c>
    </row>
    <row r="92" spans="1:14" x14ac:dyDescent="0.25">
      <c r="A92" s="223"/>
      <c r="B92" s="5" t="s">
        <v>44</v>
      </c>
      <c r="C92" s="225">
        <f t="shared" ref="C92:H92" si="14">SUM(C86:C91)</f>
        <v>0.1313</v>
      </c>
      <c r="D92" s="226">
        <f t="shared" si="14"/>
        <v>125.02648600000001</v>
      </c>
      <c r="E92" s="225">
        <f t="shared" si="14"/>
        <v>0.1313</v>
      </c>
      <c r="F92" s="226">
        <f t="shared" si="14"/>
        <v>125.02648600000001</v>
      </c>
      <c r="G92" s="314">
        <f>E92</f>
        <v>0.1313</v>
      </c>
      <c r="H92" s="410">
        <f t="shared" si="14"/>
        <v>138.15386000000001</v>
      </c>
      <c r="I92" s="373">
        <f>G92</f>
        <v>0.1313</v>
      </c>
      <c r="J92" s="381">
        <f>SUM(J86:J91)</f>
        <v>147.23062899999999</v>
      </c>
    </row>
    <row r="93" spans="1:14" x14ac:dyDescent="0.25">
      <c r="A93" s="223" t="s">
        <v>19</v>
      </c>
      <c r="B93" s="7" t="s">
        <v>62</v>
      </c>
      <c r="C93" s="9">
        <f>C60*C92</f>
        <v>4.6375160000000012E-2</v>
      </c>
      <c r="D93" s="8">
        <f>C93*$C$32</f>
        <v>44.159354855200014</v>
      </c>
      <c r="E93" s="9">
        <f>E60*E92</f>
        <v>4.6375160000000012E-2</v>
      </c>
      <c r="F93" s="8">
        <f>E93*$E$32</f>
        <v>44.159354855200014</v>
      </c>
      <c r="G93" s="313">
        <f>G60*G92</f>
        <v>4.6558980000000014E-2</v>
      </c>
      <c r="H93" s="327">
        <f>G93*$G$32</f>
        <v>48.989358756000016</v>
      </c>
      <c r="I93" s="372">
        <f>I60*I92</f>
        <v>4.6558980000000014E-2</v>
      </c>
      <c r="J93" s="375">
        <f>I93*$I$32</f>
        <v>52.207981043400011</v>
      </c>
    </row>
    <row r="94" spans="1:14" x14ac:dyDescent="0.25">
      <c r="A94" s="581" t="s">
        <v>54</v>
      </c>
      <c r="B94" s="526"/>
      <c r="C94" s="432">
        <f t="shared" ref="C94:H94" si="15">SUM(C92:C93)</f>
        <v>0.17767516</v>
      </c>
      <c r="D94" s="428">
        <f t="shared" si="15"/>
        <v>169.18584085520001</v>
      </c>
      <c r="E94" s="432">
        <f t="shared" si="15"/>
        <v>0.17767516</v>
      </c>
      <c r="F94" s="428">
        <f t="shared" si="15"/>
        <v>169.18584085520001</v>
      </c>
      <c r="G94" s="434">
        <f t="shared" si="15"/>
        <v>0.17785898</v>
      </c>
      <c r="H94" s="429">
        <f t="shared" si="15"/>
        <v>187.14321875600001</v>
      </c>
      <c r="I94" s="434">
        <f>SUM(I92:I93)</f>
        <v>0.17785898</v>
      </c>
      <c r="J94" s="454">
        <f>SUM(J92:J93)</f>
        <v>199.43861004339999</v>
      </c>
      <c r="K94" t="s">
        <v>317</v>
      </c>
      <c r="L94" s="61">
        <f>SUM(C94+C83+C74+C69+C60)</f>
        <v>0.76928080800000009</v>
      </c>
      <c r="M94" t="s">
        <v>317</v>
      </c>
      <c r="N94" s="61">
        <f>SUM(G94+G83+G74+G69+G60)</f>
        <v>0.77107972400000002</v>
      </c>
    </row>
    <row r="95" spans="1:14" x14ac:dyDescent="0.25">
      <c r="A95" s="440"/>
      <c r="B95" s="3"/>
      <c r="C95" s="3"/>
      <c r="D95" s="3"/>
      <c r="E95" s="3"/>
      <c r="F95" s="3"/>
      <c r="G95" s="343"/>
      <c r="H95" s="343"/>
      <c r="I95" s="393"/>
      <c r="J95" s="383"/>
    </row>
    <row r="96" spans="1:14" x14ac:dyDescent="0.25">
      <c r="A96" s="613" t="s">
        <v>63</v>
      </c>
      <c r="B96" s="561"/>
      <c r="C96" s="561"/>
      <c r="D96" s="561"/>
      <c r="E96" s="561"/>
      <c r="F96" s="561"/>
      <c r="G96" s="561"/>
      <c r="H96" s="561"/>
      <c r="I96" s="561"/>
      <c r="J96" s="614"/>
    </row>
    <row r="97" spans="1:13" x14ac:dyDescent="0.25">
      <c r="A97" s="236"/>
      <c r="B97" s="3"/>
      <c r="C97" s="3"/>
      <c r="D97" s="3"/>
      <c r="E97" s="3"/>
      <c r="F97" s="3"/>
      <c r="G97" s="343"/>
      <c r="H97" s="343"/>
      <c r="I97" s="393"/>
      <c r="J97" s="383"/>
    </row>
    <row r="98" spans="1:13" x14ac:dyDescent="0.25">
      <c r="A98" s="451">
        <v>4</v>
      </c>
      <c r="B98" s="426" t="s">
        <v>64</v>
      </c>
      <c r="C98" s="426"/>
      <c r="D98" s="426" t="s">
        <v>6</v>
      </c>
      <c r="E98" s="426"/>
      <c r="F98" s="426" t="s">
        <v>6</v>
      </c>
      <c r="G98" s="427"/>
      <c r="H98" s="427" t="s">
        <v>6</v>
      </c>
      <c r="I98" s="427"/>
      <c r="J98" s="452" t="s">
        <v>6</v>
      </c>
    </row>
    <row r="99" spans="1:13" x14ac:dyDescent="0.25">
      <c r="A99" s="221" t="s">
        <v>31</v>
      </c>
      <c r="B99" s="7" t="s">
        <v>128</v>
      </c>
      <c r="C99" s="227"/>
      <c r="D99" s="64">
        <f>D60</f>
        <v>336.32410400000003</v>
      </c>
      <c r="E99" s="64"/>
      <c r="F99" s="227">
        <f>F60</f>
        <v>336.32410400000003</v>
      </c>
      <c r="G99" s="331"/>
      <c r="H99" s="331">
        <f>H60</f>
        <v>373.11011999999999</v>
      </c>
      <c r="I99" s="414"/>
      <c r="J99" s="483">
        <f>J60</f>
        <v>397.62361800000002</v>
      </c>
    </row>
    <row r="100" spans="1:13" x14ac:dyDescent="0.25">
      <c r="A100" s="221" t="s">
        <v>42</v>
      </c>
      <c r="B100" s="7" t="s">
        <v>129</v>
      </c>
      <c r="C100" s="227"/>
      <c r="D100" s="64">
        <f>D69</f>
        <v>143.15724995440002</v>
      </c>
      <c r="E100" s="64"/>
      <c r="F100" s="64">
        <f>F69</f>
        <v>143.15724995440002</v>
      </c>
      <c r="G100" s="331"/>
      <c r="H100" s="400">
        <f>H69</f>
        <v>158.35195433200002</v>
      </c>
      <c r="I100" s="414"/>
      <c r="J100" s="382">
        <f>J69</f>
        <v>168.75574695979998</v>
      </c>
    </row>
    <row r="101" spans="1:13" x14ac:dyDescent="0.25">
      <c r="A101" s="221" t="s">
        <v>46</v>
      </c>
      <c r="B101" s="7" t="s">
        <v>47</v>
      </c>
      <c r="C101" s="227"/>
      <c r="D101" s="64">
        <f>D74</f>
        <v>0.95352263696000006</v>
      </c>
      <c r="E101" s="64"/>
      <c r="F101" s="64">
        <f>F74</f>
        <v>0.95352263696000006</v>
      </c>
      <c r="G101" s="331"/>
      <c r="H101" s="400">
        <f>H74</f>
        <v>1.0547294888000001</v>
      </c>
      <c r="I101" s="414"/>
      <c r="J101" s="382">
        <f>J74</f>
        <v>1.1240256773200001</v>
      </c>
    </row>
    <row r="102" spans="1:13" x14ac:dyDescent="0.25">
      <c r="A102" s="221" t="s">
        <v>49</v>
      </c>
      <c r="B102" s="7" t="s">
        <v>65</v>
      </c>
      <c r="C102" s="227"/>
      <c r="D102" s="64">
        <f>D83</f>
        <v>82.903853547200015</v>
      </c>
      <c r="E102" s="64"/>
      <c r="F102" s="64">
        <f>F83</f>
        <v>82.903853547200015</v>
      </c>
      <c r="G102" s="331"/>
      <c r="H102" s="400">
        <f>H83</f>
        <v>91.670063016000014</v>
      </c>
      <c r="I102" s="414"/>
      <c r="J102" s="382">
        <f>J83</f>
        <v>97.692826232399995</v>
      </c>
    </row>
    <row r="103" spans="1:13" x14ac:dyDescent="0.25">
      <c r="A103" s="221" t="s">
        <v>56</v>
      </c>
      <c r="B103" s="7" t="s">
        <v>66</v>
      </c>
      <c r="C103" s="227"/>
      <c r="D103" s="64">
        <f>D94</f>
        <v>169.18584085520001</v>
      </c>
      <c r="E103" s="64"/>
      <c r="F103" s="64">
        <f>F94</f>
        <v>169.18584085520001</v>
      </c>
      <c r="G103" s="331"/>
      <c r="H103" s="400">
        <f>H94</f>
        <v>187.14321875600001</v>
      </c>
      <c r="I103" s="414"/>
      <c r="J103" s="382">
        <f>J94</f>
        <v>199.43861004339999</v>
      </c>
    </row>
    <row r="104" spans="1:13" x14ac:dyDescent="0.25">
      <c r="A104" s="221" t="s">
        <v>67</v>
      </c>
      <c r="B104" s="7" t="s">
        <v>68</v>
      </c>
      <c r="C104" s="6"/>
      <c r="D104" s="3"/>
      <c r="E104" s="3"/>
      <c r="F104" s="3"/>
      <c r="G104" s="388"/>
      <c r="H104" s="343"/>
      <c r="I104" s="416"/>
      <c r="J104" s="383"/>
    </row>
    <row r="105" spans="1:13" x14ac:dyDescent="0.25">
      <c r="A105" s="581" t="s">
        <v>54</v>
      </c>
      <c r="B105" s="526"/>
      <c r="C105" s="436"/>
      <c r="D105" s="436">
        <f>SUM(D99:D104)</f>
        <v>732.52457099376011</v>
      </c>
      <c r="E105" s="436"/>
      <c r="F105" s="436">
        <f>SUM(F99:F104)</f>
        <v>732.52457099376011</v>
      </c>
      <c r="G105" s="437"/>
      <c r="H105" s="437">
        <f>SUM(H99:H104)</f>
        <v>811.33008559280006</v>
      </c>
      <c r="I105" s="437"/>
      <c r="J105" s="455">
        <f>SUM(J99:J104)</f>
        <v>864.63482691291995</v>
      </c>
    </row>
    <row r="106" spans="1:13" s="152" customFormat="1" x14ac:dyDescent="0.25">
      <c r="A106" s="385"/>
      <c r="B106" s="386"/>
      <c r="C106" s="417"/>
      <c r="D106" s="418"/>
      <c r="E106" s="418"/>
      <c r="F106" s="418"/>
      <c r="G106" s="419"/>
      <c r="H106" s="399"/>
      <c r="I106" s="365"/>
      <c r="J106" s="383"/>
    </row>
    <row r="107" spans="1:13" ht="18.75" x14ac:dyDescent="0.25">
      <c r="A107" s="563" t="s">
        <v>69</v>
      </c>
      <c r="B107" s="564"/>
      <c r="C107" s="564"/>
      <c r="D107" s="564"/>
      <c r="E107" s="564"/>
      <c r="F107" s="564"/>
      <c r="G107" s="564"/>
      <c r="H107" s="564"/>
      <c r="I107" s="564"/>
      <c r="J107" s="565"/>
    </row>
    <row r="108" spans="1:13" x14ac:dyDescent="0.25">
      <c r="A108" s="451">
        <v>5</v>
      </c>
      <c r="B108" s="426" t="s">
        <v>70</v>
      </c>
      <c r="C108" s="426" t="s">
        <v>33</v>
      </c>
      <c r="D108" s="426" t="s">
        <v>6</v>
      </c>
      <c r="E108" s="426" t="s">
        <v>33</v>
      </c>
      <c r="F108" s="426" t="s">
        <v>6</v>
      </c>
      <c r="G108" s="427" t="s">
        <v>33</v>
      </c>
      <c r="H108" s="427" t="s">
        <v>6</v>
      </c>
      <c r="I108" s="427" t="s">
        <v>33</v>
      </c>
      <c r="J108" s="452" t="s">
        <v>6</v>
      </c>
    </row>
    <row r="109" spans="1:13" x14ac:dyDescent="0.25">
      <c r="A109" s="223" t="s">
        <v>7</v>
      </c>
      <c r="B109" s="7" t="s">
        <v>71</v>
      </c>
      <c r="C109" s="9">
        <v>2.6100000000000002E-2</v>
      </c>
      <c r="D109" s="8">
        <f>SUM(C32+C42+C48+D105)*C109</f>
        <v>61.722941221337152</v>
      </c>
      <c r="E109" s="9">
        <v>2.6100000000000002E-2</v>
      </c>
      <c r="F109" s="8">
        <f>SUM(E32+E42+E48+F105)*E109</f>
        <v>63.61722049633714</v>
      </c>
      <c r="G109" s="313">
        <v>2.6100000000000002E-2</v>
      </c>
      <c r="H109" s="327">
        <f>SUM(G32+G42+G48+H105)*G109</f>
        <v>70.099058158972085</v>
      </c>
      <c r="I109" s="372">
        <v>2.6100000000000002E-2</v>
      </c>
      <c r="J109" s="375">
        <f>SUM(I32+I42+I48+J105)*I109</f>
        <v>75.66161695242721</v>
      </c>
    </row>
    <row r="110" spans="1:13" x14ac:dyDescent="0.25">
      <c r="A110" s="223" t="s">
        <v>9</v>
      </c>
      <c r="B110" s="1" t="s">
        <v>72</v>
      </c>
      <c r="C110" s="225">
        <v>0.14249999999999999</v>
      </c>
      <c r="D110" s="8"/>
      <c r="E110" s="225">
        <v>0.14249999999999999</v>
      </c>
      <c r="F110" s="8"/>
      <c r="G110" s="314">
        <v>0.14249999999999999</v>
      </c>
      <c r="H110" s="327"/>
      <c r="I110" s="373">
        <v>0.14249999999999999</v>
      </c>
      <c r="J110" s="375"/>
      <c r="K110" s="60">
        <v>1.6500000000000001E-2</v>
      </c>
      <c r="M110" s="60">
        <v>1.6500000000000001E-2</v>
      </c>
    </row>
    <row r="111" spans="1:13" x14ac:dyDescent="0.25">
      <c r="A111" s="223"/>
      <c r="B111" s="7" t="s">
        <v>131</v>
      </c>
      <c r="C111" s="9"/>
      <c r="D111" s="8">
        <f>ROUND(K116*K112,2)</f>
        <v>264.38</v>
      </c>
      <c r="E111" s="9"/>
      <c r="F111" s="8">
        <f>ROUND(M118*M112,2)</f>
        <v>272.49</v>
      </c>
      <c r="G111" s="313"/>
      <c r="H111" s="327">
        <f>ROUND(M116*M112,2)</f>
        <v>300.26</v>
      </c>
      <c r="I111" s="372"/>
      <c r="J111" s="375">
        <f>ROUND(M120*M112,2)</f>
        <v>324.08</v>
      </c>
      <c r="K111" s="60">
        <v>7.5999999999999998E-2</v>
      </c>
      <c r="M111" s="60">
        <v>7.5999999999999998E-2</v>
      </c>
    </row>
    <row r="112" spans="1:13" x14ac:dyDescent="0.25">
      <c r="A112" s="223"/>
      <c r="B112" s="7" t="s">
        <v>130</v>
      </c>
      <c r="C112" s="9"/>
      <c r="D112" s="8">
        <f>ROUND(K116*K113,2)</f>
        <v>142.91</v>
      </c>
      <c r="E112" s="9"/>
      <c r="F112" s="8">
        <f>ROUND(M118*M113,2)</f>
        <v>147.29</v>
      </c>
      <c r="G112" s="313"/>
      <c r="H112" s="327">
        <f>ROUND(M116*M113,2)</f>
        <v>162.30000000000001</v>
      </c>
      <c r="I112" s="372"/>
      <c r="J112" s="375">
        <f>ROUND(M120*M113,2)</f>
        <v>175.18</v>
      </c>
      <c r="K112" s="60">
        <f>SUM(K110:K111)</f>
        <v>9.2499999999999999E-2</v>
      </c>
      <c r="M112" s="60">
        <f>SUM(M110:M111)</f>
        <v>9.2499999999999999E-2</v>
      </c>
    </row>
    <row r="113" spans="1:13" x14ac:dyDescent="0.25">
      <c r="A113" s="223"/>
      <c r="B113" s="7" t="s">
        <v>132</v>
      </c>
      <c r="C113" s="9"/>
      <c r="D113" s="8"/>
      <c r="E113" s="9"/>
      <c r="F113" s="8"/>
      <c r="G113" s="313"/>
      <c r="H113" s="327"/>
      <c r="I113" s="372"/>
      <c r="J113" s="375"/>
      <c r="K113" s="60">
        <v>0.05</v>
      </c>
      <c r="M113" s="60">
        <v>0.05</v>
      </c>
    </row>
    <row r="114" spans="1:13" x14ac:dyDescent="0.25">
      <c r="A114" s="223"/>
      <c r="B114" s="7" t="s">
        <v>133</v>
      </c>
      <c r="C114" s="9"/>
      <c r="D114" s="8"/>
      <c r="E114" s="9"/>
      <c r="F114" s="8"/>
      <c r="G114" s="313"/>
      <c r="H114" s="327"/>
      <c r="I114" s="372"/>
      <c r="J114" s="375"/>
    </row>
    <row r="115" spans="1:13" x14ac:dyDescent="0.25">
      <c r="A115" s="229" t="s">
        <v>11</v>
      </c>
      <c r="B115" s="7" t="s">
        <v>134</v>
      </c>
      <c r="C115" s="230">
        <v>0.01</v>
      </c>
      <c r="D115" s="8">
        <f>SUM(D109+D105+C48+C42+C32)*C115</f>
        <v>24.265865895484303</v>
      </c>
      <c r="E115" s="230">
        <v>0.01</v>
      </c>
      <c r="F115" s="8">
        <f>SUM(F109+F105+E48+E42+E32)*E115</f>
        <v>25.010586188234303</v>
      </c>
      <c r="G115" s="315">
        <v>0.01</v>
      </c>
      <c r="H115" s="327">
        <f>SUM(H109+H105+G48+G42+G32)*G115</f>
        <v>27.558867270851053</v>
      </c>
      <c r="I115" s="373">
        <v>0.01</v>
      </c>
      <c r="J115" s="375">
        <f>SUM(J109+J105+I48+I42+I32)*I115</f>
        <v>29.745741438653468</v>
      </c>
    </row>
    <row r="116" spans="1:13" x14ac:dyDescent="0.25">
      <c r="A116" s="581" t="s">
        <v>41</v>
      </c>
      <c r="B116" s="526"/>
      <c r="C116" s="526"/>
      <c r="D116" s="436">
        <f>SUM(D109:D115)</f>
        <v>493.27880711682138</v>
      </c>
      <c r="E116" s="436"/>
      <c r="F116" s="436">
        <f>SUM(F109:F115)</f>
        <v>508.40780668457143</v>
      </c>
      <c r="G116" s="437"/>
      <c r="H116" s="437">
        <f>SUM(H109:H115)</f>
        <v>560.21792542982314</v>
      </c>
      <c r="I116" s="437"/>
      <c r="J116" s="455">
        <f>SUM(J109:J115)</f>
        <v>604.66735839108071</v>
      </c>
      <c r="K116" s="59">
        <f>SUM(D115+D109+D105+C48+C42+C32)/(1-C110)</f>
        <v>2858.1369742786173</v>
      </c>
      <c r="M116" s="59">
        <f>SUM(H115+H109+H105+G48+G42+G32)/(1-G110)</f>
        <v>3246.0006931264797</v>
      </c>
    </row>
    <row r="117" spans="1:13" x14ac:dyDescent="0.25">
      <c r="A117" s="580" t="s">
        <v>73</v>
      </c>
      <c r="B117" s="528"/>
      <c r="C117" s="528"/>
      <c r="D117" s="528"/>
      <c r="E117" s="396"/>
      <c r="F117" s="396"/>
      <c r="G117" s="420"/>
      <c r="H117" s="420"/>
      <c r="I117" s="421"/>
      <c r="J117" s="463"/>
    </row>
    <row r="118" spans="1:13" x14ac:dyDescent="0.25">
      <c r="A118" s="580" t="s">
        <v>74</v>
      </c>
      <c r="B118" s="528"/>
      <c r="C118" s="528"/>
      <c r="D118" s="528"/>
      <c r="E118" s="396"/>
      <c r="F118" s="396"/>
      <c r="G118" s="420"/>
      <c r="H118" s="420"/>
      <c r="I118" s="421"/>
      <c r="J118" s="463"/>
      <c r="M118" s="59">
        <f>SUM(F115+F109+F105+E48+E42+E32)/(1-E110)</f>
        <v>2945.8533003051484</v>
      </c>
    </row>
    <row r="119" spans="1:13" x14ac:dyDescent="0.25">
      <c r="A119" s="583" t="s">
        <v>135</v>
      </c>
      <c r="B119" s="527"/>
      <c r="C119" s="527"/>
      <c r="D119" s="527"/>
      <c r="E119" s="422"/>
      <c r="F119" s="422"/>
      <c r="G119" s="423"/>
      <c r="H119" s="423"/>
      <c r="I119" s="424"/>
      <c r="J119" s="464"/>
      <c r="M119" s="59"/>
    </row>
    <row r="120" spans="1:13" x14ac:dyDescent="0.25">
      <c r="A120" s="583" t="s">
        <v>75</v>
      </c>
      <c r="B120" s="527"/>
      <c r="C120" s="527"/>
      <c r="D120" s="527"/>
      <c r="E120" s="422"/>
      <c r="F120" s="422"/>
      <c r="G120" s="423"/>
      <c r="H120" s="423"/>
      <c r="I120" s="424"/>
      <c r="J120" s="464"/>
      <c r="M120" s="59">
        <f>SUM(J115+J109+J105+I48+I42+I32)/(1-I110)</f>
        <v>3503.5800411708456</v>
      </c>
    </row>
    <row r="121" spans="1:13" x14ac:dyDescent="0.25">
      <c r="A121" s="442"/>
      <c r="B121" s="3"/>
      <c r="C121" s="3"/>
      <c r="D121" s="3"/>
      <c r="E121" s="3"/>
      <c r="F121" s="3"/>
      <c r="G121" s="343"/>
      <c r="H121" s="343"/>
      <c r="I121" s="393"/>
      <c r="J121" s="383"/>
    </row>
    <row r="122" spans="1:13" x14ac:dyDescent="0.25">
      <c r="A122" s="581" t="s">
        <v>76</v>
      </c>
      <c r="B122" s="526"/>
      <c r="C122" s="526" t="s">
        <v>77</v>
      </c>
      <c r="D122" s="526"/>
      <c r="E122" s="526" t="s">
        <v>77</v>
      </c>
      <c r="F122" s="526"/>
      <c r="G122" s="525" t="s">
        <v>77</v>
      </c>
      <c r="H122" s="525"/>
      <c r="I122" s="525" t="s">
        <v>77</v>
      </c>
      <c r="J122" s="599"/>
      <c r="K122" s="4">
        <f>'$ TOTAL ATUAL'!D33</f>
        <v>-133463.52000000002</v>
      </c>
      <c r="M122" s="4">
        <f>'$ TOTAL ATUAL'!F33</f>
        <v>0</v>
      </c>
    </row>
    <row r="123" spans="1:13" x14ac:dyDescent="0.25">
      <c r="A123" s="223" t="s">
        <v>7</v>
      </c>
      <c r="B123" s="7" t="s">
        <v>78</v>
      </c>
      <c r="C123" s="518">
        <f>C32</f>
        <v>952.22</v>
      </c>
      <c r="D123" s="519"/>
      <c r="E123" s="522">
        <f>E32</f>
        <v>952.22</v>
      </c>
      <c r="F123" s="523"/>
      <c r="G123" s="522">
        <f>G32</f>
        <v>1052.2</v>
      </c>
      <c r="H123" s="523"/>
      <c r="I123" s="515">
        <f>I32</f>
        <v>1121.33</v>
      </c>
      <c r="J123" s="593"/>
    </row>
    <row r="124" spans="1:13" x14ac:dyDescent="0.25">
      <c r="A124" s="223" t="s">
        <v>9</v>
      </c>
      <c r="B124" s="7" t="s">
        <v>79</v>
      </c>
      <c r="C124" s="518">
        <f>C42</f>
        <v>652.685744</v>
      </c>
      <c r="D124" s="519"/>
      <c r="E124" s="522">
        <f>E42</f>
        <v>725.26349399999992</v>
      </c>
      <c r="F124" s="523"/>
      <c r="G124" s="522">
        <f>G42</f>
        <v>794.82425000000001</v>
      </c>
      <c r="H124" s="523"/>
      <c r="I124" s="515">
        <f>I42</f>
        <v>885.51769999999999</v>
      </c>
      <c r="J124" s="593"/>
    </row>
    <row r="125" spans="1:13" ht="30" x14ac:dyDescent="0.25">
      <c r="A125" s="223" t="s">
        <v>11</v>
      </c>
      <c r="B125" s="237" t="s">
        <v>80</v>
      </c>
      <c r="C125" s="518">
        <f>C48</f>
        <v>27.433333333333334</v>
      </c>
      <c r="D125" s="519"/>
      <c r="E125" s="522">
        <f>E48</f>
        <v>27.433333333333334</v>
      </c>
      <c r="F125" s="523"/>
      <c r="G125" s="522">
        <f>G48</f>
        <v>27.433333333333334</v>
      </c>
      <c r="H125" s="523"/>
      <c r="I125" s="515">
        <f>I48</f>
        <v>27.43</v>
      </c>
      <c r="J125" s="593"/>
    </row>
    <row r="126" spans="1:13" x14ac:dyDescent="0.25">
      <c r="A126" s="223" t="s">
        <v>13</v>
      </c>
      <c r="B126" s="7" t="s">
        <v>64</v>
      </c>
      <c r="C126" s="518">
        <f>D105</f>
        <v>732.52457099376011</v>
      </c>
      <c r="D126" s="519"/>
      <c r="E126" s="522">
        <f>F105</f>
        <v>732.52457099376011</v>
      </c>
      <c r="F126" s="523"/>
      <c r="G126" s="522">
        <f>H105</f>
        <v>811.33008559280006</v>
      </c>
      <c r="H126" s="523"/>
      <c r="I126" s="515">
        <f>J105</f>
        <v>864.63482691291995</v>
      </c>
      <c r="J126" s="593"/>
    </row>
    <row r="127" spans="1:13" x14ac:dyDescent="0.25">
      <c r="A127" s="578" t="s">
        <v>81</v>
      </c>
      <c r="B127" s="533"/>
      <c r="C127" s="518">
        <f>SUM(C123:D126)</f>
        <v>2364.8636483270939</v>
      </c>
      <c r="D127" s="519"/>
      <c r="E127" s="522">
        <f>SUM(E123:F126)</f>
        <v>2437.4413983270933</v>
      </c>
      <c r="F127" s="523"/>
      <c r="G127" s="522">
        <f>SUM(G123:H126)</f>
        <v>2685.7876689261334</v>
      </c>
      <c r="H127" s="523"/>
      <c r="I127" s="515">
        <f>SUM(I123:J126)</f>
        <v>2898.9125269129199</v>
      </c>
      <c r="J127" s="593"/>
    </row>
    <row r="128" spans="1:13" x14ac:dyDescent="0.25">
      <c r="A128" s="223" t="s">
        <v>15</v>
      </c>
      <c r="B128" s="7" t="s">
        <v>82</v>
      </c>
      <c r="C128" s="518">
        <f>D116</f>
        <v>493.27880711682138</v>
      </c>
      <c r="D128" s="519"/>
      <c r="E128" s="518">
        <f>F116</f>
        <v>508.40780668457143</v>
      </c>
      <c r="F128" s="519"/>
      <c r="G128" s="522">
        <f>H116</f>
        <v>560.21792542982314</v>
      </c>
      <c r="H128" s="523"/>
      <c r="I128" s="515">
        <f>J116</f>
        <v>604.66735839108071</v>
      </c>
      <c r="J128" s="593"/>
    </row>
    <row r="129" spans="1:14" ht="15.75" thickBot="1" x14ac:dyDescent="0.3">
      <c r="A129" s="574" t="s">
        <v>83</v>
      </c>
      <c r="B129" s="575"/>
      <c r="C129" s="576">
        <f>SUM(C127:C128)</f>
        <v>2858.1424554439154</v>
      </c>
      <c r="D129" s="577"/>
      <c r="E129" s="591">
        <f>SUM(E127:E128)</f>
        <v>2945.8492050116647</v>
      </c>
      <c r="F129" s="592"/>
      <c r="G129" s="572">
        <f>SUM(G127:G128)</f>
        <v>3246.0055943559564</v>
      </c>
      <c r="H129" s="573"/>
      <c r="I129" s="572">
        <f>SUM(I127:I128)</f>
        <v>3503.5798853040005</v>
      </c>
      <c r="J129" s="596"/>
    </row>
    <row r="130" spans="1:14" x14ac:dyDescent="0.25">
      <c r="L130" s="4"/>
      <c r="N130" s="4"/>
    </row>
  </sheetData>
  <mergeCells count="75">
    <mergeCell ref="A1:J1"/>
    <mergeCell ref="A4:J4"/>
    <mergeCell ref="A17:J17"/>
    <mergeCell ref="A43:J43"/>
    <mergeCell ref="J45:J46"/>
    <mergeCell ref="I127:J127"/>
    <mergeCell ref="I128:J128"/>
    <mergeCell ref="I129:J129"/>
    <mergeCell ref="I9:J9"/>
    <mergeCell ref="A2:J2"/>
    <mergeCell ref="A3:J3"/>
    <mergeCell ref="G129:H129"/>
    <mergeCell ref="A61:D61"/>
    <mergeCell ref="A62:D62"/>
    <mergeCell ref="C128:D128"/>
    <mergeCell ref="A129:B129"/>
    <mergeCell ref="C129:D129"/>
    <mergeCell ref="C123:D123"/>
    <mergeCell ref="C124:D124"/>
    <mergeCell ref="C125:D125"/>
    <mergeCell ref="C126:D126"/>
    <mergeCell ref="A116:C116"/>
    <mergeCell ref="A107:J107"/>
    <mergeCell ref="A96:J96"/>
    <mergeCell ref="A127:B127"/>
    <mergeCell ref="C127:D127"/>
    <mergeCell ref="A117:D117"/>
    <mergeCell ref="A118:D118"/>
    <mergeCell ref="A119:D119"/>
    <mergeCell ref="A120:D120"/>
    <mergeCell ref="A122:B122"/>
    <mergeCell ref="C122:D122"/>
    <mergeCell ref="I122:J122"/>
    <mergeCell ref="I123:J123"/>
    <mergeCell ref="I124:J124"/>
    <mergeCell ref="I125:J125"/>
    <mergeCell ref="I126:J126"/>
    <mergeCell ref="B5:C5"/>
    <mergeCell ref="A6:C6"/>
    <mergeCell ref="A8:C8"/>
    <mergeCell ref="A42:B42"/>
    <mergeCell ref="A33:C33"/>
    <mergeCell ref="A15:B15"/>
    <mergeCell ref="A14:C14"/>
    <mergeCell ref="A16:B16"/>
    <mergeCell ref="A18:C18"/>
    <mergeCell ref="A23:C23"/>
    <mergeCell ref="E129:F129"/>
    <mergeCell ref="E123:F123"/>
    <mergeCell ref="E124:F124"/>
    <mergeCell ref="E125:F125"/>
    <mergeCell ref="E126:F126"/>
    <mergeCell ref="E127:F127"/>
    <mergeCell ref="E128:F128"/>
    <mergeCell ref="A32:B32"/>
    <mergeCell ref="A48:B48"/>
    <mergeCell ref="A60:B60"/>
    <mergeCell ref="G122:H122"/>
    <mergeCell ref="G123:H123"/>
    <mergeCell ref="E122:F122"/>
    <mergeCell ref="A69:B69"/>
    <mergeCell ref="A74:B74"/>
    <mergeCell ref="A83:B83"/>
    <mergeCell ref="A63:J63"/>
    <mergeCell ref="A70:J70"/>
    <mergeCell ref="A75:J75"/>
    <mergeCell ref="A50:J50"/>
    <mergeCell ref="A84:D84"/>
    <mergeCell ref="A94:B94"/>
    <mergeCell ref="A105:B105"/>
    <mergeCell ref="G128:H128"/>
    <mergeCell ref="G124:H124"/>
    <mergeCell ref="G125:H125"/>
    <mergeCell ref="G126:H126"/>
    <mergeCell ref="G127:H127"/>
  </mergeCells>
  <printOptions horizontalCentered="1"/>
  <pageMargins left="0.9055118110236221" right="0.78740157480314965" top="0.78740157480314965" bottom="0.98425196850393704" header="0.31496062992125984" footer="0.31496062992125984"/>
  <pageSetup paperSize="9" scale="53" fitToHeight="0" orientation="portrait" horizontalDpi="4294967295" verticalDpi="4294967295" r:id="rId1"/>
  <rowBreaks count="1" manualBreakCount="1">
    <brk id="84" max="9" man="1"/>
  </rowBreaks>
  <colBreaks count="1" manualBreakCount="1">
    <brk id="1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view="pageBreakPreview" topLeftCell="A43" zoomScale="80" zoomScaleNormal="100" zoomScaleSheetLayoutView="80" workbookViewId="0">
      <selection activeCell="E23" sqref="E23"/>
    </sheetView>
  </sheetViews>
  <sheetFormatPr defaultColWidth="9" defaultRowHeight="15" x14ac:dyDescent="0.25"/>
  <cols>
    <col min="1" max="1" width="13.42578125" style="11" customWidth="1"/>
    <col min="2" max="2" width="11.42578125" style="11" customWidth="1"/>
    <col min="3" max="3" width="14.140625" style="11" customWidth="1"/>
    <col min="4" max="4" width="14.5703125" style="11" customWidth="1"/>
    <col min="5" max="5" width="32.42578125" style="11" customWidth="1"/>
    <col min="6" max="6" width="18.42578125" style="11" customWidth="1"/>
    <col min="7" max="7" width="20.140625" style="11" customWidth="1"/>
    <col min="8" max="16384" width="9" style="11"/>
  </cols>
  <sheetData>
    <row r="1" spans="1:7" x14ac:dyDescent="0.25">
      <c r="A1" s="658" t="s">
        <v>186</v>
      </c>
      <c r="B1" s="659"/>
      <c r="C1" s="659"/>
      <c r="D1" s="659"/>
      <c r="E1" s="659"/>
      <c r="F1" s="659"/>
      <c r="G1" s="660"/>
    </row>
    <row r="2" spans="1:7" ht="15.75" thickBot="1" x14ac:dyDescent="0.3">
      <c r="A2" s="661"/>
      <c r="B2" s="662"/>
      <c r="C2" s="662"/>
      <c r="D2" s="662"/>
      <c r="E2" s="662"/>
      <c r="F2" s="662"/>
      <c r="G2" s="663"/>
    </row>
    <row r="3" spans="1:7" ht="15.75" thickBot="1" x14ac:dyDescent="0.3"/>
    <row r="4" spans="1:7" ht="15.75" thickBot="1" x14ac:dyDescent="0.3">
      <c r="A4" s="698" t="s">
        <v>146</v>
      </c>
      <c r="B4" s="699"/>
      <c r="C4" s="699"/>
      <c r="D4" s="699"/>
      <c r="E4" s="699"/>
      <c r="F4" s="699"/>
      <c r="G4" s="700"/>
    </row>
    <row r="5" spans="1:7" ht="15.75" thickBot="1" x14ac:dyDescent="0.3">
      <c r="A5" s="12"/>
      <c r="B5" s="12"/>
      <c r="C5" s="12"/>
      <c r="D5" s="12"/>
      <c r="E5" s="12"/>
      <c r="F5" s="12"/>
      <c r="G5" s="12"/>
    </row>
    <row r="6" spans="1:7" ht="29.25" x14ac:dyDescent="0.25">
      <c r="A6" s="672" t="s">
        <v>136</v>
      </c>
      <c r="B6" s="670" t="s">
        <v>137</v>
      </c>
      <c r="C6" s="670"/>
      <c r="D6" s="670"/>
      <c r="E6" s="13" t="s">
        <v>141</v>
      </c>
      <c r="F6" s="670" t="s">
        <v>142</v>
      </c>
      <c r="G6" s="695"/>
    </row>
    <row r="7" spans="1:7" ht="42.75" x14ac:dyDescent="0.25">
      <c r="A7" s="673"/>
      <c r="B7" s="671"/>
      <c r="C7" s="671"/>
      <c r="D7" s="671"/>
      <c r="E7" s="14" t="s">
        <v>145</v>
      </c>
      <c r="F7" s="15" t="s">
        <v>143</v>
      </c>
      <c r="G7" s="16" t="s">
        <v>144</v>
      </c>
    </row>
    <row r="8" spans="1:7" ht="14.25" customHeight="1" x14ac:dyDescent="0.25">
      <c r="A8" s="674" t="s">
        <v>109</v>
      </c>
      <c r="B8" s="17" t="s">
        <v>138</v>
      </c>
      <c r="C8" s="18">
        <v>15655.25</v>
      </c>
      <c r="D8" s="19" t="s">
        <v>140</v>
      </c>
      <c r="E8" s="696">
        <v>5304</v>
      </c>
      <c r="F8" s="20">
        <v>2851.1</v>
      </c>
      <c r="G8" s="21">
        <v>7647.58</v>
      </c>
    </row>
    <row r="9" spans="1:7" ht="15.75" thickBot="1" x14ac:dyDescent="0.3">
      <c r="A9" s="675"/>
      <c r="B9" s="22" t="s">
        <v>139</v>
      </c>
      <c r="C9" s="23">
        <v>2474</v>
      </c>
      <c r="D9" s="23">
        <v>9837</v>
      </c>
      <c r="E9" s="697"/>
      <c r="F9" s="693">
        <v>12303.97</v>
      </c>
      <c r="G9" s="694"/>
    </row>
    <row r="10" spans="1:7" ht="14.25" customHeight="1" x14ac:dyDescent="0.25">
      <c r="A10" s="12"/>
      <c r="B10" s="12"/>
      <c r="C10" s="12"/>
      <c r="D10" s="12"/>
      <c r="E10" s="12"/>
      <c r="F10" s="12"/>
      <c r="G10" s="12"/>
    </row>
    <row r="11" spans="1:7" ht="15.75" thickBot="1" x14ac:dyDescent="0.3">
      <c r="A11" s="12" t="s">
        <v>147</v>
      </c>
      <c r="B11" s="24"/>
      <c r="C11" s="24"/>
      <c r="D11" s="24"/>
      <c r="E11" s="24"/>
      <c r="F11" s="24"/>
      <c r="G11" s="24"/>
    </row>
    <row r="12" spans="1:7" ht="15.75" thickBot="1" x14ac:dyDescent="0.3">
      <c r="A12" s="704" t="s">
        <v>455</v>
      </c>
      <c r="B12" s="705"/>
      <c r="C12" s="705"/>
      <c r="D12" s="705"/>
      <c r="E12" s="705"/>
      <c r="F12" s="705"/>
      <c r="G12" s="706"/>
    </row>
    <row r="13" spans="1:7" ht="15.75" thickBot="1" x14ac:dyDescent="0.3">
      <c r="A13" s="25" t="s">
        <v>148</v>
      </c>
      <c r="B13" s="25"/>
      <c r="C13" s="25"/>
      <c r="D13" s="25"/>
      <c r="E13" s="26" t="s">
        <v>107</v>
      </c>
      <c r="F13" s="27" t="s">
        <v>149</v>
      </c>
      <c r="G13" s="701" t="s">
        <v>151</v>
      </c>
    </row>
    <row r="14" spans="1:7" ht="15.75" thickBot="1" x14ac:dyDescent="0.3">
      <c r="A14" s="28" t="s">
        <v>138</v>
      </c>
      <c r="B14" s="29"/>
      <c r="C14" s="29"/>
      <c r="D14" s="29"/>
      <c r="E14" s="150" t="s">
        <v>454</v>
      </c>
      <c r="F14" s="36">
        <f>C8/900/1</f>
        <v>17.394722222222221</v>
      </c>
      <c r="G14" s="702"/>
    </row>
    <row r="15" spans="1:7" ht="15.75" thickBot="1" x14ac:dyDescent="0.3">
      <c r="A15" s="28" t="s">
        <v>139</v>
      </c>
      <c r="B15" s="29"/>
      <c r="C15" s="29"/>
      <c r="D15" s="29"/>
      <c r="E15" s="30" t="s">
        <v>173</v>
      </c>
      <c r="F15" s="36">
        <f>C9/1200/1</f>
        <v>2.0616666666666665</v>
      </c>
      <c r="G15" s="702"/>
    </row>
    <row r="16" spans="1:7" ht="15.75" thickBot="1" x14ac:dyDescent="0.3">
      <c r="A16" s="28" t="s">
        <v>140</v>
      </c>
      <c r="B16" s="29"/>
      <c r="C16" s="29"/>
      <c r="D16" s="29"/>
      <c r="E16" s="30" t="s">
        <v>174</v>
      </c>
      <c r="F16" s="36">
        <f>D9/6000/1</f>
        <v>1.6395</v>
      </c>
      <c r="G16" s="702"/>
    </row>
    <row r="17" spans="1:7" ht="15.75" thickBot="1" x14ac:dyDescent="0.3">
      <c r="A17" s="28" t="s">
        <v>145</v>
      </c>
      <c r="B17" s="29"/>
      <c r="C17" s="29"/>
      <c r="D17" s="29"/>
      <c r="E17" s="30" t="s">
        <v>175</v>
      </c>
      <c r="F17" s="36">
        <f>E8/220/15</f>
        <v>1.6072727272727272</v>
      </c>
      <c r="G17" s="702"/>
    </row>
    <row r="18" spans="1:7" ht="15.75" thickBot="1" x14ac:dyDescent="0.3">
      <c r="A18" s="28" t="s">
        <v>150</v>
      </c>
      <c r="B18" s="29"/>
      <c r="C18" s="29"/>
      <c r="D18" s="29"/>
      <c r="E18" s="31" t="s">
        <v>176</v>
      </c>
      <c r="F18" s="78">
        <f>F9/110/180</f>
        <v>0.62141262626262617</v>
      </c>
      <c r="G18" s="703"/>
    </row>
    <row r="19" spans="1:7" ht="15.75" thickBot="1" x14ac:dyDescent="0.3">
      <c r="A19" s="666" t="s">
        <v>152</v>
      </c>
      <c r="B19" s="667"/>
      <c r="C19" s="667"/>
      <c r="D19" s="667"/>
      <c r="E19" s="668"/>
      <c r="F19" s="496">
        <f>SUM(F14:F18)</f>
        <v>23.324574242424237</v>
      </c>
      <c r="G19" s="497">
        <f>SUM(F14:F18)</f>
        <v>23.324574242424237</v>
      </c>
    </row>
    <row r="20" spans="1:7" ht="15.75" thickBot="1" x14ac:dyDescent="0.3">
      <c r="A20" s="12"/>
      <c r="B20" s="12"/>
      <c r="C20" s="12"/>
      <c r="D20" s="12"/>
      <c r="E20" s="12"/>
      <c r="F20" s="12"/>
      <c r="G20" s="12"/>
    </row>
    <row r="21" spans="1:7" ht="15.75" thickBot="1" x14ac:dyDescent="0.3">
      <c r="A21" s="666" t="s">
        <v>108</v>
      </c>
      <c r="B21" s="667"/>
      <c r="C21" s="667"/>
      <c r="D21" s="667"/>
      <c r="E21" s="667"/>
      <c r="F21" s="667"/>
      <c r="G21" s="668"/>
    </row>
    <row r="22" spans="1:7" x14ac:dyDescent="0.25">
      <c r="A22" s="707"/>
      <c r="B22" s="708"/>
      <c r="C22" s="708"/>
      <c r="D22" s="708"/>
      <c r="E22" s="32" t="s">
        <v>107</v>
      </c>
      <c r="F22" s="32" t="s">
        <v>149</v>
      </c>
      <c r="G22" s="27" t="s">
        <v>153</v>
      </c>
    </row>
    <row r="23" spans="1:7" ht="15.75" thickBot="1" x14ac:dyDescent="0.3">
      <c r="A23" s="709"/>
      <c r="B23" s="697"/>
      <c r="C23" s="697"/>
      <c r="D23" s="697"/>
      <c r="E23" s="514" t="s">
        <v>566</v>
      </c>
      <c r="F23" s="33">
        <v>1</v>
      </c>
      <c r="G23" s="34">
        <v>1</v>
      </c>
    </row>
    <row r="24" spans="1:7" ht="15.75" thickBot="1" x14ac:dyDescent="0.3">
      <c r="A24" s="12"/>
      <c r="B24" s="12"/>
      <c r="C24" s="12"/>
      <c r="D24" s="12"/>
      <c r="E24" s="12"/>
      <c r="F24" s="12"/>
      <c r="G24" s="12"/>
    </row>
    <row r="25" spans="1:7" x14ac:dyDescent="0.25">
      <c r="A25" s="690" t="s">
        <v>456</v>
      </c>
      <c r="B25" s="691"/>
      <c r="C25" s="691"/>
      <c r="D25" s="691"/>
      <c r="E25" s="691"/>
      <c r="F25" s="691"/>
      <c r="G25" s="692"/>
    </row>
    <row r="26" spans="1:7" x14ac:dyDescent="0.25">
      <c r="A26" s="684" t="s">
        <v>163</v>
      </c>
      <c r="B26" s="685"/>
      <c r="C26" s="685"/>
      <c r="D26" s="685"/>
      <c r="E26" s="685"/>
      <c r="F26" s="686"/>
      <c r="G26" s="35">
        <v>1412</v>
      </c>
    </row>
    <row r="27" spans="1:7" x14ac:dyDescent="0.25">
      <c r="A27" s="687" t="s">
        <v>164</v>
      </c>
      <c r="B27" s="688"/>
      <c r="C27" s="688"/>
      <c r="D27" s="688"/>
      <c r="E27" s="688"/>
      <c r="F27" s="688"/>
      <c r="G27" s="689"/>
    </row>
    <row r="28" spans="1:7" x14ac:dyDescent="0.25">
      <c r="A28" s="651" t="s">
        <v>154</v>
      </c>
      <c r="B28" s="652"/>
      <c r="C28" s="652"/>
      <c r="D28" s="652"/>
      <c r="E28" s="652"/>
      <c r="F28" s="652"/>
      <c r="G28" s="36">
        <v>11296</v>
      </c>
    </row>
    <row r="29" spans="1:7" x14ac:dyDescent="0.25">
      <c r="A29" s="649" t="s">
        <v>155</v>
      </c>
      <c r="B29" s="650"/>
      <c r="C29" s="650"/>
      <c r="D29" s="650"/>
      <c r="E29" s="650"/>
      <c r="F29" s="650"/>
      <c r="G29" s="37">
        <v>974</v>
      </c>
    </row>
    <row r="30" spans="1:7" x14ac:dyDescent="0.25">
      <c r="A30" s="649" t="s">
        <v>156</v>
      </c>
      <c r="B30" s="650"/>
      <c r="C30" s="650"/>
      <c r="D30" s="650"/>
      <c r="E30" s="650"/>
      <c r="F30" s="650"/>
      <c r="G30" s="37">
        <v>1156</v>
      </c>
    </row>
    <row r="31" spans="1:7" x14ac:dyDescent="0.25">
      <c r="A31" s="651" t="s">
        <v>157</v>
      </c>
      <c r="B31" s="652"/>
      <c r="C31" s="652"/>
      <c r="D31" s="652"/>
      <c r="E31" s="652"/>
      <c r="F31" s="652"/>
      <c r="G31" s="37">
        <v>1722</v>
      </c>
    </row>
    <row r="32" spans="1:7" x14ac:dyDescent="0.25">
      <c r="A32" s="649" t="s">
        <v>158</v>
      </c>
      <c r="B32" s="650"/>
      <c r="C32" s="650"/>
      <c r="D32" s="650"/>
      <c r="E32" s="650"/>
      <c r="F32" s="650"/>
      <c r="G32" s="37">
        <v>257</v>
      </c>
    </row>
    <row r="33" spans="1:7" x14ac:dyDescent="0.25">
      <c r="A33" s="649" t="s">
        <v>159</v>
      </c>
      <c r="B33" s="650"/>
      <c r="C33" s="650"/>
      <c r="D33" s="650"/>
      <c r="E33" s="650"/>
      <c r="F33" s="650"/>
      <c r="G33" s="37">
        <v>152.25</v>
      </c>
    </row>
    <row r="34" spans="1:7" x14ac:dyDescent="0.25">
      <c r="A34" s="649" t="s">
        <v>160</v>
      </c>
      <c r="B34" s="650"/>
      <c r="C34" s="650"/>
      <c r="D34" s="650"/>
      <c r="E34" s="650"/>
      <c r="F34" s="650"/>
      <c r="G34" s="37">
        <v>400</v>
      </c>
    </row>
    <row r="35" spans="1:7" x14ac:dyDescent="0.25">
      <c r="A35" s="653" t="s">
        <v>161</v>
      </c>
      <c r="B35" s="654"/>
      <c r="C35" s="654"/>
      <c r="D35" s="654"/>
      <c r="E35" s="654"/>
      <c r="F35" s="654"/>
      <c r="G35" s="38">
        <f>SUM(G28:G34)</f>
        <v>15957.25</v>
      </c>
    </row>
    <row r="36" spans="1:7" ht="15.75" thickBot="1" x14ac:dyDescent="0.3">
      <c r="A36" s="655" t="s">
        <v>162</v>
      </c>
      <c r="B36" s="656"/>
      <c r="C36" s="656"/>
      <c r="D36" s="656"/>
      <c r="E36" s="656"/>
      <c r="F36" s="656"/>
      <c r="G36" s="39"/>
    </row>
    <row r="37" spans="1:7" ht="15.75" thickBot="1" x14ac:dyDescent="0.3">
      <c r="A37" s="657"/>
      <c r="B37" s="657"/>
      <c r="C37" s="657"/>
      <c r="D37" s="657"/>
      <c r="E37" s="657"/>
      <c r="F37" s="657"/>
    </row>
    <row r="38" spans="1:7" ht="15.75" thickBot="1" x14ac:dyDescent="0.3">
      <c r="A38" s="666" t="s">
        <v>177</v>
      </c>
      <c r="B38" s="667"/>
      <c r="C38" s="667"/>
      <c r="D38" s="667"/>
      <c r="E38" s="667"/>
      <c r="F38" s="667"/>
      <c r="G38" s="668"/>
    </row>
    <row r="39" spans="1:7" x14ac:dyDescent="0.25">
      <c r="A39" s="669" t="s">
        <v>165</v>
      </c>
      <c r="B39" s="669"/>
      <c r="C39" s="669"/>
      <c r="D39" s="669"/>
      <c r="E39" s="669"/>
      <c r="F39" s="669"/>
      <c r="G39" s="40">
        <v>2474</v>
      </c>
    </row>
    <row r="40" spans="1:7" x14ac:dyDescent="0.25">
      <c r="A40" s="679" t="s">
        <v>178</v>
      </c>
      <c r="B40" s="679"/>
      <c r="C40" s="679"/>
      <c r="D40" s="679"/>
      <c r="E40" s="679"/>
      <c r="F40" s="679"/>
      <c r="G40" s="679"/>
    </row>
    <row r="41" spans="1:7" x14ac:dyDescent="0.25">
      <c r="A41" s="648" t="s">
        <v>166</v>
      </c>
      <c r="B41" s="648"/>
      <c r="C41" s="648"/>
      <c r="D41" s="648"/>
      <c r="E41" s="648"/>
      <c r="F41" s="648"/>
      <c r="G41" s="41">
        <v>1949</v>
      </c>
    </row>
    <row r="42" spans="1:7" x14ac:dyDescent="0.25">
      <c r="A42" s="648" t="s">
        <v>167</v>
      </c>
      <c r="B42" s="648"/>
      <c r="C42" s="648"/>
      <c r="D42" s="648"/>
      <c r="E42" s="648"/>
      <c r="F42" s="648"/>
      <c r="G42" s="42">
        <v>947</v>
      </c>
    </row>
    <row r="43" spans="1:7" x14ac:dyDescent="0.25">
      <c r="A43" s="648" t="s">
        <v>168</v>
      </c>
      <c r="B43" s="648"/>
      <c r="C43" s="648"/>
      <c r="D43" s="648"/>
      <c r="E43" s="648"/>
      <c r="F43" s="648"/>
      <c r="G43" s="42">
        <v>3990</v>
      </c>
    </row>
    <row r="44" spans="1:7" x14ac:dyDescent="0.25">
      <c r="A44" s="648" t="s">
        <v>169</v>
      </c>
      <c r="B44" s="648"/>
      <c r="C44" s="648"/>
      <c r="D44" s="648"/>
      <c r="E44" s="648"/>
      <c r="F44" s="648"/>
      <c r="G44" s="42">
        <v>1260</v>
      </c>
    </row>
    <row r="45" spans="1:7" x14ac:dyDescent="0.25">
      <c r="A45" s="648" t="s">
        <v>170</v>
      </c>
      <c r="B45" s="648"/>
      <c r="C45" s="648"/>
      <c r="D45" s="648"/>
      <c r="E45" s="648"/>
      <c r="F45" s="648"/>
      <c r="G45" s="42">
        <v>279</v>
      </c>
    </row>
    <row r="46" spans="1:7" x14ac:dyDescent="0.25">
      <c r="A46" s="648" t="s">
        <v>171</v>
      </c>
      <c r="B46" s="648"/>
      <c r="C46" s="648"/>
      <c r="D46" s="648"/>
      <c r="E46" s="648"/>
      <c r="F46" s="648"/>
      <c r="G46" s="42">
        <v>1412</v>
      </c>
    </row>
    <row r="47" spans="1:7" x14ac:dyDescent="0.25">
      <c r="A47" s="678" t="s">
        <v>172</v>
      </c>
      <c r="B47" s="678"/>
      <c r="C47" s="678"/>
      <c r="D47" s="678"/>
      <c r="E47" s="678"/>
      <c r="F47" s="678"/>
      <c r="G47" s="43">
        <f>SUM(G41:G46)</f>
        <v>9837</v>
      </c>
    </row>
    <row r="48" spans="1:7" ht="15.75" thickBot="1" x14ac:dyDescent="0.3"/>
    <row r="49" spans="1:7" ht="15.75" thickBot="1" x14ac:dyDescent="0.3">
      <c r="A49" s="666" t="s">
        <v>180</v>
      </c>
      <c r="B49" s="667"/>
      <c r="C49" s="667"/>
      <c r="D49" s="667"/>
      <c r="E49" s="667"/>
      <c r="F49" s="667"/>
      <c r="G49" s="668"/>
    </row>
    <row r="50" spans="1:7" x14ac:dyDescent="0.25">
      <c r="A50" s="680" t="s">
        <v>179</v>
      </c>
      <c r="B50" s="680"/>
      <c r="C50" s="680"/>
      <c r="D50" s="680"/>
      <c r="E50" s="680"/>
      <c r="F50" s="680"/>
      <c r="G50" s="44">
        <v>5304</v>
      </c>
    </row>
    <row r="51" spans="1:7" ht="15.75" thickBot="1" x14ac:dyDescent="0.3"/>
    <row r="52" spans="1:7" ht="15.75" thickBot="1" x14ac:dyDescent="0.3">
      <c r="A52" s="681" t="s">
        <v>181</v>
      </c>
      <c r="B52" s="682"/>
      <c r="C52" s="682"/>
      <c r="D52" s="682"/>
      <c r="E52" s="682"/>
      <c r="F52" s="682"/>
      <c r="G52" s="683"/>
    </row>
    <row r="53" spans="1:7" x14ac:dyDescent="0.25">
      <c r="A53" s="664" t="s">
        <v>182</v>
      </c>
      <c r="B53" s="665"/>
      <c r="C53" s="665"/>
      <c r="D53" s="665"/>
      <c r="E53" s="665"/>
      <c r="F53" s="665"/>
      <c r="G53" s="45">
        <v>7647.58</v>
      </c>
    </row>
    <row r="54" spans="1:7" x14ac:dyDescent="0.25">
      <c r="A54" s="649" t="s">
        <v>183</v>
      </c>
      <c r="B54" s="650"/>
      <c r="C54" s="650"/>
      <c r="D54" s="650"/>
      <c r="E54" s="650"/>
      <c r="F54" s="650"/>
      <c r="G54" s="37">
        <v>2851.1</v>
      </c>
    </row>
    <row r="55" spans="1:7" x14ac:dyDescent="0.25">
      <c r="A55" s="649" t="s">
        <v>184</v>
      </c>
      <c r="B55" s="650"/>
      <c r="C55" s="650"/>
      <c r="D55" s="650"/>
      <c r="E55" s="650"/>
      <c r="F55" s="650"/>
      <c r="G55" s="37">
        <v>1805.29</v>
      </c>
    </row>
    <row r="56" spans="1:7" ht="15.75" thickBot="1" x14ac:dyDescent="0.3">
      <c r="A56" s="676" t="s">
        <v>185</v>
      </c>
      <c r="B56" s="677"/>
      <c r="C56" s="677"/>
      <c r="D56" s="677"/>
      <c r="E56" s="677"/>
      <c r="F56" s="677"/>
      <c r="G56" s="46">
        <f>SUM(G53:G55)</f>
        <v>12303.970000000001</v>
      </c>
    </row>
  </sheetData>
  <mergeCells count="43">
    <mergeCell ref="A19:E19"/>
    <mergeCell ref="A21:G21"/>
    <mergeCell ref="A22:D23"/>
    <mergeCell ref="F9:G9"/>
    <mergeCell ref="F6:G6"/>
    <mergeCell ref="E8:E9"/>
    <mergeCell ref="A4:G4"/>
    <mergeCell ref="G13:G18"/>
    <mergeCell ref="A12:G12"/>
    <mergeCell ref="A55:F55"/>
    <mergeCell ref="A56:F56"/>
    <mergeCell ref="A45:F45"/>
    <mergeCell ref="A46:F46"/>
    <mergeCell ref="A47:F47"/>
    <mergeCell ref="A49:G49"/>
    <mergeCell ref="A50:F50"/>
    <mergeCell ref="A52:G52"/>
    <mergeCell ref="A1:G2"/>
    <mergeCell ref="A53:F53"/>
    <mergeCell ref="A54:F54"/>
    <mergeCell ref="A38:G38"/>
    <mergeCell ref="A39:F39"/>
    <mergeCell ref="A33:F33"/>
    <mergeCell ref="A34:F34"/>
    <mergeCell ref="B6:D7"/>
    <mergeCell ref="A6:A7"/>
    <mergeCell ref="A8:A9"/>
    <mergeCell ref="A40:G40"/>
    <mergeCell ref="A41:F41"/>
    <mergeCell ref="A26:F26"/>
    <mergeCell ref="A27:G27"/>
    <mergeCell ref="A25:G25"/>
    <mergeCell ref="A28:F28"/>
    <mergeCell ref="A42:F42"/>
    <mergeCell ref="A43:F43"/>
    <mergeCell ref="A44:F44"/>
    <mergeCell ref="A29:F29"/>
    <mergeCell ref="A30:F30"/>
    <mergeCell ref="A31:F31"/>
    <mergeCell ref="A35:F35"/>
    <mergeCell ref="A36:F36"/>
    <mergeCell ref="A37:F37"/>
    <mergeCell ref="A32:F32"/>
  </mergeCells>
  <printOptions horizontalCentered="1"/>
  <pageMargins left="0.9055118110236221" right="0.78740157480314965" top="1.7716535433070868" bottom="0.98425196850393704" header="0.31496062992125984" footer="0.31496062992125984"/>
  <pageSetup paperSize="9" scale="67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53"/>
  <sheetViews>
    <sheetView view="pageBreakPreview" zoomScale="80" zoomScaleNormal="100" zoomScaleSheetLayoutView="80" workbookViewId="0">
      <selection activeCell="A5" sqref="A5:H7"/>
    </sheetView>
  </sheetViews>
  <sheetFormatPr defaultRowHeight="15" x14ac:dyDescent="0.25"/>
  <cols>
    <col min="1" max="1" width="22.140625" customWidth="1"/>
    <col min="2" max="2" width="23" customWidth="1"/>
    <col min="4" max="4" width="7.5703125" customWidth="1"/>
    <col min="5" max="5" width="12" customWidth="1"/>
    <col min="6" max="6" width="9.140625" style="172" customWidth="1"/>
    <col min="7" max="7" width="13.28515625" style="172" customWidth="1"/>
    <col min="8" max="8" width="11.5703125" style="172" customWidth="1"/>
    <col min="11" max="11" width="20" customWidth="1"/>
  </cols>
  <sheetData>
    <row r="5" spans="1:10" ht="15" customHeight="1" x14ac:dyDescent="0.25">
      <c r="A5" s="717" t="s">
        <v>463</v>
      </c>
      <c r="B5" s="717"/>
      <c r="C5" s="717"/>
      <c r="D5" s="717"/>
      <c r="E5" s="717"/>
      <c r="F5" s="717"/>
      <c r="G5" s="717"/>
      <c r="H5" s="717"/>
      <c r="I5" s="154"/>
      <c r="J5" s="154"/>
    </row>
    <row r="6" spans="1:10" ht="33.75" customHeight="1" x14ac:dyDescent="0.25">
      <c r="A6" s="717" t="s">
        <v>206</v>
      </c>
      <c r="B6" s="717" t="s">
        <v>207</v>
      </c>
      <c r="C6" s="717" t="s">
        <v>208</v>
      </c>
      <c r="D6" s="717" t="s">
        <v>494</v>
      </c>
      <c r="E6" s="717" t="s">
        <v>464</v>
      </c>
      <c r="F6" s="502" t="s">
        <v>465</v>
      </c>
      <c r="G6" s="502" t="s">
        <v>466</v>
      </c>
      <c r="H6" s="719" t="s">
        <v>467</v>
      </c>
      <c r="I6" s="154"/>
      <c r="J6" s="154"/>
    </row>
    <row r="7" spans="1:10" ht="15" customHeight="1" thickBot="1" x14ac:dyDescent="0.3">
      <c r="A7" s="718"/>
      <c r="B7" s="718"/>
      <c r="C7" s="718"/>
      <c r="D7" s="718"/>
      <c r="E7" s="718"/>
      <c r="F7" s="503" t="s">
        <v>77</v>
      </c>
      <c r="G7" s="503" t="s">
        <v>77</v>
      </c>
      <c r="H7" s="720"/>
      <c r="I7" s="154"/>
      <c r="J7" s="154"/>
    </row>
    <row r="8" spans="1:10" ht="15" customHeight="1" x14ac:dyDescent="0.25">
      <c r="A8" s="710" t="s">
        <v>468</v>
      </c>
      <c r="B8" s="155" t="s">
        <v>469</v>
      </c>
      <c r="C8" s="156" t="s">
        <v>470</v>
      </c>
      <c r="D8" s="157">
        <v>4</v>
      </c>
      <c r="E8" s="157">
        <v>23</v>
      </c>
      <c r="F8" s="158">
        <v>15</v>
      </c>
      <c r="G8" s="159">
        <f>F8*D8*E8</f>
        <v>1380</v>
      </c>
      <c r="H8" s="713">
        <f>SUM(G8:G14)/E8/12</f>
        <v>24.433333333333334</v>
      </c>
      <c r="I8" s="154"/>
      <c r="J8" s="154"/>
    </row>
    <row r="9" spans="1:10" ht="15" customHeight="1" x14ac:dyDescent="0.25">
      <c r="A9" s="711"/>
      <c r="B9" s="160" t="s">
        <v>471</v>
      </c>
      <c r="C9" s="117" t="s">
        <v>470</v>
      </c>
      <c r="D9" s="161">
        <v>4</v>
      </c>
      <c r="E9" s="161">
        <v>23</v>
      </c>
      <c r="F9" s="162">
        <v>11</v>
      </c>
      <c r="G9" s="163">
        <f t="shared" ref="G9:G51" si="0">F9*D9*E9</f>
        <v>1012</v>
      </c>
      <c r="H9" s="714"/>
      <c r="I9" s="154"/>
      <c r="J9" s="154"/>
    </row>
    <row r="10" spans="1:10" ht="15" customHeight="1" x14ac:dyDescent="0.25">
      <c r="A10" s="711"/>
      <c r="B10" s="160" t="s">
        <v>472</v>
      </c>
      <c r="C10" s="117" t="s">
        <v>470</v>
      </c>
      <c r="D10" s="161">
        <v>4</v>
      </c>
      <c r="E10" s="161">
        <v>23</v>
      </c>
      <c r="F10" s="162">
        <v>13.05</v>
      </c>
      <c r="G10" s="163">
        <f t="shared" si="0"/>
        <v>1200.6000000000001</v>
      </c>
      <c r="H10" s="714"/>
      <c r="I10" s="154"/>
      <c r="J10" s="154"/>
    </row>
    <row r="11" spans="1:10" ht="15" customHeight="1" x14ac:dyDescent="0.25">
      <c r="A11" s="711"/>
      <c r="B11" s="160" t="s">
        <v>473</v>
      </c>
      <c r="C11" s="117" t="s">
        <v>104</v>
      </c>
      <c r="D11" s="161">
        <v>2</v>
      </c>
      <c r="E11" s="161">
        <v>23</v>
      </c>
      <c r="F11" s="162">
        <v>21</v>
      </c>
      <c r="G11" s="163">
        <f t="shared" si="0"/>
        <v>966</v>
      </c>
      <c r="H11" s="714"/>
      <c r="I11" s="154"/>
      <c r="J11" s="154"/>
    </row>
    <row r="12" spans="1:10" ht="15" customHeight="1" x14ac:dyDescent="0.25">
      <c r="A12" s="711"/>
      <c r="B12" s="160" t="s">
        <v>474</v>
      </c>
      <c r="C12" s="117" t="s">
        <v>470</v>
      </c>
      <c r="D12" s="161">
        <v>2</v>
      </c>
      <c r="E12" s="161">
        <v>23</v>
      </c>
      <c r="F12" s="162">
        <v>35</v>
      </c>
      <c r="G12" s="163">
        <f t="shared" si="0"/>
        <v>1610</v>
      </c>
      <c r="H12" s="714"/>
      <c r="I12" s="175">
        <f>24.43-H8</f>
        <v>-3.3333333333338544E-3</v>
      </c>
      <c r="J12" s="175"/>
    </row>
    <row r="13" spans="1:10" ht="15" customHeight="1" x14ac:dyDescent="0.25">
      <c r="A13" s="711"/>
      <c r="B13" s="164" t="s">
        <v>475</v>
      </c>
      <c r="C13" s="117" t="s">
        <v>104</v>
      </c>
      <c r="D13" s="161">
        <v>8</v>
      </c>
      <c r="E13" s="161">
        <v>23</v>
      </c>
      <c r="F13" s="162">
        <v>2.5</v>
      </c>
      <c r="G13" s="163">
        <f t="shared" si="0"/>
        <v>460</v>
      </c>
      <c r="H13" s="714"/>
      <c r="I13" s="154"/>
      <c r="J13" s="154"/>
    </row>
    <row r="14" spans="1:10" ht="15" customHeight="1" thickBot="1" x14ac:dyDescent="0.3">
      <c r="A14" s="712"/>
      <c r="B14" s="165" t="s">
        <v>476</v>
      </c>
      <c r="C14" s="166" t="s">
        <v>279</v>
      </c>
      <c r="D14" s="166">
        <v>2</v>
      </c>
      <c r="E14" s="167">
        <v>23</v>
      </c>
      <c r="F14" s="168">
        <v>2.5</v>
      </c>
      <c r="G14" s="169">
        <f t="shared" si="0"/>
        <v>115</v>
      </c>
      <c r="H14" s="715"/>
      <c r="I14" s="154"/>
      <c r="J14" s="154"/>
    </row>
    <row r="15" spans="1:10" ht="15" customHeight="1" x14ac:dyDescent="0.25">
      <c r="A15" s="710" t="s">
        <v>477</v>
      </c>
      <c r="B15" s="170" t="s">
        <v>478</v>
      </c>
      <c r="C15" s="156" t="s">
        <v>470</v>
      </c>
      <c r="D15" s="157">
        <v>4</v>
      </c>
      <c r="E15" s="157">
        <v>1</v>
      </c>
      <c r="F15" s="158">
        <v>51.05</v>
      </c>
      <c r="G15" s="159">
        <f t="shared" si="0"/>
        <v>204.2</v>
      </c>
      <c r="H15" s="713">
        <f>SUM(G15:G21)/E15/12</f>
        <v>45.933333333333337</v>
      </c>
      <c r="I15" s="154"/>
      <c r="J15" s="154"/>
    </row>
    <row r="16" spans="1:10" ht="15" customHeight="1" x14ac:dyDescent="0.25">
      <c r="A16" s="711"/>
      <c r="B16" s="164" t="s">
        <v>479</v>
      </c>
      <c r="C16" s="117" t="s">
        <v>470</v>
      </c>
      <c r="D16" s="161">
        <v>4</v>
      </c>
      <c r="E16" s="161">
        <v>1</v>
      </c>
      <c r="F16" s="162">
        <v>30</v>
      </c>
      <c r="G16" s="163">
        <f t="shared" si="0"/>
        <v>120</v>
      </c>
      <c r="H16" s="714"/>
      <c r="I16" s="154"/>
      <c r="J16" s="154"/>
    </row>
    <row r="17" spans="1:11" ht="15" customHeight="1" x14ac:dyDescent="0.25">
      <c r="A17" s="711"/>
      <c r="B17" s="164" t="s">
        <v>480</v>
      </c>
      <c r="C17" s="117" t="s">
        <v>470</v>
      </c>
      <c r="D17" s="161">
        <v>2</v>
      </c>
      <c r="E17" s="161">
        <v>1</v>
      </c>
      <c r="F17" s="162">
        <v>15</v>
      </c>
      <c r="G17" s="163">
        <f t="shared" si="0"/>
        <v>30</v>
      </c>
      <c r="H17" s="714"/>
      <c r="I17" s="154"/>
      <c r="J17" s="154"/>
    </row>
    <row r="18" spans="1:11" ht="15" customHeight="1" x14ac:dyDescent="0.25">
      <c r="A18" s="711"/>
      <c r="B18" s="160" t="s">
        <v>481</v>
      </c>
      <c r="C18" s="117" t="s">
        <v>104</v>
      </c>
      <c r="D18" s="161">
        <v>2</v>
      </c>
      <c r="E18" s="161">
        <v>1</v>
      </c>
      <c r="F18" s="162">
        <v>40</v>
      </c>
      <c r="G18" s="163">
        <f t="shared" si="0"/>
        <v>80</v>
      </c>
      <c r="H18" s="714"/>
      <c r="I18" s="154"/>
      <c r="J18" s="154"/>
      <c r="K18" s="4">
        <f>'$ TOTAL ATUAL'!D33</f>
        <v>-133463.52000000002</v>
      </c>
    </row>
    <row r="19" spans="1:11" ht="15" customHeight="1" x14ac:dyDescent="0.25">
      <c r="A19" s="711"/>
      <c r="B19" s="160" t="s">
        <v>474</v>
      </c>
      <c r="C19" s="117" t="s">
        <v>470</v>
      </c>
      <c r="D19" s="161">
        <v>2</v>
      </c>
      <c r="E19" s="161">
        <v>1</v>
      </c>
      <c r="F19" s="162">
        <v>40</v>
      </c>
      <c r="G19" s="163">
        <f t="shared" si="0"/>
        <v>80</v>
      </c>
      <c r="H19" s="714"/>
      <c r="I19" s="175">
        <f>45.93-H15</f>
        <v>-3.3333333333374071E-3</v>
      </c>
      <c r="J19" s="154"/>
    </row>
    <row r="20" spans="1:11" ht="15" customHeight="1" x14ac:dyDescent="0.25">
      <c r="A20" s="711"/>
      <c r="B20" s="164" t="s">
        <v>475</v>
      </c>
      <c r="C20" s="117" t="s">
        <v>104</v>
      </c>
      <c r="D20" s="161">
        <v>8</v>
      </c>
      <c r="E20" s="161">
        <v>1</v>
      </c>
      <c r="F20" s="162">
        <v>4</v>
      </c>
      <c r="G20" s="163">
        <f t="shared" si="0"/>
        <v>32</v>
      </c>
      <c r="H20" s="714"/>
      <c r="I20" s="154"/>
      <c r="J20" s="154"/>
    </row>
    <row r="21" spans="1:11" ht="15" customHeight="1" thickBot="1" x14ac:dyDescent="0.3">
      <c r="A21" s="712"/>
      <c r="B21" s="171" t="s">
        <v>482</v>
      </c>
      <c r="C21" s="166" t="s">
        <v>279</v>
      </c>
      <c r="D21" s="166">
        <v>2</v>
      </c>
      <c r="E21" s="167">
        <v>1</v>
      </c>
      <c r="F21" s="168">
        <v>2.5</v>
      </c>
      <c r="G21" s="169">
        <f t="shared" si="0"/>
        <v>5</v>
      </c>
      <c r="H21" s="715"/>
      <c r="I21" s="154"/>
      <c r="J21" s="154"/>
    </row>
    <row r="22" spans="1:11" ht="15" customHeight="1" x14ac:dyDescent="0.25">
      <c r="A22" s="710" t="s">
        <v>203</v>
      </c>
      <c r="B22" s="155" t="s">
        <v>469</v>
      </c>
      <c r="C22" s="156" t="s">
        <v>470</v>
      </c>
      <c r="D22" s="157">
        <v>4</v>
      </c>
      <c r="E22" s="157">
        <v>2</v>
      </c>
      <c r="F22" s="158">
        <v>9</v>
      </c>
      <c r="G22" s="159">
        <f t="shared" si="0"/>
        <v>72</v>
      </c>
      <c r="H22" s="713">
        <f>SUM(G22:G31)/E22/12</f>
        <v>24.433333333333334</v>
      </c>
      <c r="I22" s="154"/>
      <c r="J22" s="154"/>
    </row>
    <row r="23" spans="1:11" ht="15" customHeight="1" x14ac:dyDescent="0.25">
      <c r="A23" s="711"/>
      <c r="B23" s="160" t="s">
        <v>471</v>
      </c>
      <c r="C23" s="117" t="s">
        <v>470</v>
      </c>
      <c r="D23" s="161">
        <v>4</v>
      </c>
      <c r="E23" s="161">
        <v>2</v>
      </c>
      <c r="F23" s="162">
        <v>7</v>
      </c>
      <c r="G23" s="163">
        <f t="shared" si="0"/>
        <v>56</v>
      </c>
      <c r="H23" s="714"/>
      <c r="I23" s="154"/>
      <c r="J23" s="154"/>
    </row>
    <row r="24" spans="1:11" ht="15" customHeight="1" x14ac:dyDescent="0.25">
      <c r="A24" s="711"/>
      <c r="B24" s="160" t="s">
        <v>472</v>
      </c>
      <c r="C24" s="117" t="s">
        <v>470</v>
      </c>
      <c r="D24" s="161">
        <v>4</v>
      </c>
      <c r="E24" s="161">
        <v>2</v>
      </c>
      <c r="F24" s="162">
        <v>7.79</v>
      </c>
      <c r="G24" s="163">
        <f t="shared" si="0"/>
        <v>62.32</v>
      </c>
      <c r="H24" s="714"/>
      <c r="I24" s="154"/>
      <c r="J24" s="154"/>
    </row>
    <row r="25" spans="1:11" ht="15" customHeight="1" x14ac:dyDescent="0.25">
      <c r="A25" s="711"/>
      <c r="B25" s="160" t="s">
        <v>483</v>
      </c>
      <c r="C25" s="117" t="s">
        <v>104</v>
      </c>
      <c r="D25" s="161">
        <v>2</v>
      </c>
      <c r="E25" s="161">
        <v>2</v>
      </c>
      <c r="F25" s="162">
        <v>16</v>
      </c>
      <c r="G25" s="163">
        <f t="shared" si="0"/>
        <v>64</v>
      </c>
      <c r="H25" s="714"/>
      <c r="I25" s="154"/>
      <c r="J25" s="154"/>
    </row>
    <row r="26" spans="1:11" ht="15" customHeight="1" x14ac:dyDescent="0.25">
      <c r="A26" s="711"/>
      <c r="B26" s="160" t="s">
        <v>473</v>
      </c>
      <c r="C26" s="117" t="s">
        <v>104</v>
      </c>
      <c r="D26" s="161">
        <v>2</v>
      </c>
      <c r="E26" s="161">
        <v>2</v>
      </c>
      <c r="F26" s="162">
        <f>F11</f>
        <v>21</v>
      </c>
      <c r="G26" s="163">
        <f t="shared" si="0"/>
        <v>84</v>
      </c>
      <c r="H26" s="714"/>
      <c r="I26" s="175">
        <f>24.43-H22</f>
        <v>-3.3333333333338544E-3</v>
      </c>
      <c r="J26" s="154"/>
    </row>
    <row r="27" spans="1:11" ht="15" customHeight="1" x14ac:dyDescent="0.25">
      <c r="A27" s="711"/>
      <c r="B27" s="160" t="s">
        <v>474</v>
      </c>
      <c r="C27" s="117" t="s">
        <v>470</v>
      </c>
      <c r="D27" s="161">
        <v>2</v>
      </c>
      <c r="E27" s="161">
        <v>2</v>
      </c>
      <c r="F27" s="162">
        <v>20</v>
      </c>
      <c r="G27" s="163">
        <f t="shared" si="0"/>
        <v>80</v>
      </c>
      <c r="H27" s="714"/>
      <c r="I27" s="154"/>
      <c r="J27" s="154"/>
    </row>
    <row r="28" spans="1:11" ht="15" customHeight="1" x14ac:dyDescent="0.25">
      <c r="A28" s="711"/>
      <c r="B28" s="164" t="s">
        <v>475</v>
      </c>
      <c r="C28" s="117" t="s">
        <v>104</v>
      </c>
      <c r="D28" s="161">
        <v>8</v>
      </c>
      <c r="E28" s="161">
        <v>2</v>
      </c>
      <c r="F28" s="162">
        <v>2.13</v>
      </c>
      <c r="G28" s="163">
        <f t="shared" si="0"/>
        <v>34.08</v>
      </c>
      <c r="H28" s="714"/>
      <c r="I28" s="154"/>
      <c r="J28" s="154"/>
    </row>
    <row r="29" spans="1:11" ht="15" customHeight="1" x14ac:dyDescent="0.25">
      <c r="A29" s="711"/>
      <c r="B29" s="160" t="s">
        <v>482</v>
      </c>
      <c r="C29" s="117" t="s">
        <v>279</v>
      </c>
      <c r="D29" s="161">
        <v>2</v>
      </c>
      <c r="E29" s="161">
        <v>2</v>
      </c>
      <c r="F29" s="162">
        <f>F14</f>
        <v>2.5</v>
      </c>
      <c r="G29" s="163">
        <f t="shared" si="0"/>
        <v>10</v>
      </c>
      <c r="H29" s="714"/>
      <c r="I29" s="154"/>
      <c r="J29" s="154"/>
    </row>
    <row r="30" spans="1:11" ht="15" customHeight="1" x14ac:dyDescent="0.25">
      <c r="A30" s="711"/>
      <c r="B30" s="160" t="s">
        <v>484</v>
      </c>
      <c r="C30" s="117" t="s">
        <v>470</v>
      </c>
      <c r="D30" s="161">
        <v>2</v>
      </c>
      <c r="E30" s="161">
        <v>2</v>
      </c>
      <c r="F30" s="162">
        <v>18</v>
      </c>
      <c r="G30" s="163">
        <f t="shared" si="0"/>
        <v>72</v>
      </c>
      <c r="H30" s="714"/>
      <c r="I30" s="154"/>
      <c r="J30" s="154"/>
    </row>
    <row r="31" spans="1:11" ht="15" customHeight="1" thickBot="1" x14ac:dyDescent="0.3">
      <c r="A31" s="712"/>
      <c r="B31" s="171" t="s">
        <v>485</v>
      </c>
      <c r="C31" s="166" t="s">
        <v>470</v>
      </c>
      <c r="D31" s="167">
        <v>2</v>
      </c>
      <c r="E31" s="167">
        <v>2</v>
      </c>
      <c r="F31" s="168">
        <v>13</v>
      </c>
      <c r="G31" s="169">
        <f t="shared" si="0"/>
        <v>52</v>
      </c>
      <c r="H31" s="715"/>
      <c r="I31" s="154"/>
      <c r="J31" s="154"/>
    </row>
    <row r="32" spans="1:11" ht="15" customHeight="1" x14ac:dyDescent="0.25">
      <c r="A32" s="710" t="s">
        <v>209</v>
      </c>
      <c r="B32" s="155" t="s">
        <v>469</v>
      </c>
      <c r="C32" s="156" t="s">
        <v>470</v>
      </c>
      <c r="D32" s="157">
        <v>4</v>
      </c>
      <c r="E32" s="157">
        <v>1</v>
      </c>
      <c r="F32" s="158">
        <f>F8</f>
        <v>15</v>
      </c>
      <c r="G32" s="159">
        <f t="shared" si="0"/>
        <v>60</v>
      </c>
      <c r="H32" s="713">
        <f>SUM(G32:G40)/E32/12-0.01</f>
        <v>39.984999999999999</v>
      </c>
      <c r="I32" s="154"/>
      <c r="J32" s="154"/>
    </row>
    <row r="33" spans="1:11" ht="15" customHeight="1" x14ac:dyDescent="0.25">
      <c r="A33" s="711"/>
      <c r="B33" s="160" t="s">
        <v>471</v>
      </c>
      <c r="C33" s="117" t="s">
        <v>470</v>
      </c>
      <c r="D33" s="161">
        <v>4</v>
      </c>
      <c r="E33" s="161">
        <v>1</v>
      </c>
      <c r="F33" s="162">
        <f>F9</f>
        <v>11</v>
      </c>
      <c r="G33" s="163">
        <f t="shared" si="0"/>
        <v>44</v>
      </c>
      <c r="H33" s="714"/>
      <c r="I33" s="154"/>
      <c r="J33" s="154"/>
    </row>
    <row r="34" spans="1:11" ht="15" customHeight="1" x14ac:dyDescent="0.25">
      <c r="A34" s="711"/>
      <c r="B34" s="160" t="s">
        <v>472</v>
      </c>
      <c r="C34" s="117" t="s">
        <v>470</v>
      </c>
      <c r="D34" s="161">
        <v>4</v>
      </c>
      <c r="E34" s="161">
        <v>1</v>
      </c>
      <c r="F34" s="162">
        <f>F10</f>
        <v>13.05</v>
      </c>
      <c r="G34" s="163">
        <f t="shared" si="0"/>
        <v>52.2</v>
      </c>
      <c r="H34" s="714"/>
      <c r="I34" s="154"/>
      <c r="J34" s="154"/>
    </row>
    <row r="35" spans="1:11" ht="15" customHeight="1" x14ac:dyDescent="0.25">
      <c r="A35" s="711"/>
      <c r="B35" s="160" t="s">
        <v>486</v>
      </c>
      <c r="C35" s="117" t="s">
        <v>104</v>
      </c>
      <c r="D35" s="161">
        <v>2</v>
      </c>
      <c r="E35" s="161">
        <v>1</v>
      </c>
      <c r="F35" s="162">
        <v>58.37</v>
      </c>
      <c r="G35" s="163">
        <f t="shared" si="0"/>
        <v>116.74</v>
      </c>
      <c r="H35" s="714"/>
      <c r="I35" s="154"/>
      <c r="J35" s="154"/>
    </row>
    <row r="36" spans="1:11" ht="15" customHeight="1" x14ac:dyDescent="0.25">
      <c r="A36" s="711"/>
      <c r="B36" s="160" t="s">
        <v>473</v>
      </c>
      <c r="C36" s="117" t="s">
        <v>104</v>
      </c>
      <c r="D36" s="161">
        <v>2</v>
      </c>
      <c r="E36" s="161">
        <v>1</v>
      </c>
      <c r="F36" s="162">
        <f>F11</f>
        <v>21</v>
      </c>
      <c r="G36" s="163">
        <f t="shared" si="0"/>
        <v>42</v>
      </c>
      <c r="H36" s="714"/>
      <c r="I36" s="175">
        <f>39.99-H32</f>
        <v>5.000000000002558E-3</v>
      </c>
      <c r="J36" s="154"/>
    </row>
    <row r="37" spans="1:11" ht="15" customHeight="1" x14ac:dyDescent="0.25">
      <c r="A37" s="711"/>
      <c r="B37" s="160" t="s">
        <v>487</v>
      </c>
      <c r="C37" s="117" t="s">
        <v>470</v>
      </c>
      <c r="D37" s="161">
        <v>2</v>
      </c>
      <c r="E37" s="161">
        <v>1</v>
      </c>
      <c r="F37" s="162">
        <v>35</v>
      </c>
      <c r="G37" s="163">
        <f t="shared" si="0"/>
        <v>70</v>
      </c>
      <c r="H37" s="714"/>
      <c r="I37" s="154"/>
      <c r="J37" s="154"/>
    </row>
    <row r="38" spans="1:11" ht="15" customHeight="1" x14ac:dyDescent="0.25">
      <c r="A38" s="711"/>
      <c r="B38" s="160" t="s">
        <v>474</v>
      </c>
      <c r="C38" s="117" t="s">
        <v>470</v>
      </c>
      <c r="D38" s="161">
        <v>2</v>
      </c>
      <c r="E38" s="161">
        <v>1</v>
      </c>
      <c r="F38" s="162">
        <f>F12</f>
        <v>35</v>
      </c>
      <c r="G38" s="163">
        <f t="shared" si="0"/>
        <v>70</v>
      </c>
      <c r="H38" s="714"/>
      <c r="I38" s="154"/>
      <c r="J38" s="154"/>
    </row>
    <row r="39" spans="1:11" ht="15" customHeight="1" x14ac:dyDescent="0.25">
      <c r="A39" s="711"/>
      <c r="B39" s="164" t="s">
        <v>475</v>
      </c>
      <c r="C39" s="117" t="s">
        <v>470</v>
      </c>
      <c r="D39" s="161">
        <v>8</v>
      </c>
      <c r="E39" s="161">
        <v>1</v>
      </c>
      <c r="F39" s="162">
        <f>F13</f>
        <v>2.5</v>
      </c>
      <c r="G39" s="163">
        <f t="shared" si="0"/>
        <v>20</v>
      </c>
      <c r="H39" s="714"/>
      <c r="I39" s="154"/>
      <c r="J39" s="154"/>
    </row>
    <row r="40" spans="1:11" ht="15" customHeight="1" thickBot="1" x14ac:dyDescent="0.3">
      <c r="A40" s="712"/>
      <c r="B40" s="165" t="s">
        <v>488</v>
      </c>
      <c r="C40" s="166" t="s">
        <v>279</v>
      </c>
      <c r="D40" s="167">
        <v>2</v>
      </c>
      <c r="E40" s="167">
        <v>1</v>
      </c>
      <c r="F40" s="168">
        <f>F14</f>
        <v>2.5</v>
      </c>
      <c r="G40" s="169">
        <f t="shared" si="0"/>
        <v>5</v>
      </c>
      <c r="H40" s="715"/>
      <c r="I40" s="154"/>
      <c r="J40" s="154"/>
    </row>
    <row r="41" spans="1:11" ht="15" customHeight="1" x14ac:dyDescent="0.25">
      <c r="A41" s="710" t="s">
        <v>210</v>
      </c>
      <c r="B41" s="155" t="s">
        <v>469</v>
      </c>
      <c r="C41" s="156" t="s">
        <v>470</v>
      </c>
      <c r="D41" s="157">
        <v>4</v>
      </c>
      <c r="E41" s="157">
        <v>1</v>
      </c>
      <c r="F41" s="158">
        <v>9</v>
      </c>
      <c r="G41" s="159">
        <f t="shared" si="0"/>
        <v>36</v>
      </c>
      <c r="H41" s="713">
        <f>SUM(G41:G51)/E41/12</f>
        <v>21.67</v>
      </c>
      <c r="I41" s="154"/>
      <c r="J41" s="154"/>
    </row>
    <row r="42" spans="1:11" ht="15" customHeight="1" x14ac:dyDescent="0.25">
      <c r="A42" s="711"/>
      <c r="B42" s="160" t="s">
        <v>471</v>
      </c>
      <c r="C42" s="117" t="s">
        <v>470</v>
      </c>
      <c r="D42" s="161">
        <v>4</v>
      </c>
      <c r="E42" s="161">
        <v>1</v>
      </c>
      <c r="F42" s="162">
        <v>7</v>
      </c>
      <c r="G42" s="163">
        <f t="shared" si="0"/>
        <v>28</v>
      </c>
      <c r="H42" s="714"/>
      <c r="I42" s="154"/>
      <c r="J42" s="154"/>
      <c r="K42" s="4">
        <f>K18</f>
        <v>-133463.52000000002</v>
      </c>
    </row>
    <row r="43" spans="1:11" ht="15" customHeight="1" x14ac:dyDescent="0.25">
      <c r="A43" s="711"/>
      <c r="B43" s="160" t="s">
        <v>472</v>
      </c>
      <c r="C43" s="117" t="s">
        <v>470</v>
      </c>
      <c r="D43" s="161">
        <v>4</v>
      </c>
      <c r="E43" s="161">
        <v>1</v>
      </c>
      <c r="F43" s="162">
        <v>6</v>
      </c>
      <c r="G43" s="163">
        <f t="shared" si="0"/>
        <v>24</v>
      </c>
      <c r="H43" s="714"/>
      <c r="I43" s="154"/>
      <c r="J43" s="154"/>
    </row>
    <row r="44" spans="1:11" ht="15" customHeight="1" x14ac:dyDescent="0.25">
      <c r="A44" s="711"/>
      <c r="B44" s="160" t="s">
        <v>483</v>
      </c>
      <c r="C44" s="117" t="s">
        <v>104</v>
      </c>
      <c r="D44" s="161">
        <v>2</v>
      </c>
      <c r="E44" s="161">
        <v>1</v>
      </c>
      <c r="F44" s="162">
        <v>5</v>
      </c>
      <c r="G44" s="163">
        <f t="shared" si="0"/>
        <v>10</v>
      </c>
      <c r="H44" s="714"/>
      <c r="I44" s="154"/>
      <c r="J44" s="154"/>
    </row>
    <row r="45" spans="1:11" ht="15" customHeight="1" x14ac:dyDescent="0.25">
      <c r="A45" s="711"/>
      <c r="B45" s="160" t="s">
        <v>473</v>
      </c>
      <c r="C45" s="117" t="s">
        <v>104</v>
      </c>
      <c r="D45" s="161">
        <v>2</v>
      </c>
      <c r="E45" s="161">
        <v>1</v>
      </c>
      <c r="F45" s="162">
        <v>21</v>
      </c>
      <c r="G45" s="163">
        <f>F45*D45*E45</f>
        <v>42</v>
      </c>
      <c r="H45" s="714"/>
      <c r="I45" s="154"/>
      <c r="J45" s="154"/>
    </row>
    <row r="46" spans="1:11" ht="15" customHeight="1" x14ac:dyDescent="0.25">
      <c r="A46" s="711"/>
      <c r="B46" s="160" t="s">
        <v>489</v>
      </c>
      <c r="C46" s="117" t="s">
        <v>470</v>
      </c>
      <c r="D46" s="161">
        <v>2</v>
      </c>
      <c r="E46" s="161">
        <v>1</v>
      </c>
      <c r="F46" s="162">
        <v>10</v>
      </c>
      <c r="G46" s="163">
        <f t="shared" si="0"/>
        <v>20</v>
      </c>
      <c r="H46" s="714"/>
      <c r="I46" s="175">
        <f>21.67-H41</f>
        <v>0</v>
      </c>
      <c r="J46" s="154"/>
    </row>
    <row r="47" spans="1:11" ht="15" customHeight="1" x14ac:dyDescent="0.25">
      <c r="A47" s="711"/>
      <c r="B47" s="160" t="s">
        <v>474</v>
      </c>
      <c r="C47" s="117" t="s">
        <v>470</v>
      </c>
      <c r="D47" s="161">
        <v>2</v>
      </c>
      <c r="E47" s="161">
        <v>1</v>
      </c>
      <c r="F47" s="162">
        <v>25</v>
      </c>
      <c r="G47" s="163">
        <f t="shared" si="0"/>
        <v>50</v>
      </c>
      <c r="H47" s="714"/>
      <c r="I47" s="154"/>
      <c r="J47" s="154"/>
    </row>
    <row r="48" spans="1:11" ht="15" customHeight="1" x14ac:dyDescent="0.25">
      <c r="A48" s="711"/>
      <c r="B48" s="160" t="s">
        <v>490</v>
      </c>
      <c r="C48" s="117" t="s">
        <v>470</v>
      </c>
      <c r="D48" s="161">
        <v>2</v>
      </c>
      <c r="E48" s="161">
        <v>1</v>
      </c>
      <c r="F48" s="162">
        <v>6.5</v>
      </c>
      <c r="G48" s="163">
        <f t="shared" si="0"/>
        <v>13</v>
      </c>
      <c r="H48" s="714"/>
      <c r="I48" s="154"/>
      <c r="J48" s="154"/>
    </row>
    <row r="49" spans="1:10" ht="15" customHeight="1" x14ac:dyDescent="0.25">
      <c r="A49" s="711"/>
      <c r="B49" s="160" t="s">
        <v>491</v>
      </c>
      <c r="C49" s="117" t="s">
        <v>470</v>
      </c>
      <c r="D49" s="161">
        <v>2</v>
      </c>
      <c r="E49" s="161">
        <v>1</v>
      </c>
      <c r="F49" s="162">
        <v>8</v>
      </c>
      <c r="G49" s="163">
        <f t="shared" si="0"/>
        <v>16</v>
      </c>
      <c r="H49" s="714"/>
      <c r="I49" s="154"/>
      <c r="J49" s="154"/>
    </row>
    <row r="50" spans="1:10" ht="15" customHeight="1" x14ac:dyDescent="0.25">
      <c r="A50" s="711"/>
      <c r="B50" s="164" t="s">
        <v>475</v>
      </c>
      <c r="C50" s="117" t="s">
        <v>104</v>
      </c>
      <c r="D50" s="161">
        <v>8</v>
      </c>
      <c r="E50" s="161">
        <v>1</v>
      </c>
      <c r="F50" s="162">
        <v>2.13</v>
      </c>
      <c r="G50" s="163">
        <f t="shared" si="0"/>
        <v>17.04</v>
      </c>
      <c r="H50" s="714"/>
      <c r="I50" s="154"/>
      <c r="J50" s="154"/>
    </row>
    <row r="51" spans="1:10" ht="15" customHeight="1" thickBot="1" x14ac:dyDescent="0.3">
      <c r="A51" s="712"/>
      <c r="B51" s="165" t="s">
        <v>482</v>
      </c>
      <c r="C51" s="166" t="s">
        <v>279</v>
      </c>
      <c r="D51" s="167">
        <v>2</v>
      </c>
      <c r="E51" s="167">
        <v>1</v>
      </c>
      <c r="F51" s="168">
        <v>2</v>
      </c>
      <c r="G51" s="169">
        <f t="shared" si="0"/>
        <v>4</v>
      </c>
      <c r="H51" s="715"/>
      <c r="I51" s="154"/>
      <c r="J51" s="154"/>
    </row>
    <row r="52" spans="1:10" ht="15" customHeight="1" x14ac:dyDescent="0.25">
      <c r="A52" s="716" t="s">
        <v>492</v>
      </c>
      <c r="B52" s="716"/>
      <c r="C52" s="716"/>
      <c r="D52" s="716"/>
      <c r="E52" s="716"/>
      <c r="F52" s="716"/>
      <c r="G52" s="498">
        <f>SUM(G8:G51)</f>
        <v>8621.18</v>
      </c>
      <c r="H52" s="499"/>
      <c r="I52" s="154"/>
      <c r="J52" s="154"/>
    </row>
    <row r="53" spans="1:10" ht="15" customHeight="1" x14ac:dyDescent="0.25">
      <c r="A53" s="717" t="s">
        <v>493</v>
      </c>
      <c r="B53" s="717"/>
      <c r="C53" s="717"/>
      <c r="D53" s="717"/>
      <c r="E53" s="717"/>
      <c r="F53" s="717"/>
      <c r="G53" s="500">
        <f>G52/12</f>
        <v>718.43166666666673</v>
      </c>
      <c r="H53" s="501"/>
      <c r="I53" s="154"/>
      <c r="J53" s="154"/>
    </row>
  </sheetData>
  <mergeCells count="19">
    <mergeCell ref="A5:H5"/>
    <mergeCell ref="A6:A7"/>
    <mergeCell ref="B6:B7"/>
    <mergeCell ref="C6:C7"/>
    <mergeCell ref="D6:D7"/>
    <mergeCell ref="E6:E7"/>
    <mergeCell ref="H6:H7"/>
    <mergeCell ref="A53:F53"/>
    <mergeCell ref="A8:A14"/>
    <mergeCell ref="H8:H14"/>
    <mergeCell ref="A15:A21"/>
    <mergeCell ref="H15:H21"/>
    <mergeCell ref="A22:A31"/>
    <mergeCell ref="H22:H31"/>
    <mergeCell ref="A32:A40"/>
    <mergeCell ref="H32:H40"/>
    <mergeCell ref="A41:A51"/>
    <mergeCell ref="H41:H51"/>
    <mergeCell ref="A52:F52"/>
  </mergeCells>
  <printOptions horizontalCentered="1"/>
  <pageMargins left="0.9055118110236221" right="0.78740157480314965" top="1.7716535433070868" bottom="0.98425196850393704" header="0.31496062992125984" footer="0.31496062992125984"/>
  <pageSetup paperSize="9" scale="70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0"/>
  <sheetViews>
    <sheetView view="pageBreakPreview" topLeftCell="A91" zoomScale="80" zoomScaleNormal="100" zoomScaleSheetLayoutView="80" workbookViewId="0">
      <selection activeCell="T6" sqref="T6"/>
    </sheetView>
  </sheetViews>
  <sheetFormatPr defaultRowHeight="12" x14ac:dyDescent="0.25"/>
  <cols>
    <col min="1" max="1" width="5.7109375" style="94" bestFit="1" customWidth="1"/>
    <col min="2" max="2" width="86" style="79" customWidth="1"/>
    <col min="3" max="3" width="6.28515625" style="94" bestFit="1" customWidth="1"/>
    <col min="4" max="4" width="17.85546875" style="211" customWidth="1"/>
    <col min="5" max="5" width="18.7109375" style="94" customWidth="1"/>
    <col min="6" max="6" width="18.42578125" style="79" customWidth="1"/>
    <col min="7" max="7" width="11.5703125" style="182" hidden="1" customWidth="1"/>
    <col min="8" max="9" width="11.7109375" style="94" hidden="1" customWidth="1"/>
    <col min="10" max="10" width="15.28515625" style="94" customWidth="1"/>
    <col min="11" max="11" width="13.5703125" style="94" customWidth="1"/>
    <col min="12" max="12" width="18.42578125" style="94" customWidth="1"/>
    <col min="13" max="13" width="15.85546875" style="79" customWidth="1"/>
    <col min="14" max="14" width="12.42578125" style="79" bestFit="1" customWidth="1"/>
    <col min="15" max="16384" width="9.140625" style="79"/>
  </cols>
  <sheetData>
    <row r="1" spans="1:13" ht="20.25" customHeight="1" x14ac:dyDescent="0.25">
      <c r="A1" s="721" t="s">
        <v>211</v>
      </c>
      <c r="B1" s="721"/>
      <c r="C1" s="721"/>
      <c r="D1" s="721"/>
      <c r="E1" s="721"/>
      <c r="F1" s="721"/>
      <c r="G1" s="181"/>
      <c r="H1" s="177"/>
      <c r="I1" s="177"/>
      <c r="J1" s="177"/>
      <c r="K1" s="177"/>
      <c r="L1" s="177"/>
    </row>
    <row r="2" spans="1:13" s="82" customFormat="1" ht="20.25" customHeight="1" x14ac:dyDescent="0.25">
      <c r="A2" s="80" t="s">
        <v>100</v>
      </c>
      <c r="B2" s="80" t="s">
        <v>212</v>
      </c>
      <c r="C2" s="202" t="s">
        <v>213</v>
      </c>
      <c r="D2" s="80" t="s">
        <v>214</v>
      </c>
      <c r="E2" s="206" t="s">
        <v>215</v>
      </c>
      <c r="F2" s="178" t="s">
        <v>216</v>
      </c>
      <c r="G2" s="81"/>
      <c r="H2" s="80" t="s">
        <v>215</v>
      </c>
      <c r="I2" s="186"/>
      <c r="J2" s="186"/>
      <c r="K2" s="80" t="s">
        <v>215</v>
      </c>
      <c r="L2" s="186"/>
    </row>
    <row r="3" spans="1:13" s="86" customFormat="1" ht="48" x14ac:dyDescent="0.25">
      <c r="A3" s="83">
        <v>1</v>
      </c>
      <c r="B3" s="84" t="s">
        <v>350</v>
      </c>
      <c r="C3" s="203" t="s">
        <v>217</v>
      </c>
      <c r="D3" s="210">
        <v>0.91</v>
      </c>
      <c r="E3" s="207">
        <v>96</v>
      </c>
      <c r="F3" s="179">
        <f>E3*D3</f>
        <v>87.36</v>
      </c>
      <c r="G3" s="85">
        <f>D3</f>
        <v>0.91</v>
      </c>
      <c r="H3" s="83">
        <v>96</v>
      </c>
      <c r="I3" s="187">
        <f>H3*G3</f>
        <v>87.36</v>
      </c>
      <c r="J3" s="187">
        <v>0.91</v>
      </c>
      <c r="K3" s="83">
        <v>96</v>
      </c>
      <c r="L3" s="187">
        <f>K3*J3</f>
        <v>87.36</v>
      </c>
      <c r="M3" s="139">
        <f>'$ TOTAL ATUAL'!D33</f>
        <v>-133463.52000000002</v>
      </c>
    </row>
    <row r="4" spans="1:13" s="86" customFormat="1" ht="48" x14ac:dyDescent="0.25">
      <c r="A4" s="83">
        <v>2</v>
      </c>
      <c r="B4" s="84" t="s">
        <v>351</v>
      </c>
      <c r="C4" s="203" t="s">
        <v>218</v>
      </c>
      <c r="D4" s="210">
        <v>1.9</v>
      </c>
      <c r="E4" s="207">
        <v>24</v>
      </c>
      <c r="F4" s="179">
        <f t="shared" ref="F4:F67" si="0">E4*D4</f>
        <v>45.599999999999994</v>
      </c>
      <c r="G4" s="85">
        <f>D4</f>
        <v>1.9</v>
      </c>
      <c r="H4" s="83">
        <v>24</v>
      </c>
      <c r="I4" s="187">
        <f t="shared" ref="I4:I67" si="1">H4*G4</f>
        <v>45.599999999999994</v>
      </c>
      <c r="J4" s="187">
        <v>1.9</v>
      </c>
      <c r="K4" s="83">
        <v>24</v>
      </c>
      <c r="L4" s="187">
        <f t="shared" ref="L4:L67" si="2">K4*J4</f>
        <v>45.599999999999994</v>
      </c>
    </row>
    <row r="5" spans="1:13" s="86" customFormat="1" ht="48" x14ac:dyDescent="0.25">
      <c r="A5" s="83">
        <v>3</v>
      </c>
      <c r="B5" s="84" t="s">
        <v>352</v>
      </c>
      <c r="C5" s="203" t="s">
        <v>217</v>
      </c>
      <c r="D5" s="210">
        <v>2.29</v>
      </c>
      <c r="E5" s="207">
        <v>96</v>
      </c>
      <c r="F5" s="179">
        <f t="shared" si="0"/>
        <v>219.84</v>
      </c>
      <c r="G5" s="85">
        <v>2.29</v>
      </c>
      <c r="H5" s="83">
        <v>96</v>
      </c>
      <c r="I5" s="187">
        <f t="shared" si="1"/>
        <v>219.84</v>
      </c>
      <c r="J5" s="187">
        <v>2.29</v>
      </c>
      <c r="K5" s="83">
        <v>96</v>
      </c>
      <c r="L5" s="187">
        <f t="shared" si="2"/>
        <v>219.84</v>
      </c>
    </row>
    <row r="6" spans="1:13" s="86" customFormat="1" x14ac:dyDescent="0.25">
      <c r="A6" s="83">
        <v>4</v>
      </c>
      <c r="B6" s="84" t="s">
        <v>353</v>
      </c>
      <c r="C6" s="203" t="s">
        <v>218</v>
      </c>
      <c r="D6" s="210">
        <v>2.9</v>
      </c>
      <c r="E6" s="207">
        <v>10</v>
      </c>
      <c r="F6" s="179">
        <f t="shared" si="0"/>
        <v>29</v>
      </c>
      <c r="G6" s="85">
        <f>D6</f>
        <v>2.9</v>
      </c>
      <c r="H6" s="83">
        <v>10</v>
      </c>
      <c r="I6" s="187">
        <f t="shared" si="1"/>
        <v>29</v>
      </c>
      <c r="J6" s="187">
        <v>2.9</v>
      </c>
      <c r="K6" s="83">
        <v>10</v>
      </c>
      <c r="L6" s="187">
        <f t="shared" si="2"/>
        <v>29</v>
      </c>
    </row>
    <row r="7" spans="1:13" s="86" customFormat="1" x14ac:dyDescent="0.25">
      <c r="A7" s="83">
        <v>5</v>
      </c>
      <c r="B7" s="84" t="s">
        <v>354</v>
      </c>
      <c r="C7" s="203" t="s">
        <v>218</v>
      </c>
      <c r="D7" s="210">
        <v>2.9</v>
      </c>
      <c r="E7" s="207">
        <v>10</v>
      </c>
      <c r="F7" s="179">
        <f t="shared" si="0"/>
        <v>29</v>
      </c>
      <c r="G7" s="85">
        <f>D7</f>
        <v>2.9</v>
      </c>
      <c r="H7" s="83">
        <v>10</v>
      </c>
      <c r="I7" s="187">
        <f t="shared" si="1"/>
        <v>29</v>
      </c>
      <c r="J7" s="187">
        <v>2.9</v>
      </c>
      <c r="K7" s="83">
        <v>10</v>
      </c>
      <c r="L7" s="187">
        <f t="shared" si="2"/>
        <v>29</v>
      </c>
    </row>
    <row r="8" spans="1:13" ht="24" x14ac:dyDescent="0.25">
      <c r="A8" s="87">
        <v>6</v>
      </c>
      <c r="B8" s="88" t="s">
        <v>355</v>
      </c>
      <c r="C8" s="204" t="s">
        <v>218</v>
      </c>
      <c r="D8" s="210">
        <v>7.2</v>
      </c>
      <c r="E8" s="208">
        <v>12</v>
      </c>
      <c r="F8" s="180">
        <f t="shared" si="0"/>
        <v>86.4</v>
      </c>
      <c r="G8" s="85">
        <f>D8</f>
        <v>7.2</v>
      </c>
      <c r="H8" s="87">
        <v>12</v>
      </c>
      <c r="I8" s="187">
        <f t="shared" si="1"/>
        <v>86.4</v>
      </c>
      <c r="J8" s="187">
        <v>7.2</v>
      </c>
      <c r="K8" s="87">
        <v>12</v>
      </c>
      <c r="L8" s="187">
        <f t="shared" si="2"/>
        <v>86.4</v>
      </c>
    </row>
    <row r="9" spans="1:13" s="86" customFormat="1" ht="36" x14ac:dyDescent="0.25">
      <c r="A9" s="83">
        <v>7</v>
      </c>
      <c r="B9" s="84" t="s">
        <v>356</v>
      </c>
      <c r="C9" s="203" t="s">
        <v>103</v>
      </c>
      <c r="D9" s="210">
        <v>35.6</v>
      </c>
      <c r="E9" s="207">
        <v>40</v>
      </c>
      <c r="F9" s="179">
        <f t="shared" si="0"/>
        <v>1424</v>
      </c>
      <c r="G9" s="85">
        <v>35.6</v>
      </c>
      <c r="H9" s="83">
        <v>40</v>
      </c>
      <c r="I9" s="187">
        <f t="shared" si="1"/>
        <v>1424</v>
      </c>
      <c r="J9" s="187">
        <v>35.6</v>
      </c>
      <c r="K9" s="83">
        <v>40</v>
      </c>
      <c r="L9" s="187">
        <f t="shared" si="2"/>
        <v>1424</v>
      </c>
    </row>
    <row r="10" spans="1:13" s="86" customFormat="1" ht="36" x14ac:dyDescent="0.25">
      <c r="A10" s="83">
        <v>8</v>
      </c>
      <c r="B10" s="84" t="s">
        <v>357</v>
      </c>
      <c r="C10" s="203" t="s">
        <v>103</v>
      </c>
      <c r="D10" s="210">
        <v>11</v>
      </c>
      <c r="E10" s="207">
        <v>5</v>
      </c>
      <c r="F10" s="179">
        <f t="shared" si="0"/>
        <v>55</v>
      </c>
      <c r="G10" s="85">
        <f>D10</f>
        <v>11</v>
      </c>
      <c r="H10" s="83">
        <v>5</v>
      </c>
      <c r="I10" s="187">
        <f t="shared" si="1"/>
        <v>55</v>
      </c>
      <c r="J10" s="187">
        <v>11</v>
      </c>
      <c r="K10" s="83">
        <v>5</v>
      </c>
      <c r="L10" s="187">
        <f t="shared" si="2"/>
        <v>55</v>
      </c>
    </row>
    <row r="11" spans="1:13" s="86" customFormat="1" x14ac:dyDescent="0.25">
      <c r="A11" s="83">
        <v>9</v>
      </c>
      <c r="B11" s="84" t="s">
        <v>358</v>
      </c>
      <c r="C11" s="203" t="s">
        <v>218</v>
      </c>
      <c r="D11" s="210">
        <v>4</v>
      </c>
      <c r="E11" s="207">
        <v>10</v>
      </c>
      <c r="F11" s="179">
        <f t="shared" si="0"/>
        <v>40</v>
      </c>
      <c r="G11" s="85">
        <f>D11</f>
        <v>4</v>
      </c>
      <c r="H11" s="83">
        <v>10</v>
      </c>
      <c r="I11" s="187">
        <f t="shared" si="1"/>
        <v>40</v>
      </c>
      <c r="J11" s="187">
        <v>4</v>
      </c>
      <c r="K11" s="83">
        <v>10</v>
      </c>
      <c r="L11" s="187">
        <f t="shared" si="2"/>
        <v>40</v>
      </c>
    </row>
    <row r="12" spans="1:13" s="86" customFormat="1" x14ac:dyDescent="0.25">
      <c r="A12" s="83">
        <v>10</v>
      </c>
      <c r="B12" s="84" t="s">
        <v>359</v>
      </c>
      <c r="C12" s="203" t="s">
        <v>218</v>
      </c>
      <c r="D12" s="210">
        <v>2.2999999999999998</v>
      </c>
      <c r="E12" s="207">
        <v>5</v>
      </c>
      <c r="F12" s="179">
        <f t="shared" si="0"/>
        <v>11.5</v>
      </c>
      <c r="G12" s="85">
        <v>2.2999999999999998</v>
      </c>
      <c r="H12" s="83">
        <v>5</v>
      </c>
      <c r="I12" s="187">
        <f t="shared" si="1"/>
        <v>11.5</v>
      </c>
      <c r="J12" s="187">
        <v>2.2999999999999998</v>
      </c>
      <c r="K12" s="83">
        <v>5</v>
      </c>
      <c r="L12" s="187">
        <f t="shared" si="2"/>
        <v>11.5</v>
      </c>
    </row>
    <row r="13" spans="1:13" s="86" customFormat="1" x14ac:dyDescent="0.25">
      <c r="A13" s="83">
        <v>11</v>
      </c>
      <c r="B13" s="84" t="s">
        <v>360</v>
      </c>
      <c r="C13" s="203" t="s">
        <v>218</v>
      </c>
      <c r="D13" s="210">
        <v>2.2999999999999998</v>
      </c>
      <c r="E13" s="207">
        <v>5</v>
      </c>
      <c r="F13" s="179">
        <f t="shared" si="0"/>
        <v>11.5</v>
      </c>
      <c r="G13" s="85">
        <v>2.2999999999999998</v>
      </c>
      <c r="H13" s="83">
        <v>5</v>
      </c>
      <c r="I13" s="187">
        <f t="shared" si="1"/>
        <v>11.5</v>
      </c>
      <c r="J13" s="187">
        <v>2.2999999999999998</v>
      </c>
      <c r="K13" s="83">
        <v>5</v>
      </c>
      <c r="L13" s="187">
        <f t="shared" si="2"/>
        <v>11.5</v>
      </c>
    </row>
    <row r="14" spans="1:13" s="86" customFormat="1" ht="48" x14ac:dyDescent="0.25">
      <c r="A14" s="83">
        <v>12</v>
      </c>
      <c r="B14" s="90" t="s">
        <v>361</v>
      </c>
      <c r="C14" s="203" t="s">
        <v>103</v>
      </c>
      <c r="D14" s="210">
        <v>7</v>
      </c>
      <c r="E14" s="207">
        <v>15</v>
      </c>
      <c r="F14" s="179">
        <f t="shared" si="0"/>
        <v>105</v>
      </c>
      <c r="G14" s="85">
        <f>D14</f>
        <v>7</v>
      </c>
      <c r="H14" s="83">
        <v>15</v>
      </c>
      <c r="I14" s="187">
        <f t="shared" si="1"/>
        <v>105</v>
      </c>
      <c r="J14" s="187">
        <v>7</v>
      </c>
      <c r="K14" s="83">
        <v>15</v>
      </c>
      <c r="L14" s="187">
        <f t="shared" si="2"/>
        <v>105</v>
      </c>
    </row>
    <row r="15" spans="1:13" s="86" customFormat="1" ht="24" x14ac:dyDescent="0.25">
      <c r="A15" s="83">
        <v>13</v>
      </c>
      <c r="B15" s="84" t="s">
        <v>362</v>
      </c>
      <c r="C15" s="203" t="s">
        <v>218</v>
      </c>
      <c r="D15" s="210">
        <v>3</v>
      </c>
      <c r="E15" s="207">
        <v>48</v>
      </c>
      <c r="F15" s="179">
        <f t="shared" si="0"/>
        <v>144</v>
      </c>
      <c r="G15" s="85">
        <v>3</v>
      </c>
      <c r="H15" s="83">
        <v>48</v>
      </c>
      <c r="I15" s="187">
        <f t="shared" si="1"/>
        <v>144</v>
      </c>
      <c r="J15" s="187">
        <v>3</v>
      </c>
      <c r="K15" s="83">
        <v>48</v>
      </c>
      <c r="L15" s="187">
        <f t="shared" si="2"/>
        <v>144</v>
      </c>
    </row>
    <row r="16" spans="1:13" ht="36" x14ac:dyDescent="0.25">
      <c r="A16" s="87">
        <v>14</v>
      </c>
      <c r="B16" s="88" t="s">
        <v>363</v>
      </c>
      <c r="C16" s="204" t="s">
        <v>103</v>
      </c>
      <c r="D16" s="210">
        <v>18.600000000000001</v>
      </c>
      <c r="E16" s="208">
        <v>8</v>
      </c>
      <c r="F16" s="180">
        <f t="shared" si="0"/>
        <v>148.80000000000001</v>
      </c>
      <c r="G16" s="89">
        <f>D16</f>
        <v>18.600000000000001</v>
      </c>
      <c r="H16" s="87">
        <v>8</v>
      </c>
      <c r="I16" s="187">
        <f t="shared" si="1"/>
        <v>148.80000000000001</v>
      </c>
      <c r="J16" s="187">
        <v>18.600000000000001</v>
      </c>
      <c r="K16" s="87">
        <v>8</v>
      </c>
      <c r="L16" s="187">
        <f t="shared" si="2"/>
        <v>148.80000000000001</v>
      </c>
    </row>
    <row r="17" spans="1:13" ht="48" x14ac:dyDescent="0.25">
      <c r="A17" s="87">
        <v>15</v>
      </c>
      <c r="B17" s="88" t="s">
        <v>364</v>
      </c>
      <c r="C17" s="204" t="s">
        <v>103</v>
      </c>
      <c r="D17" s="210">
        <v>19.149999999999999</v>
      </c>
      <c r="E17" s="208">
        <v>4</v>
      </c>
      <c r="F17" s="180">
        <f t="shared" si="0"/>
        <v>76.599999999999994</v>
      </c>
      <c r="G17" s="89">
        <v>19.149999999999999</v>
      </c>
      <c r="H17" s="87">
        <v>4</v>
      </c>
      <c r="I17" s="187">
        <f t="shared" si="1"/>
        <v>76.599999999999994</v>
      </c>
      <c r="J17" s="187">
        <v>19.149999999999999</v>
      </c>
      <c r="K17" s="87">
        <v>4</v>
      </c>
      <c r="L17" s="187">
        <f t="shared" si="2"/>
        <v>76.599999999999994</v>
      </c>
    </row>
    <row r="18" spans="1:13" ht="48" x14ac:dyDescent="0.25">
      <c r="A18" s="87">
        <v>16</v>
      </c>
      <c r="B18" s="91" t="s">
        <v>365</v>
      </c>
      <c r="C18" s="204" t="s">
        <v>103</v>
      </c>
      <c r="D18" s="210">
        <v>7</v>
      </c>
      <c r="E18" s="208">
        <v>10</v>
      </c>
      <c r="F18" s="180">
        <f t="shared" si="0"/>
        <v>70</v>
      </c>
      <c r="G18" s="89">
        <v>7</v>
      </c>
      <c r="H18" s="87">
        <v>10</v>
      </c>
      <c r="I18" s="187">
        <f t="shared" si="1"/>
        <v>70</v>
      </c>
      <c r="J18" s="187">
        <v>7</v>
      </c>
      <c r="K18" s="87">
        <v>10</v>
      </c>
      <c r="L18" s="187">
        <f t="shared" si="2"/>
        <v>70</v>
      </c>
    </row>
    <row r="19" spans="1:13" x14ac:dyDescent="0.25">
      <c r="A19" s="87">
        <v>17</v>
      </c>
      <c r="B19" s="88" t="s">
        <v>219</v>
      </c>
      <c r="C19" s="204" t="s">
        <v>218</v>
      </c>
      <c r="D19" s="210">
        <v>19.38</v>
      </c>
      <c r="E19" s="208">
        <v>4</v>
      </c>
      <c r="F19" s="180">
        <f t="shared" si="0"/>
        <v>77.52</v>
      </c>
      <c r="G19" s="89">
        <f>D19</f>
        <v>19.38</v>
      </c>
      <c r="H19" s="87">
        <v>4</v>
      </c>
      <c r="I19" s="187">
        <f t="shared" si="1"/>
        <v>77.52</v>
      </c>
      <c r="J19" s="187">
        <v>19.38</v>
      </c>
      <c r="K19" s="87">
        <v>4</v>
      </c>
      <c r="L19" s="187">
        <f t="shared" si="2"/>
        <v>77.52</v>
      </c>
    </row>
    <row r="20" spans="1:13" s="86" customFormat="1" x14ac:dyDescent="0.25">
      <c r="A20" s="83">
        <v>18</v>
      </c>
      <c r="B20" s="84" t="s">
        <v>366</v>
      </c>
      <c r="C20" s="203" t="s">
        <v>218</v>
      </c>
      <c r="D20" s="210">
        <v>149</v>
      </c>
      <c r="E20" s="207">
        <v>4</v>
      </c>
      <c r="F20" s="179">
        <f t="shared" si="0"/>
        <v>596</v>
      </c>
      <c r="G20" s="85">
        <v>149</v>
      </c>
      <c r="H20" s="83">
        <v>4</v>
      </c>
      <c r="I20" s="187">
        <f t="shared" si="1"/>
        <v>596</v>
      </c>
      <c r="J20" s="187">
        <v>149</v>
      </c>
      <c r="K20" s="83">
        <v>4</v>
      </c>
      <c r="L20" s="187">
        <f t="shared" si="2"/>
        <v>596</v>
      </c>
    </row>
    <row r="21" spans="1:13" s="86" customFormat="1" x14ac:dyDescent="0.25">
      <c r="A21" s="83">
        <v>19</v>
      </c>
      <c r="B21" s="84" t="s">
        <v>220</v>
      </c>
      <c r="C21" s="203" t="s">
        <v>218</v>
      </c>
      <c r="D21" s="210">
        <v>8.23</v>
      </c>
      <c r="E21" s="207">
        <v>4</v>
      </c>
      <c r="F21" s="179">
        <f t="shared" si="0"/>
        <v>32.92</v>
      </c>
      <c r="G21" s="85">
        <f t="shared" ref="G21:G28" si="3">D21</f>
        <v>8.23</v>
      </c>
      <c r="H21" s="83">
        <v>4</v>
      </c>
      <c r="I21" s="187">
        <f t="shared" si="1"/>
        <v>32.92</v>
      </c>
      <c r="J21" s="187">
        <v>8.23</v>
      </c>
      <c r="K21" s="83">
        <v>4</v>
      </c>
      <c r="L21" s="187">
        <f t="shared" si="2"/>
        <v>32.92</v>
      </c>
    </row>
    <row r="22" spans="1:13" s="86" customFormat="1" x14ac:dyDescent="0.25">
      <c r="A22" s="83">
        <v>20</v>
      </c>
      <c r="B22" s="84" t="s">
        <v>221</v>
      </c>
      <c r="C22" s="203" t="s">
        <v>218</v>
      </c>
      <c r="D22" s="210">
        <v>9.3699999999999992</v>
      </c>
      <c r="E22" s="207">
        <v>4</v>
      </c>
      <c r="F22" s="179">
        <f t="shared" si="0"/>
        <v>37.479999999999997</v>
      </c>
      <c r="G22" s="85">
        <f t="shared" si="3"/>
        <v>9.3699999999999992</v>
      </c>
      <c r="H22" s="83">
        <v>4</v>
      </c>
      <c r="I22" s="187">
        <f t="shared" si="1"/>
        <v>37.479999999999997</v>
      </c>
      <c r="J22" s="187">
        <v>9.3699999999999992</v>
      </c>
      <c r="K22" s="83">
        <v>4</v>
      </c>
      <c r="L22" s="187">
        <f t="shared" si="2"/>
        <v>37.479999999999997</v>
      </c>
    </row>
    <row r="23" spans="1:13" s="86" customFormat="1" x14ac:dyDescent="0.25">
      <c r="A23" s="83">
        <v>21</v>
      </c>
      <c r="B23" s="84" t="s">
        <v>222</v>
      </c>
      <c r="C23" s="203" t="s">
        <v>218</v>
      </c>
      <c r="D23" s="210">
        <v>15.24</v>
      </c>
      <c r="E23" s="207">
        <v>4</v>
      </c>
      <c r="F23" s="179">
        <f t="shared" si="0"/>
        <v>60.96</v>
      </c>
      <c r="G23" s="85">
        <f t="shared" si="3"/>
        <v>15.24</v>
      </c>
      <c r="H23" s="83">
        <v>4</v>
      </c>
      <c r="I23" s="187">
        <f t="shared" si="1"/>
        <v>60.96</v>
      </c>
      <c r="J23" s="187">
        <v>15.24</v>
      </c>
      <c r="K23" s="83">
        <v>4</v>
      </c>
      <c r="L23" s="187">
        <f t="shared" si="2"/>
        <v>60.96</v>
      </c>
    </row>
    <row r="24" spans="1:13" s="86" customFormat="1" x14ac:dyDescent="0.25">
      <c r="A24" s="83">
        <v>22</v>
      </c>
      <c r="B24" s="84" t="s">
        <v>223</v>
      </c>
      <c r="C24" s="203" t="s">
        <v>218</v>
      </c>
      <c r="D24" s="210">
        <v>8</v>
      </c>
      <c r="E24" s="207">
        <v>10</v>
      </c>
      <c r="F24" s="179">
        <f t="shared" si="0"/>
        <v>80</v>
      </c>
      <c r="G24" s="85">
        <f t="shared" si="3"/>
        <v>8</v>
      </c>
      <c r="H24" s="83">
        <v>10</v>
      </c>
      <c r="I24" s="187">
        <f t="shared" si="1"/>
        <v>80</v>
      </c>
      <c r="J24" s="187">
        <v>8</v>
      </c>
      <c r="K24" s="83">
        <v>10</v>
      </c>
      <c r="L24" s="187">
        <f t="shared" si="2"/>
        <v>80</v>
      </c>
    </row>
    <row r="25" spans="1:13" x14ac:dyDescent="0.25">
      <c r="A25" s="87">
        <v>23</v>
      </c>
      <c r="B25" s="88" t="s">
        <v>224</v>
      </c>
      <c r="C25" s="204" t="s">
        <v>218</v>
      </c>
      <c r="D25" s="210">
        <v>8</v>
      </c>
      <c r="E25" s="208">
        <v>12</v>
      </c>
      <c r="F25" s="180">
        <f t="shared" si="0"/>
        <v>96</v>
      </c>
      <c r="G25" s="89">
        <f t="shared" si="3"/>
        <v>8</v>
      </c>
      <c r="H25" s="87">
        <v>12</v>
      </c>
      <c r="I25" s="187">
        <f t="shared" si="1"/>
        <v>96</v>
      </c>
      <c r="J25" s="187">
        <v>8</v>
      </c>
      <c r="K25" s="87">
        <v>12</v>
      </c>
      <c r="L25" s="187">
        <f t="shared" si="2"/>
        <v>96</v>
      </c>
    </row>
    <row r="26" spans="1:13" x14ac:dyDescent="0.25">
      <c r="A26" s="87">
        <v>24</v>
      </c>
      <c r="B26" s="88" t="s">
        <v>225</v>
      </c>
      <c r="C26" s="204" t="s">
        <v>218</v>
      </c>
      <c r="D26" s="210">
        <v>12</v>
      </c>
      <c r="E26" s="208">
        <v>12</v>
      </c>
      <c r="F26" s="180">
        <f t="shared" si="0"/>
        <v>144</v>
      </c>
      <c r="G26" s="89">
        <f t="shared" si="3"/>
        <v>12</v>
      </c>
      <c r="H26" s="87">
        <v>12</v>
      </c>
      <c r="I26" s="187">
        <f t="shared" si="1"/>
        <v>144</v>
      </c>
      <c r="J26" s="187">
        <v>12</v>
      </c>
      <c r="K26" s="87">
        <v>12</v>
      </c>
      <c r="L26" s="187">
        <f t="shared" si="2"/>
        <v>144</v>
      </c>
    </row>
    <row r="27" spans="1:13" x14ac:dyDescent="0.25">
      <c r="A27" s="87">
        <v>25</v>
      </c>
      <c r="B27" s="88" t="s">
        <v>226</v>
      </c>
      <c r="C27" s="204" t="s">
        <v>218</v>
      </c>
      <c r="D27" s="210">
        <v>10</v>
      </c>
      <c r="E27" s="208">
        <v>4</v>
      </c>
      <c r="F27" s="180">
        <f t="shared" si="0"/>
        <v>40</v>
      </c>
      <c r="G27" s="89">
        <f t="shared" si="3"/>
        <v>10</v>
      </c>
      <c r="H27" s="87">
        <v>4</v>
      </c>
      <c r="I27" s="187">
        <f t="shared" si="1"/>
        <v>40</v>
      </c>
      <c r="J27" s="187">
        <v>10</v>
      </c>
      <c r="K27" s="87">
        <v>4</v>
      </c>
      <c r="L27" s="187">
        <f t="shared" si="2"/>
        <v>40</v>
      </c>
    </row>
    <row r="28" spans="1:13" x14ac:dyDescent="0.25">
      <c r="A28" s="87">
        <v>26</v>
      </c>
      <c r="B28" s="88" t="s">
        <v>227</v>
      </c>
      <c r="C28" s="204" t="s">
        <v>218</v>
      </c>
      <c r="D28" s="210">
        <v>13</v>
      </c>
      <c r="E28" s="208">
        <v>4</v>
      </c>
      <c r="F28" s="180">
        <f t="shared" si="0"/>
        <v>52</v>
      </c>
      <c r="G28" s="89">
        <f t="shared" si="3"/>
        <v>13</v>
      </c>
      <c r="H28" s="87">
        <v>4</v>
      </c>
      <c r="I28" s="187">
        <f t="shared" si="1"/>
        <v>52</v>
      </c>
      <c r="J28" s="187">
        <v>13</v>
      </c>
      <c r="K28" s="87">
        <v>4</v>
      </c>
      <c r="L28" s="187">
        <f t="shared" si="2"/>
        <v>52</v>
      </c>
    </row>
    <row r="29" spans="1:13" ht="36" x14ac:dyDescent="0.25">
      <c r="A29" s="87">
        <v>27</v>
      </c>
      <c r="B29" s="88" t="s">
        <v>367</v>
      </c>
      <c r="C29" s="204" t="s">
        <v>218</v>
      </c>
      <c r="D29" s="210">
        <v>11</v>
      </c>
      <c r="E29" s="208">
        <v>25</v>
      </c>
      <c r="F29" s="180">
        <f t="shared" si="0"/>
        <v>275</v>
      </c>
      <c r="G29" s="89">
        <v>11</v>
      </c>
      <c r="H29" s="87">
        <v>25</v>
      </c>
      <c r="I29" s="187">
        <f t="shared" si="1"/>
        <v>275</v>
      </c>
      <c r="J29" s="187">
        <v>11</v>
      </c>
      <c r="K29" s="87">
        <v>25</v>
      </c>
      <c r="L29" s="187">
        <f t="shared" si="2"/>
        <v>275</v>
      </c>
      <c r="M29" s="173">
        <f>M45</f>
        <v>-133463.52000000002</v>
      </c>
    </row>
    <row r="30" spans="1:13" s="86" customFormat="1" ht="36" x14ac:dyDescent="0.25">
      <c r="A30" s="83">
        <v>28</v>
      </c>
      <c r="B30" s="84" t="s">
        <v>368</v>
      </c>
      <c r="C30" s="203" t="s">
        <v>218</v>
      </c>
      <c r="D30" s="210">
        <v>9.9</v>
      </c>
      <c r="E30" s="207">
        <v>25</v>
      </c>
      <c r="F30" s="179">
        <f t="shared" si="0"/>
        <v>247.5</v>
      </c>
      <c r="G30" s="85">
        <v>9.9</v>
      </c>
      <c r="H30" s="83">
        <v>25</v>
      </c>
      <c r="I30" s="187">
        <f t="shared" si="1"/>
        <v>247.5</v>
      </c>
      <c r="J30" s="187">
        <v>9.9</v>
      </c>
      <c r="K30" s="83">
        <v>25</v>
      </c>
      <c r="L30" s="187">
        <f t="shared" si="2"/>
        <v>247.5</v>
      </c>
    </row>
    <row r="31" spans="1:13" s="86" customFormat="1" ht="36" x14ac:dyDescent="0.25">
      <c r="A31" s="83">
        <v>29</v>
      </c>
      <c r="B31" s="84" t="s">
        <v>369</v>
      </c>
      <c r="C31" s="203" t="s">
        <v>218</v>
      </c>
      <c r="D31" s="210">
        <v>11.2</v>
      </c>
      <c r="E31" s="207">
        <v>25</v>
      </c>
      <c r="F31" s="179">
        <f t="shared" si="0"/>
        <v>280</v>
      </c>
      <c r="G31" s="85">
        <v>11.2</v>
      </c>
      <c r="H31" s="83">
        <v>25</v>
      </c>
      <c r="I31" s="187">
        <f t="shared" si="1"/>
        <v>280</v>
      </c>
      <c r="J31" s="187">
        <v>11.2</v>
      </c>
      <c r="K31" s="83">
        <v>25</v>
      </c>
      <c r="L31" s="187">
        <f t="shared" si="2"/>
        <v>280</v>
      </c>
    </row>
    <row r="32" spans="1:13" x14ac:dyDescent="0.25">
      <c r="A32" s="87">
        <v>30</v>
      </c>
      <c r="B32" s="88" t="s">
        <v>370</v>
      </c>
      <c r="C32" s="204" t="s">
        <v>218</v>
      </c>
      <c r="D32" s="210">
        <v>15.4</v>
      </c>
      <c r="E32" s="208">
        <v>2</v>
      </c>
      <c r="F32" s="180">
        <f t="shared" si="0"/>
        <v>30.8</v>
      </c>
      <c r="G32" s="89">
        <f>D32</f>
        <v>15.4</v>
      </c>
      <c r="H32" s="87">
        <v>2</v>
      </c>
      <c r="I32" s="187">
        <f t="shared" si="1"/>
        <v>30.8</v>
      </c>
      <c r="J32" s="187">
        <v>15.4</v>
      </c>
      <c r="K32" s="87">
        <v>2</v>
      </c>
      <c r="L32" s="187">
        <f t="shared" si="2"/>
        <v>30.8</v>
      </c>
    </row>
    <row r="33" spans="1:13" x14ac:dyDescent="0.25">
      <c r="A33" s="87">
        <v>31</v>
      </c>
      <c r="B33" s="88" t="s">
        <v>371</v>
      </c>
      <c r="C33" s="204" t="s">
        <v>218</v>
      </c>
      <c r="D33" s="210">
        <v>88</v>
      </c>
      <c r="E33" s="208">
        <v>2</v>
      </c>
      <c r="F33" s="180">
        <f t="shared" si="0"/>
        <v>176</v>
      </c>
      <c r="G33" s="89">
        <f>D33</f>
        <v>88</v>
      </c>
      <c r="H33" s="87">
        <v>2</v>
      </c>
      <c r="I33" s="187">
        <f t="shared" si="1"/>
        <v>176</v>
      </c>
      <c r="J33" s="187">
        <v>88</v>
      </c>
      <c r="K33" s="87">
        <v>2</v>
      </c>
      <c r="L33" s="187">
        <f t="shared" si="2"/>
        <v>176</v>
      </c>
    </row>
    <row r="34" spans="1:13" s="86" customFormat="1" x14ac:dyDescent="0.25">
      <c r="A34" s="83">
        <v>32</v>
      </c>
      <c r="B34" s="84" t="s">
        <v>372</v>
      </c>
      <c r="C34" s="203" t="s">
        <v>218</v>
      </c>
      <c r="D34" s="210">
        <v>1.34</v>
      </c>
      <c r="E34" s="207">
        <v>10</v>
      </c>
      <c r="F34" s="179">
        <f t="shared" si="0"/>
        <v>13.4</v>
      </c>
      <c r="G34" s="85">
        <v>1.34</v>
      </c>
      <c r="H34" s="83">
        <v>10</v>
      </c>
      <c r="I34" s="187">
        <f t="shared" si="1"/>
        <v>13.4</v>
      </c>
      <c r="J34" s="187">
        <v>1.34</v>
      </c>
      <c r="K34" s="83">
        <v>10</v>
      </c>
      <c r="L34" s="187">
        <f t="shared" si="2"/>
        <v>13.4</v>
      </c>
    </row>
    <row r="35" spans="1:13" s="86" customFormat="1" x14ac:dyDescent="0.25">
      <c r="A35" s="83">
        <v>33</v>
      </c>
      <c r="B35" s="84" t="s">
        <v>373</v>
      </c>
      <c r="C35" s="203" t="s">
        <v>218</v>
      </c>
      <c r="D35" s="210">
        <v>6.95</v>
      </c>
      <c r="E35" s="207">
        <v>5</v>
      </c>
      <c r="F35" s="179">
        <f t="shared" si="0"/>
        <v>34.75</v>
      </c>
      <c r="G35" s="85">
        <f>D35</f>
        <v>6.95</v>
      </c>
      <c r="H35" s="83">
        <v>5</v>
      </c>
      <c r="I35" s="187">
        <f t="shared" si="1"/>
        <v>34.75</v>
      </c>
      <c r="J35" s="187">
        <v>6.95</v>
      </c>
      <c r="K35" s="83">
        <v>5</v>
      </c>
      <c r="L35" s="187">
        <f t="shared" si="2"/>
        <v>34.75</v>
      </c>
    </row>
    <row r="36" spans="1:13" s="86" customFormat="1" x14ac:dyDescent="0.25">
      <c r="A36" s="83">
        <v>34</v>
      </c>
      <c r="B36" s="84" t="s">
        <v>374</v>
      </c>
      <c r="C36" s="203" t="s">
        <v>218</v>
      </c>
      <c r="D36" s="210">
        <v>3.78</v>
      </c>
      <c r="E36" s="207">
        <v>2</v>
      </c>
      <c r="F36" s="179">
        <f t="shared" si="0"/>
        <v>7.56</v>
      </c>
      <c r="G36" s="85">
        <v>3.78</v>
      </c>
      <c r="H36" s="83">
        <v>2</v>
      </c>
      <c r="I36" s="187">
        <f t="shared" si="1"/>
        <v>7.56</v>
      </c>
      <c r="J36" s="187">
        <v>3.78</v>
      </c>
      <c r="K36" s="83">
        <v>2</v>
      </c>
      <c r="L36" s="187">
        <f t="shared" si="2"/>
        <v>7.56</v>
      </c>
    </row>
    <row r="37" spans="1:13" s="86" customFormat="1" ht="36" x14ac:dyDescent="0.25">
      <c r="A37" s="83">
        <v>35</v>
      </c>
      <c r="B37" s="84" t="s">
        <v>375</v>
      </c>
      <c r="C37" s="203" t="s">
        <v>228</v>
      </c>
      <c r="D37" s="210">
        <v>0.61</v>
      </c>
      <c r="E37" s="207">
        <v>28</v>
      </c>
      <c r="F37" s="179">
        <f t="shared" si="0"/>
        <v>17.079999999999998</v>
      </c>
      <c r="G37" s="85">
        <v>0.61</v>
      </c>
      <c r="H37" s="83">
        <v>28</v>
      </c>
      <c r="I37" s="187">
        <f t="shared" si="1"/>
        <v>17.079999999999998</v>
      </c>
      <c r="J37" s="187">
        <v>0.61</v>
      </c>
      <c r="K37" s="83">
        <v>28</v>
      </c>
      <c r="L37" s="187">
        <f t="shared" si="2"/>
        <v>17.079999999999998</v>
      </c>
    </row>
    <row r="38" spans="1:13" s="86" customFormat="1" ht="24" x14ac:dyDescent="0.25">
      <c r="A38" s="83">
        <v>36</v>
      </c>
      <c r="B38" s="84" t="s">
        <v>376</v>
      </c>
      <c r="C38" s="203" t="s">
        <v>218</v>
      </c>
      <c r="D38" s="210">
        <v>1.38</v>
      </c>
      <c r="E38" s="207">
        <v>15</v>
      </c>
      <c r="F38" s="179">
        <f t="shared" si="0"/>
        <v>20.7</v>
      </c>
      <c r="G38" s="85">
        <v>1.38</v>
      </c>
      <c r="H38" s="83">
        <v>15</v>
      </c>
      <c r="I38" s="187">
        <f t="shared" si="1"/>
        <v>20.7</v>
      </c>
      <c r="J38" s="187">
        <v>1.38</v>
      </c>
      <c r="K38" s="83">
        <v>15</v>
      </c>
      <c r="L38" s="187">
        <f t="shared" si="2"/>
        <v>20.7</v>
      </c>
    </row>
    <row r="39" spans="1:13" s="86" customFormat="1" x14ac:dyDescent="0.25">
      <c r="A39" s="83">
        <v>37</v>
      </c>
      <c r="B39" s="84" t="s">
        <v>377</v>
      </c>
      <c r="C39" s="203" t="s">
        <v>218</v>
      </c>
      <c r="D39" s="210">
        <v>0.25</v>
      </c>
      <c r="E39" s="207">
        <v>100</v>
      </c>
      <c r="F39" s="179">
        <f t="shared" si="0"/>
        <v>25</v>
      </c>
      <c r="G39" s="85">
        <v>0.25</v>
      </c>
      <c r="H39" s="83">
        <v>100</v>
      </c>
      <c r="I39" s="187">
        <f t="shared" si="1"/>
        <v>25</v>
      </c>
      <c r="J39" s="187">
        <v>0.25</v>
      </c>
      <c r="K39" s="83">
        <v>100</v>
      </c>
      <c r="L39" s="187">
        <f t="shared" si="2"/>
        <v>25</v>
      </c>
    </row>
    <row r="40" spans="1:13" s="86" customFormat="1" ht="24" x14ac:dyDescent="0.25">
      <c r="A40" s="83">
        <v>38</v>
      </c>
      <c r="B40" s="84" t="s">
        <v>378</v>
      </c>
      <c r="C40" s="203" t="s">
        <v>228</v>
      </c>
      <c r="D40" s="210">
        <v>1.5</v>
      </c>
      <c r="E40" s="207">
        <v>3</v>
      </c>
      <c r="F40" s="179">
        <f t="shared" si="0"/>
        <v>4.5</v>
      </c>
      <c r="G40" s="85">
        <v>1.5</v>
      </c>
      <c r="H40" s="83">
        <v>3</v>
      </c>
      <c r="I40" s="187">
        <f t="shared" si="1"/>
        <v>4.5</v>
      </c>
      <c r="J40" s="187">
        <v>1.5</v>
      </c>
      <c r="K40" s="83">
        <v>3</v>
      </c>
      <c r="L40" s="187">
        <f t="shared" si="2"/>
        <v>4.5</v>
      </c>
    </row>
    <row r="41" spans="1:13" s="86" customFormat="1" x14ac:dyDescent="0.25">
      <c r="A41" s="83">
        <v>39</v>
      </c>
      <c r="B41" s="84" t="s">
        <v>379</v>
      </c>
      <c r="C41" s="203" t="s">
        <v>218</v>
      </c>
      <c r="D41" s="210">
        <v>0.65</v>
      </c>
      <c r="E41" s="207">
        <v>20</v>
      </c>
      <c r="F41" s="179">
        <f t="shared" si="0"/>
        <v>13</v>
      </c>
      <c r="G41" s="85">
        <f>D41</f>
        <v>0.65</v>
      </c>
      <c r="H41" s="83">
        <v>20</v>
      </c>
      <c r="I41" s="187">
        <f t="shared" si="1"/>
        <v>13</v>
      </c>
      <c r="J41" s="187">
        <v>0.65</v>
      </c>
      <c r="K41" s="83">
        <v>20</v>
      </c>
      <c r="L41" s="187">
        <f t="shared" si="2"/>
        <v>13</v>
      </c>
    </row>
    <row r="42" spans="1:13" s="86" customFormat="1" x14ac:dyDescent="0.25">
      <c r="A42" s="83">
        <v>40</v>
      </c>
      <c r="B42" s="84" t="s">
        <v>380</v>
      </c>
      <c r="C42" s="203" t="s">
        <v>218</v>
      </c>
      <c r="D42" s="210">
        <v>48</v>
      </c>
      <c r="E42" s="207">
        <v>8</v>
      </c>
      <c r="F42" s="179">
        <f t="shared" si="0"/>
        <v>384</v>
      </c>
      <c r="G42" s="85">
        <v>48</v>
      </c>
      <c r="H42" s="83">
        <v>8</v>
      </c>
      <c r="I42" s="187">
        <f t="shared" si="1"/>
        <v>384</v>
      </c>
      <c r="J42" s="187">
        <v>48</v>
      </c>
      <c r="K42" s="83">
        <v>8</v>
      </c>
      <c r="L42" s="187">
        <f t="shared" si="2"/>
        <v>384</v>
      </c>
    </row>
    <row r="43" spans="1:13" s="86" customFormat="1" ht="24" x14ac:dyDescent="0.25">
      <c r="A43" s="83">
        <v>41</v>
      </c>
      <c r="B43" s="84" t="s">
        <v>381</v>
      </c>
      <c r="C43" s="203" t="s">
        <v>218</v>
      </c>
      <c r="D43" s="210">
        <v>0.59</v>
      </c>
      <c r="E43" s="207">
        <v>120</v>
      </c>
      <c r="F43" s="179">
        <f t="shared" si="0"/>
        <v>70.8</v>
      </c>
      <c r="G43" s="85">
        <v>0.59</v>
      </c>
      <c r="H43" s="83">
        <v>120</v>
      </c>
      <c r="I43" s="187">
        <f t="shared" si="1"/>
        <v>70.8</v>
      </c>
      <c r="J43" s="187">
        <v>0.59</v>
      </c>
      <c r="K43" s="83">
        <v>120</v>
      </c>
      <c r="L43" s="187">
        <f t="shared" si="2"/>
        <v>70.8</v>
      </c>
    </row>
    <row r="44" spans="1:13" s="86" customFormat="1" ht="24" x14ac:dyDescent="0.25">
      <c r="A44" s="83">
        <v>42</v>
      </c>
      <c r="B44" s="84" t="s">
        <v>382</v>
      </c>
      <c r="C44" s="203" t="s">
        <v>218</v>
      </c>
      <c r="D44" s="210">
        <v>89.9</v>
      </c>
      <c r="E44" s="207">
        <v>5</v>
      </c>
      <c r="F44" s="179">
        <f t="shared" si="0"/>
        <v>449.5</v>
      </c>
      <c r="G44" s="85">
        <v>89.9</v>
      </c>
      <c r="H44" s="83">
        <v>5</v>
      </c>
      <c r="I44" s="187">
        <f t="shared" si="1"/>
        <v>449.5</v>
      </c>
      <c r="J44" s="187">
        <v>89.9</v>
      </c>
      <c r="K44" s="83">
        <v>5</v>
      </c>
      <c r="L44" s="187">
        <f t="shared" si="2"/>
        <v>449.5</v>
      </c>
    </row>
    <row r="45" spans="1:13" s="86" customFormat="1" ht="60" x14ac:dyDescent="0.25">
      <c r="A45" s="83">
        <v>43</v>
      </c>
      <c r="B45" s="84" t="s">
        <v>383</v>
      </c>
      <c r="C45" s="203" t="s">
        <v>103</v>
      </c>
      <c r="D45" s="210">
        <v>48</v>
      </c>
      <c r="E45" s="207">
        <v>8</v>
      </c>
      <c r="F45" s="179">
        <f t="shared" si="0"/>
        <v>384</v>
      </c>
      <c r="G45" s="85">
        <f>D45</f>
        <v>48</v>
      </c>
      <c r="H45" s="83">
        <v>8</v>
      </c>
      <c r="I45" s="187">
        <f t="shared" si="1"/>
        <v>384</v>
      </c>
      <c r="J45" s="187">
        <v>48</v>
      </c>
      <c r="K45" s="83">
        <v>8</v>
      </c>
      <c r="L45" s="187">
        <f t="shared" si="2"/>
        <v>384</v>
      </c>
      <c r="M45" s="139">
        <f>M53</f>
        <v>-133463.52000000002</v>
      </c>
    </row>
    <row r="46" spans="1:13" x14ac:dyDescent="0.25">
      <c r="A46" s="87">
        <v>44</v>
      </c>
      <c r="B46" s="88" t="s">
        <v>384</v>
      </c>
      <c r="C46" s="204" t="s">
        <v>218</v>
      </c>
      <c r="D46" s="210">
        <v>4.07</v>
      </c>
      <c r="E46" s="208">
        <v>24</v>
      </c>
      <c r="F46" s="180">
        <f t="shared" si="0"/>
        <v>97.68</v>
      </c>
      <c r="G46" s="89">
        <f>D46</f>
        <v>4.07</v>
      </c>
      <c r="H46" s="87">
        <v>24</v>
      </c>
      <c r="I46" s="187">
        <f t="shared" si="1"/>
        <v>97.68</v>
      </c>
      <c r="J46" s="187">
        <v>4.07</v>
      </c>
      <c r="K46" s="87">
        <v>24</v>
      </c>
      <c r="L46" s="187">
        <f t="shared" si="2"/>
        <v>97.68</v>
      </c>
    </row>
    <row r="47" spans="1:13" ht="36" x14ac:dyDescent="0.25">
      <c r="A47" s="87">
        <v>45</v>
      </c>
      <c r="B47" s="88" t="s">
        <v>385</v>
      </c>
      <c r="C47" s="204" t="s">
        <v>103</v>
      </c>
      <c r="D47" s="210">
        <v>12</v>
      </c>
      <c r="E47" s="208">
        <v>2</v>
      </c>
      <c r="F47" s="180">
        <f t="shared" si="0"/>
        <v>24</v>
      </c>
      <c r="G47" s="89">
        <v>12</v>
      </c>
      <c r="H47" s="87">
        <v>2</v>
      </c>
      <c r="I47" s="187">
        <f t="shared" si="1"/>
        <v>24</v>
      </c>
      <c r="J47" s="187">
        <v>12</v>
      </c>
      <c r="K47" s="87">
        <v>2</v>
      </c>
      <c r="L47" s="187">
        <f t="shared" si="2"/>
        <v>24</v>
      </c>
    </row>
    <row r="48" spans="1:13" s="86" customFormat="1" ht="24" x14ac:dyDescent="0.25">
      <c r="A48" s="83">
        <v>46</v>
      </c>
      <c r="B48" s="90" t="s">
        <v>386</v>
      </c>
      <c r="C48" s="203" t="s">
        <v>218</v>
      </c>
      <c r="D48" s="210">
        <v>1.26</v>
      </c>
      <c r="E48" s="207">
        <v>24</v>
      </c>
      <c r="F48" s="179">
        <f t="shared" si="0"/>
        <v>30.240000000000002</v>
      </c>
      <c r="G48" s="85">
        <v>1.26</v>
      </c>
      <c r="H48" s="83">
        <v>24</v>
      </c>
      <c r="I48" s="187">
        <f t="shared" si="1"/>
        <v>30.240000000000002</v>
      </c>
      <c r="J48" s="187">
        <v>1.26</v>
      </c>
      <c r="K48" s="83">
        <v>24</v>
      </c>
      <c r="L48" s="187">
        <f t="shared" si="2"/>
        <v>30.240000000000002</v>
      </c>
    </row>
    <row r="49" spans="1:13" s="86" customFormat="1" ht="36" x14ac:dyDescent="0.25">
      <c r="A49" s="83">
        <v>47</v>
      </c>
      <c r="B49" s="84" t="s">
        <v>387</v>
      </c>
      <c r="C49" s="203" t="s">
        <v>218</v>
      </c>
      <c r="D49" s="210">
        <v>1.9</v>
      </c>
      <c r="E49" s="207">
        <v>96</v>
      </c>
      <c r="F49" s="179">
        <f t="shared" si="0"/>
        <v>182.39999999999998</v>
      </c>
      <c r="G49" s="85">
        <v>1.9</v>
      </c>
      <c r="H49" s="83">
        <v>96</v>
      </c>
      <c r="I49" s="187">
        <f t="shared" si="1"/>
        <v>182.39999999999998</v>
      </c>
      <c r="J49" s="187">
        <v>1.9</v>
      </c>
      <c r="K49" s="83">
        <v>96</v>
      </c>
      <c r="L49" s="187">
        <f t="shared" si="2"/>
        <v>182.39999999999998</v>
      </c>
    </row>
    <row r="50" spans="1:13" s="86" customFormat="1" ht="36" x14ac:dyDescent="0.25">
      <c r="A50" s="83">
        <v>48</v>
      </c>
      <c r="B50" s="84" t="s">
        <v>388</v>
      </c>
      <c r="C50" s="203" t="s">
        <v>218</v>
      </c>
      <c r="D50" s="210">
        <v>1.1000000000000001</v>
      </c>
      <c r="E50" s="207">
        <v>24</v>
      </c>
      <c r="F50" s="179">
        <f t="shared" si="0"/>
        <v>26.400000000000002</v>
      </c>
      <c r="G50" s="85">
        <f>D50</f>
        <v>1.1000000000000001</v>
      </c>
      <c r="H50" s="83">
        <v>24</v>
      </c>
      <c r="I50" s="187">
        <f t="shared" si="1"/>
        <v>26.400000000000002</v>
      </c>
      <c r="J50" s="187">
        <v>1.1000000000000001</v>
      </c>
      <c r="K50" s="83">
        <v>24</v>
      </c>
      <c r="L50" s="187">
        <f t="shared" si="2"/>
        <v>26.400000000000002</v>
      </c>
    </row>
    <row r="51" spans="1:13" s="86" customFormat="1" ht="36" x14ac:dyDescent="0.25">
      <c r="A51" s="83">
        <v>49</v>
      </c>
      <c r="B51" s="84" t="s">
        <v>389</v>
      </c>
      <c r="C51" s="203" t="s">
        <v>104</v>
      </c>
      <c r="D51" s="210">
        <v>1.7</v>
      </c>
      <c r="E51" s="207">
        <v>15</v>
      </c>
      <c r="F51" s="179">
        <f t="shared" si="0"/>
        <v>25.5</v>
      </c>
      <c r="G51" s="85">
        <f>D51</f>
        <v>1.7</v>
      </c>
      <c r="H51" s="83">
        <v>15</v>
      </c>
      <c r="I51" s="187">
        <f t="shared" si="1"/>
        <v>25.5</v>
      </c>
      <c r="J51" s="187">
        <v>1.7</v>
      </c>
      <c r="K51" s="83">
        <v>15</v>
      </c>
      <c r="L51" s="187">
        <f t="shared" si="2"/>
        <v>25.5</v>
      </c>
    </row>
    <row r="52" spans="1:13" s="86" customFormat="1" ht="36" x14ac:dyDescent="0.25">
      <c r="A52" s="83">
        <v>50</v>
      </c>
      <c r="B52" s="84" t="s">
        <v>390</v>
      </c>
      <c r="C52" s="203" t="s">
        <v>104</v>
      </c>
      <c r="D52" s="210">
        <v>1.7</v>
      </c>
      <c r="E52" s="207">
        <v>15</v>
      </c>
      <c r="F52" s="179">
        <f t="shared" si="0"/>
        <v>25.5</v>
      </c>
      <c r="G52" s="85">
        <f>D52</f>
        <v>1.7</v>
      </c>
      <c r="H52" s="83">
        <v>15</v>
      </c>
      <c r="I52" s="187">
        <f t="shared" si="1"/>
        <v>25.5</v>
      </c>
      <c r="J52" s="187">
        <v>1.7</v>
      </c>
      <c r="K52" s="83">
        <v>15</v>
      </c>
      <c r="L52" s="187">
        <f t="shared" si="2"/>
        <v>25.5</v>
      </c>
    </row>
    <row r="53" spans="1:13" s="86" customFormat="1" ht="36" x14ac:dyDescent="0.25">
      <c r="A53" s="83">
        <v>51</v>
      </c>
      <c r="B53" s="84" t="s">
        <v>391</v>
      </c>
      <c r="C53" s="203" t="s">
        <v>104</v>
      </c>
      <c r="D53" s="210">
        <v>1.7</v>
      </c>
      <c r="E53" s="207">
        <v>50</v>
      </c>
      <c r="F53" s="179">
        <f t="shared" si="0"/>
        <v>85</v>
      </c>
      <c r="G53" s="85">
        <v>1.7</v>
      </c>
      <c r="H53" s="83">
        <v>50</v>
      </c>
      <c r="I53" s="187">
        <f t="shared" si="1"/>
        <v>85</v>
      </c>
      <c r="J53" s="187">
        <v>1.7</v>
      </c>
      <c r="K53" s="83">
        <v>50</v>
      </c>
      <c r="L53" s="187">
        <f t="shared" si="2"/>
        <v>85</v>
      </c>
      <c r="M53" s="139">
        <f>M68</f>
        <v>-133463.52000000002</v>
      </c>
    </row>
    <row r="54" spans="1:13" ht="48" x14ac:dyDescent="0.25">
      <c r="A54" s="87">
        <v>52</v>
      </c>
      <c r="B54" s="88" t="s">
        <v>392</v>
      </c>
      <c r="C54" s="204" t="s">
        <v>104</v>
      </c>
      <c r="D54" s="210">
        <v>2.39</v>
      </c>
      <c r="E54" s="208">
        <v>6</v>
      </c>
      <c r="F54" s="180">
        <f t="shared" si="0"/>
        <v>14.34</v>
      </c>
      <c r="G54" s="89">
        <f>D54</f>
        <v>2.39</v>
      </c>
      <c r="H54" s="87">
        <v>6</v>
      </c>
      <c r="I54" s="187">
        <f t="shared" si="1"/>
        <v>14.34</v>
      </c>
      <c r="J54" s="187">
        <v>2.39</v>
      </c>
      <c r="K54" s="87">
        <v>6</v>
      </c>
      <c r="L54" s="187">
        <f t="shared" si="2"/>
        <v>14.34</v>
      </c>
    </row>
    <row r="55" spans="1:13" s="86" customFormat="1" ht="48" x14ac:dyDescent="0.25">
      <c r="A55" s="83">
        <v>53</v>
      </c>
      <c r="B55" s="84" t="s">
        <v>393</v>
      </c>
      <c r="C55" s="203" t="s">
        <v>104</v>
      </c>
      <c r="D55" s="210">
        <v>11.9</v>
      </c>
      <c r="E55" s="207">
        <v>6</v>
      </c>
      <c r="F55" s="179">
        <f t="shared" si="0"/>
        <v>71.400000000000006</v>
      </c>
      <c r="G55" s="89">
        <f>D55</f>
        <v>11.9</v>
      </c>
      <c r="H55" s="83">
        <v>6</v>
      </c>
      <c r="I55" s="187">
        <f t="shared" si="1"/>
        <v>71.400000000000006</v>
      </c>
      <c r="J55" s="187">
        <v>11.9</v>
      </c>
      <c r="K55" s="83">
        <v>6</v>
      </c>
      <c r="L55" s="187">
        <f t="shared" si="2"/>
        <v>71.400000000000006</v>
      </c>
    </row>
    <row r="56" spans="1:13" ht="24" x14ac:dyDescent="0.25">
      <c r="A56" s="87">
        <v>54</v>
      </c>
      <c r="B56" s="88" t="s">
        <v>394</v>
      </c>
      <c r="C56" s="204" t="s">
        <v>104</v>
      </c>
      <c r="D56" s="210">
        <v>11.9</v>
      </c>
      <c r="E56" s="208">
        <v>4</v>
      </c>
      <c r="F56" s="180">
        <f t="shared" si="0"/>
        <v>47.6</v>
      </c>
      <c r="G56" s="89">
        <f>D56</f>
        <v>11.9</v>
      </c>
      <c r="H56" s="87">
        <v>4</v>
      </c>
      <c r="I56" s="187">
        <f t="shared" si="1"/>
        <v>47.6</v>
      </c>
      <c r="J56" s="187">
        <v>11.9</v>
      </c>
      <c r="K56" s="87">
        <v>4</v>
      </c>
      <c r="L56" s="187">
        <f t="shared" si="2"/>
        <v>47.6</v>
      </c>
    </row>
    <row r="57" spans="1:13" ht="24" x14ac:dyDescent="0.25">
      <c r="A57" s="87">
        <v>55</v>
      </c>
      <c r="B57" s="88" t="s">
        <v>395</v>
      </c>
      <c r="C57" s="204" t="s">
        <v>218</v>
      </c>
      <c r="D57" s="210">
        <v>18.48</v>
      </c>
      <c r="E57" s="208">
        <v>4</v>
      </c>
      <c r="F57" s="180">
        <f t="shared" si="0"/>
        <v>73.92</v>
      </c>
      <c r="G57" s="89">
        <f>D57</f>
        <v>18.48</v>
      </c>
      <c r="H57" s="87">
        <v>4</v>
      </c>
      <c r="I57" s="187">
        <f t="shared" si="1"/>
        <v>73.92</v>
      </c>
      <c r="J57" s="187">
        <v>18.48</v>
      </c>
      <c r="K57" s="87">
        <v>4</v>
      </c>
      <c r="L57" s="187">
        <f t="shared" si="2"/>
        <v>73.92</v>
      </c>
    </row>
    <row r="58" spans="1:13" s="86" customFormat="1" ht="24" x14ac:dyDescent="0.25">
      <c r="A58" s="83">
        <v>56</v>
      </c>
      <c r="B58" s="84" t="s">
        <v>396</v>
      </c>
      <c r="C58" s="203" t="s">
        <v>218</v>
      </c>
      <c r="D58" s="210">
        <v>2.65</v>
      </c>
      <c r="E58" s="207">
        <v>10</v>
      </c>
      <c r="F58" s="179">
        <f t="shared" si="0"/>
        <v>26.5</v>
      </c>
      <c r="G58" s="85">
        <v>2.65</v>
      </c>
      <c r="H58" s="83">
        <v>10</v>
      </c>
      <c r="I58" s="187">
        <f t="shared" si="1"/>
        <v>26.5</v>
      </c>
      <c r="J58" s="187">
        <v>2.65</v>
      </c>
      <c r="K58" s="83">
        <v>10</v>
      </c>
      <c r="L58" s="187">
        <f t="shared" si="2"/>
        <v>26.5</v>
      </c>
    </row>
    <row r="59" spans="1:13" s="86" customFormat="1" ht="24" x14ac:dyDescent="0.25">
      <c r="A59" s="83">
        <v>57</v>
      </c>
      <c r="B59" s="92" t="s">
        <v>229</v>
      </c>
      <c r="C59" s="203" t="s">
        <v>218</v>
      </c>
      <c r="D59" s="210">
        <v>2.65</v>
      </c>
      <c r="E59" s="207">
        <v>20</v>
      </c>
      <c r="F59" s="179">
        <f t="shared" si="0"/>
        <v>53</v>
      </c>
      <c r="G59" s="85">
        <v>2.65</v>
      </c>
      <c r="H59" s="83">
        <v>20</v>
      </c>
      <c r="I59" s="187">
        <f t="shared" si="1"/>
        <v>53</v>
      </c>
      <c r="J59" s="187">
        <v>2.65</v>
      </c>
      <c r="K59" s="83">
        <v>20</v>
      </c>
      <c r="L59" s="187">
        <f t="shared" si="2"/>
        <v>53</v>
      </c>
    </row>
    <row r="60" spans="1:13" ht="24" x14ac:dyDescent="0.25">
      <c r="A60" s="87">
        <v>58</v>
      </c>
      <c r="B60" s="88" t="s">
        <v>397</v>
      </c>
      <c r="C60" s="204" t="s">
        <v>218</v>
      </c>
      <c r="D60" s="210">
        <v>29</v>
      </c>
      <c r="E60" s="208">
        <v>2</v>
      </c>
      <c r="F60" s="180">
        <f t="shared" si="0"/>
        <v>58</v>
      </c>
      <c r="G60" s="89">
        <v>29</v>
      </c>
      <c r="H60" s="87">
        <v>2</v>
      </c>
      <c r="I60" s="187">
        <f t="shared" si="1"/>
        <v>58</v>
      </c>
      <c r="J60" s="187">
        <v>29</v>
      </c>
      <c r="K60" s="87">
        <v>2</v>
      </c>
      <c r="L60" s="187">
        <f t="shared" si="2"/>
        <v>58</v>
      </c>
    </row>
    <row r="61" spans="1:13" s="86" customFormat="1" ht="36" x14ac:dyDescent="0.25">
      <c r="A61" s="83">
        <v>59</v>
      </c>
      <c r="B61" s="84" t="s">
        <v>398</v>
      </c>
      <c r="C61" s="203" t="s">
        <v>218</v>
      </c>
      <c r="D61" s="210">
        <v>2.39</v>
      </c>
      <c r="E61" s="207">
        <v>6</v>
      </c>
      <c r="F61" s="179">
        <f t="shared" si="0"/>
        <v>14.34</v>
      </c>
      <c r="G61" s="85">
        <v>2.39</v>
      </c>
      <c r="H61" s="83">
        <v>6</v>
      </c>
      <c r="I61" s="187">
        <f t="shared" si="1"/>
        <v>14.34</v>
      </c>
      <c r="J61" s="187">
        <v>2.39</v>
      </c>
      <c r="K61" s="83">
        <v>6</v>
      </c>
      <c r="L61" s="187">
        <f t="shared" si="2"/>
        <v>14.34</v>
      </c>
    </row>
    <row r="62" spans="1:13" ht="24" x14ac:dyDescent="0.25">
      <c r="A62" s="87">
        <v>60</v>
      </c>
      <c r="B62" s="88" t="s">
        <v>399</v>
      </c>
      <c r="C62" s="204" t="s">
        <v>218</v>
      </c>
      <c r="D62" s="210">
        <v>2.76</v>
      </c>
      <c r="E62" s="208">
        <v>12</v>
      </c>
      <c r="F62" s="180">
        <f t="shared" si="0"/>
        <v>33.119999999999997</v>
      </c>
      <c r="G62" s="89"/>
      <c r="H62" s="87">
        <v>12</v>
      </c>
      <c r="I62" s="187">
        <f t="shared" si="1"/>
        <v>0</v>
      </c>
      <c r="J62" s="187">
        <v>2.76</v>
      </c>
      <c r="K62" s="87">
        <v>12</v>
      </c>
      <c r="L62" s="187">
        <f t="shared" si="2"/>
        <v>33.119999999999997</v>
      </c>
    </row>
    <row r="63" spans="1:13" s="86" customFormat="1" ht="24" x14ac:dyDescent="0.25">
      <c r="A63" s="83">
        <v>61</v>
      </c>
      <c r="B63" s="84" t="s">
        <v>400</v>
      </c>
      <c r="C63" s="203" t="s">
        <v>218</v>
      </c>
      <c r="D63" s="210">
        <v>3.77</v>
      </c>
      <c r="E63" s="207">
        <v>5</v>
      </c>
      <c r="F63" s="179">
        <f t="shared" si="0"/>
        <v>18.850000000000001</v>
      </c>
      <c r="G63" s="85">
        <v>3.77</v>
      </c>
      <c r="H63" s="83">
        <v>5</v>
      </c>
      <c r="I63" s="187">
        <f t="shared" si="1"/>
        <v>18.850000000000001</v>
      </c>
      <c r="J63" s="187">
        <v>3.77</v>
      </c>
      <c r="K63" s="83">
        <v>5</v>
      </c>
      <c r="L63" s="187">
        <f t="shared" si="2"/>
        <v>18.850000000000001</v>
      </c>
    </row>
    <row r="64" spans="1:13" s="86" customFormat="1" x14ac:dyDescent="0.25">
      <c r="A64" s="83">
        <v>62</v>
      </c>
      <c r="B64" s="84" t="s">
        <v>401</v>
      </c>
      <c r="C64" s="203" t="s">
        <v>218</v>
      </c>
      <c r="D64" s="210">
        <v>6.1</v>
      </c>
      <c r="E64" s="207">
        <v>2</v>
      </c>
      <c r="F64" s="179">
        <f t="shared" si="0"/>
        <v>12.2</v>
      </c>
      <c r="G64" s="85">
        <f>D64</f>
        <v>6.1</v>
      </c>
      <c r="H64" s="83">
        <v>2</v>
      </c>
      <c r="I64" s="187">
        <f t="shared" si="1"/>
        <v>12.2</v>
      </c>
      <c r="J64" s="187">
        <v>6.1</v>
      </c>
      <c r="K64" s="83">
        <v>2</v>
      </c>
      <c r="L64" s="187">
        <f t="shared" si="2"/>
        <v>12.2</v>
      </c>
    </row>
    <row r="65" spans="1:13" s="86" customFormat="1" x14ac:dyDescent="0.25">
      <c r="A65" s="83">
        <v>63</v>
      </c>
      <c r="B65" s="84" t="s">
        <v>402</v>
      </c>
      <c r="C65" s="203" t="s">
        <v>218</v>
      </c>
      <c r="D65" s="210">
        <v>2.2000000000000002</v>
      </c>
      <c r="E65" s="207">
        <v>10</v>
      </c>
      <c r="F65" s="179">
        <f t="shared" si="0"/>
        <v>22</v>
      </c>
      <c r="G65" s="85">
        <v>2.2000000000000002</v>
      </c>
      <c r="H65" s="83">
        <v>10</v>
      </c>
      <c r="I65" s="187">
        <f t="shared" si="1"/>
        <v>22</v>
      </c>
      <c r="J65" s="187">
        <v>2.2000000000000002</v>
      </c>
      <c r="K65" s="83">
        <v>10</v>
      </c>
      <c r="L65" s="187">
        <f t="shared" si="2"/>
        <v>22</v>
      </c>
    </row>
    <row r="66" spans="1:13" s="86" customFormat="1" x14ac:dyDescent="0.25">
      <c r="A66" s="83">
        <v>64</v>
      </c>
      <c r="B66" s="84" t="s">
        <v>403</v>
      </c>
      <c r="C66" s="203" t="s">
        <v>218</v>
      </c>
      <c r="D66" s="210">
        <v>1.93</v>
      </c>
      <c r="E66" s="207">
        <v>10</v>
      </c>
      <c r="F66" s="179">
        <f t="shared" si="0"/>
        <v>19.3</v>
      </c>
      <c r="G66" s="85">
        <v>1.93</v>
      </c>
      <c r="H66" s="83">
        <v>10</v>
      </c>
      <c r="I66" s="187">
        <f t="shared" si="1"/>
        <v>19.3</v>
      </c>
      <c r="J66" s="187">
        <v>1.93</v>
      </c>
      <c r="K66" s="83">
        <v>10</v>
      </c>
      <c r="L66" s="187">
        <f t="shared" si="2"/>
        <v>19.3</v>
      </c>
    </row>
    <row r="67" spans="1:13" s="86" customFormat="1" ht="24" x14ac:dyDescent="0.25">
      <c r="A67" s="83">
        <v>65</v>
      </c>
      <c r="B67" s="84" t="s">
        <v>404</v>
      </c>
      <c r="C67" s="203" t="s">
        <v>218</v>
      </c>
      <c r="D67" s="210">
        <v>0.85</v>
      </c>
      <c r="E67" s="207">
        <v>100</v>
      </c>
      <c r="F67" s="179">
        <f t="shared" si="0"/>
        <v>85</v>
      </c>
      <c r="G67" s="85">
        <v>0.85</v>
      </c>
      <c r="H67" s="83">
        <v>100</v>
      </c>
      <c r="I67" s="187">
        <f t="shared" si="1"/>
        <v>85</v>
      </c>
      <c r="J67" s="187">
        <v>0.85</v>
      </c>
      <c r="K67" s="83">
        <v>100</v>
      </c>
      <c r="L67" s="187">
        <f t="shared" si="2"/>
        <v>85</v>
      </c>
    </row>
    <row r="68" spans="1:13" s="86" customFormat="1" ht="36" x14ac:dyDescent="0.25">
      <c r="A68" s="83">
        <v>66</v>
      </c>
      <c r="B68" s="84" t="s">
        <v>405</v>
      </c>
      <c r="C68" s="203" t="s">
        <v>230</v>
      </c>
      <c r="D68" s="210">
        <v>42</v>
      </c>
      <c r="E68" s="207">
        <v>80</v>
      </c>
      <c r="F68" s="179">
        <f t="shared" ref="F68:F104" si="4">E68*D68</f>
        <v>3360</v>
      </c>
      <c r="G68" s="85">
        <v>42</v>
      </c>
      <c r="H68" s="83">
        <v>80</v>
      </c>
      <c r="I68" s="187">
        <f t="shared" ref="I68:I104" si="5">H68*G68</f>
        <v>3360</v>
      </c>
      <c r="J68" s="187">
        <v>42</v>
      </c>
      <c r="K68" s="83">
        <v>80</v>
      </c>
      <c r="L68" s="187">
        <f t="shared" ref="L68:L104" si="6">K68*J68</f>
        <v>3360</v>
      </c>
      <c r="M68" s="139">
        <f>'$ TOTAL ATUAL'!D33</f>
        <v>-133463.52000000002</v>
      </c>
    </row>
    <row r="69" spans="1:13" s="86" customFormat="1" ht="48" x14ac:dyDescent="0.25">
      <c r="A69" s="83">
        <v>67</v>
      </c>
      <c r="B69" s="84" t="s">
        <v>406</v>
      </c>
      <c r="C69" s="203" t="s">
        <v>230</v>
      </c>
      <c r="D69" s="210">
        <v>19</v>
      </c>
      <c r="E69" s="207">
        <v>310</v>
      </c>
      <c r="F69" s="179">
        <f>E69*D69</f>
        <v>5890</v>
      </c>
      <c r="G69" s="85">
        <v>19</v>
      </c>
      <c r="H69" s="83">
        <v>310</v>
      </c>
      <c r="I69" s="187">
        <f t="shared" si="5"/>
        <v>5890</v>
      </c>
      <c r="J69" s="187">
        <v>19</v>
      </c>
      <c r="K69" s="83">
        <v>310</v>
      </c>
      <c r="L69" s="187">
        <f t="shared" si="6"/>
        <v>5890</v>
      </c>
      <c r="M69" s="86" t="s">
        <v>231</v>
      </c>
    </row>
    <row r="70" spans="1:13" s="86" customFormat="1" x14ac:dyDescent="0.25">
      <c r="A70" s="83">
        <v>68</v>
      </c>
      <c r="B70" s="84" t="s">
        <v>407</v>
      </c>
      <c r="C70" s="203" t="s">
        <v>218</v>
      </c>
      <c r="D70" s="210">
        <v>0.31</v>
      </c>
      <c r="E70" s="207">
        <v>120</v>
      </c>
      <c r="F70" s="179">
        <f t="shared" si="4"/>
        <v>37.200000000000003</v>
      </c>
      <c r="G70" s="85">
        <v>0.31</v>
      </c>
      <c r="H70" s="83">
        <v>120</v>
      </c>
      <c r="I70" s="187">
        <f t="shared" si="5"/>
        <v>37.200000000000003</v>
      </c>
      <c r="J70" s="187">
        <v>0.31</v>
      </c>
      <c r="K70" s="83">
        <v>120</v>
      </c>
      <c r="L70" s="187">
        <f t="shared" si="6"/>
        <v>37.200000000000003</v>
      </c>
    </row>
    <row r="71" spans="1:13" s="86" customFormat="1" x14ac:dyDescent="0.25">
      <c r="A71" s="83">
        <v>69</v>
      </c>
      <c r="B71" s="84" t="s">
        <v>408</v>
      </c>
      <c r="C71" s="203" t="s">
        <v>218</v>
      </c>
      <c r="D71" s="210">
        <v>3.14</v>
      </c>
      <c r="E71" s="207">
        <v>2</v>
      </c>
      <c r="F71" s="179">
        <f t="shared" si="4"/>
        <v>6.28</v>
      </c>
      <c r="G71" s="85">
        <v>3.14</v>
      </c>
      <c r="H71" s="83">
        <v>2</v>
      </c>
      <c r="I71" s="187">
        <f t="shared" si="5"/>
        <v>6.28</v>
      </c>
      <c r="J71" s="187">
        <v>3.14</v>
      </c>
      <c r="K71" s="83">
        <v>2</v>
      </c>
      <c r="L71" s="187">
        <f t="shared" si="6"/>
        <v>6.28</v>
      </c>
    </row>
    <row r="72" spans="1:13" s="86" customFormat="1" x14ac:dyDescent="0.25">
      <c r="A72" s="83">
        <v>70</v>
      </c>
      <c r="B72" s="84" t="s">
        <v>409</v>
      </c>
      <c r="C72" s="203" t="s">
        <v>218</v>
      </c>
      <c r="D72" s="210">
        <v>2.2999999999999998</v>
      </c>
      <c r="E72" s="207">
        <v>5</v>
      </c>
      <c r="F72" s="179">
        <f t="shared" si="4"/>
        <v>11.5</v>
      </c>
      <c r="G72" s="85">
        <f>D72</f>
        <v>2.2999999999999998</v>
      </c>
      <c r="H72" s="83">
        <v>5</v>
      </c>
      <c r="I72" s="187">
        <f t="shared" si="5"/>
        <v>11.5</v>
      </c>
      <c r="J72" s="187">
        <v>2.2999999999999998</v>
      </c>
      <c r="K72" s="83">
        <v>5</v>
      </c>
      <c r="L72" s="187">
        <f t="shared" si="6"/>
        <v>11.5</v>
      </c>
    </row>
    <row r="73" spans="1:13" s="86" customFormat="1" ht="24" x14ac:dyDescent="0.25">
      <c r="A73" s="83">
        <v>71</v>
      </c>
      <c r="B73" s="84" t="s">
        <v>410</v>
      </c>
      <c r="C73" s="203" t="s">
        <v>218</v>
      </c>
      <c r="D73" s="210">
        <v>0.73</v>
      </c>
      <c r="E73" s="207">
        <v>10</v>
      </c>
      <c r="F73" s="179">
        <f t="shared" si="4"/>
        <v>7.3</v>
      </c>
      <c r="G73" s="85">
        <v>0.73</v>
      </c>
      <c r="H73" s="83">
        <v>10</v>
      </c>
      <c r="I73" s="187">
        <f t="shared" si="5"/>
        <v>7.3</v>
      </c>
      <c r="J73" s="187">
        <v>0.73</v>
      </c>
      <c r="K73" s="83">
        <v>10</v>
      </c>
      <c r="L73" s="187">
        <f t="shared" si="6"/>
        <v>7.3</v>
      </c>
    </row>
    <row r="74" spans="1:13" s="86" customFormat="1" ht="24" x14ac:dyDescent="0.25">
      <c r="A74" s="83">
        <v>72</v>
      </c>
      <c r="B74" s="84" t="s">
        <v>411</v>
      </c>
      <c r="C74" s="203" t="s">
        <v>218</v>
      </c>
      <c r="D74" s="210">
        <v>28.9</v>
      </c>
      <c r="E74" s="207">
        <v>4</v>
      </c>
      <c r="F74" s="179">
        <f t="shared" si="4"/>
        <v>115.6</v>
      </c>
      <c r="G74" s="85">
        <v>28.9</v>
      </c>
      <c r="H74" s="83">
        <v>4</v>
      </c>
      <c r="I74" s="187">
        <f t="shared" si="5"/>
        <v>115.6</v>
      </c>
      <c r="J74" s="187">
        <v>28.9</v>
      </c>
      <c r="K74" s="83">
        <v>4</v>
      </c>
      <c r="L74" s="187">
        <f t="shared" si="6"/>
        <v>115.6</v>
      </c>
    </row>
    <row r="75" spans="1:13" s="86" customFormat="1" ht="24" x14ac:dyDescent="0.25">
      <c r="A75" s="83">
        <v>73</v>
      </c>
      <c r="B75" s="84" t="s">
        <v>412</v>
      </c>
      <c r="C75" s="203" t="s">
        <v>217</v>
      </c>
      <c r="D75" s="210">
        <v>6.61</v>
      </c>
      <c r="E75" s="207">
        <v>5</v>
      </c>
      <c r="F75" s="179">
        <f t="shared" si="4"/>
        <v>33.050000000000004</v>
      </c>
      <c r="G75" s="85">
        <v>6.61</v>
      </c>
      <c r="H75" s="83">
        <v>5</v>
      </c>
      <c r="I75" s="187">
        <f t="shared" si="5"/>
        <v>33.050000000000004</v>
      </c>
      <c r="J75" s="187">
        <v>6.61</v>
      </c>
      <c r="K75" s="83">
        <v>5</v>
      </c>
      <c r="L75" s="187">
        <f t="shared" si="6"/>
        <v>33.050000000000004</v>
      </c>
      <c r="M75" s="139">
        <f>M88</f>
        <v>-133463.52000000002</v>
      </c>
    </row>
    <row r="76" spans="1:13" s="86" customFormat="1" x14ac:dyDescent="0.25">
      <c r="A76" s="83">
        <v>74</v>
      </c>
      <c r="B76" s="84" t="s">
        <v>413</v>
      </c>
      <c r="C76" s="203" t="s">
        <v>218</v>
      </c>
      <c r="D76" s="210">
        <v>24</v>
      </c>
      <c r="E76" s="207">
        <v>4</v>
      </c>
      <c r="F76" s="179">
        <f t="shared" si="4"/>
        <v>96</v>
      </c>
      <c r="G76" s="85">
        <v>24</v>
      </c>
      <c r="H76" s="83">
        <v>4</v>
      </c>
      <c r="I76" s="187">
        <f t="shared" si="5"/>
        <v>96</v>
      </c>
      <c r="J76" s="187">
        <v>24</v>
      </c>
      <c r="K76" s="83">
        <v>4</v>
      </c>
      <c r="L76" s="187">
        <f t="shared" si="6"/>
        <v>96</v>
      </c>
    </row>
    <row r="77" spans="1:13" s="86" customFormat="1" ht="48" x14ac:dyDescent="0.25">
      <c r="A77" s="83">
        <v>75</v>
      </c>
      <c r="B77" s="84" t="s">
        <v>414</v>
      </c>
      <c r="C77" s="203" t="s">
        <v>103</v>
      </c>
      <c r="D77" s="210">
        <v>51</v>
      </c>
      <c r="E77" s="207">
        <v>6</v>
      </c>
      <c r="F77" s="179">
        <f t="shared" si="4"/>
        <v>306</v>
      </c>
      <c r="G77" s="85">
        <v>51</v>
      </c>
      <c r="H77" s="83">
        <v>6</v>
      </c>
      <c r="I77" s="187">
        <f t="shared" si="5"/>
        <v>306</v>
      </c>
      <c r="J77" s="187">
        <v>51</v>
      </c>
      <c r="K77" s="83">
        <v>6</v>
      </c>
      <c r="L77" s="187">
        <f t="shared" si="6"/>
        <v>306</v>
      </c>
    </row>
    <row r="78" spans="1:13" x14ac:dyDescent="0.25">
      <c r="A78" s="87">
        <v>76</v>
      </c>
      <c r="B78" s="88" t="s">
        <v>415</v>
      </c>
      <c r="C78" s="204" t="s">
        <v>218</v>
      </c>
      <c r="D78" s="210">
        <v>4.5</v>
      </c>
      <c r="E78" s="208">
        <v>30</v>
      </c>
      <c r="F78" s="180">
        <f t="shared" si="4"/>
        <v>135</v>
      </c>
      <c r="G78" s="89"/>
      <c r="H78" s="87">
        <v>30</v>
      </c>
      <c r="I78" s="187">
        <f t="shared" si="5"/>
        <v>0</v>
      </c>
      <c r="J78" s="187">
        <v>4.5</v>
      </c>
      <c r="K78" s="87">
        <v>30</v>
      </c>
      <c r="L78" s="187">
        <f t="shared" si="6"/>
        <v>135</v>
      </c>
    </row>
    <row r="79" spans="1:13" ht="36" x14ac:dyDescent="0.25">
      <c r="A79" s="87">
        <v>77</v>
      </c>
      <c r="B79" s="88" t="s">
        <v>416</v>
      </c>
      <c r="C79" s="204" t="s">
        <v>103</v>
      </c>
      <c r="D79" s="210">
        <v>29</v>
      </c>
      <c r="E79" s="208">
        <v>8</v>
      </c>
      <c r="F79" s="180">
        <f t="shared" si="4"/>
        <v>232</v>
      </c>
      <c r="G79" s="89">
        <v>29</v>
      </c>
      <c r="H79" s="87">
        <v>8</v>
      </c>
      <c r="I79" s="187">
        <f t="shared" si="5"/>
        <v>232</v>
      </c>
      <c r="J79" s="187">
        <v>29</v>
      </c>
      <c r="K79" s="87">
        <v>8</v>
      </c>
      <c r="L79" s="187">
        <f t="shared" si="6"/>
        <v>232</v>
      </c>
    </row>
    <row r="80" spans="1:13" s="86" customFormat="1" ht="24" x14ac:dyDescent="0.25">
      <c r="A80" s="83">
        <v>78</v>
      </c>
      <c r="B80" s="84" t="s">
        <v>417</v>
      </c>
      <c r="C80" s="203" t="s">
        <v>218</v>
      </c>
      <c r="D80" s="210">
        <v>45</v>
      </c>
      <c r="E80" s="207">
        <v>4</v>
      </c>
      <c r="F80" s="179">
        <f t="shared" si="4"/>
        <v>180</v>
      </c>
      <c r="G80" s="85">
        <f>D80</f>
        <v>45</v>
      </c>
      <c r="H80" s="83">
        <v>4</v>
      </c>
      <c r="I80" s="187">
        <f t="shared" si="5"/>
        <v>180</v>
      </c>
      <c r="J80" s="187">
        <v>45</v>
      </c>
      <c r="K80" s="83">
        <v>4</v>
      </c>
      <c r="L80" s="187">
        <f t="shared" si="6"/>
        <v>180</v>
      </c>
    </row>
    <row r="81" spans="1:14" s="86" customFormat="1" x14ac:dyDescent="0.25">
      <c r="A81" s="83">
        <v>79</v>
      </c>
      <c r="B81" s="84" t="s">
        <v>418</v>
      </c>
      <c r="C81" s="203" t="s">
        <v>218</v>
      </c>
      <c r="D81" s="210">
        <v>2.87</v>
      </c>
      <c r="E81" s="207">
        <v>15</v>
      </c>
      <c r="F81" s="179">
        <f t="shared" si="4"/>
        <v>43.050000000000004</v>
      </c>
      <c r="G81" s="85">
        <v>2.87</v>
      </c>
      <c r="H81" s="83">
        <v>15</v>
      </c>
      <c r="I81" s="187">
        <f t="shared" si="5"/>
        <v>43.050000000000004</v>
      </c>
      <c r="J81" s="187">
        <v>2.87</v>
      </c>
      <c r="K81" s="83">
        <v>15</v>
      </c>
      <c r="L81" s="187">
        <f t="shared" si="6"/>
        <v>43.050000000000004</v>
      </c>
    </row>
    <row r="82" spans="1:14" s="86" customFormat="1" x14ac:dyDescent="0.25">
      <c r="A82" s="83">
        <v>80</v>
      </c>
      <c r="B82" s="84" t="s">
        <v>419</v>
      </c>
      <c r="C82" s="203" t="s">
        <v>218</v>
      </c>
      <c r="D82" s="210">
        <v>4.05</v>
      </c>
      <c r="E82" s="207">
        <v>15</v>
      </c>
      <c r="F82" s="179">
        <f t="shared" si="4"/>
        <v>60.75</v>
      </c>
      <c r="G82" s="85">
        <v>4.05</v>
      </c>
      <c r="H82" s="83">
        <v>15</v>
      </c>
      <c r="I82" s="187">
        <f t="shared" si="5"/>
        <v>60.75</v>
      </c>
      <c r="J82" s="187">
        <v>4.05</v>
      </c>
      <c r="K82" s="83">
        <v>15</v>
      </c>
      <c r="L82" s="187">
        <f t="shared" si="6"/>
        <v>60.75</v>
      </c>
    </row>
    <row r="83" spans="1:14" s="86" customFormat="1" ht="36" x14ac:dyDescent="0.25">
      <c r="A83" s="83">
        <v>81</v>
      </c>
      <c r="B83" s="84" t="s">
        <v>420</v>
      </c>
      <c r="C83" s="203" t="s">
        <v>232</v>
      </c>
      <c r="D83" s="210">
        <v>2.63</v>
      </c>
      <c r="E83" s="207">
        <v>50</v>
      </c>
      <c r="F83" s="179">
        <f t="shared" si="4"/>
        <v>131.5</v>
      </c>
      <c r="G83" s="85">
        <v>2.63</v>
      </c>
      <c r="H83" s="83">
        <v>50</v>
      </c>
      <c r="I83" s="187">
        <f t="shared" si="5"/>
        <v>131.5</v>
      </c>
      <c r="J83" s="187">
        <v>2.63</v>
      </c>
      <c r="K83" s="83">
        <v>50</v>
      </c>
      <c r="L83" s="187">
        <f t="shared" si="6"/>
        <v>131.5</v>
      </c>
    </row>
    <row r="84" spans="1:14" s="86" customFormat="1" ht="48" x14ac:dyDescent="0.25">
      <c r="A84" s="83">
        <v>82</v>
      </c>
      <c r="B84" s="84" t="s">
        <v>421</v>
      </c>
      <c r="C84" s="203" t="s">
        <v>233</v>
      </c>
      <c r="D84" s="210">
        <v>4.5</v>
      </c>
      <c r="E84" s="207">
        <v>5</v>
      </c>
      <c r="F84" s="179">
        <f t="shared" si="4"/>
        <v>22.5</v>
      </c>
      <c r="G84" s="85">
        <f>D84</f>
        <v>4.5</v>
      </c>
      <c r="H84" s="83">
        <v>5</v>
      </c>
      <c r="I84" s="187">
        <f t="shared" si="5"/>
        <v>22.5</v>
      </c>
      <c r="J84" s="187">
        <v>4.5</v>
      </c>
      <c r="K84" s="83">
        <v>5</v>
      </c>
      <c r="L84" s="187">
        <f t="shared" si="6"/>
        <v>22.5</v>
      </c>
      <c r="N84" s="139">
        <f>'$ TOTAL ATUAL'!D33</f>
        <v>-133463.52000000002</v>
      </c>
    </row>
    <row r="85" spans="1:14" s="86" customFormat="1" ht="48" x14ac:dyDescent="0.25">
      <c r="A85" s="83">
        <v>83</v>
      </c>
      <c r="B85" s="84" t="s">
        <v>422</v>
      </c>
      <c r="C85" s="203" t="s">
        <v>103</v>
      </c>
      <c r="D85" s="210">
        <v>9</v>
      </c>
      <c r="E85" s="207">
        <v>30</v>
      </c>
      <c r="F85" s="179">
        <f t="shared" si="4"/>
        <v>270</v>
      </c>
      <c r="G85" s="85">
        <v>9</v>
      </c>
      <c r="H85" s="83">
        <v>30</v>
      </c>
      <c r="I85" s="187">
        <f t="shared" si="5"/>
        <v>270</v>
      </c>
      <c r="J85" s="187">
        <v>9</v>
      </c>
      <c r="K85" s="83">
        <v>30</v>
      </c>
      <c r="L85" s="187">
        <f t="shared" si="6"/>
        <v>270</v>
      </c>
    </row>
    <row r="86" spans="1:14" s="86" customFormat="1" x14ac:dyDescent="0.25">
      <c r="A86" s="83">
        <v>84</v>
      </c>
      <c r="B86" s="84" t="s">
        <v>423</v>
      </c>
      <c r="C86" s="203" t="s">
        <v>228</v>
      </c>
      <c r="D86" s="210">
        <v>9</v>
      </c>
      <c r="E86" s="207">
        <v>9</v>
      </c>
      <c r="F86" s="179">
        <f t="shared" si="4"/>
        <v>81</v>
      </c>
      <c r="G86" s="85">
        <v>9</v>
      </c>
      <c r="H86" s="83">
        <v>9</v>
      </c>
      <c r="I86" s="187">
        <f t="shared" si="5"/>
        <v>81</v>
      </c>
      <c r="J86" s="187">
        <v>9</v>
      </c>
      <c r="K86" s="83">
        <v>9</v>
      </c>
      <c r="L86" s="187">
        <f t="shared" si="6"/>
        <v>81</v>
      </c>
    </row>
    <row r="87" spans="1:14" s="86" customFormat="1" ht="24" x14ac:dyDescent="0.25">
      <c r="A87" s="83">
        <v>85</v>
      </c>
      <c r="B87" s="84" t="s">
        <v>424</v>
      </c>
      <c r="C87" s="203" t="s">
        <v>228</v>
      </c>
      <c r="D87" s="210">
        <v>10.6</v>
      </c>
      <c r="E87" s="207">
        <v>3</v>
      </c>
      <c r="F87" s="179">
        <f t="shared" si="4"/>
        <v>31.799999999999997</v>
      </c>
      <c r="G87" s="85">
        <f>D87</f>
        <v>10.6</v>
      </c>
      <c r="H87" s="83">
        <v>3</v>
      </c>
      <c r="I87" s="187">
        <f t="shared" si="5"/>
        <v>31.799999999999997</v>
      </c>
      <c r="J87" s="187">
        <v>10.6</v>
      </c>
      <c r="K87" s="83">
        <v>3</v>
      </c>
      <c r="L87" s="187">
        <f t="shared" si="6"/>
        <v>31.799999999999997</v>
      </c>
    </row>
    <row r="88" spans="1:14" s="86" customFormat="1" ht="24" x14ac:dyDescent="0.25">
      <c r="A88" s="83">
        <v>86</v>
      </c>
      <c r="B88" s="84" t="s">
        <v>425</v>
      </c>
      <c r="C88" s="203" t="s">
        <v>228</v>
      </c>
      <c r="D88" s="210">
        <v>9.99</v>
      </c>
      <c r="E88" s="207">
        <v>30</v>
      </c>
      <c r="F88" s="179">
        <f t="shared" si="4"/>
        <v>299.7</v>
      </c>
      <c r="G88" s="85">
        <v>9.99</v>
      </c>
      <c r="H88" s="83">
        <v>30</v>
      </c>
      <c r="I88" s="187">
        <f t="shared" si="5"/>
        <v>299.7</v>
      </c>
      <c r="J88" s="187">
        <v>9.99</v>
      </c>
      <c r="K88" s="83">
        <v>30</v>
      </c>
      <c r="L88" s="187">
        <f t="shared" si="6"/>
        <v>299.7</v>
      </c>
      <c r="M88" s="139">
        <f>M104</f>
        <v>-133463.52000000002</v>
      </c>
    </row>
    <row r="89" spans="1:14" ht="24" x14ac:dyDescent="0.25">
      <c r="A89" s="87">
        <v>87</v>
      </c>
      <c r="B89" s="88" t="s">
        <v>426</v>
      </c>
      <c r="C89" s="204" t="s">
        <v>228</v>
      </c>
      <c r="D89" s="210">
        <v>9</v>
      </c>
      <c r="E89" s="208">
        <v>8</v>
      </c>
      <c r="F89" s="180">
        <f t="shared" si="4"/>
        <v>72</v>
      </c>
      <c r="G89" s="89">
        <v>9</v>
      </c>
      <c r="H89" s="87">
        <v>8</v>
      </c>
      <c r="I89" s="187">
        <f t="shared" si="5"/>
        <v>72</v>
      </c>
      <c r="J89" s="187">
        <v>9</v>
      </c>
      <c r="K89" s="87">
        <v>8</v>
      </c>
      <c r="L89" s="187">
        <f t="shared" si="6"/>
        <v>72</v>
      </c>
    </row>
    <row r="90" spans="1:14" s="86" customFormat="1" ht="24" x14ac:dyDescent="0.25">
      <c r="A90" s="83">
        <v>88</v>
      </c>
      <c r="B90" s="84" t="s">
        <v>427</v>
      </c>
      <c r="C90" s="203" t="s">
        <v>228</v>
      </c>
      <c r="D90" s="210">
        <v>10.8</v>
      </c>
      <c r="E90" s="207">
        <v>5</v>
      </c>
      <c r="F90" s="179">
        <f t="shared" si="4"/>
        <v>54</v>
      </c>
      <c r="G90" s="85">
        <f>D90</f>
        <v>10.8</v>
      </c>
      <c r="H90" s="83">
        <v>5</v>
      </c>
      <c r="I90" s="187">
        <f t="shared" si="5"/>
        <v>54</v>
      </c>
      <c r="J90" s="187">
        <v>10.8</v>
      </c>
      <c r="K90" s="83">
        <v>5</v>
      </c>
      <c r="L90" s="187">
        <f t="shared" si="6"/>
        <v>54</v>
      </c>
    </row>
    <row r="91" spans="1:14" ht="24" x14ac:dyDescent="0.25">
      <c r="A91" s="87">
        <v>89</v>
      </c>
      <c r="B91" s="88" t="s">
        <v>428</v>
      </c>
      <c r="C91" s="204" t="s">
        <v>228</v>
      </c>
      <c r="D91" s="210">
        <v>9</v>
      </c>
      <c r="E91" s="208">
        <v>8</v>
      </c>
      <c r="F91" s="180">
        <f t="shared" si="4"/>
        <v>72</v>
      </c>
      <c r="G91" s="89">
        <f>D91</f>
        <v>9</v>
      </c>
      <c r="H91" s="87">
        <v>8</v>
      </c>
      <c r="I91" s="187">
        <f t="shared" si="5"/>
        <v>72</v>
      </c>
      <c r="J91" s="187">
        <v>9</v>
      </c>
      <c r="K91" s="87">
        <v>8</v>
      </c>
      <c r="L91" s="187">
        <f t="shared" si="6"/>
        <v>72</v>
      </c>
    </row>
    <row r="92" spans="1:14" ht="24" x14ac:dyDescent="0.25">
      <c r="A92" s="87">
        <v>90</v>
      </c>
      <c r="B92" s="88" t="s">
        <v>429</v>
      </c>
      <c r="C92" s="204" t="s">
        <v>218</v>
      </c>
      <c r="D92" s="210">
        <v>1.6</v>
      </c>
      <c r="E92" s="208">
        <v>48</v>
      </c>
      <c r="F92" s="180">
        <f t="shared" si="4"/>
        <v>76.800000000000011</v>
      </c>
      <c r="G92" s="89">
        <v>1.6</v>
      </c>
      <c r="H92" s="87">
        <v>48</v>
      </c>
      <c r="I92" s="187">
        <f t="shared" si="5"/>
        <v>76.800000000000011</v>
      </c>
      <c r="J92" s="187">
        <v>1.6</v>
      </c>
      <c r="K92" s="87">
        <v>48</v>
      </c>
      <c r="L92" s="187">
        <f t="shared" si="6"/>
        <v>76.800000000000011</v>
      </c>
    </row>
    <row r="93" spans="1:14" ht="48" x14ac:dyDescent="0.25">
      <c r="A93" s="87">
        <v>91</v>
      </c>
      <c r="B93" s="88" t="s">
        <v>430</v>
      </c>
      <c r="C93" s="204" t="s">
        <v>103</v>
      </c>
      <c r="D93" s="210">
        <v>29</v>
      </c>
      <c r="E93" s="208">
        <v>8</v>
      </c>
      <c r="F93" s="180">
        <f t="shared" si="4"/>
        <v>232</v>
      </c>
      <c r="G93" s="89">
        <v>29</v>
      </c>
      <c r="H93" s="87">
        <v>8</v>
      </c>
      <c r="I93" s="187">
        <f t="shared" si="5"/>
        <v>232</v>
      </c>
      <c r="J93" s="187">
        <v>29</v>
      </c>
      <c r="K93" s="87">
        <v>8</v>
      </c>
      <c r="L93" s="187">
        <f t="shared" si="6"/>
        <v>232</v>
      </c>
    </row>
    <row r="94" spans="1:14" s="86" customFormat="1" ht="24" x14ac:dyDescent="0.25">
      <c r="A94" s="83">
        <v>92</v>
      </c>
      <c r="B94" s="84" t="s">
        <v>431</v>
      </c>
      <c r="C94" s="203" t="s">
        <v>218</v>
      </c>
      <c r="D94" s="210">
        <v>11</v>
      </c>
      <c r="E94" s="207">
        <v>10</v>
      </c>
      <c r="F94" s="179">
        <f t="shared" si="4"/>
        <v>110</v>
      </c>
      <c r="G94" s="85">
        <f>D94</f>
        <v>11</v>
      </c>
      <c r="H94" s="83">
        <v>10</v>
      </c>
      <c r="I94" s="187">
        <f t="shared" si="5"/>
        <v>110</v>
      </c>
      <c r="J94" s="187">
        <v>11</v>
      </c>
      <c r="K94" s="83">
        <v>10</v>
      </c>
      <c r="L94" s="187">
        <f t="shared" si="6"/>
        <v>110</v>
      </c>
    </row>
    <row r="95" spans="1:14" s="86" customFormat="1" x14ac:dyDescent="0.25">
      <c r="A95" s="83">
        <v>93</v>
      </c>
      <c r="B95" s="84" t="s">
        <v>234</v>
      </c>
      <c r="C95" s="203" t="s">
        <v>218</v>
      </c>
      <c r="D95" s="210">
        <v>29</v>
      </c>
      <c r="E95" s="207">
        <v>1</v>
      </c>
      <c r="F95" s="179">
        <f t="shared" si="4"/>
        <v>29</v>
      </c>
      <c r="G95" s="85">
        <f>D95</f>
        <v>29</v>
      </c>
      <c r="H95" s="83">
        <v>1</v>
      </c>
      <c r="I95" s="187">
        <f t="shared" si="5"/>
        <v>29</v>
      </c>
      <c r="J95" s="187">
        <v>29</v>
      </c>
      <c r="K95" s="83">
        <v>1</v>
      </c>
      <c r="L95" s="187">
        <f t="shared" si="6"/>
        <v>29</v>
      </c>
    </row>
    <row r="96" spans="1:14" s="86" customFormat="1" x14ac:dyDescent="0.25">
      <c r="A96" s="83">
        <v>94</v>
      </c>
      <c r="B96" s="84" t="s">
        <v>235</v>
      </c>
      <c r="C96" s="203" t="s">
        <v>218</v>
      </c>
      <c r="D96" s="210">
        <v>31</v>
      </c>
      <c r="E96" s="207">
        <v>1</v>
      </c>
      <c r="F96" s="179">
        <f t="shared" si="4"/>
        <v>31</v>
      </c>
      <c r="G96" s="85">
        <f>D96</f>
        <v>31</v>
      </c>
      <c r="H96" s="83">
        <v>1</v>
      </c>
      <c r="I96" s="187">
        <f t="shared" si="5"/>
        <v>31</v>
      </c>
      <c r="J96" s="187">
        <v>31</v>
      </c>
      <c r="K96" s="83">
        <v>1</v>
      </c>
      <c r="L96" s="187">
        <f t="shared" si="6"/>
        <v>31</v>
      </c>
    </row>
    <row r="97" spans="1:13" s="86" customFormat="1" x14ac:dyDescent="0.25">
      <c r="A97" s="83">
        <v>95</v>
      </c>
      <c r="B97" s="84" t="s">
        <v>236</v>
      </c>
      <c r="C97" s="203" t="s">
        <v>218</v>
      </c>
      <c r="D97" s="210">
        <v>40</v>
      </c>
      <c r="E97" s="207">
        <v>1</v>
      </c>
      <c r="F97" s="179">
        <f t="shared" si="4"/>
        <v>40</v>
      </c>
      <c r="G97" s="85">
        <f>D97</f>
        <v>40</v>
      </c>
      <c r="H97" s="83">
        <v>1</v>
      </c>
      <c r="I97" s="187">
        <f t="shared" si="5"/>
        <v>40</v>
      </c>
      <c r="J97" s="187">
        <v>40</v>
      </c>
      <c r="K97" s="83">
        <v>1</v>
      </c>
      <c r="L97" s="187">
        <f t="shared" si="6"/>
        <v>40</v>
      </c>
    </row>
    <row r="98" spans="1:13" x14ac:dyDescent="0.25">
      <c r="A98" s="87">
        <v>96</v>
      </c>
      <c r="B98" s="88" t="s">
        <v>432</v>
      </c>
      <c r="C98" s="204" t="s">
        <v>218</v>
      </c>
      <c r="D98" s="210">
        <v>1.4</v>
      </c>
      <c r="E98" s="208">
        <v>60</v>
      </c>
      <c r="F98" s="180">
        <f t="shared" si="4"/>
        <v>84</v>
      </c>
      <c r="G98" s="89">
        <v>1.4</v>
      </c>
      <c r="H98" s="87">
        <v>60</v>
      </c>
      <c r="I98" s="187">
        <f t="shared" si="5"/>
        <v>84</v>
      </c>
      <c r="J98" s="187">
        <v>1.4</v>
      </c>
      <c r="K98" s="87">
        <v>60</v>
      </c>
      <c r="L98" s="187">
        <f t="shared" si="6"/>
        <v>84</v>
      </c>
    </row>
    <row r="99" spans="1:13" s="86" customFormat="1" ht="36" x14ac:dyDescent="0.25">
      <c r="A99" s="83">
        <v>97</v>
      </c>
      <c r="B99" s="84" t="s">
        <v>433</v>
      </c>
      <c r="C99" s="203" t="s">
        <v>217</v>
      </c>
      <c r="D99" s="210">
        <v>16</v>
      </c>
      <c r="E99" s="207">
        <v>5</v>
      </c>
      <c r="F99" s="179">
        <f t="shared" si="4"/>
        <v>80</v>
      </c>
      <c r="G99" s="85">
        <f>D99</f>
        <v>16</v>
      </c>
      <c r="H99" s="83">
        <v>5</v>
      </c>
      <c r="I99" s="187">
        <f t="shared" si="5"/>
        <v>80</v>
      </c>
      <c r="J99" s="187">
        <v>16</v>
      </c>
      <c r="K99" s="83">
        <v>5</v>
      </c>
      <c r="L99" s="187">
        <f t="shared" si="6"/>
        <v>80</v>
      </c>
    </row>
    <row r="100" spans="1:13" s="86" customFormat="1" x14ac:dyDescent="0.25">
      <c r="A100" s="83">
        <v>98</v>
      </c>
      <c r="B100" s="84" t="s">
        <v>434</v>
      </c>
      <c r="C100" s="203" t="s">
        <v>218</v>
      </c>
      <c r="D100" s="210">
        <v>3.47</v>
      </c>
      <c r="E100" s="207">
        <v>10</v>
      </c>
      <c r="F100" s="179">
        <f t="shared" si="4"/>
        <v>34.700000000000003</v>
      </c>
      <c r="G100" s="85">
        <v>3.47</v>
      </c>
      <c r="H100" s="83">
        <v>10</v>
      </c>
      <c r="I100" s="187">
        <f t="shared" si="5"/>
        <v>34.700000000000003</v>
      </c>
      <c r="J100" s="187">
        <v>3.47</v>
      </c>
      <c r="K100" s="83">
        <v>10</v>
      </c>
      <c r="L100" s="187">
        <f t="shared" si="6"/>
        <v>34.700000000000003</v>
      </c>
    </row>
    <row r="101" spans="1:13" s="86" customFormat="1" x14ac:dyDescent="0.25">
      <c r="A101" s="83">
        <v>99</v>
      </c>
      <c r="B101" s="84" t="s">
        <v>435</v>
      </c>
      <c r="C101" s="203" t="s">
        <v>218</v>
      </c>
      <c r="D101" s="210">
        <v>4.32</v>
      </c>
      <c r="E101" s="207">
        <v>10</v>
      </c>
      <c r="F101" s="179">
        <f t="shared" si="4"/>
        <v>43.2</v>
      </c>
      <c r="G101" s="85">
        <v>4.32</v>
      </c>
      <c r="H101" s="83">
        <v>10</v>
      </c>
      <c r="I101" s="187">
        <f t="shared" si="5"/>
        <v>43.2</v>
      </c>
      <c r="J101" s="187">
        <v>4.32</v>
      </c>
      <c r="K101" s="83">
        <v>10</v>
      </c>
      <c r="L101" s="187">
        <f t="shared" si="6"/>
        <v>43.2</v>
      </c>
    </row>
    <row r="102" spans="1:13" s="86" customFormat="1" x14ac:dyDescent="0.25">
      <c r="A102" s="83">
        <v>100</v>
      </c>
      <c r="B102" s="84" t="s">
        <v>436</v>
      </c>
      <c r="C102" s="203" t="s">
        <v>218</v>
      </c>
      <c r="D102" s="210">
        <v>4.95</v>
      </c>
      <c r="E102" s="207">
        <v>2</v>
      </c>
      <c r="F102" s="179">
        <f t="shared" si="4"/>
        <v>9.9</v>
      </c>
      <c r="G102" s="85">
        <v>4.95</v>
      </c>
      <c r="H102" s="83">
        <v>2</v>
      </c>
      <c r="I102" s="187">
        <f t="shared" si="5"/>
        <v>9.9</v>
      </c>
      <c r="J102" s="187">
        <v>4.95</v>
      </c>
      <c r="K102" s="83">
        <v>2</v>
      </c>
      <c r="L102" s="187">
        <f t="shared" si="6"/>
        <v>9.9</v>
      </c>
    </row>
    <row r="103" spans="1:13" s="86" customFormat="1" x14ac:dyDescent="0.25">
      <c r="A103" s="83">
        <v>101</v>
      </c>
      <c r="B103" s="84" t="s">
        <v>437</v>
      </c>
      <c r="C103" s="203" t="s">
        <v>218</v>
      </c>
      <c r="D103" s="210">
        <v>2.83</v>
      </c>
      <c r="E103" s="207">
        <v>10</v>
      </c>
      <c r="F103" s="179">
        <f t="shared" si="4"/>
        <v>28.3</v>
      </c>
      <c r="G103" s="85">
        <v>2.83</v>
      </c>
      <c r="H103" s="83">
        <v>10</v>
      </c>
      <c r="I103" s="187">
        <f t="shared" si="5"/>
        <v>28.3</v>
      </c>
      <c r="J103" s="187">
        <v>2.83</v>
      </c>
      <c r="K103" s="83">
        <v>10</v>
      </c>
      <c r="L103" s="187">
        <f t="shared" si="6"/>
        <v>28.3</v>
      </c>
    </row>
    <row r="104" spans="1:13" s="86" customFormat="1" ht="12.75" thickBot="1" x14ac:dyDescent="0.3">
      <c r="A104" s="83">
        <v>102</v>
      </c>
      <c r="B104" s="84" t="s">
        <v>438</v>
      </c>
      <c r="C104" s="205" t="s">
        <v>218</v>
      </c>
      <c r="D104" s="210">
        <v>1.9</v>
      </c>
      <c r="E104" s="209">
        <v>10</v>
      </c>
      <c r="F104" s="179">
        <f t="shared" si="4"/>
        <v>19</v>
      </c>
      <c r="G104" s="85">
        <v>1.9</v>
      </c>
      <c r="H104" s="93">
        <v>10</v>
      </c>
      <c r="I104" s="187">
        <f t="shared" si="5"/>
        <v>19</v>
      </c>
      <c r="J104" s="187">
        <v>1.9</v>
      </c>
      <c r="K104" s="93">
        <v>10</v>
      </c>
      <c r="L104" s="187">
        <f t="shared" si="6"/>
        <v>19</v>
      </c>
      <c r="M104" s="139">
        <f>'$ TOTAL ATUAL'!D33</f>
        <v>-133463.52000000002</v>
      </c>
    </row>
    <row r="105" spans="1:13" ht="24" customHeight="1" thickBot="1" x14ac:dyDescent="0.3">
      <c r="C105" s="212"/>
      <c r="D105" s="213" t="s">
        <v>237</v>
      </c>
      <c r="E105" s="95"/>
      <c r="F105" s="96">
        <v>19646.5</v>
      </c>
      <c r="G105" s="183">
        <f>SUM(G3:G104)</f>
        <v>1350.2599999999998</v>
      </c>
      <c r="H105" s="95"/>
      <c r="I105" s="188">
        <f>SUM(I3:I104)</f>
        <v>19478.369999999995</v>
      </c>
      <c r="J105" s="188">
        <f>SUM(J3:J104)</f>
        <v>1357.52</v>
      </c>
      <c r="K105" s="95"/>
      <c r="L105" s="190">
        <f>SUM(L3:L104)</f>
        <v>19646.489999999998</v>
      </c>
      <c r="M105" s="173">
        <v>19646.5</v>
      </c>
    </row>
    <row r="106" spans="1:13" x14ac:dyDescent="0.25">
      <c r="C106" s="215"/>
      <c r="D106" s="215"/>
      <c r="F106" s="184"/>
      <c r="G106" s="185"/>
      <c r="M106" s="189">
        <f>M105-F105</f>
        <v>0</v>
      </c>
    </row>
    <row r="107" spans="1:13" x14ac:dyDescent="0.25">
      <c r="C107" s="215"/>
      <c r="D107" s="215"/>
      <c r="F107" s="184"/>
      <c r="G107" s="185"/>
      <c r="M107" s="184"/>
    </row>
    <row r="108" spans="1:13" x14ac:dyDescent="0.25">
      <c r="C108" s="215"/>
      <c r="D108" s="215"/>
      <c r="F108" s="184"/>
      <c r="G108" s="185"/>
      <c r="M108" s="184"/>
    </row>
    <row r="109" spans="1:13" x14ac:dyDescent="0.25">
      <c r="C109" s="215"/>
      <c r="D109" s="215"/>
      <c r="F109" s="184"/>
      <c r="G109" s="185"/>
      <c r="M109" s="184"/>
    </row>
    <row r="110" spans="1:13" x14ac:dyDescent="0.25">
      <c r="C110" s="215"/>
      <c r="D110" s="215"/>
      <c r="F110" s="184"/>
      <c r="G110" s="185"/>
      <c r="M110" s="184"/>
    </row>
    <row r="111" spans="1:13" x14ac:dyDescent="0.25">
      <c r="C111" s="215"/>
      <c r="D111" s="215"/>
      <c r="F111" s="184"/>
      <c r="G111" s="185"/>
      <c r="M111" s="184"/>
    </row>
    <row r="112" spans="1:13" x14ac:dyDescent="0.25">
      <c r="C112" s="215"/>
      <c r="D112" s="215"/>
      <c r="F112" s="184"/>
      <c r="G112" s="185"/>
      <c r="M112" s="184"/>
    </row>
    <row r="113" spans="3:13" x14ac:dyDescent="0.25">
      <c r="C113" s="215"/>
      <c r="D113" s="215"/>
      <c r="F113" s="184"/>
      <c r="G113" s="185"/>
      <c r="M113" s="184"/>
    </row>
    <row r="114" spans="3:13" x14ac:dyDescent="0.25">
      <c r="C114" s="215"/>
      <c r="D114" s="215"/>
      <c r="F114" s="184"/>
      <c r="G114" s="185"/>
      <c r="M114" s="184"/>
    </row>
    <row r="115" spans="3:13" x14ac:dyDescent="0.25">
      <c r="C115" s="215"/>
      <c r="D115" s="215"/>
      <c r="F115" s="184"/>
      <c r="G115" s="185"/>
      <c r="M115" s="184"/>
    </row>
    <row r="116" spans="3:13" x14ac:dyDescent="0.25">
      <c r="C116" s="215"/>
      <c r="D116" s="215"/>
      <c r="F116" s="184"/>
      <c r="G116" s="185"/>
      <c r="M116" s="184"/>
    </row>
    <row r="117" spans="3:13" x14ac:dyDescent="0.25">
      <c r="C117" s="215"/>
      <c r="D117" s="215"/>
      <c r="F117" s="184"/>
      <c r="G117" s="185"/>
      <c r="M117" s="184"/>
    </row>
    <row r="118" spans="3:13" x14ac:dyDescent="0.25">
      <c r="C118" s="215"/>
      <c r="D118" s="215"/>
      <c r="F118" s="184"/>
      <c r="G118" s="185"/>
      <c r="M118" s="184"/>
    </row>
    <row r="119" spans="3:13" x14ac:dyDescent="0.25">
      <c r="C119" s="215"/>
      <c r="D119" s="215"/>
      <c r="F119" s="184"/>
      <c r="G119" s="185"/>
      <c r="M119" s="184"/>
    </row>
    <row r="120" spans="3:13" x14ac:dyDescent="0.25">
      <c r="C120" s="215"/>
      <c r="D120" s="215"/>
      <c r="F120" s="184"/>
      <c r="G120" s="185"/>
      <c r="M120" s="184"/>
    </row>
    <row r="121" spans="3:13" x14ac:dyDescent="0.25">
      <c r="C121" s="215"/>
      <c r="D121" s="215"/>
      <c r="F121" s="184"/>
      <c r="G121" s="185"/>
      <c r="M121" s="184"/>
    </row>
    <row r="122" spans="3:13" x14ac:dyDescent="0.25">
      <c r="C122" s="215"/>
      <c r="D122" s="215"/>
      <c r="F122" s="184"/>
      <c r="G122" s="185"/>
      <c r="M122" s="184"/>
    </row>
    <row r="123" spans="3:13" x14ac:dyDescent="0.25">
      <c r="C123" s="215"/>
      <c r="D123" s="215"/>
      <c r="F123" s="184"/>
      <c r="G123" s="185"/>
      <c r="M123" s="184"/>
    </row>
    <row r="124" spans="3:13" x14ac:dyDescent="0.25">
      <c r="C124" s="215"/>
      <c r="D124" s="215"/>
      <c r="F124" s="184"/>
      <c r="G124" s="185"/>
      <c r="M124" s="184"/>
    </row>
    <row r="125" spans="3:13" x14ac:dyDescent="0.25">
      <c r="C125" s="215"/>
      <c r="D125" s="215"/>
      <c r="F125" s="184"/>
      <c r="G125" s="185"/>
      <c r="M125" s="184"/>
    </row>
    <row r="126" spans="3:13" x14ac:dyDescent="0.25">
      <c r="C126" s="215"/>
      <c r="D126" s="215"/>
      <c r="F126" s="184"/>
      <c r="G126" s="185"/>
      <c r="M126" s="184"/>
    </row>
    <row r="127" spans="3:13" x14ac:dyDescent="0.25">
      <c r="C127" s="215"/>
      <c r="D127" s="215"/>
      <c r="F127" s="184"/>
      <c r="G127" s="185"/>
      <c r="M127" s="184"/>
    </row>
    <row r="128" spans="3:13" x14ac:dyDescent="0.25">
      <c r="C128" s="215"/>
      <c r="D128" s="215"/>
      <c r="F128" s="184"/>
      <c r="G128" s="185"/>
      <c r="M128" s="184"/>
    </row>
    <row r="129" spans="3:13" x14ac:dyDescent="0.25">
      <c r="C129" s="215"/>
      <c r="D129" s="215"/>
      <c r="F129" s="184"/>
      <c r="G129" s="185"/>
      <c r="M129" s="184"/>
    </row>
    <row r="130" spans="3:13" x14ac:dyDescent="0.25">
      <c r="C130" s="215"/>
      <c r="D130" s="215"/>
      <c r="F130" s="184"/>
      <c r="G130" s="185"/>
      <c r="M130" s="184"/>
    </row>
    <row r="131" spans="3:13" x14ac:dyDescent="0.25">
      <c r="C131" s="215"/>
      <c r="D131" s="215"/>
      <c r="F131" s="184"/>
      <c r="G131" s="185"/>
      <c r="M131" s="184"/>
    </row>
    <row r="132" spans="3:13" x14ac:dyDescent="0.25">
      <c r="C132" s="215"/>
      <c r="D132" s="215"/>
      <c r="F132" s="184"/>
      <c r="G132" s="185"/>
      <c r="M132" s="184"/>
    </row>
    <row r="133" spans="3:13" x14ac:dyDescent="0.25">
      <c r="C133" s="215"/>
      <c r="D133" s="215"/>
      <c r="F133" s="184"/>
      <c r="G133" s="185"/>
      <c r="M133" s="184"/>
    </row>
    <row r="134" spans="3:13" x14ac:dyDescent="0.25">
      <c r="C134" s="215"/>
      <c r="D134" s="215"/>
      <c r="F134" s="184"/>
      <c r="G134" s="185"/>
      <c r="M134" s="184"/>
    </row>
    <row r="135" spans="3:13" x14ac:dyDescent="0.25">
      <c r="C135" s="215"/>
      <c r="D135" s="215"/>
      <c r="F135" s="184"/>
      <c r="G135" s="185"/>
      <c r="M135" s="184"/>
    </row>
    <row r="136" spans="3:13" x14ac:dyDescent="0.25">
      <c r="C136" s="215"/>
      <c r="D136" s="215"/>
      <c r="F136" s="184"/>
      <c r="G136" s="185"/>
      <c r="M136" s="184"/>
    </row>
    <row r="137" spans="3:13" x14ac:dyDescent="0.25">
      <c r="C137" s="215"/>
      <c r="D137" s="215"/>
      <c r="F137" s="184"/>
      <c r="G137" s="185"/>
      <c r="M137" s="184"/>
    </row>
    <row r="138" spans="3:13" x14ac:dyDescent="0.25">
      <c r="C138" s="215"/>
      <c r="D138" s="215"/>
      <c r="F138" s="184"/>
      <c r="G138" s="185"/>
      <c r="M138" s="184"/>
    </row>
    <row r="139" spans="3:13" x14ac:dyDescent="0.25">
      <c r="C139" s="215"/>
      <c r="D139" s="215"/>
      <c r="F139" s="184"/>
      <c r="G139" s="185"/>
      <c r="M139" s="184"/>
    </row>
    <row r="140" spans="3:13" x14ac:dyDescent="0.25">
      <c r="C140" s="215"/>
      <c r="D140" s="215"/>
      <c r="F140" s="184"/>
      <c r="G140" s="185"/>
      <c r="M140" s="184"/>
    </row>
    <row r="141" spans="3:13" x14ac:dyDescent="0.25">
      <c r="C141" s="215"/>
      <c r="D141" s="215"/>
      <c r="F141" s="184"/>
      <c r="G141" s="185"/>
      <c r="M141" s="184"/>
    </row>
    <row r="142" spans="3:13" x14ac:dyDescent="0.25">
      <c r="C142" s="215"/>
      <c r="D142" s="215"/>
      <c r="F142" s="184"/>
      <c r="G142" s="185"/>
      <c r="M142" s="184"/>
    </row>
    <row r="143" spans="3:13" x14ac:dyDescent="0.25">
      <c r="C143" s="215"/>
      <c r="D143" s="215"/>
      <c r="F143" s="184"/>
      <c r="G143" s="185"/>
      <c r="M143" s="184"/>
    </row>
    <row r="144" spans="3:13" x14ac:dyDescent="0.25">
      <c r="C144" s="215"/>
      <c r="D144" s="215"/>
      <c r="F144" s="184"/>
      <c r="G144" s="185"/>
      <c r="M144" s="184"/>
    </row>
    <row r="145" spans="3:13" x14ac:dyDescent="0.25">
      <c r="C145" s="215"/>
      <c r="D145" s="215"/>
      <c r="F145" s="184"/>
      <c r="G145" s="185"/>
      <c r="M145" s="184"/>
    </row>
    <row r="146" spans="3:13" x14ac:dyDescent="0.25">
      <c r="C146" s="215"/>
      <c r="D146" s="215"/>
      <c r="F146" s="184"/>
      <c r="G146" s="185"/>
      <c r="M146" s="184"/>
    </row>
    <row r="147" spans="3:13" x14ac:dyDescent="0.25">
      <c r="C147" s="215"/>
      <c r="D147" s="215"/>
      <c r="F147" s="184"/>
      <c r="G147" s="185"/>
      <c r="M147" s="184"/>
    </row>
    <row r="148" spans="3:13" x14ac:dyDescent="0.25">
      <c r="C148" s="215"/>
      <c r="D148" s="215"/>
      <c r="F148" s="184"/>
      <c r="G148" s="185"/>
      <c r="M148" s="184"/>
    </row>
    <row r="149" spans="3:13" x14ac:dyDescent="0.25">
      <c r="C149" s="215"/>
      <c r="D149" s="215"/>
      <c r="F149" s="184"/>
      <c r="G149" s="185"/>
      <c r="M149" s="184"/>
    </row>
    <row r="150" spans="3:13" x14ac:dyDescent="0.25">
      <c r="C150" s="215"/>
      <c r="D150" s="215"/>
      <c r="F150" s="184"/>
      <c r="G150" s="185"/>
      <c r="M150" s="184"/>
    </row>
    <row r="151" spans="3:13" x14ac:dyDescent="0.25">
      <c r="C151" s="215"/>
      <c r="D151" s="215"/>
      <c r="F151" s="184"/>
      <c r="G151" s="185"/>
      <c r="M151" s="184"/>
    </row>
    <row r="152" spans="3:13" x14ac:dyDescent="0.25">
      <c r="C152" s="215"/>
      <c r="D152" s="215"/>
      <c r="F152" s="184"/>
      <c r="G152" s="185"/>
      <c r="M152" s="184"/>
    </row>
    <row r="153" spans="3:13" x14ac:dyDescent="0.25">
      <c r="C153" s="215"/>
      <c r="D153" s="215"/>
      <c r="F153" s="184"/>
      <c r="G153" s="185"/>
      <c r="M153" s="184"/>
    </row>
    <row r="154" spans="3:13" x14ac:dyDescent="0.25">
      <c r="C154" s="215"/>
      <c r="D154" s="215"/>
      <c r="F154" s="184"/>
      <c r="G154" s="185"/>
      <c r="M154" s="184"/>
    </row>
    <row r="155" spans="3:13" x14ac:dyDescent="0.25">
      <c r="C155" s="215"/>
      <c r="D155" s="215"/>
      <c r="F155" s="184"/>
      <c r="G155" s="185"/>
      <c r="M155" s="184"/>
    </row>
    <row r="156" spans="3:13" x14ac:dyDescent="0.25">
      <c r="C156" s="215"/>
      <c r="D156" s="215"/>
      <c r="F156" s="184"/>
      <c r="G156" s="185"/>
      <c r="M156" s="184"/>
    </row>
    <row r="157" spans="3:13" x14ac:dyDescent="0.25">
      <c r="C157" s="215"/>
      <c r="D157" s="215"/>
      <c r="F157" s="184"/>
      <c r="G157" s="185"/>
      <c r="M157" s="184"/>
    </row>
    <row r="158" spans="3:13" x14ac:dyDescent="0.25">
      <c r="C158" s="215"/>
      <c r="D158" s="215"/>
      <c r="F158" s="184"/>
      <c r="G158" s="185"/>
      <c r="M158" s="184"/>
    </row>
    <row r="159" spans="3:13" x14ac:dyDescent="0.25">
      <c r="C159" s="215"/>
      <c r="D159" s="215"/>
      <c r="F159" s="184"/>
      <c r="G159" s="185"/>
      <c r="M159" s="184"/>
    </row>
    <row r="160" spans="3:13" x14ac:dyDescent="0.25">
      <c r="C160" s="215"/>
      <c r="D160" s="215"/>
      <c r="F160" s="184"/>
      <c r="G160" s="185"/>
      <c r="M160" s="184"/>
    </row>
    <row r="161" spans="3:13" x14ac:dyDescent="0.25">
      <c r="C161" s="215"/>
      <c r="D161" s="215"/>
      <c r="F161" s="184"/>
      <c r="G161" s="185"/>
      <c r="M161" s="184"/>
    </row>
    <row r="162" spans="3:13" x14ac:dyDescent="0.25">
      <c r="C162" s="215"/>
      <c r="D162" s="215"/>
      <c r="F162" s="184"/>
      <c r="G162" s="185"/>
      <c r="M162" s="184"/>
    </row>
    <row r="163" spans="3:13" x14ac:dyDescent="0.25">
      <c r="C163" s="215"/>
      <c r="D163" s="215"/>
      <c r="F163" s="184"/>
      <c r="G163" s="185"/>
      <c r="M163" s="184"/>
    </row>
    <row r="164" spans="3:13" x14ac:dyDescent="0.25">
      <c r="C164" s="215"/>
      <c r="D164" s="215"/>
      <c r="F164" s="184"/>
      <c r="G164" s="185"/>
      <c r="M164" s="184"/>
    </row>
    <row r="165" spans="3:13" x14ac:dyDescent="0.25">
      <c r="C165" s="215"/>
      <c r="D165" s="215"/>
      <c r="F165" s="184"/>
      <c r="G165" s="185"/>
      <c r="M165" s="184"/>
    </row>
    <row r="166" spans="3:13" x14ac:dyDescent="0.25">
      <c r="C166" s="215"/>
      <c r="D166" s="215"/>
      <c r="F166" s="184"/>
      <c r="G166" s="185"/>
      <c r="M166" s="184"/>
    </row>
    <row r="167" spans="3:13" x14ac:dyDescent="0.25">
      <c r="C167" s="215"/>
      <c r="D167" s="215"/>
      <c r="F167" s="184"/>
      <c r="G167" s="185"/>
      <c r="M167" s="184"/>
    </row>
    <row r="168" spans="3:13" x14ac:dyDescent="0.25">
      <c r="C168" s="215"/>
      <c r="D168" s="215"/>
      <c r="F168" s="184"/>
      <c r="G168" s="185"/>
      <c r="M168" s="184"/>
    </row>
    <row r="169" spans="3:13" x14ac:dyDescent="0.25">
      <c r="C169" s="215"/>
      <c r="D169" s="215"/>
      <c r="F169" s="184"/>
      <c r="G169" s="185"/>
      <c r="M169" s="184"/>
    </row>
    <row r="170" spans="3:13" x14ac:dyDescent="0.25">
      <c r="C170" s="215"/>
      <c r="D170" s="215"/>
      <c r="F170" s="184"/>
      <c r="G170" s="185"/>
      <c r="M170" s="184"/>
    </row>
    <row r="171" spans="3:13" x14ac:dyDescent="0.25">
      <c r="C171" s="215"/>
      <c r="D171" s="215"/>
      <c r="F171" s="184"/>
      <c r="G171" s="185"/>
      <c r="M171" s="184"/>
    </row>
    <row r="172" spans="3:13" x14ac:dyDescent="0.25">
      <c r="C172" s="215"/>
      <c r="D172" s="215"/>
      <c r="F172" s="184"/>
      <c r="G172" s="185"/>
      <c r="M172" s="184"/>
    </row>
    <row r="173" spans="3:13" x14ac:dyDescent="0.25">
      <c r="C173" s="215"/>
      <c r="D173" s="215"/>
      <c r="F173" s="184"/>
      <c r="G173" s="185"/>
      <c r="M173" s="184"/>
    </row>
    <row r="174" spans="3:13" x14ac:dyDescent="0.25">
      <c r="C174" s="215"/>
      <c r="D174" s="215"/>
      <c r="F174" s="184"/>
      <c r="G174" s="185"/>
      <c r="M174" s="184"/>
    </row>
    <row r="175" spans="3:13" x14ac:dyDescent="0.25">
      <c r="C175" s="215"/>
      <c r="D175" s="215"/>
      <c r="F175" s="184"/>
      <c r="G175" s="185"/>
      <c r="M175" s="184"/>
    </row>
    <row r="176" spans="3:13" x14ac:dyDescent="0.25">
      <c r="C176" s="215"/>
      <c r="D176" s="215"/>
      <c r="F176" s="184"/>
      <c r="G176" s="185"/>
      <c r="M176" s="184"/>
    </row>
    <row r="177" spans="3:13" x14ac:dyDescent="0.25">
      <c r="C177" s="215"/>
      <c r="D177" s="215"/>
      <c r="F177" s="184"/>
      <c r="G177" s="185"/>
      <c r="M177" s="184"/>
    </row>
    <row r="178" spans="3:13" x14ac:dyDescent="0.25">
      <c r="C178" s="215"/>
      <c r="D178" s="215"/>
      <c r="F178" s="184"/>
      <c r="G178" s="185"/>
      <c r="M178" s="184"/>
    </row>
    <row r="179" spans="3:13" x14ac:dyDescent="0.25">
      <c r="C179" s="215"/>
      <c r="D179" s="215"/>
      <c r="F179" s="184"/>
      <c r="G179" s="185"/>
      <c r="M179" s="184"/>
    </row>
    <row r="180" spans="3:13" x14ac:dyDescent="0.25">
      <c r="C180" s="215"/>
      <c r="D180" s="215"/>
      <c r="F180" s="184"/>
      <c r="G180" s="185"/>
      <c r="M180" s="184"/>
    </row>
    <row r="181" spans="3:13" x14ac:dyDescent="0.25">
      <c r="C181" s="215"/>
      <c r="D181" s="215"/>
      <c r="F181" s="184"/>
      <c r="G181" s="185"/>
      <c r="M181" s="184"/>
    </row>
    <row r="182" spans="3:13" x14ac:dyDescent="0.25">
      <c r="C182" s="215"/>
      <c r="D182" s="215"/>
      <c r="F182" s="184"/>
      <c r="G182" s="185"/>
      <c r="M182" s="184"/>
    </row>
    <row r="183" spans="3:13" x14ac:dyDescent="0.25">
      <c r="C183" s="215"/>
      <c r="D183" s="215"/>
      <c r="F183" s="184"/>
      <c r="G183" s="185"/>
      <c r="M183" s="184"/>
    </row>
    <row r="184" spans="3:13" x14ac:dyDescent="0.25">
      <c r="C184" s="215"/>
      <c r="D184" s="215"/>
      <c r="F184" s="184"/>
      <c r="G184" s="185"/>
      <c r="M184" s="184"/>
    </row>
    <row r="185" spans="3:13" x14ac:dyDescent="0.25">
      <c r="C185" s="215"/>
      <c r="D185" s="215"/>
      <c r="F185" s="184"/>
      <c r="G185" s="185"/>
      <c r="M185" s="184"/>
    </row>
    <row r="186" spans="3:13" x14ac:dyDescent="0.25">
      <c r="C186" s="215"/>
      <c r="D186" s="215"/>
      <c r="F186" s="184"/>
      <c r="G186" s="185"/>
      <c r="M186" s="184"/>
    </row>
    <row r="187" spans="3:13" x14ac:dyDescent="0.25">
      <c r="C187" s="215"/>
      <c r="D187" s="215"/>
      <c r="F187" s="184"/>
      <c r="G187" s="185"/>
      <c r="M187" s="184"/>
    </row>
    <row r="188" spans="3:13" x14ac:dyDescent="0.25">
      <c r="C188" s="215"/>
      <c r="D188" s="215"/>
      <c r="F188" s="184"/>
      <c r="G188" s="185"/>
      <c r="M188" s="184"/>
    </row>
    <row r="189" spans="3:13" x14ac:dyDescent="0.25">
      <c r="C189" s="215"/>
      <c r="D189" s="215"/>
      <c r="F189" s="184"/>
      <c r="G189" s="185"/>
      <c r="M189" s="184"/>
    </row>
    <row r="190" spans="3:13" x14ac:dyDescent="0.25">
      <c r="C190" s="215"/>
      <c r="D190" s="215"/>
      <c r="F190" s="184"/>
      <c r="G190" s="185"/>
      <c r="M190" s="184"/>
    </row>
    <row r="191" spans="3:13" x14ac:dyDescent="0.25">
      <c r="C191" s="215"/>
      <c r="D191" s="215"/>
      <c r="F191" s="184"/>
      <c r="G191" s="185"/>
      <c r="M191" s="184"/>
    </row>
    <row r="192" spans="3:13" x14ac:dyDescent="0.25">
      <c r="C192" s="215"/>
      <c r="D192" s="215"/>
      <c r="F192" s="184"/>
      <c r="G192" s="185"/>
      <c r="M192" s="184"/>
    </row>
    <row r="193" spans="3:13" x14ac:dyDescent="0.25">
      <c r="C193" s="215"/>
      <c r="D193" s="215"/>
      <c r="F193" s="184"/>
      <c r="G193" s="185"/>
      <c r="M193" s="184"/>
    </row>
    <row r="194" spans="3:13" x14ac:dyDescent="0.25">
      <c r="C194" s="215"/>
      <c r="D194" s="215"/>
      <c r="F194" s="184"/>
      <c r="G194" s="185"/>
      <c r="M194" s="184"/>
    </row>
    <row r="195" spans="3:13" x14ac:dyDescent="0.25">
      <c r="C195" s="215"/>
      <c r="D195" s="215"/>
      <c r="F195" s="184"/>
      <c r="G195" s="185"/>
      <c r="M195" s="184"/>
    </row>
    <row r="196" spans="3:13" x14ac:dyDescent="0.25">
      <c r="C196" s="215"/>
      <c r="D196" s="215"/>
      <c r="F196" s="184"/>
      <c r="G196" s="185"/>
      <c r="M196" s="184"/>
    </row>
    <row r="197" spans="3:13" x14ac:dyDescent="0.25">
      <c r="C197" s="215"/>
      <c r="D197" s="215"/>
      <c r="F197" s="184"/>
      <c r="G197" s="185"/>
      <c r="M197" s="184"/>
    </row>
    <row r="198" spans="3:13" x14ac:dyDescent="0.25">
      <c r="C198" s="215"/>
      <c r="D198" s="215"/>
      <c r="F198" s="184"/>
      <c r="G198" s="185"/>
      <c r="M198" s="184"/>
    </row>
    <row r="199" spans="3:13" x14ac:dyDescent="0.25">
      <c r="C199" s="215"/>
      <c r="D199" s="215"/>
      <c r="F199" s="184"/>
      <c r="G199" s="185"/>
      <c r="M199" s="184"/>
    </row>
    <row r="200" spans="3:13" x14ac:dyDescent="0.25">
      <c r="C200" s="215"/>
      <c r="D200" s="215"/>
      <c r="F200" s="184"/>
      <c r="G200" s="185"/>
      <c r="M200" s="184"/>
    </row>
    <row r="201" spans="3:13" x14ac:dyDescent="0.25">
      <c r="C201" s="215"/>
      <c r="D201" s="215"/>
      <c r="F201" s="184"/>
      <c r="G201" s="185"/>
      <c r="M201" s="184"/>
    </row>
    <row r="202" spans="3:13" x14ac:dyDescent="0.25">
      <c r="C202" s="215"/>
      <c r="D202" s="215"/>
      <c r="F202" s="184"/>
      <c r="G202" s="185"/>
      <c r="M202" s="184"/>
    </row>
    <row r="203" spans="3:13" x14ac:dyDescent="0.25">
      <c r="C203" s="215"/>
      <c r="D203" s="215"/>
      <c r="F203" s="184"/>
      <c r="G203" s="185"/>
      <c r="M203" s="184"/>
    </row>
    <row r="204" spans="3:13" x14ac:dyDescent="0.25">
      <c r="C204" s="215"/>
      <c r="D204" s="215"/>
      <c r="F204" s="184"/>
      <c r="G204" s="185"/>
      <c r="M204" s="184"/>
    </row>
    <row r="205" spans="3:13" x14ac:dyDescent="0.25">
      <c r="C205" s="215"/>
      <c r="D205" s="215"/>
      <c r="F205" s="184"/>
      <c r="G205" s="185"/>
      <c r="M205" s="184"/>
    </row>
    <row r="206" spans="3:13" x14ac:dyDescent="0.25">
      <c r="C206" s="215"/>
      <c r="D206" s="215"/>
      <c r="F206" s="184"/>
      <c r="G206" s="185"/>
      <c r="M206" s="184"/>
    </row>
    <row r="207" spans="3:13" x14ac:dyDescent="0.25">
      <c r="C207" s="215"/>
      <c r="D207" s="215"/>
      <c r="F207" s="184"/>
      <c r="G207" s="185"/>
      <c r="M207" s="184"/>
    </row>
    <row r="208" spans="3:13" x14ac:dyDescent="0.25">
      <c r="C208" s="215"/>
      <c r="D208" s="215"/>
      <c r="F208" s="184"/>
      <c r="G208" s="185"/>
      <c r="M208" s="184"/>
    </row>
    <row r="209" spans="3:13" x14ac:dyDescent="0.25">
      <c r="C209" s="215"/>
      <c r="D209" s="215"/>
      <c r="F209" s="184"/>
      <c r="G209" s="185"/>
      <c r="M209" s="184"/>
    </row>
    <row r="210" spans="3:13" x14ac:dyDescent="0.25">
      <c r="C210" s="215"/>
      <c r="D210" s="215"/>
      <c r="F210" s="184"/>
      <c r="G210" s="185"/>
      <c r="M210" s="184"/>
    </row>
    <row r="211" spans="3:13" x14ac:dyDescent="0.25">
      <c r="C211" s="215"/>
      <c r="D211" s="215"/>
      <c r="F211" s="184"/>
      <c r="G211" s="185"/>
      <c r="M211" s="184"/>
    </row>
    <row r="212" spans="3:13" x14ac:dyDescent="0.25">
      <c r="C212" s="215"/>
      <c r="D212" s="215"/>
      <c r="F212" s="184"/>
      <c r="G212" s="185"/>
      <c r="M212" s="184"/>
    </row>
    <row r="213" spans="3:13" x14ac:dyDescent="0.25">
      <c r="C213" s="215"/>
      <c r="D213" s="215"/>
      <c r="F213" s="184"/>
      <c r="G213" s="185"/>
      <c r="M213" s="184"/>
    </row>
    <row r="214" spans="3:13" x14ac:dyDescent="0.25">
      <c r="C214" s="215"/>
      <c r="D214" s="215"/>
      <c r="F214" s="184"/>
      <c r="G214" s="185"/>
      <c r="M214" s="184"/>
    </row>
    <row r="215" spans="3:13" x14ac:dyDescent="0.25">
      <c r="C215" s="215"/>
      <c r="D215" s="215"/>
      <c r="F215" s="184"/>
      <c r="G215" s="185"/>
      <c r="M215" s="184"/>
    </row>
    <row r="216" spans="3:13" x14ac:dyDescent="0.25">
      <c r="C216" s="215"/>
      <c r="D216" s="215"/>
      <c r="F216" s="184"/>
      <c r="G216" s="185"/>
      <c r="M216" s="184"/>
    </row>
    <row r="217" spans="3:13" x14ac:dyDescent="0.25">
      <c r="C217" s="215"/>
      <c r="D217" s="215"/>
      <c r="F217" s="184"/>
      <c r="G217" s="185"/>
      <c r="M217" s="184"/>
    </row>
    <row r="218" spans="3:13" x14ac:dyDescent="0.25">
      <c r="C218" s="215"/>
      <c r="D218" s="215"/>
      <c r="F218" s="184"/>
      <c r="G218" s="185"/>
      <c r="M218" s="184"/>
    </row>
    <row r="219" spans="3:13" x14ac:dyDescent="0.25">
      <c r="C219" s="215"/>
      <c r="D219" s="215"/>
      <c r="F219" s="184"/>
      <c r="G219" s="185"/>
      <c r="M219" s="184"/>
    </row>
    <row r="220" spans="3:13" x14ac:dyDescent="0.25">
      <c r="C220" s="215"/>
      <c r="D220" s="215"/>
      <c r="F220" s="184"/>
      <c r="G220" s="185"/>
      <c r="M220" s="184"/>
    </row>
    <row r="221" spans="3:13" x14ac:dyDescent="0.25">
      <c r="C221" s="215"/>
      <c r="D221" s="215"/>
      <c r="F221" s="184"/>
      <c r="G221" s="185"/>
      <c r="M221" s="184"/>
    </row>
    <row r="222" spans="3:13" x14ac:dyDescent="0.25">
      <c r="C222" s="215"/>
      <c r="D222" s="215"/>
      <c r="F222" s="184"/>
      <c r="G222" s="185"/>
      <c r="M222" s="184"/>
    </row>
    <row r="223" spans="3:13" x14ac:dyDescent="0.25">
      <c r="C223" s="215"/>
      <c r="D223" s="215"/>
      <c r="F223" s="184"/>
      <c r="G223" s="185"/>
      <c r="M223" s="184"/>
    </row>
    <row r="224" spans="3:13" x14ac:dyDescent="0.25">
      <c r="C224" s="215"/>
      <c r="D224" s="215"/>
      <c r="F224" s="184"/>
      <c r="G224" s="185"/>
      <c r="M224" s="184"/>
    </row>
    <row r="225" spans="3:13" x14ac:dyDescent="0.25">
      <c r="C225" s="215"/>
      <c r="D225" s="215"/>
      <c r="F225" s="184"/>
      <c r="G225" s="185"/>
      <c r="M225" s="184"/>
    </row>
    <row r="226" spans="3:13" x14ac:dyDescent="0.25">
      <c r="C226" s="215"/>
      <c r="D226" s="215"/>
      <c r="F226" s="184"/>
      <c r="G226" s="185"/>
      <c r="M226" s="184"/>
    </row>
    <row r="227" spans="3:13" x14ac:dyDescent="0.25">
      <c r="C227" s="215"/>
      <c r="D227" s="215"/>
      <c r="F227" s="184"/>
      <c r="G227" s="185"/>
      <c r="M227" s="184"/>
    </row>
    <row r="228" spans="3:13" x14ac:dyDescent="0.25">
      <c r="C228" s="215"/>
      <c r="D228" s="215"/>
      <c r="F228" s="184"/>
      <c r="G228" s="185"/>
      <c r="M228" s="184"/>
    </row>
    <row r="229" spans="3:13" x14ac:dyDescent="0.25">
      <c r="C229" s="215"/>
      <c r="D229" s="215"/>
      <c r="F229" s="184"/>
      <c r="G229" s="185"/>
      <c r="M229" s="184"/>
    </row>
    <row r="230" spans="3:13" x14ac:dyDescent="0.25">
      <c r="C230" s="215"/>
      <c r="D230" s="215"/>
      <c r="F230" s="184"/>
      <c r="G230" s="185"/>
      <c r="M230" s="184"/>
    </row>
    <row r="231" spans="3:13" x14ac:dyDescent="0.25">
      <c r="C231" s="215"/>
      <c r="D231" s="215"/>
      <c r="F231" s="184"/>
      <c r="G231" s="185"/>
      <c r="M231" s="184"/>
    </row>
    <row r="232" spans="3:13" x14ac:dyDescent="0.25">
      <c r="C232" s="215"/>
      <c r="D232" s="215"/>
      <c r="F232" s="184"/>
      <c r="G232" s="185"/>
      <c r="M232" s="184"/>
    </row>
    <row r="233" spans="3:13" x14ac:dyDescent="0.25">
      <c r="C233" s="215"/>
      <c r="D233" s="215"/>
      <c r="F233" s="184"/>
      <c r="G233" s="185"/>
      <c r="M233" s="184"/>
    </row>
    <row r="234" spans="3:13" x14ac:dyDescent="0.25">
      <c r="C234" s="215"/>
      <c r="D234" s="215"/>
      <c r="F234" s="184"/>
      <c r="G234" s="185"/>
      <c r="M234" s="184"/>
    </row>
    <row r="235" spans="3:13" x14ac:dyDescent="0.25">
      <c r="C235" s="215"/>
      <c r="D235" s="215"/>
      <c r="F235" s="184"/>
      <c r="G235" s="185"/>
      <c r="M235" s="184"/>
    </row>
    <row r="236" spans="3:13" x14ac:dyDescent="0.25">
      <c r="C236" s="215"/>
      <c r="D236" s="215"/>
      <c r="F236" s="184"/>
      <c r="G236" s="185"/>
      <c r="M236" s="184"/>
    </row>
    <row r="237" spans="3:13" x14ac:dyDescent="0.25">
      <c r="C237" s="215"/>
      <c r="D237" s="215"/>
      <c r="F237" s="184"/>
      <c r="G237" s="185"/>
      <c r="M237" s="184"/>
    </row>
    <row r="238" spans="3:13" x14ac:dyDescent="0.25">
      <c r="C238" s="215"/>
      <c r="D238" s="215"/>
      <c r="F238" s="184"/>
      <c r="G238" s="185"/>
      <c r="M238" s="184"/>
    </row>
    <row r="239" spans="3:13" x14ac:dyDescent="0.25">
      <c r="C239" s="215"/>
      <c r="D239" s="215"/>
      <c r="F239" s="184"/>
      <c r="G239" s="185"/>
      <c r="M239" s="184"/>
    </row>
    <row r="240" spans="3:13" x14ac:dyDescent="0.25">
      <c r="C240" s="215"/>
      <c r="D240" s="215"/>
      <c r="F240" s="184"/>
      <c r="G240" s="185"/>
      <c r="M240" s="184"/>
    </row>
    <row r="241" spans="3:13" x14ac:dyDescent="0.25">
      <c r="C241" s="215"/>
      <c r="D241" s="215"/>
      <c r="F241" s="184"/>
      <c r="G241" s="185"/>
      <c r="M241" s="184"/>
    </row>
    <row r="242" spans="3:13" x14ac:dyDescent="0.25">
      <c r="C242" s="215"/>
      <c r="D242" s="215"/>
      <c r="F242" s="184"/>
      <c r="G242" s="185"/>
      <c r="M242" s="184"/>
    </row>
    <row r="243" spans="3:13" x14ac:dyDescent="0.25">
      <c r="C243" s="215"/>
      <c r="D243" s="215"/>
      <c r="F243" s="184"/>
      <c r="G243" s="185"/>
      <c r="M243" s="184"/>
    </row>
    <row r="244" spans="3:13" x14ac:dyDescent="0.25">
      <c r="C244" s="215"/>
      <c r="D244" s="215"/>
      <c r="F244" s="184"/>
      <c r="G244" s="185"/>
      <c r="M244" s="184"/>
    </row>
    <row r="245" spans="3:13" x14ac:dyDescent="0.25">
      <c r="C245" s="215"/>
      <c r="D245" s="215"/>
      <c r="F245" s="184"/>
      <c r="G245" s="185"/>
      <c r="M245" s="184"/>
    </row>
    <row r="246" spans="3:13" x14ac:dyDescent="0.25">
      <c r="C246" s="215"/>
      <c r="D246" s="215"/>
      <c r="F246" s="184"/>
      <c r="G246" s="185"/>
      <c r="M246" s="184"/>
    </row>
    <row r="247" spans="3:13" x14ac:dyDescent="0.25">
      <c r="C247" s="215"/>
      <c r="D247" s="215"/>
      <c r="F247" s="184"/>
      <c r="G247" s="185"/>
      <c r="M247" s="184"/>
    </row>
    <row r="248" spans="3:13" x14ac:dyDescent="0.25">
      <c r="C248" s="215"/>
      <c r="D248" s="215"/>
      <c r="F248" s="184"/>
      <c r="G248" s="185"/>
      <c r="M248" s="184"/>
    </row>
    <row r="249" spans="3:13" x14ac:dyDescent="0.25">
      <c r="C249" s="215"/>
      <c r="D249" s="215"/>
      <c r="F249" s="184"/>
      <c r="G249" s="185"/>
      <c r="M249" s="184"/>
    </row>
    <row r="250" spans="3:13" x14ac:dyDescent="0.25">
      <c r="C250" s="215"/>
      <c r="D250" s="215"/>
      <c r="F250" s="184"/>
      <c r="G250" s="185"/>
      <c r="M250" s="184"/>
    </row>
    <row r="251" spans="3:13" x14ac:dyDescent="0.25">
      <c r="C251" s="215"/>
      <c r="D251" s="215"/>
      <c r="F251" s="184"/>
      <c r="G251" s="185"/>
      <c r="M251" s="184"/>
    </row>
    <row r="252" spans="3:13" x14ac:dyDescent="0.25">
      <c r="C252" s="215"/>
      <c r="D252" s="215"/>
      <c r="F252" s="184"/>
      <c r="G252" s="185"/>
      <c r="M252" s="184"/>
    </row>
    <row r="253" spans="3:13" x14ac:dyDescent="0.25">
      <c r="C253" s="215"/>
      <c r="D253" s="215"/>
      <c r="F253" s="184"/>
      <c r="G253" s="185"/>
      <c r="M253" s="184"/>
    </row>
    <row r="254" spans="3:13" x14ac:dyDescent="0.25">
      <c r="C254" s="215"/>
      <c r="D254" s="215"/>
      <c r="F254" s="184"/>
      <c r="G254" s="185"/>
      <c r="M254" s="184"/>
    </row>
    <row r="255" spans="3:13" x14ac:dyDescent="0.25">
      <c r="C255" s="215"/>
      <c r="D255" s="215"/>
      <c r="F255" s="184"/>
      <c r="G255" s="185"/>
      <c r="M255" s="184"/>
    </row>
    <row r="256" spans="3:13" x14ac:dyDescent="0.25">
      <c r="C256" s="215"/>
      <c r="D256" s="215"/>
      <c r="F256" s="184"/>
      <c r="G256" s="185"/>
      <c r="M256" s="184"/>
    </row>
    <row r="257" spans="3:13" x14ac:dyDescent="0.25">
      <c r="C257" s="215"/>
      <c r="D257" s="215"/>
      <c r="F257" s="184"/>
      <c r="G257" s="185"/>
      <c r="M257" s="184"/>
    </row>
    <row r="258" spans="3:13" x14ac:dyDescent="0.25">
      <c r="C258" s="215"/>
      <c r="D258" s="215"/>
      <c r="F258" s="184"/>
      <c r="G258" s="185"/>
      <c r="M258" s="184"/>
    </row>
    <row r="259" spans="3:13" x14ac:dyDescent="0.25">
      <c r="C259" s="215"/>
      <c r="D259" s="215"/>
      <c r="F259" s="184"/>
      <c r="G259" s="185"/>
      <c r="M259" s="184"/>
    </row>
    <row r="260" spans="3:13" x14ac:dyDescent="0.25">
      <c r="C260" s="215"/>
      <c r="D260" s="215"/>
      <c r="F260" s="184"/>
      <c r="G260" s="185"/>
      <c r="M260" s="184"/>
    </row>
    <row r="261" spans="3:13" x14ac:dyDescent="0.25">
      <c r="C261" s="215"/>
      <c r="D261" s="215"/>
      <c r="F261" s="184"/>
      <c r="G261" s="185"/>
      <c r="M261" s="184"/>
    </row>
    <row r="262" spans="3:13" x14ac:dyDescent="0.25">
      <c r="C262" s="215"/>
      <c r="D262" s="215"/>
      <c r="F262" s="184"/>
      <c r="G262" s="185"/>
      <c r="M262" s="184"/>
    </row>
    <row r="263" spans="3:13" x14ac:dyDescent="0.25">
      <c r="C263" s="215"/>
      <c r="D263" s="215"/>
      <c r="F263" s="184"/>
      <c r="G263" s="185"/>
      <c r="M263" s="184"/>
    </row>
    <row r="264" spans="3:13" x14ac:dyDescent="0.25">
      <c r="C264" s="215"/>
      <c r="D264" s="215"/>
      <c r="F264" s="184"/>
      <c r="G264" s="185"/>
      <c r="M264" s="184"/>
    </row>
    <row r="265" spans="3:13" x14ac:dyDescent="0.25">
      <c r="C265" s="215"/>
      <c r="D265" s="215"/>
      <c r="F265" s="184"/>
      <c r="G265" s="185"/>
      <c r="M265" s="184"/>
    </row>
    <row r="266" spans="3:13" x14ac:dyDescent="0.25">
      <c r="C266" s="215"/>
      <c r="D266" s="215"/>
      <c r="F266" s="184"/>
      <c r="G266" s="185"/>
      <c r="M266" s="184"/>
    </row>
    <row r="267" spans="3:13" x14ac:dyDescent="0.25">
      <c r="C267" s="215"/>
      <c r="D267" s="215"/>
      <c r="F267" s="184"/>
      <c r="G267" s="185"/>
      <c r="M267" s="184"/>
    </row>
    <row r="268" spans="3:13" x14ac:dyDescent="0.25">
      <c r="C268" s="215"/>
      <c r="D268" s="215"/>
      <c r="F268" s="184"/>
      <c r="G268" s="185"/>
      <c r="M268" s="184"/>
    </row>
    <row r="269" spans="3:13" x14ac:dyDescent="0.25">
      <c r="C269" s="215"/>
      <c r="D269" s="215"/>
      <c r="F269" s="184"/>
      <c r="G269" s="185"/>
      <c r="M269" s="184"/>
    </row>
    <row r="270" spans="3:13" x14ac:dyDescent="0.25">
      <c r="C270" s="215"/>
      <c r="D270" s="215"/>
      <c r="F270" s="184"/>
      <c r="G270" s="185"/>
      <c r="M270" s="184"/>
    </row>
    <row r="271" spans="3:13" x14ac:dyDescent="0.25">
      <c r="C271" s="215"/>
      <c r="D271" s="215"/>
      <c r="F271" s="184"/>
      <c r="G271" s="185"/>
      <c r="M271" s="184"/>
    </row>
    <row r="272" spans="3:13" x14ac:dyDescent="0.25">
      <c r="C272" s="215"/>
      <c r="D272" s="215"/>
      <c r="F272" s="184"/>
      <c r="G272" s="185"/>
      <c r="M272" s="184"/>
    </row>
    <row r="273" spans="3:13" x14ac:dyDescent="0.25">
      <c r="C273" s="215"/>
      <c r="D273" s="215"/>
      <c r="F273" s="184"/>
      <c r="G273" s="185"/>
      <c r="M273" s="184"/>
    </row>
    <row r="274" spans="3:13" x14ac:dyDescent="0.25">
      <c r="C274" s="215"/>
      <c r="D274" s="215"/>
      <c r="F274" s="184"/>
      <c r="G274" s="185"/>
      <c r="M274" s="184"/>
    </row>
    <row r="275" spans="3:13" x14ac:dyDescent="0.25">
      <c r="C275" s="215"/>
      <c r="D275" s="215"/>
      <c r="F275" s="184"/>
      <c r="G275" s="185"/>
      <c r="M275" s="184"/>
    </row>
    <row r="276" spans="3:13" x14ac:dyDescent="0.25">
      <c r="C276" s="215"/>
      <c r="D276" s="215"/>
      <c r="F276" s="184"/>
      <c r="G276" s="185"/>
      <c r="M276" s="184"/>
    </row>
    <row r="277" spans="3:13" x14ac:dyDescent="0.25">
      <c r="C277" s="215"/>
      <c r="D277" s="215"/>
      <c r="F277" s="184"/>
      <c r="G277" s="185"/>
      <c r="M277" s="184"/>
    </row>
    <row r="278" spans="3:13" x14ac:dyDescent="0.25">
      <c r="C278" s="215"/>
      <c r="D278" s="215"/>
      <c r="F278" s="184"/>
      <c r="G278" s="185"/>
      <c r="M278" s="184"/>
    </row>
    <row r="279" spans="3:13" x14ac:dyDescent="0.25">
      <c r="C279" s="215"/>
      <c r="D279" s="215"/>
      <c r="F279" s="184"/>
      <c r="G279" s="185"/>
      <c r="M279" s="184"/>
    </row>
    <row r="280" spans="3:13" x14ac:dyDescent="0.25">
      <c r="C280" s="215"/>
      <c r="D280" s="215"/>
      <c r="F280" s="184"/>
      <c r="G280" s="185"/>
      <c r="M280" s="184"/>
    </row>
    <row r="281" spans="3:13" x14ac:dyDescent="0.25">
      <c r="C281" s="215"/>
      <c r="D281" s="215"/>
      <c r="F281" s="184"/>
      <c r="G281" s="185"/>
      <c r="M281" s="184"/>
    </row>
    <row r="282" spans="3:13" x14ac:dyDescent="0.25">
      <c r="C282" s="215"/>
      <c r="D282" s="215"/>
      <c r="F282" s="184"/>
      <c r="G282" s="185"/>
      <c r="M282" s="184"/>
    </row>
    <row r="283" spans="3:13" x14ac:dyDescent="0.25">
      <c r="C283" s="215"/>
      <c r="D283" s="215"/>
      <c r="F283" s="184"/>
      <c r="G283" s="185"/>
      <c r="M283" s="184"/>
    </row>
    <row r="284" spans="3:13" x14ac:dyDescent="0.25">
      <c r="C284" s="215"/>
      <c r="D284" s="215"/>
      <c r="F284" s="184"/>
      <c r="G284" s="185"/>
      <c r="M284" s="184"/>
    </row>
    <row r="285" spans="3:13" x14ac:dyDescent="0.25">
      <c r="C285" s="215"/>
      <c r="D285" s="215"/>
      <c r="F285" s="184"/>
      <c r="G285" s="185"/>
      <c r="M285" s="184"/>
    </row>
    <row r="286" spans="3:13" x14ac:dyDescent="0.25">
      <c r="C286" s="215"/>
      <c r="D286" s="215"/>
      <c r="F286" s="184"/>
      <c r="G286" s="185"/>
      <c r="M286" s="184"/>
    </row>
    <row r="287" spans="3:13" x14ac:dyDescent="0.25">
      <c r="C287" s="215"/>
      <c r="D287" s="215"/>
      <c r="F287" s="184"/>
      <c r="G287" s="185"/>
      <c r="M287" s="184"/>
    </row>
    <row r="288" spans="3:13" x14ac:dyDescent="0.25">
      <c r="C288" s="215"/>
      <c r="D288" s="215"/>
      <c r="F288" s="184"/>
      <c r="G288" s="185"/>
      <c r="M288" s="184"/>
    </row>
    <row r="289" spans="3:13" x14ac:dyDescent="0.25">
      <c r="C289" s="215"/>
      <c r="D289" s="215"/>
      <c r="F289" s="184"/>
      <c r="G289" s="185"/>
      <c r="M289" s="184"/>
    </row>
    <row r="290" spans="3:13" x14ac:dyDescent="0.25">
      <c r="C290" s="215"/>
      <c r="D290" s="215"/>
      <c r="F290" s="184"/>
      <c r="G290" s="185"/>
      <c r="M290" s="184"/>
    </row>
    <row r="291" spans="3:13" x14ac:dyDescent="0.25">
      <c r="C291" s="215"/>
      <c r="D291" s="215"/>
      <c r="F291" s="184"/>
      <c r="G291" s="185"/>
      <c r="M291" s="184"/>
    </row>
    <row r="292" spans="3:13" x14ac:dyDescent="0.25">
      <c r="C292" s="215"/>
      <c r="D292" s="215"/>
      <c r="F292" s="184"/>
      <c r="G292" s="185"/>
      <c r="M292" s="184"/>
    </row>
    <row r="293" spans="3:13" x14ac:dyDescent="0.25">
      <c r="C293" s="215"/>
      <c r="D293" s="215"/>
      <c r="F293" s="184"/>
      <c r="G293" s="185"/>
      <c r="M293" s="184"/>
    </row>
    <row r="294" spans="3:13" x14ac:dyDescent="0.25">
      <c r="C294" s="215"/>
      <c r="D294" s="215"/>
      <c r="F294" s="184"/>
      <c r="G294" s="185"/>
      <c r="M294" s="184"/>
    </row>
    <row r="295" spans="3:13" x14ac:dyDescent="0.25">
      <c r="C295" s="215"/>
      <c r="D295" s="215"/>
      <c r="F295" s="184"/>
      <c r="G295" s="185"/>
      <c r="M295" s="184"/>
    </row>
    <row r="296" spans="3:13" x14ac:dyDescent="0.25">
      <c r="C296" s="215"/>
      <c r="D296" s="215"/>
      <c r="F296" s="184"/>
      <c r="G296" s="185"/>
      <c r="M296" s="184"/>
    </row>
    <row r="297" spans="3:13" x14ac:dyDescent="0.25">
      <c r="C297" s="215"/>
      <c r="D297" s="215"/>
      <c r="F297" s="184"/>
      <c r="G297" s="185"/>
      <c r="M297" s="184"/>
    </row>
    <row r="298" spans="3:13" x14ac:dyDescent="0.25">
      <c r="C298" s="215"/>
      <c r="D298" s="215"/>
      <c r="F298" s="184"/>
      <c r="G298" s="185"/>
      <c r="M298" s="184"/>
    </row>
    <row r="299" spans="3:13" x14ac:dyDescent="0.25">
      <c r="C299" s="215"/>
      <c r="D299" s="215"/>
      <c r="F299" s="184"/>
      <c r="G299" s="185"/>
      <c r="M299" s="184"/>
    </row>
    <row r="300" spans="3:13" x14ac:dyDescent="0.25">
      <c r="C300" s="215"/>
      <c r="D300" s="215"/>
      <c r="F300" s="184"/>
      <c r="G300" s="185"/>
      <c r="M300" s="184"/>
    </row>
    <row r="301" spans="3:13" x14ac:dyDescent="0.25">
      <c r="C301" s="215"/>
      <c r="D301" s="215"/>
      <c r="F301" s="184"/>
      <c r="G301" s="185"/>
      <c r="M301" s="184"/>
    </row>
    <row r="302" spans="3:13" x14ac:dyDescent="0.25">
      <c r="C302" s="215"/>
      <c r="D302" s="215"/>
      <c r="F302" s="184"/>
      <c r="G302" s="185"/>
      <c r="M302" s="184"/>
    </row>
    <row r="303" spans="3:13" x14ac:dyDescent="0.25">
      <c r="C303" s="215"/>
      <c r="D303" s="215"/>
      <c r="F303" s="184"/>
      <c r="G303" s="185"/>
      <c r="M303" s="184"/>
    </row>
    <row r="304" spans="3:13" x14ac:dyDescent="0.25">
      <c r="C304" s="215"/>
      <c r="D304" s="215"/>
      <c r="F304" s="184"/>
      <c r="G304" s="185"/>
      <c r="M304" s="184"/>
    </row>
    <row r="305" spans="3:13" x14ac:dyDescent="0.25">
      <c r="C305" s="215"/>
      <c r="D305" s="215"/>
      <c r="F305" s="184"/>
      <c r="G305" s="185"/>
      <c r="M305" s="184"/>
    </row>
    <row r="306" spans="3:13" x14ac:dyDescent="0.25">
      <c r="C306" s="215"/>
      <c r="D306" s="215"/>
      <c r="F306" s="184"/>
      <c r="G306" s="185"/>
      <c r="M306" s="184"/>
    </row>
    <row r="307" spans="3:13" x14ac:dyDescent="0.25">
      <c r="C307" s="215"/>
      <c r="D307" s="215"/>
      <c r="F307" s="184"/>
      <c r="G307" s="185"/>
      <c r="M307" s="184"/>
    </row>
    <row r="308" spans="3:13" x14ac:dyDescent="0.25">
      <c r="C308" s="215"/>
      <c r="D308" s="215"/>
      <c r="F308" s="184"/>
      <c r="G308" s="185"/>
      <c r="M308" s="184"/>
    </row>
    <row r="309" spans="3:13" x14ac:dyDescent="0.25">
      <c r="C309" s="215"/>
      <c r="D309" s="215"/>
      <c r="F309" s="184"/>
      <c r="G309" s="185"/>
      <c r="M309" s="184"/>
    </row>
    <row r="310" spans="3:13" x14ac:dyDescent="0.25">
      <c r="C310" s="215"/>
      <c r="D310" s="215"/>
      <c r="F310" s="184"/>
      <c r="G310" s="185"/>
      <c r="M310" s="184"/>
    </row>
    <row r="311" spans="3:13" x14ac:dyDescent="0.25">
      <c r="C311" s="215"/>
      <c r="D311" s="215"/>
      <c r="F311" s="184"/>
      <c r="G311" s="185"/>
      <c r="M311" s="184"/>
    </row>
    <row r="312" spans="3:13" x14ac:dyDescent="0.25">
      <c r="C312" s="215"/>
      <c r="D312" s="215"/>
      <c r="F312" s="184"/>
      <c r="G312" s="185"/>
      <c r="M312" s="184"/>
    </row>
    <row r="313" spans="3:13" x14ac:dyDescent="0.25">
      <c r="C313" s="215"/>
      <c r="D313" s="215"/>
      <c r="F313" s="184"/>
      <c r="G313" s="185"/>
      <c r="M313" s="184"/>
    </row>
    <row r="314" spans="3:13" x14ac:dyDescent="0.25">
      <c r="C314" s="215"/>
      <c r="D314" s="215"/>
      <c r="F314" s="184"/>
      <c r="G314" s="185"/>
      <c r="M314" s="184"/>
    </row>
    <row r="315" spans="3:13" x14ac:dyDescent="0.25">
      <c r="C315" s="215"/>
      <c r="D315" s="215"/>
      <c r="F315" s="184"/>
      <c r="G315" s="185"/>
      <c r="M315" s="184"/>
    </row>
    <row r="316" spans="3:13" x14ac:dyDescent="0.25">
      <c r="C316" s="215"/>
      <c r="D316" s="215"/>
      <c r="F316" s="184"/>
      <c r="G316" s="185"/>
      <c r="M316" s="184"/>
    </row>
    <row r="317" spans="3:13" x14ac:dyDescent="0.25">
      <c r="C317" s="215"/>
      <c r="D317" s="215"/>
      <c r="F317" s="184"/>
      <c r="G317" s="185"/>
      <c r="M317" s="184"/>
    </row>
    <row r="318" spans="3:13" x14ac:dyDescent="0.25">
      <c r="C318" s="215"/>
      <c r="D318" s="215"/>
      <c r="F318" s="184"/>
      <c r="G318" s="185"/>
      <c r="M318" s="184"/>
    </row>
    <row r="319" spans="3:13" x14ac:dyDescent="0.25">
      <c r="C319" s="215"/>
      <c r="D319" s="215"/>
      <c r="F319" s="184"/>
      <c r="G319" s="185"/>
      <c r="M319" s="184"/>
    </row>
    <row r="320" spans="3:13" x14ac:dyDescent="0.25">
      <c r="C320" s="215"/>
      <c r="D320" s="215"/>
      <c r="F320" s="184"/>
      <c r="G320" s="185"/>
      <c r="M320" s="184"/>
    </row>
    <row r="321" spans="3:13" x14ac:dyDescent="0.25">
      <c r="C321" s="215"/>
      <c r="D321" s="215"/>
      <c r="F321" s="184"/>
      <c r="G321" s="185"/>
      <c r="M321" s="184"/>
    </row>
    <row r="322" spans="3:13" x14ac:dyDescent="0.25">
      <c r="C322" s="215"/>
      <c r="D322" s="215"/>
      <c r="F322" s="184"/>
      <c r="G322" s="185"/>
      <c r="M322" s="184"/>
    </row>
    <row r="323" spans="3:13" x14ac:dyDescent="0.25">
      <c r="C323" s="215"/>
      <c r="D323" s="215"/>
      <c r="F323" s="184"/>
      <c r="G323" s="185"/>
      <c r="M323" s="184"/>
    </row>
    <row r="324" spans="3:13" x14ac:dyDescent="0.25">
      <c r="C324" s="215"/>
      <c r="D324" s="215"/>
      <c r="F324" s="184"/>
      <c r="G324" s="185"/>
      <c r="M324" s="184"/>
    </row>
    <row r="325" spans="3:13" x14ac:dyDescent="0.25">
      <c r="C325" s="215"/>
      <c r="D325" s="215"/>
      <c r="F325" s="184"/>
      <c r="G325" s="185"/>
      <c r="M325" s="184"/>
    </row>
    <row r="326" spans="3:13" x14ac:dyDescent="0.25">
      <c r="C326" s="215"/>
      <c r="D326" s="215"/>
      <c r="F326" s="184"/>
      <c r="G326" s="185"/>
      <c r="M326" s="184"/>
    </row>
    <row r="327" spans="3:13" x14ac:dyDescent="0.25">
      <c r="C327" s="215"/>
      <c r="D327" s="215"/>
      <c r="F327" s="184"/>
      <c r="G327" s="185"/>
      <c r="M327" s="184"/>
    </row>
    <row r="328" spans="3:13" x14ac:dyDescent="0.25">
      <c r="C328" s="215"/>
      <c r="D328" s="215"/>
      <c r="F328" s="184"/>
      <c r="G328" s="185"/>
      <c r="M328" s="184"/>
    </row>
    <row r="329" spans="3:13" x14ac:dyDescent="0.25">
      <c r="C329" s="215"/>
      <c r="D329" s="215"/>
      <c r="F329" s="184"/>
      <c r="G329" s="185"/>
      <c r="M329" s="184"/>
    </row>
    <row r="330" spans="3:13" x14ac:dyDescent="0.25">
      <c r="C330" s="215"/>
      <c r="D330" s="215"/>
      <c r="F330" s="184"/>
      <c r="G330" s="185"/>
      <c r="M330" s="184"/>
    </row>
    <row r="331" spans="3:13" x14ac:dyDescent="0.25">
      <c r="C331" s="215"/>
      <c r="D331" s="215"/>
      <c r="F331" s="184"/>
      <c r="G331" s="185"/>
      <c r="M331" s="184"/>
    </row>
    <row r="332" spans="3:13" x14ac:dyDescent="0.25">
      <c r="C332" s="215"/>
      <c r="D332" s="215"/>
      <c r="F332" s="184"/>
      <c r="G332" s="185"/>
      <c r="M332" s="184"/>
    </row>
    <row r="333" spans="3:13" x14ac:dyDescent="0.25">
      <c r="C333" s="215"/>
      <c r="D333" s="215"/>
      <c r="F333" s="184"/>
      <c r="G333" s="185"/>
      <c r="M333" s="184"/>
    </row>
    <row r="334" spans="3:13" x14ac:dyDescent="0.25">
      <c r="C334" s="215"/>
      <c r="D334" s="215"/>
      <c r="F334" s="184"/>
      <c r="G334" s="185"/>
      <c r="M334" s="184"/>
    </row>
    <row r="335" spans="3:13" x14ac:dyDescent="0.25">
      <c r="C335" s="215"/>
      <c r="D335" s="215"/>
      <c r="F335" s="184"/>
      <c r="G335" s="185"/>
      <c r="M335" s="184"/>
    </row>
    <row r="336" spans="3:13" x14ac:dyDescent="0.25">
      <c r="C336" s="215"/>
      <c r="D336" s="215"/>
      <c r="F336" s="184"/>
      <c r="G336" s="185"/>
      <c r="M336" s="184"/>
    </row>
    <row r="337" spans="3:13" x14ac:dyDescent="0.25">
      <c r="C337" s="215"/>
      <c r="D337" s="215"/>
      <c r="F337" s="184"/>
      <c r="G337" s="185"/>
      <c r="M337" s="184"/>
    </row>
    <row r="338" spans="3:13" x14ac:dyDescent="0.25">
      <c r="C338" s="215"/>
      <c r="D338" s="215"/>
      <c r="F338" s="184"/>
      <c r="G338" s="185"/>
      <c r="M338" s="184"/>
    </row>
    <row r="339" spans="3:13" x14ac:dyDescent="0.25">
      <c r="C339" s="215"/>
      <c r="D339" s="215"/>
      <c r="F339" s="184"/>
      <c r="G339" s="185"/>
      <c r="M339" s="184"/>
    </row>
    <row r="340" spans="3:13" x14ac:dyDescent="0.25">
      <c r="C340" s="215"/>
      <c r="D340" s="215"/>
      <c r="F340" s="184"/>
      <c r="G340" s="185"/>
      <c r="M340" s="184"/>
    </row>
    <row r="341" spans="3:13" x14ac:dyDescent="0.25">
      <c r="C341" s="215"/>
      <c r="D341" s="215"/>
      <c r="F341" s="184"/>
      <c r="G341" s="185"/>
      <c r="M341" s="184"/>
    </row>
    <row r="342" spans="3:13" x14ac:dyDescent="0.25">
      <c r="C342" s="215"/>
      <c r="D342" s="215"/>
      <c r="F342" s="184"/>
      <c r="G342" s="185"/>
      <c r="M342" s="184"/>
    </row>
    <row r="343" spans="3:13" x14ac:dyDescent="0.25">
      <c r="C343" s="215"/>
      <c r="D343" s="215"/>
      <c r="F343" s="184"/>
      <c r="G343" s="185"/>
      <c r="M343" s="184"/>
    </row>
    <row r="344" spans="3:13" x14ac:dyDescent="0.25">
      <c r="C344" s="215"/>
      <c r="D344" s="215"/>
      <c r="F344" s="184"/>
      <c r="G344" s="185"/>
      <c r="M344" s="184"/>
    </row>
    <row r="345" spans="3:13" x14ac:dyDescent="0.25">
      <c r="C345" s="215"/>
      <c r="D345" s="215"/>
      <c r="F345" s="184"/>
      <c r="G345" s="185"/>
      <c r="M345" s="184"/>
    </row>
    <row r="346" spans="3:13" x14ac:dyDescent="0.25">
      <c r="C346" s="215"/>
      <c r="D346" s="215"/>
      <c r="F346" s="184"/>
      <c r="G346" s="185"/>
      <c r="M346" s="184"/>
    </row>
    <row r="347" spans="3:13" x14ac:dyDescent="0.25">
      <c r="C347" s="215"/>
      <c r="D347" s="215"/>
      <c r="F347" s="184"/>
      <c r="G347" s="185"/>
      <c r="M347" s="184"/>
    </row>
    <row r="348" spans="3:13" x14ac:dyDescent="0.25">
      <c r="C348" s="215"/>
      <c r="D348" s="215"/>
      <c r="F348" s="184"/>
      <c r="G348" s="185"/>
      <c r="M348" s="184"/>
    </row>
    <row r="349" spans="3:13" x14ac:dyDescent="0.25">
      <c r="C349" s="215"/>
      <c r="D349" s="215"/>
      <c r="F349" s="184"/>
      <c r="G349" s="185"/>
      <c r="M349" s="184"/>
    </row>
    <row r="350" spans="3:13" x14ac:dyDescent="0.25">
      <c r="C350" s="215"/>
      <c r="D350" s="215"/>
      <c r="F350" s="184"/>
      <c r="G350" s="185"/>
      <c r="M350" s="184"/>
    </row>
    <row r="351" spans="3:13" x14ac:dyDescent="0.25">
      <c r="C351" s="215"/>
      <c r="D351" s="215"/>
      <c r="F351" s="184"/>
      <c r="G351" s="185"/>
      <c r="M351" s="184"/>
    </row>
    <row r="352" spans="3:13" x14ac:dyDescent="0.25">
      <c r="C352" s="215"/>
      <c r="D352" s="215"/>
      <c r="F352" s="184"/>
      <c r="G352" s="185"/>
      <c r="M352" s="184"/>
    </row>
    <row r="353" spans="3:13" x14ac:dyDescent="0.25">
      <c r="C353" s="215"/>
      <c r="D353" s="215"/>
      <c r="F353" s="184"/>
      <c r="G353" s="185"/>
      <c r="M353" s="184"/>
    </row>
    <row r="354" spans="3:13" x14ac:dyDescent="0.25">
      <c r="C354" s="215"/>
      <c r="D354" s="215"/>
      <c r="F354" s="184"/>
      <c r="G354" s="185"/>
      <c r="M354" s="184"/>
    </row>
    <row r="355" spans="3:13" x14ac:dyDescent="0.25">
      <c r="C355" s="215"/>
      <c r="D355" s="215"/>
      <c r="F355" s="184"/>
      <c r="G355" s="185"/>
      <c r="M355" s="184"/>
    </row>
    <row r="356" spans="3:13" x14ac:dyDescent="0.25">
      <c r="C356" s="215"/>
      <c r="D356" s="215"/>
      <c r="F356" s="184"/>
      <c r="G356" s="185"/>
      <c r="M356" s="184"/>
    </row>
    <row r="357" spans="3:13" x14ac:dyDescent="0.25">
      <c r="C357" s="215"/>
      <c r="D357" s="215"/>
      <c r="F357" s="184"/>
      <c r="G357" s="185"/>
      <c r="M357" s="184"/>
    </row>
    <row r="358" spans="3:13" x14ac:dyDescent="0.25">
      <c r="C358" s="215"/>
      <c r="D358" s="215"/>
      <c r="F358" s="184"/>
      <c r="G358" s="185"/>
      <c r="M358" s="184"/>
    </row>
    <row r="359" spans="3:13" x14ac:dyDescent="0.25">
      <c r="C359" s="215"/>
      <c r="D359" s="215"/>
      <c r="F359" s="184"/>
      <c r="G359" s="185"/>
      <c r="M359" s="184"/>
    </row>
    <row r="360" spans="3:13" x14ac:dyDescent="0.25">
      <c r="C360" s="215"/>
      <c r="D360" s="215"/>
      <c r="F360" s="184"/>
      <c r="G360" s="185"/>
      <c r="M360" s="184"/>
    </row>
    <row r="361" spans="3:13" x14ac:dyDescent="0.25">
      <c r="C361" s="215"/>
      <c r="D361" s="215"/>
      <c r="F361" s="184"/>
      <c r="G361" s="185"/>
      <c r="M361" s="184"/>
    </row>
    <row r="362" spans="3:13" x14ac:dyDescent="0.25">
      <c r="C362" s="215"/>
      <c r="D362" s="215"/>
      <c r="F362" s="184"/>
      <c r="G362" s="185"/>
      <c r="M362" s="184"/>
    </row>
    <row r="363" spans="3:13" x14ac:dyDescent="0.25">
      <c r="C363" s="215"/>
      <c r="D363" s="215"/>
      <c r="F363" s="184"/>
      <c r="G363" s="185"/>
      <c r="M363" s="184"/>
    </row>
    <row r="364" spans="3:13" x14ac:dyDescent="0.25">
      <c r="C364" s="215"/>
      <c r="D364" s="215"/>
      <c r="F364" s="184"/>
      <c r="G364" s="185"/>
      <c r="M364" s="184"/>
    </row>
    <row r="365" spans="3:13" x14ac:dyDescent="0.25">
      <c r="C365" s="215"/>
      <c r="D365" s="215"/>
      <c r="F365" s="184"/>
      <c r="G365" s="185"/>
      <c r="M365" s="184"/>
    </row>
    <row r="366" spans="3:13" x14ac:dyDescent="0.25">
      <c r="C366" s="215"/>
      <c r="D366" s="215"/>
      <c r="F366" s="184"/>
      <c r="G366" s="185"/>
      <c r="M366" s="184"/>
    </row>
    <row r="367" spans="3:13" x14ac:dyDescent="0.25">
      <c r="C367" s="215"/>
      <c r="D367" s="215"/>
      <c r="F367" s="184"/>
      <c r="G367" s="185"/>
      <c r="M367" s="184"/>
    </row>
    <row r="368" spans="3:13" x14ac:dyDescent="0.25">
      <c r="C368" s="215"/>
      <c r="D368" s="215"/>
      <c r="F368" s="184"/>
      <c r="G368" s="185"/>
      <c r="M368" s="184"/>
    </row>
    <row r="369" spans="3:13" x14ac:dyDescent="0.25">
      <c r="C369" s="215"/>
      <c r="D369" s="215"/>
      <c r="F369" s="184"/>
      <c r="G369" s="185"/>
      <c r="M369" s="184"/>
    </row>
    <row r="370" spans="3:13" x14ac:dyDescent="0.25">
      <c r="C370" s="215"/>
      <c r="D370" s="215"/>
      <c r="F370" s="184"/>
      <c r="G370" s="185"/>
      <c r="M370" s="184"/>
    </row>
    <row r="371" spans="3:13" x14ac:dyDescent="0.25">
      <c r="C371" s="215"/>
      <c r="D371" s="215"/>
      <c r="F371" s="184"/>
      <c r="G371" s="185"/>
      <c r="M371" s="184"/>
    </row>
    <row r="372" spans="3:13" x14ac:dyDescent="0.25">
      <c r="C372" s="215"/>
      <c r="D372" s="215"/>
      <c r="F372" s="184"/>
      <c r="G372" s="185"/>
      <c r="M372" s="184"/>
    </row>
    <row r="373" spans="3:13" x14ac:dyDescent="0.25">
      <c r="C373" s="215"/>
      <c r="D373" s="215"/>
      <c r="F373" s="184"/>
      <c r="G373" s="185"/>
      <c r="M373" s="184"/>
    </row>
    <row r="374" spans="3:13" x14ac:dyDescent="0.25">
      <c r="C374" s="215"/>
      <c r="D374" s="215"/>
      <c r="F374" s="184"/>
      <c r="G374" s="185"/>
      <c r="M374" s="184"/>
    </row>
    <row r="375" spans="3:13" x14ac:dyDescent="0.25">
      <c r="C375" s="215"/>
      <c r="D375" s="215"/>
      <c r="F375" s="184"/>
      <c r="G375" s="185"/>
      <c r="M375" s="184"/>
    </row>
    <row r="376" spans="3:13" x14ac:dyDescent="0.25">
      <c r="C376" s="215"/>
      <c r="D376" s="215"/>
      <c r="F376" s="184"/>
      <c r="G376" s="185"/>
      <c r="M376" s="184"/>
    </row>
    <row r="377" spans="3:13" x14ac:dyDescent="0.25">
      <c r="C377" s="215"/>
      <c r="D377" s="215"/>
      <c r="F377" s="184"/>
      <c r="G377" s="185"/>
      <c r="M377" s="184"/>
    </row>
    <row r="378" spans="3:13" x14ac:dyDescent="0.25">
      <c r="C378" s="215"/>
      <c r="D378" s="215"/>
      <c r="F378" s="184"/>
      <c r="G378" s="185"/>
      <c r="M378" s="184"/>
    </row>
    <row r="379" spans="3:13" x14ac:dyDescent="0.25">
      <c r="C379" s="215"/>
      <c r="D379" s="215"/>
      <c r="F379" s="184"/>
      <c r="G379" s="185"/>
      <c r="M379" s="184"/>
    </row>
    <row r="380" spans="3:13" x14ac:dyDescent="0.25">
      <c r="C380" s="215"/>
      <c r="D380" s="215"/>
      <c r="F380" s="184"/>
      <c r="G380" s="185"/>
      <c r="M380" s="184"/>
    </row>
    <row r="381" spans="3:13" x14ac:dyDescent="0.25">
      <c r="C381" s="215"/>
      <c r="D381" s="215"/>
      <c r="F381" s="184"/>
      <c r="G381" s="185"/>
      <c r="M381" s="184"/>
    </row>
    <row r="382" spans="3:13" x14ac:dyDescent="0.25">
      <c r="C382" s="215"/>
      <c r="D382" s="215"/>
      <c r="F382" s="184"/>
      <c r="G382" s="185"/>
      <c r="M382" s="184"/>
    </row>
    <row r="383" spans="3:13" x14ac:dyDescent="0.25">
      <c r="C383" s="215"/>
      <c r="D383" s="215"/>
      <c r="F383" s="184"/>
      <c r="G383" s="185"/>
      <c r="M383" s="184"/>
    </row>
    <row r="384" spans="3:13" x14ac:dyDescent="0.25">
      <c r="C384" s="215"/>
      <c r="D384" s="215"/>
      <c r="F384" s="184"/>
      <c r="G384" s="185"/>
      <c r="M384" s="184"/>
    </row>
    <row r="385" spans="3:13" x14ac:dyDescent="0.25">
      <c r="C385" s="215"/>
      <c r="D385" s="215"/>
      <c r="F385" s="184"/>
      <c r="G385" s="185"/>
      <c r="M385" s="184"/>
    </row>
    <row r="386" spans="3:13" x14ac:dyDescent="0.25">
      <c r="C386" s="215"/>
      <c r="D386" s="215"/>
      <c r="F386" s="184"/>
      <c r="G386" s="185"/>
      <c r="M386" s="184"/>
    </row>
    <row r="387" spans="3:13" x14ac:dyDescent="0.25">
      <c r="C387" s="215"/>
      <c r="D387" s="215"/>
      <c r="F387" s="184"/>
      <c r="G387" s="185"/>
      <c r="M387" s="184"/>
    </row>
    <row r="388" spans="3:13" x14ac:dyDescent="0.25">
      <c r="C388" s="215"/>
      <c r="D388" s="215"/>
      <c r="F388" s="184"/>
      <c r="G388" s="185"/>
      <c r="M388" s="184"/>
    </row>
    <row r="389" spans="3:13" x14ac:dyDescent="0.25">
      <c r="C389" s="215"/>
      <c r="D389" s="215"/>
      <c r="F389" s="184"/>
      <c r="G389" s="185"/>
      <c r="M389" s="184"/>
    </row>
    <row r="390" spans="3:13" x14ac:dyDescent="0.25">
      <c r="C390" s="215"/>
      <c r="D390" s="215"/>
      <c r="F390" s="184"/>
      <c r="G390" s="185"/>
      <c r="M390" s="184"/>
    </row>
    <row r="391" spans="3:13" x14ac:dyDescent="0.25">
      <c r="C391" s="215"/>
      <c r="D391" s="215"/>
      <c r="F391" s="184"/>
      <c r="G391" s="185"/>
      <c r="M391" s="184"/>
    </row>
    <row r="392" spans="3:13" x14ac:dyDescent="0.25">
      <c r="C392" s="215"/>
      <c r="D392" s="215"/>
      <c r="F392" s="184"/>
      <c r="G392" s="185"/>
      <c r="M392" s="184"/>
    </row>
    <row r="393" spans="3:13" x14ac:dyDescent="0.25">
      <c r="C393" s="215"/>
      <c r="D393" s="215"/>
      <c r="F393" s="184"/>
      <c r="G393" s="185"/>
      <c r="M393" s="184"/>
    </row>
    <row r="394" spans="3:13" x14ac:dyDescent="0.25">
      <c r="C394" s="215"/>
      <c r="D394" s="215"/>
      <c r="F394" s="184"/>
      <c r="G394" s="185"/>
      <c r="M394" s="184"/>
    </row>
    <row r="395" spans="3:13" x14ac:dyDescent="0.25">
      <c r="C395" s="215"/>
      <c r="D395" s="215"/>
      <c r="F395" s="184"/>
      <c r="G395" s="185"/>
      <c r="M395" s="184"/>
    </row>
    <row r="396" spans="3:13" x14ac:dyDescent="0.25">
      <c r="C396" s="215"/>
      <c r="D396" s="215"/>
      <c r="F396" s="184"/>
      <c r="G396" s="185"/>
      <c r="M396" s="184"/>
    </row>
    <row r="397" spans="3:13" x14ac:dyDescent="0.25">
      <c r="C397" s="215"/>
      <c r="D397" s="215"/>
      <c r="F397" s="184"/>
      <c r="G397" s="185"/>
      <c r="M397" s="184"/>
    </row>
    <row r="398" spans="3:13" x14ac:dyDescent="0.25">
      <c r="C398" s="215"/>
      <c r="D398" s="215"/>
      <c r="F398" s="184"/>
      <c r="G398" s="185"/>
      <c r="M398" s="184"/>
    </row>
    <row r="399" spans="3:13" x14ac:dyDescent="0.25">
      <c r="C399" s="215"/>
      <c r="D399" s="215"/>
      <c r="F399" s="184"/>
      <c r="G399" s="185"/>
      <c r="M399" s="184"/>
    </row>
    <row r="400" spans="3:13" x14ac:dyDescent="0.25">
      <c r="C400" s="215"/>
      <c r="D400" s="215"/>
      <c r="F400" s="184"/>
      <c r="G400" s="185"/>
      <c r="M400" s="184"/>
    </row>
    <row r="401" spans="3:13" x14ac:dyDescent="0.25">
      <c r="C401" s="215"/>
      <c r="D401" s="215"/>
      <c r="F401" s="184"/>
      <c r="G401" s="185"/>
      <c r="M401" s="184"/>
    </row>
    <row r="402" spans="3:13" x14ac:dyDescent="0.25">
      <c r="C402" s="215"/>
      <c r="D402" s="215"/>
      <c r="F402" s="184"/>
      <c r="G402" s="185"/>
      <c r="M402" s="184"/>
    </row>
    <row r="403" spans="3:13" x14ac:dyDescent="0.25">
      <c r="C403" s="215"/>
      <c r="D403" s="215"/>
      <c r="F403" s="184"/>
      <c r="G403" s="185"/>
      <c r="M403" s="184"/>
    </row>
    <row r="404" spans="3:13" x14ac:dyDescent="0.25">
      <c r="C404" s="215"/>
      <c r="D404" s="215"/>
      <c r="F404" s="184"/>
      <c r="G404" s="185"/>
      <c r="M404" s="184"/>
    </row>
    <row r="405" spans="3:13" x14ac:dyDescent="0.25">
      <c r="C405" s="215"/>
      <c r="D405" s="215"/>
      <c r="F405" s="184"/>
      <c r="G405" s="185"/>
      <c r="M405" s="184"/>
    </row>
    <row r="406" spans="3:13" x14ac:dyDescent="0.25">
      <c r="C406" s="215"/>
      <c r="D406" s="215"/>
      <c r="F406" s="184"/>
      <c r="G406" s="185"/>
      <c r="M406" s="184"/>
    </row>
    <row r="407" spans="3:13" x14ac:dyDescent="0.25">
      <c r="C407" s="215"/>
      <c r="D407" s="215"/>
      <c r="F407" s="184"/>
      <c r="G407" s="185"/>
      <c r="M407" s="184"/>
    </row>
    <row r="408" spans="3:13" x14ac:dyDescent="0.25">
      <c r="C408" s="215"/>
      <c r="D408" s="215"/>
      <c r="F408" s="184"/>
      <c r="G408" s="185"/>
      <c r="M408" s="184"/>
    </row>
    <row r="409" spans="3:13" x14ac:dyDescent="0.25">
      <c r="C409" s="215"/>
      <c r="D409" s="215"/>
      <c r="F409" s="184"/>
      <c r="G409" s="185"/>
      <c r="M409" s="184"/>
    </row>
    <row r="410" spans="3:13" x14ac:dyDescent="0.25">
      <c r="C410" s="215"/>
      <c r="D410" s="215"/>
      <c r="F410" s="184"/>
      <c r="G410" s="185"/>
      <c r="M410" s="184"/>
    </row>
    <row r="411" spans="3:13" x14ac:dyDescent="0.25">
      <c r="C411" s="215"/>
      <c r="D411" s="215"/>
      <c r="F411" s="184"/>
      <c r="G411" s="185"/>
      <c r="M411" s="184"/>
    </row>
    <row r="412" spans="3:13" x14ac:dyDescent="0.25">
      <c r="C412" s="215"/>
      <c r="D412" s="215"/>
      <c r="F412" s="184"/>
      <c r="G412" s="185"/>
      <c r="M412" s="184"/>
    </row>
    <row r="413" spans="3:13" x14ac:dyDescent="0.25">
      <c r="C413" s="215"/>
      <c r="D413" s="215"/>
      <c r="F413" s="184"/>
      <c r="G413" s="185"/>
      <c r="M413" s="184"/>
    </row>
    <row r="414" spans="3:13" x14ac:dyDescent="0.25">
      <c r="C414" s="215"/>
      <c r="D414" s="215"/>
      <c r="F414" s="184"/>
      <c r="G414" s="185"/>
      <c r="M414" s="184"/>
    </row>
    <row r="415" spans="3:13" x14ac:dyDescent="0.25">
      <c r="C415" s="215"/>
      <c r="D415" s="215"/>
      <c r="F415" s="184"/>
      <c r="G415" s="185"/>
      <c r="M415" s="184"/>
    </row>
    <row r="416" spans="3:13" x14ac:dyDescent="0.25">
      <c r="C416" s="215"/>
      <c r="D416" s="215"/>
      <c r="F416" s="184"/>
      <c r="G416" s="185"/>
      <c r="M416" s="184"/>
    </row>
    <row r="417" spans="3:13" x14ac:dyDescent="0.25">
      <c r="C417" s="215"/>
      <c r="D417" s="215"/>
      <c r="F417" s="184"/>
      <c r="G417" s="185"/>
      <c r="M417" s="184"/>
    </row>
    <row r="418" spans="3:13" x14ac:dyDescent="0.25">
      <c r="C418" s="215"/>
      <c r="D418" s="215"/>
      <c r="F418" s="184"/>
      <c r="G418" s="185"/>
      <c r="M418" s="184"/>
    </row>
    <row r="419" spans="3:13" x14ac:dyDescent="0.25">
      <c r="C419" s="215"/>
      <c r="D419" s="215"/>
      <c r="F419" s="184"/>
      <c r="G419" s="185"/>
      <c r="M419" s="184"/>
    </row>
    <row r="420" spans="3:13" x14ac:dyDescent="0.25">
      <c r="C420" s="215"/>
      <c r="D420" s="215"/>
      <c r="F420" s="184"/>
      <c r="G420" s="185"/>
      <c r="M420" s="184"/>
    </row>
    <row r="421" spans="3:13" x14ac:dyDescent="0.25">
      <c r="C421" s="215"/>
      <c r="D421" s="215"/>
      <c r="F421" s="184"/>
      <c r="G421" s="185"/>
      <c r="M421" s="184"/>
    </row>
    <row r="422" spans="3:13" x14ac:dyDescent="0.25">
      <c r="C422" s="215"/>
      <c r="D422" s="215"/>
      <c r="F422" s="184"/>
      <c r="G422" s="185"/>
      <c r="M422" s="184"/>
    </row>
    <row r="423" spans="3:13" x14ac:dyDescent="0.25">
      <c r="C423" s="215"/>
      <c r="D423" s="215"/>
      <c r="F423" s="184"/>
      <c r="G423" s="185"/>
      <c r="M423" s="184"/>
    </row>
    <row r="424" spans="3:13" x14ac:dyDescent="0.25">
      <c r="C424" s="215"/>
      <c r="D424" s="215"/>
      <c r="F424" s="184"/>
      <c r="G424" s="185"/>
      <c r="M424" s="184"/>
    </row>
    <row r="425" spans="3:13" x14ac:dyDescent="0.25">
      <c r="C425" s="215"/>
      <c r="D425" s="215"/>
      <c r="F425" s="184"/>
      <c r="G425" s="185"/>
      <c r="M425" s="184"/>
    </row>
    <row r="426" spans="3:13" x14ac:dyDescent="0.25">
      <c r="C426" s="215"/>
      <c r="D426" s="215"/>
      <c r="F426" s="184"/>
      <c r="G426" s="185"/>
      <c r="M426" s="184"/>
    </row>
    <row r="427" spans="3:13" x14ac:dyDescent="0.25">
      <c r="C427" s="215"/>
      <c r="D427" s="215"/>
      <c r="F427" s="184"/>
      <c r="G427" s="185"/>
      <c r="M427" s="184"/>
    </row>
    <row r="428" spans="3:13" x14ac:dyDescent="0.25">
      <c r="C428" s="215"/>
      <c r="D428" s="215"/>
      <c r="F428" s="184"/>
      <c r="G428" s="185"/>
      <c r="M428" s="184"/>
    </row>
    <row r="429" spans="3:13" x14ac:dyDescent="0.25">
      <c r="C429" s="215"/>
      <c r="D429" s="215"/>
      <c r="F429" s="184"/>
      <c r="G429" s="185"/>
      <c r="M429" s="184"/>
    </row>
    <row r="430" spans="3:13" x14ac:dyDescent="0.25">
      <c r="C430" s="215"/>
      <c r="D430" s="215"/>
      <c r="F430" s="184"/>
      <c r="G430" s="185"/>
      <c r="M430" s="184"/>
    </row>
    <row r="431" spans="3:13" x14ac:dyDescent="0.25">
      <c r="C431" s="215"/>
      <c r="D431" s="215"/>
      <c r="F431" s="184"/>
      <c r="G431" s="185"/>
      <c r="M431" s="184"/>
    </row>
    <row r="432" spans="3:13" x14ac:dyDescent="0.25">
      <c r="C432" s="215"/>
      <c r="D432" s="215"/>
      <c r="F432" s="184"/>
      <c r="G432" s="185"/>
      <c r="M432" s="184"/>
    </row>
    <row r="433" spans="3:13" x14ac:dyDescent="0.25">
      <c r="C433" s="215"/>
      <c r="D433" s="215"/>
      <c r="F433" s="184"/>
      <c r="G433" s="185"/>
      <c r="M433" s="184"/>
    </row>
    <row r="434" spans="3:13" x14ac:dyDescent="0.25">
      <c r="C434" s="215"/>
      <c r="D434" s="215"/>
      <c r="F434" s="184"/>
      <c r="G434" s="185"/>
      <c r="M434" s="184"/>
    </row>
    <row r="435" spans="3:13" x14ac:dyDescent="0.25">
      <c r="C435" s="215"/>
      <c r="D435" s="215"/>
      <c r="F435" s="184"/>
      <c r="G435" s="185"/>
      <c r="M435" s="184"/>
    </row>
    <row r="436" spans="3:13" x14ac:dyDescent="0.25">
      <c r="C436" s="215"/>
      <c r="D436" s="215"/>
      <c r="F436" s="184"/>
      <c r="G436" s="185"/>
      <c r="M436" s="184"/>
    </row>
    <row r="437" spans="3:13" x14ac:dyDescent="0.25">
      <c r="C437" s="215"/>
      <c r="D437" s="215"/>
      <c r="F437" s="184"/>
      <c r="G437" s="185"/>
      <c r="M437" s="184"/>
    </row>
    <row r="438" spans="3:13" x14ac:dyDescent="0.25">
      <c r="C438" s="215"/>
      <c r="D438" s="215"/>
      <c r="F438" s="184"/>
      <c r="G438" s="185"/>
      <c r="M438" s="184"/>
    </row>
    <row r="439" spans="3:13" x14ac:dyDescent="0.25">
      <c r="C439" s="215"/>
      <c r="D439" s="215"/>
      <c r="F439" s="184"/>
      <c r="G439" s="185"/>
      <c r="M439" s="184"/>
    </row>
    <row r="440" spans="3:13" x14ac:dyDescent="0.25">
      <c r="C440" s="215"/>
      <c r="D440" s="215"/>
      <c r="F440" s="184"/>
      <c r="G440" s="185"/>
      <c r="M440" s="184"/>
    </row>
    <row r="441" spans="3:13" x14ac:dyDescent="0.25">
      <c r="C441" s="215"/>
      <c r="D441" s="215"/>
      <c r="F441" s="184"/>
      <c r="G441" s="185"/>
      <c r="M441" s="184"/>
    </row>
    <row r="442" spans="3:13" x14ac:dyDescent="0.25">
      <c r="C442" s="215"/>
      <c r="D442" s="215"/>
      <c r="F442" s="184"/>
      <c r="G442" s="185"/>
      <c r="M442" s="184"/>
    </row>
    <row r="443" spans="3:13" x14ac:dyDescent="0.25">
      <c r="C443" s="215"/>
      <c r="D443" s="215"/>
      <c r="F443" s="184"/>
      <c r="G443" s="185"/>
      <c r="M443" s="184"/>
    </row>
    <row r="444" spans="3:13" x14ac:dyDescent="0.25">
      <c r="C444" s="215"/>
      <c r="D444" s="215"/>
      <c r="F444" s="184"/>
      <c r="G444" s="185"/>
      <c r="M444" s="184"/>
    </row>
    <row r="445" spans="3:13" x14ac:dyDescent="0.25">
      <c r="C445" s="215"/>
      <c r="D445" s="215"/>
      <c r="F445" s="184"/>
      <c r="G445" s="185"/>
      <c r="M445" s="184"/>
    </row>
    <row r="446" spans="3:13" x14ac:dyDescent="0.25">
      <c r="C446" s="215"/>
      <c r="D446" s="215"/>
      <c r="F446" s="184"/>
      <c r="G446" s="185"/>
      <c r="M446" s="184"/>
    </row>
    <row r="447" spans="3:13" x14ac:dyDescent="0.25">
      <c r="C447" s="215"/>
      <c r="D447" s="215"/>
      <c r="F447" s="184"/>
      <c r="G447" s="185"/>
      <c r="M447" s="184"/>
    </row>
    <row r="448" spans="3:13" x14ac:dyDescent="0.25">
      <c r="C448" s="215"/>
      <c r="D448" s="215"/>
      <c r="F448" s="184"/>
      <c r="G448" s="185"/>
      <c r="M448" s="184"/>
    </row>
    <row r="449" spans="3:13" x14ac:dyDescent="0.25">
      <c r="C449" s="215"/>
      <c r="D449" s="215"/>
      <c r="F449" s="184"/>
      <c r="G449" s="185"/>
      <c r="M449" s="184"/>
    </row>
    <row r="450" spans="3:13" x14ac:dyDescent="0.25">
      <c r="C450" s="215"/>
      <c r="D450" s="215"/>
      <c r="F450" s="184"/>
      <c r="G450" s="185"/>
      <c r="M450" s="184"/>
    </row>
    <row r="451" spans="3:13" x14ac:dyDescent="0.25">
      <c r="C451" s="215"/>
      <c r="D451" s="215"/>
      <c r="F451" s="184"/>
      <c r="G451" s="185"/>
      <c r="M451" s="184"/>
    </row>
    <row r="452" spans="3:13" x14ac:dyDescent="0.25">
      <c r="C452" s="215"/>
      <c r="D452" s="215"/>
      <c r="F452" s="184"/>
      <c r="G452" s="185"/>
      <c r="M452" s="184"/>
    </row>
    <row r="453" spans="3:13" x14ac:dyDescent="0.25">
      <c r="C453" s="215"/>
      <c r="D453" s="215"/>
      <c r="F453" s="184"/>
      <c r="G453" s="185"/>
      <c r="M453" s="184"/>
    </row>
    <row r="454" spans="3:13" x14ac:dyDescent="0.25">
      <c r="C454" s="215"/>
      <c r="D454" s="215"/>
      <c r="F454" s="184"/>
      <c r="G454" s="185"/>
      <c r="M454" s="184"/>
    </row>
    <row r="455" spans="3:13" x14ac:dyDescent="0.25">
      <c r="C455" s="215"/>
      <c r="D455" s="215"/>
      <c r="F455" s="184"/>
      <c r="G455" s="185"/>
      <c r="M455" s="184"/>
    </row>
    <row r="456" spans="3:13" x14ac:dyDescent="0.25">
      <c r="C456" s="215"/>
      <c r="D456" s="215"/>
      <c r="F456" s="184"/>
      <c r="G456" s="185"/>
      <c r="M456" s="184"/>
    </row>
    <row r="457" spans="3:13" x14ac:dyDescent="0.25">
      <c r="C457" s="215"/>
      <c r="D457" s="215"/>
      <c r="F457" s="184"/>
      <c r="G457" s="185"/>
      <c r="M457" s="184"/>
    </row>
    <row r="458" spans="3:13" x14ac:dyDescent="0.25">
      <c r="C458" s="215"/>
      <c r="D458" s="215"/>
      <c r="F458" s="184"/>
      <c r="G458" s="185"/>
      <c r="M458" s="184"/>
    </row>
    <row r="459" spans="3:13" x14ac:dyDescent="0.25">
      <c r="C459" s="215"/>
      <c r="D459" s="215"/>
      <c r="F459" s="184"/>
      <c r="G459" s="185"/>
      <c r="M459" s="184"/>
    </row>
    <row r="460" spans="3:13" x14ac:dyDescent="0.25">
      <c r="C460" s="215"/>
      <c r="D460" s="215"/>
      <c r="F460" s="184"/>
      <c r="G460" s="185"/>
      <c r="M460" s="184"/>
    </row>
    <row r="461" spans="3:13" x14ac:dyDescent="0.25">
      <c r="C461" s="215"/>
      <c r="D461" s="215"/>
      <c r="F461" s="184"/>
      <c r="G461" s="185"/>
      <c r="M461" s="184"/>
    </row>
    <row r="462" spans="3:13" x14ac:dyDescent="0.25">
      <c r="C462" s="215"/>
      <c r="D462" s="215"/>
      <c r="F462" s="184"/>
      <c r="G462" s="185"/>
      <c r="M462" s="184"/>
    </row>
    <row r="463" spans="3:13" x14ac:dyDescent="0.25">
      <c r="C463" s="215"/>
      <c r="D463" s="215"/>
      <c r="F463" s="184"/>
      <c r="G463" s="185"/>
      <c r="M463" s="184"/>
    </row>
    <row r="464" spans="3:13" x14ac:dyDescent="0.25">
      <c r="C464" s="215"/>
      <c r="D464" s="215"/>
      <c r="F464" s="184"/>
      <c r="G464" s="185"/>
      <c r="M464" s="184"/>
    </row>
    <row r="465" spans="3:13" x14ac:dyDescent="0.25">
      <c r="C465" s="215"/>
      <c r="D465" s="215"/>
      <c r="F465" s="184"/>
      <c r="G465" s="185"/>
      <c r="M465" s="184"/>
    </row>
    <row r="466" spans="3:13" x14ac:dyDescent="0.25">
      <c r="C466" s="215"/>
      <c r="D466" s="215"/>
      <c r="F466" s="184"/>
      <c r="G466" s="185"/>
      <c r="M466" s="184"/>
    </row>
    <row r="467" spans="3:13" x14ac:dyDescent="0.25">
      <c r="C467" s="215"/>
      <c r="D467" s="215"/>
      <c r="F467" s="184"/>
      <c r="G467" s="185"/>
      <c r="M467" s="184"/>
    </row>
    <row r="468" spans="3:13" x14ac:dyDescent="0.25">
      <c r="C468" s="215"/>
      <c r="D468" s="215"/>
      <c r="F468" s="184"/>
      <c r="G468" s="185"/>
      <c r="M468" s="184"/>
    </row>
    <row r="469" spans="3:13" x14ac:dyDescent="0.25">
      <c r="C469" s="215"/>
      <c r="D469" s="215"/>
      <c r="F469" s="184"/>
      <c r="G469" s="185"/>
      <c r="M469" s="184"/>
    </row>
    <row r="470" spans="3:13" x14ac:dyDescent="0.25">
      <c r="C470" s="215"/>
      <c r="D470" s="215"/>
      <c r="F470" s="184"/>
      <c r="G470" s="185"/>
      <c r="M470" s="184"/>
    </row>
    <row r="471" spans="3:13" x14ac:dyDescent="0.25">
      <c r="C471" s="215"/>
      <c r="D471" s="215"/>
      <c r="F471" s="184"/>
      <c r="G471" s="185"/>
      <c r="M471" s="184"/>
    </row>
    <row r="472" spans="3:13" x14ac:dyDescent="0.25">
      <c r="C472" s="215"/>
      <c r="D472" s="215"/>
      <c r="F472" s="184"/>
      <c r="G472" s="185"/>
      <c r="M472" s="184"/>
    </row>
    <row r="473" spans="3:13" x14ac:dyDescent="0.25">
      <c r="C473" s="215"/>
      <c r="D473" s="215"/>
      <c r="F473" s="184"/>
      <c r="G473" s="185"/>
      <c r="M473" s="184"/>
    </row>
    <row r="474" spans="3:13" x14ac:dyDescent="0.25">
      <c r="C474" s="215"/>
      <c r="D474" s="215"/>
      <c r="F474" s="184"/>
      <c r="G474" s="185"/>
      <c r="M474" s="184"/>
    </row>
    <row r="475" spans="3:13" x14ac:dyDescent="0.25">
      <c r="C475" s="215"/>
      <c r="D475" s="215"/>
      <c r="F475" s="184"/>
      <c r="G475" s="185"/>
      <c r="M475" s="184"/>
    </row>
    <row r="476" spans="3:13" x14ac:dyDescent="0.25">
      <c r="C476" s="215"/>
      <c r="D476" s="215"/>
      <c r="F476" s="184"/>
      <c r="G476" s="185"/>
      <c r="M476" s="184"/>
    </row>
    <row r="477" spans="3:13" x14ac:dyDescent="0.25">
      <c r="C477" s="215"/>
      <c r="D477" s="215"/>
      <c r="F477" s="184"/>
      <c r="G477" s="185"/>
      <c r="M477" s="184"/>
    </row>
    <row r="478" spans="3:13" x14ac:dyDescent="0.25">
      <c r="C478" s="215"/>
      <c r="D478" s="215"/>
      <c r="F478" s="184"/>
      <c r="G478" s="185"/>
      <c r="M478" s="184"/>
    </row>
    <row r="479" spans="3:13" x14ac:dyDescent="0.25">
      <c r="C479" s="215"/>
      <c r="D479" s="215"/>
      <c r="F479" s="184"/>
      <c r="G479" s="185"/>
      <c r="M479" s="184"/>
    </row>
    <row r="480" spans="3:13" x14ac:dyDescent="0.25">
      <c r="C480" s="215"/>
      <c r="D480" s="215"/>
      <c r="F480" s="184"/>
      <c r="G480" s="185"/>
      <c r="M480" s="184"/>
    </row>
    <row r="481" spans="3:13" x14ac:dyDescent="0.25">
      <c r="C481" s="215"/>
      <c r="D481" s="215"/>
      <c r="F481" s="184"/>
      <c r="G481" s="185"/>
      <c r="M481" s="184"/>
    </row>
    <row r="482" spans="3:13" x14ac:dyDescent="0.25">
      <c r="C482" s="215"/>
      <c r="D482" s="215"/>
      <c r="F482" s="184"/>
      <c r="G482" s="185"/>
      <c r="M482" s="184"/>
    </row>
    <row r="483" spans="3:13" x14ac:dyDescent="0.25">
      <c r="C483" s="215"/>
      <c r="D483" s="215"/>
      <c r="F483" s="184"/>
      <c r="G483" s="185"/>
      <c r="M483" s="184"/>
    </row>
    <row r="484" spans="3:13" x14ac:dyDescent="0.25">
      <c r="C484" s="215"/>
      <c r="D484" s="215"/>
      <c r="F484" s="184"/>
      <c r="G484" s="185"/>
      <c r="M484" s="184"/>
    </row>
    <row r="485" spans="3:13" x14ac:dyDescent="0.25">
      <c r="C485" s="215"/>
      <c r="D485" s="215"/>
      <c r="F485" s="184"/>
      <c r="G485" s="185"/>
      <c r="M485" s="184"/>
    </row>
    <row r="486" spans="3:13" x14ac:dyDescent="0.25">
      <c r="C486" s="215"/>
      <c r="D486" s="215"/>
      <c r="F486" s="184"/>
      <c r="G486" s="185"/>
      <c r="M486" s="184"/>
    </row>
    <row r="487" spans="3:13" x14ac:dyDescent="0.25">
      <c r="C487" s="215"/>
      <c r="D487" s="215"/>
      <c r="F487" s="184"/>
      <c r="G487" s="185"/>
      <c r="M487" s="184"/>
    </row>
    <row r="488" spans="3:13" x14ac:dyDescent="0.25">
      <c r="C488" s="215"/>
      <c r="D488" s="215"/>
      <c r="F488" s="184"/>
      <c r="G488" s="185"/>
      <c r="M488" s="184"/>
    </row>
    <row r="489" spans="3:13" x14ac:dyDescent="0.25">
      <c r="C489" s="215"/>
      <c r="D489" s="215"/>
      <c r="F489" s="184"/>
      <c r="G489" s="185"/>
      <c r="M489" s="184"/>
    </row>
    <row r="490" spans="3:13" x14ac:dyDescent="0.25">
      <c r="C490" s="215"/>
      <c r="D490" s="215"/>
      <c r="F490" s="184"/>
      <c r="G490" s="185"/>
      <c r="M490" s="184"/>
    </row>
    <row r="491" spans="3:13" x14ac:dyDescent="0.25">
      <c r="C491" s="215"/>
      <c r="D491" s="215"/>
      <c r="F491" s="184"/>
      <c r="G491" s="185"/>
      <c r="M491" s="184"/>
    </row>
    <row r="492" spans="3:13" x14ac:dyDescent="0.25">
      <c r="C492" s="215"/>
      <c r="D492" s="215"/>
      <c r="F492" s="184"/>
      <c r="G492" s="185"/>
      <c r="M492" s="184"/>
    </row>
    <row r="493" spans="3:13" x14ac:dyDescent="0.25">
      <c r="C493" s="215"/>
      <c r="D493" s="215"/>
      <c r="F493" s="184"/>
      <c r="G493" s="185"/>
      <c r="M493" s="184"/>
    </row>
    <row r="494" spans="3:13" x14ac:dyDescent="0.25">
      <c r="C494" s="215"/>
      <c r="D494" s="215"/>
      <c r="F494" s="184"/>
      <c r="G494" s="185"/>
      <c r="M494" s="184"/>
    </row>
    <row r="495" spans="3:13" x14ac:dyDescent="0.25">
      <c r="C495" s="215"/>
      <c r="D495" s="215"/>
      <c r="F495" s="184"/>
      <c r="G495" s="185"/>
      <c r="M495" s="184"/>
    </row>
    <row r="496" spans="3:13" x14ac:dyDescent="0.25">
      <c r="C496" s="215"/>
      <c r="D496" s="215"/>
      <c r="F496" s="184"/>
      <c r="G496" s="185"/>
      <c r="M496" s="184"/>
    </row>
    <row r="497" spans="3:13" x14ac:dyDescent="0.25">
      <c r="C497" s="215"/>
      <c r="D497" s="215"/>
      <c r="F497" s="184"/>
      <c r="G497" s="185"/>
      <c r="M497" s="184"/>
    </row>
    <row r="498" spans="3:13" x14ac:dyDescent="0.25">
      <c r="C498" s="215"/>
      <c r="D498" s="215"/>
      <c r="F498" s="184"/>
      <c r="G498" s="185"/>
      <c r="M498" s="184"/>
    </row>
    <row r="499" spans="3:13" x14ac:dyDescent="0.25">
      <c r="C499" s="215"/>
      <c r="D499" s="215"/>
      <c r="F499" s="184"/>
      <c r="G499" s="185"/>
      <c r="M499" s="184"/>
    </row>
    <row r="500" spans="3:13" x14ac:dyDescent="0.25">
      <c r="C500" s="215"/>
      <c r="D500" s="215"/>
      <c r="F500" s="184"/>
      <c r="G500" s="185"/>
      <c r="M500" s="184"/>
    </row>
    <row r="501" spans="3:13" x14ac:dyDescent="0.25">
      <c r="C501" s="215"/>
      <c r="D501" s="215"/>
      <c r="F501" s="184"/>
      <c r="G501" s="185"/>
      <c r="M501" s="184"/>
    </row>
    <row r="502" spans="3:13" x14ac:dyDescent="0.25">
      <c r="C502" s="215"/>
      <c r="D502" s="215"/>
      <c r="F502" s="184"/>
      <c r="G502" s="185"/>
      <c r="M502" s="184"/>
    </row>
    <row r="503" spans="3:13" x14ac:dyDescent="0.25">
      <c r="C503" s="215"/>
      <c r="D503" s="215"/>
      <c r="F503" s="184"/>
      <c r="G503" s="185"/>
      <c r="M503" s="184"/>
    </row>
    <row r="504" spans="3:13" x14ac:dyDescent="0.25">
      <c r="C504" s="215"/>
      <c r="D504" s="215"/>
      <c r="F504" s="184"/>
      <c r="G504" s="185"/>
      <c r="M504" s="184"/>
    </row>
    <row r="505" spans="3:13" x14ac:dyDescent="0.25">
      <c r="C505" s="215"/>
      <c r="D505" s="215"/>
      <c r="F505" s="184"/>
      <c r="G505" s="185"/>
      <c r="M505" s="184"/>
    </row>
    <row r="506" spans="3:13" x14ac:dyDescent="0.25">
      <c r="C506" s="215"/>
      <c r="D506" s="215"/>
      <c r="F506" s="184"/>
      <c r="G506" s="185"/>
      <c r="M506" s="184"/>
    </row>
    <row r="507" spans="3:13" x14ac:dyDescent="0.25">
      <c r="C507" s="215"/>
      <c r="D507" s="215"/>
      <c r="F507" s="184"/>
      <c r="G507" s="185"/>
      <c r="M507" s="184"/>
    </row>
    <row r="508" spans="3:13" x14ac:dyDescent="0.25">
      <c r="C508" s="215"/>
      <c r="D508" s="215"/>
      <c r="F508" s="184"/>
      <c r="G508" s="185"/>
      <c r="M508" s="184"/>
    </row>
    <row r="509" spans="3:13" x14ac:dyDescent="0.25">
      <c r="C509" s="215"/>
      <c r="D509" s="215"/>
      <c r="F509" s="184"/>
      <c r="G509" s="185"/>
      <c r="M509" s="184"/>
    </row>
    <row r="510" spans="3:13" x14ac:dyDescent="0.25">
      <c r="C510" s="215"/>
      <c r="D510" s="215"/>
      <c r="F510" s="184"/>
      <c r="G510" s="185"/>
      <c r="M510" s="184"/>
    </row>
    <row r="511" spans="3:13" x14ac:dyDescent="0.25">
      <c r="C511" s="215"/>
      <c r="D511" s="215"/>
      <c r="F511" s="184"/>
      <c r="G511" s="185"/>
      <c r="M511" s="184"/>
    </row>
    <row r="512" spans="3:13" x14ac:dyDescent="0.25">
      <c r="C512" s="215"/>
      <c r="D512" s="215"/>
      <c r="F512" s="184"/>
      <c r="G512" s="185"/>
      <c r="M512" s="184"/>
    </row>
    <row r="513" spans="3:13" x14ac:dyDescent="0.25">
      <c r="C513" s="215"/>
      <c r="D513" s="215"/>
      <c r="F513" s="184"/>
      <c r="G513" s="185"/>
      <c r="M513" s="184"/>
    </row>
    <row r="514" spans="3:13" x14ac:dyDescent="0.25">
      <c r="C514" s="215"/>
      <c r="D514" s="215"/>
      <c r="F514" s="184"/>
      <c r="G514" s="185"/>
      <c r="M514" s="184"/>
    </row>
    <row r="515" spans="3:13" x14ac:dyDescent="0.25">
      <c r="C515" s="215"/>
      <c r="D515" s="215"/>
      <c r="F515" s="184"/>
      <c r="G515" s="185"/>
      <c r="M515" s="184"/>
    </row>
    <row r="516" spans="3:13" x14ac:dyDescent="0.25">
      <c r="C516" s="215"/>
      <c r="D516" s="215"/>
      <c r="F516" s="184"/>
      <c r="G516" s="185"/>
      <c r="M516" s="184"/>
    </row>
    <row r="517" spans="3:13" x14ac:dyDescent="0.25">
      <c r="C517" s="215"/>
      <c r="D517" s="215"/>
      <c r="F517" s="184"/>
      <c r="G517" s="185"/>
      <c r="M517" s="184"/>
    </row>
    <row r="518" spans="3:13" x14ac:dyDescent="0.25">
      <c r="C518" s="215"/>
      <c r="D518" s="215"/>
      <c r="F518" s="184"/>
      <c r="G518" s="185"/>
      <c r="M518" s="184"/>
    </row>
    <row r="519" spans="3:13" x14ac:dyDescent="0.25">
      <c r="C519" s="215"/>
      <c r="D519" s="215"/>
      <c r="F519" s="184"/>
      <c r="G519" s="185"/>
      <c r="M519" s="184"/>
    </row>
    <row r="520" spans="3:13" x14ac:dyDescent="0.25">
      <c r="C520" s="215"/>
      <c r="D520" s="215"/>
      <c r="F520" s="184"/>
      <c r="G520" s="185"/>
      <c r="M520" s="184"/>
    </row>
    <row r="521" spans="3:13" x14ac:dyDescent="0.25">
      <c r="C521" s="215"/>
      <c r="D521" s="215"/>
      <c r="F521" s="184"/>
      <c r="G521" s="185"/>
      <c r="M521" s="184"/>
    </row>
    <row r="522" spans="3:13" x14ac:dyDescent="0.25">
      <c r="C522" s="215"/>
      <c r="D522" s="215"/>
      <c r="F522" s="184"/>
      <c r="G522" s="185"/>
      <c r="M522" s="184"/>
    </row>
    <row r="523" spans="3:13" x14ac:dyDescent="0.25">
      <c r="C523" s="215"/>
      <c r="D523" s="215"/>
      <c r="F523" s="184"/>
      <c r="G523" s="185"/>
      <c r="M523" s="184"/>
    </row>
    <row r="524" spans="3:13" x14ac:dyDescent="0.25">
      <c r="C524" s="215"/>
      <c r="D524" s="215"/>
      <c r="F524" s="184"/>
      <c r="G524" s="185"/>
      <c r="M524" s="184"/>
    </row>
    <row r="525" spans="3:13" x14ac:dyDescent="0.25">
      <c r="C525" s="215"/>
      <c r="D525" s="215"/>
      <c r="F525" s="184"/>
      <c r="G525" s="185"/>
      <c r="M525" s="184"/>
    </row>
    <row r="526" spans="3:13" x14ac:dyDescent="0.25">
      <c r="C526" s="215"/>
      <c r="D526" s="215"/>
      <c r="F526" s="184"/>
      <c r="G526" s="185"/>
      <c r="M526" s="184"/>
    </row>
    <row r="527" spans="3:13" x14ac:dyDescent="0.25">
      <c r="C527" s="215"/>
      <c r="D527" s="215"/>
      <c r="F527" s="184"/>
      <c r="G527" s="185"/>
      <c r="M527" s="184"/>
    </row>
    <row r="528" spans="3:13" x14ac:dyDescent="0.25">
      <c r="C528" s="215"/>
      <c r="D528" s="215"/>
      <c r="F528" s="184"/>
      <c r="G528" s="185"/>
      <c r="M528" s="184"/>
    </row>
    <row r="529" spans="3:13" x14ac:dyDescent="0.25">
      <c r="C529" s="215"/>
      <c r="D529" s="215"/>
      <c r="F529" s="184"/>
      <c r="G529" s="185"/>
      <c r="M529" s="184"/>
    </row>
    <row r="530" spans="3:13" x14ac:dyDescent="0.25">
      <c r="C530" s="215"/>
      <c r="D530" s="215"/>
      <c r="F530" s="184"/>
      <c r="G530" s="185"/>
      <c r="M530" s="184"/>
    </row>
    <row r="531" spans="3:13" x14ac:dyDescent="0.25">
      <c r="C531" s="215"/>
      <c r="D531" s="215"/>
      <c r="F531" s="184"/>
      <c r="G531" s="185"/>
      <c r="M531" s="184"/>
    </row>
    <row r="532" spans="3:13" x14ac:dyDescent="0.25">
      <c r="C532" s="215"/>
      <c r="D532" s="215"/>
      <c r="F532" s="184"/>
      <c r="G532" s="185"/>
      <c r="M532" s="184"/>
    </row>
    <row r="533" spans="3:13" x14ac:dyDescent="0.25">
      <c r="C533" s="215"/>
      <c r="D533" s="215"/>
      <c r="F533" s="184"/>
      <c r="G533" s="185"/>
      <c r="M533" s="184"/>
    </row>
    <row r="534" spans="3:13" x14ac:dyDescent="0.25">
      <c r="C534" s="215"/>
      <c r="D534" s="215"/>
      <c r="F534" s="184"/>
      <c r="G534" s="185"/>
      <c r="M534" s="184"/>
    </row>
    <row r="535" spans="3:13" x14ac:dyDescent="0.25">
      <c r="C535" s="215"/>
      <c r="D535" s="215"/>
      <c r="F535" s="184"/>
      <c r="G535" s="185"/>
      <c r="M535" s="184"/>
    </row>
    <row r="536" spans="3:13" x14ac:dyDescent="0.25">
      <c r="C536" s="215"/>
      <c r="D536" s="215"/>
      <c r="F536" s="184"/>
      <c r="G536" s="185"/>
      <c r="M536" s="184"/>
    </row>
    <row r="537" spans="3:13" x14ac:dyDescent="0.25">
      <c r="C537" s="215"/>
      <c r="D537" s="215"/>
      <c r="F537" s="184"/>
      <c r="G537" s="185"/>
      <c r="M537" s="184"/>
    </row>
    <row r="538" spans="3:13" x14ac:dyDescent="0.25">
      <c r="C538" s="215"/>
      <c r="D538" s="215"/>
      <c r="F538" s="184"/>
      <c r="G538" s="185"/>
      <c r="M538" s="184"/>
    </row>
    <row r="539" spans="3:13" x14ac:dyDescent="0.25">
      <c r="C539" s="215"/>
      <c r="D539" s="215"/>
      <c r="F539" s="184"/>
      <c r="G539" s="185"/>
      <c r="M539" s="184"/>
    </row>
    <row r="540" spans="3:13" x14ac:dyDescent="0.25">
      <c r="C540" s="215"/>
      <c r="D540" s="215"/>
      <c r="F540" s="184"/>
      <c r="G540" s="185"/>
      <c r="M540" s="184"/>
    </row>
    <row r="541" spans="3:13" x14ac:dyDescent="0.25">
      <c r="C541" s="215"/>
      <c r="D541" s="215"/>
      <c r="F541" s="184"/>
      <c r="G541" s="185"/>
      <c r="M541" s="184"/>
    </row>
    <row r="542" spans="3:13" x14ac:dyDescent="0.25">
      <c r="C542" s="215"/>
      <c r="D542" s="215"/>
      <c r="F542" s="184"/>
      <c r="G542" s="185"/>
      <c r="M542" s="184"/>
    </row>
    <row r="543" spans="3:13" x14ac:dyDescent="0.25">
      <c r="C543" s="215"/>
      <c r="D543" s="215"/>
      <c r="F543" s="184"/>
      <c r="G543" s="185"/>
      <c r="M543" s="184"/>
    </row>
    <row r="544" spans="3:13" x14ac:dyDescent="0.25">
      <c r="C544" s="215"/>
      <c r="D544" s="215"/>
      <c r="F544" s="184"/>
      <c r="G544" s="185"/>
      <c r="M544" s="184"/>
    </row>
    <row r="545" spans="3:13" x14ac:dyDescent="0.25">
      <c r="C545" s="215"/>
      <c r="D545" s="215"/>
      <c r="F545" s="184"/>
      <c r="G545" s="185"/>
      <c r="M545" s="184"/>
    </row>
    <row r="546" spans="3:13" x14ac:dyDescent="0.25">
      <c r="C546" s="215"/>
      <c r="D546" s="215"/>
      <c r="F546" s="184"/>
      <c r="G546" s="185"/>
      <c r="M546" s="184"/>
    </row>
    <row r="547" spans="3:13" x14ac:dyDescent="0.25">
      <c r="C547" s="215"/>
      <c r="D547" s="215"/>
      <c r="F547" s="184"/>
      <c r="G547" s="185"/>
      <c r="M547" s="184"/>
    </row>
    <row r="548" spans="3:13" x14ac:dyDescent="0.25">
      <c r="C548" s="215"/>
      <c r="D548" s="215"/>
      <c r="F548" s="184"/>
      <c r="G548" s="185"/>
      <c r="M548" s="184"/>
    </row>
    <row r="549" spans="3:13" x14ac:dyDescent="0.25">
      <c r="C549" s="215"/>
      <c r="D549" s="215"/>
      <c r="F549" s="184"/>
      <c r="G549" s="185"/>
      <c r="M549" s="184"/>
    </row>
    <row r="550" spans="3:13" x14ac:dyDescent="0.25">
      <c r="C550" s="215"/>
      <c r="D550" s="215"/>
      <c r="F550" s="184"/>
      <c r="G550" s="185"/>
      <c r="M550" s="184"/>
    </row>
    <row r="551" spans="3:13" x14ac:dyDescent="0.25">
      <c r="C551" s="215"/>
      <c r="D551" s="215"/>
      <c r="F551" s="184"/>
      <c r="G551" s="185"/>
      <c r="M551" s="184"/>
    </row>
    <row r="552" spans="3:13" x14ac:dyDescent="0.25">
      <c r="C552" s="215"/>
      <c r="D552" s="215"/>
      <c r="F552" s="184"/>
      <c r="G552" s="185"/>
      <c r="M552" s="184"/>
    </row>
    <row r="553" spans="3:13" x14ac:dyDescent="0.25">
      <c r="C553" s="215"/>
      <c r="D553" s="215"/>
      <c r="F553" s="184"/>
      <c r="G553" s="185"/>
      <c r="M553" s="184"/>
    </row>
    <row r="554" spans="3:13" x14ac:dyDescent="0.25">
      <c r="C554" s="215"/>
      <c r="D554" s="215"/>
      <c r="F554" s="184"/>
      <c r="G554" s="185"/>
      <c r="M554" s="184"/>
    </row>
    <row r="555" spans="3:13" x14ac:dyDescent="0.25">
      <c r="C555" s="215"/>
      <c r="D555" s="215"/>
      <c r="F555" s="184"/>
      <c r="G555" s="185"/>
      <c r="M555" s="184"/>
    </row>
    <row r="556" spans="3:13" x14ac:dyDescent="0.25">
      <c r="C556" s="215"/>
      <c r="D556" s="215"/>
      <c r="F556" s="184"/>
      <c r="G556" s="185"/>
      <c r="M556" s="184"/>
    </row>
    <row r="557" spans="3:13" x14ac:dyDescent="0.25">
      <c r="C557" s="215"/>
      <c r="D557" s="215"/>
      <c r="F557" s="184"/>
      <c r="G557" s="185"/>
      <c r="M557" s="184"/>
    </row>
    <row r="558" spans="3:13" x14ac:dyDescent="0.25">
      <c r="C558" s="215"/>
      <c r="D558" s="215"/>
      <c r="F558" s="184"/>
      <c r="G558" s="185"/>
      <c r="M558" s="184"/>
    </row>
    <row r="559" spans="3:13" x14ac:dyDescent="0.25">
      <c r="C559" s="215"/>
      <c r="D559" s="215"/>
      <c r="F559" s="184"/>
      <c r="G559" s="185"/>
      <c r="M559" s="184"/>
    </row>
    <row r="560" spans="3:13" x14ac:dyDescent="0.25">
      <c r="C560" s="215"/>
      <c r="D560" s="215"/>
      <c r="F560" s="184"/>
      <c r="G560" s="185"/>
      <c r="M560" s="184"/>
    </row>
    <row r="561" spans="3:13" x14ac:dyDescent="0.25">
      <c r="C561" s="215"/>
      <c r="D561" s="215"/>
      <c r="F561" s="184"/>
      <c r="G561" s="185"/>
      <c r="M561" s="184"/>
    </row>
    <row r="562" spans="3:13" x14ac:dyDescent="0.25">
      <c r="C562" s="215"/>
      <c r="D562" s="215"/>
      <c r="F562" s="184"/>
      <c r="G562" s="185"/>
      <c r="M562" s="184"/>
    </row>
    <row r="563" spans="3:13" x14ac:dyDescent="0.25">
      <c r="C563" s="215"/>
      <c r="D563" s="215"/>
      <c r="F563" s="184"/>
      <c r="G563" s="185"/>
      <c r="M563" s="184"/>
    </row>
    <row r="564" spans="3:13" x14ac:dyDescent="0.25">
      <c r="C564" s="215"/>
      <c r="D564" s="215"/>
      <c r="F564" s="184"/>
      <c r="G564" s="185"/>
      <c r="M564" s="184"/>
    </row>
    <row r="565" spans="3:13" x14ac:dyDescent="0.25">
      <c r="C565" s="215"/>
      <c r="D565" s="215"/>
      <c r="F565" s="184"/>
      <c r="G565" s="185"/>
      <c r="M565" s="184"/>
    </row>
    <row r="566" spans="3:13" x14ac:dyDescent="0.25">
      <c r="C566" s="215"/>
      <c r="D566" s="215"/>
      <c r="F566" s="184"/>
      <c r="G566" s="185"/>
      <c r="M566" s="184"/>
    </row>
    <row r="567" spans="3:13" x14ac:dyDescent="0.25">
      <c r="C567" s="215"/>
      <c r="D567" s="215"/>
      <c r="F567" s="184"/>
      <c r="G567" s="185"/>
      <c r="M567" s="184"/>
    </row>
    <row r="568" spans="3:13" x14ac:dyDescent="0.25">
      <c r="C568" s="215"/>
      <c r="D568" s="215"/>
      <c r="F568" s="184"/>
      <c r="G568" s="185"/>
      <c r="M568" s="184"/>
    </row>
    <row r="569" spans="3:13" x14ac:dyDescent="0.25">
      <c r="C569" s="215"/>
      <c r="D569" s="215"/>
      <c r="F569" s="184"/>
      <c r="G569" s="185"/>
      <c r="M569" s="184"/>
    </row>
    <row r="570" spans="3:13" x14ac:dyDescent="0.25">
      <c r="C570" s="215"/>
      <c r="D570" s="215"/>
      <c r="F570" s="184"/>
      <c r="G570" s="185"/>
      <c r="M570" s="184"/>
    </row>
    <row r="571" spans="3:13" x14ac:dyDescent="0.25">
      <c r="C571" s="215"/>
      <c r="D571" s="215"/>
      <c r="F571" s="184"/>
      <c r="G571" s="185"/>
      <c r="M571" s="184"/>
    </row>
    <row r="572" spans="3:13" x14ac:dyDescent="0.25">
      <c r="C572" s="215"/>
      <c r="D572" s="215"/>
      <c r="F572" s="184"/>
      <c r="G572" s="185"/>
      <c r="M572" s="184"/>
    </row>
    <row r="573" spans="3:13" x14ac:dyDescent="0.25">
      <c r="C573" s="215"/>
      <c r="D573" s="215"/>
      <c r="F573" s="184"/>
      <c r="G573" s="185"/>
      <c r="M573" s="184"/>
    </row>
    <row r="574" spans="3:13" x14ac:dyDescent="0.25">
      <c r="C574" s="215"/>
      <c r="D574" s="215"/>
      <c r="F574" s="184"/>
      <c r="G574" s="185"/>
      <c r="M574" s="184"/>
    </row>
    <row r="575" spans="3:13" x14ac:dyDescent="0.25">
      <c r="C575" s="215"/>
      <c r="D575" s="215"/>
      <c r="F575" s="184"/>
      <c r="G575" s="185"/>
      <c r="M575" s="184"/>
    </row>
    <row r="576" spans="3:13" x14ac:dyDescent="0.25">
      <c r="C576" s="215"/>
      <c r="D576" s="215"/>
      <c r="F576" s="184"/>
      <c r="G576" s="185"/>
      <c r="M576" s="184"/>
    </row>
    <row r="577" spans="3:13" x14ac:dyDescent="0.25">
      <c r="C577" s="215"/>
      <c r="D577" s="215"/>
      <c r="F577" s="184"/>
      <c r="G577" s="185"/>
      <c r="M577" s="184"/>
    </row>
    <row r="578" spans="3:13" x14ac:dyDescent="0.25">
      <c r="C578" s="215"/>
      <c r="D578" s="215"/>
      <c r="F578" s="184"/>
      <c r="G578" s="185"/>
      <c r="M578" s="184"/>
    </row>
    <row r="579" spans="3:13" x14ac:dyDescent="0.25">
      <c r="C579" s="215"/>
      <c r="D579" s="215"/>
      <c r="F579" s="184"/>
      <c r="G579" s="185"/>
      <c r="M579" s="184"/>
    </row>
    <row r="580" spans="3:13" x14ac:dyDescent="0.25">
      <c r="C580" s="215"/>
      <c r="D580" s="215"/>
      <c r="F580" s="184"/>
      <c r="G580" s="185"/>
      <c r="M580" s="184"/>
    </row>
    <row r="581" spans="3:13" x14ac:dyDescent="0.25">
      <c r="C581" s="215"/>
      <c r="D581" s="215"/>
      <c r="F581" s="184"/>
      <c r="G581" s="185"/>
      <c r="M581" s="184"/>
    </row>
    <row r="582" spans="3:13" x14ac:dyDescent="0.25">
      <c r="C582" s="215"/>
      <c r="D582" s="215"/>
      <c r="F582" s="184"/>
      <c r="G582" s="185"/>
      <c r="M582" s="184"/>
    </row>
    <row r="583" spans="3:13" x14ac:dyDescent="0.25">
      <c r="C583" s="215"/>
      <c r="D583" s="215"/>
      <c r="F583" s="184"/>
      <c r="G583" s="185"/>
      <c r="M583" s="184"/>
    </row>
    <row r="584" spans="3:13" x14ac:dyDescent="0.25">
      <c r="C584" s="215"/>
      <c r="D584" s="215"/>
      <c r="F584" s="184"/>
      <c r="G584" s="185"/>
      <c r="M584" s="184"/>
    </row>
    <row r="585" spans="3:13" x14ac:dyDescent="0.25">
      <c r="C585" s="215"/>
      <c r="D585" s="215"/>
      <c r="F585" s="184"/>
      <c r="G585" s="185"/>
      <c r="M585" s="184"/>
    </row>
    <row r="586" spans="3:13" x14ac:dyDescent="0.25">
      <c r="C586" s="215"/>
      <c r="D586" s="215"/>
      <c r="F586" s="184"/>
      <c r="G586" s="185"/>
      <c r="M586" s="184"/>
    </row>
    <row r="587" spans="3:13" x14ac:dyDescent="0.25">
      <c r="C587" s="215"/>
      <c r="D587" s="215"/>
      <c r="F587" s="184"/>
      <c r="G587" s="185"/>
      <c r="M587" s="184"/>
    </row>
    <row r="588" spans="3:13" x14ac:dyDescent="0.25">
      <c r="C588" s="215"/>
      <c r="D588" s="215"/>
      <c r="F588" s="184"/>
      <c r="G588" s="185"/>
      <c r="M588" s="184"/>
    </row>
    <row r="589" spans="3:13" x14ac:dyDescent="0.25">
      <c r="C589" s="215"/>
      <c r="D589" s="215"/>
      <c r="F589" s="184"/>
      <c r="G589" s="185"/>
      <c r="M589" s="184"/>
    </row>
    <row r="590" spans="3:13" x14ac:dyDescent="0.25">
      <c r="C590" s="215"/>
      <c r="D590" s="215"/>
      <c r="F590" s="184"/>
      <c r="G590" s="185"/>
      <c r="M590" s="184"/>
    </row>
    <row r="591" spans="3:13" x14ac:dyDescent="0.25">
      <c r="C591" s="215"/>
      <c r="D591" s="215"/>
      <c r="F591" s="184"/>
      <c r="G591" s="185"/>
      <c r="M591" s="184"/>
    </row>
    <row r="592" spans="3:13" x14ac:dyDescent="0.25">
      <c r="C592" s="215"/>
      <c r="D592" s="215"/>
      <c r="F592" s="184"/>
      <c r="G592" s="185"/>
      <c r="M592" s="184"/>
    </row>
    <row r="593" spans="3:13" x14ac:dyDescent="0.25">
      <c r="C593" s="215"/>
      <c r="D593" s="215"/>
      <c r="F593" s="184"/>
      <c r="G593" s="185"/>
      <c r="M593" s="184"/>
    </row>
    <row r="594" spans="3:13" x14ac:dyDescent="0.25">
      <c r="C594" s="215"/>
      <c r="D594" s="215"/>
      <c r="F594" s="184"/>
      <c r="G594" s="185"/>
      <c r="M594" s="184"/>
    </row>
    <row r="595" spans="3:13" x14ac:dyDescent="0.25">
      <c r="C595" s="215"/>
      <c r="D595" s="215"/>
      <c r="F595" s="184"/>
      <c r="G595" s="185"/>
      <c r="M595" s="184"/>
    </row>
    <row r="596" spans="3:13" x14ac:dyDescent="0.25">
      <c r="C596" s="215"/>
      <c r="D596" s="215"/>
      <c r="F596" s="184"/>
      <c r="G596" s="185"/>
      <c r="M596" s="184"/>
    </row>
    <row r="597" spans="3:13" x14ac:dyDescent="0.25">
      <c r="C597" s="215"/>
      <c r="D597" s="215"/>
      <c r="F597" s="184"/>
      <c r="G597" s="185"/>
      <c r="M597" s="184"/>
    </row>
    <row r="598" spans="3:13" x14ac:dyDescent="0.25">
      <c r="C598" s="215"/>
      <c r="D598" s="215"/>
      <c r="F598" s="184"/>
      <c r="G598" s="185"/>
      <c r="M598" s="184"/>
    </row>
    <row r="599" spans="3:13" x14ac:dyDescent="0.25">
      <c r="C599" s="215"/>
      <c r="D599" s="215"/>
      <c r="F599" s="184"/>
      <c r="G599" s="185"/>
      <c r="M599" s="184"/>
    </row>
    <row r="600" spans="3:13" x14ac:dyDescent="0.25">
      <c r="C600" s="215"/>
      <c r="D600" s="215"/>
      <c r="F600" s="184"/>
      <c r="G600" s="185"/>
      <c r="M600" s="184"/>
    </row>
    <row r="601" spans="3:13" x14ac:dyDescent="0.25">
      <c r="C601" s="215"/>
      <c r="D601" s="215"/>
      <c r="F601" s="184"/>
      <c r="G601" s="185"/>
      <c r="M601" s="184"/>
    </row>
    <row r="602" spans="3:13" x14ac:dyDescent="0.25">
      <c r="C602" s="215"/>
      <c r="D602" s="215"/>
      <c r="F602" s="184"/>
      <c r="G602" s="185"/>
      <c r="M602" s="184"/>
    </row>
    <row r="603" spans="3:13" x14ac:dyDescent="0.25">
      <c r="C603" s="215"/>
      <c r="D603" s="215"/>
      <c r="F603" s="184"/>
      <c r="G603" s="185"/>
      <c r="M603" s="184"/>
    </row>
    <row r="604" spans="3:13" x14ac:dyDescent="0.25">
      <c r="C604" s="215"/>
      <c r="D604" s="215"/>
      <c r="F604" s="184"/>
      <c r="G604" s="185"/>
      <c r="M604" s="184"/>
    </row>
    <row r="605" spans="3:13" x14ac:dyDescent="0.25">
      <c r="C605" s="215"/>
      <c r="D605" s="215"/>
      <c r="F605" s="184"/>
      <c r="G605" s="185"/>
      <c r="M605" s="184"/>
    </row>
    <row r="606" spans="3:13" x14ac:dyDescent="0.25">
      <c r="C606" s="215"/>
      <c r="D606" s="215"/>
      <c r="F606" s="184"/>
      <c r="G606" s="185"/>
      <c r="M606" s="184"/>
    </row>
    <row r="607" spans="3:13" x14ac:dyDescent="0.25">
      <c r="C607" s="215"/>
      <c r="D607" s="215"/>
      <c r="F607" s="184"/>
      <c r="G607" s="185"/>
      <c r="M607" s="184"/>
    </row>
    <row r="608" spans="3:13" x14ac:dyDescent="0.25">
      <c r="C608" s="215"/>
      <c r="D608" s="215"/>
      <c r="F608" s="184"/>
      <c r="G608" s="185"/>
      <c r="M608" s="184"/>
    </row>
    <row r="609" spans="3:13" x14ac:dyDescent="0.25">
      <c r="C609" s="215"/>
      <c r="D609" s="215"/>
      <c r="F609" s="184"/>
      <c r="G609" s="185"/>
      <c r="M609" s="184"/>
    </row>
    <row r="610" spans="3:13" x14ac:dyDescent="0.25">
      <c r="C610" s="215"/>
      <c r="D610" s="215"/>
      <c r="F610" s="184"/>
      <c r="G610" s="185"/>
      <c r="M610" s="184"/>
    </row>
    <row r="611" spans="3:13" x14ac:dyDescent="0.25">
      <c r="C611" s="215"/>
      <c r="D611" s="215"/>
      <c r="F611" s="184"/>
      <c r="G611" s="185"/>
      <c r="M611" s="184"/>
    </row>
    <row r="612" spans="3:13" x14ac:dyDescent="0.25">
      <c r="C612" s="215"/>
      <c r="D612" s="215"/>
      <c r="F612" s="184"/>
      <c r="G612" s="185"/>
      <c r="M612" s="184"/>
    </row>
    <row r="613" spans="3:13" x14ac:dyDescent="0.25">
      <c r="C613" s="215"/>
      <c r="D613" s="215"/>
      <c r="F613" s="184"/>
      <c r="G613" s="185"/>
      <c r="M613" s="184"/>
    </row>
    <row r="614" spans="3:13" x14ac:dyDescent="0.25">
      <c r="C614" s="215"/>
      <c r="D614" s="215"/>
      <c r="F614" s="184"/>
      <c r="G614" s="185"/>
      <c r="M614" s="184"/>
    </row>
    <row r="615" spans="3:13" x14ac:dyDescent="0.25">
      <c r="C615" s="215"/>
      <c r="D615" s="215"/>
      <c r="F615" s="184"/>
      <c r="G615" s="185"/>
      <c r="M615" s="184"/>
    </row>
    <row r="616" spans="3:13" x14ac:dyDescent="0.25">
      <c r="C616" s="215"/>
      <c r="D616" s="215"/>
      <c r="F616" s="184"/>
      <c r="G616" s="185"/>
      <c r="M616" s="184"/>
    </row>
    <row r="617" spans="3:13" x14ac:dyDescent="0.25">
      <c r="C617" s="215"/>
      <c r="D617" s="215"/>
      <c r="F617" s="184"/>
      <c r="G617" s="185"/>
      <c r="M617" s="184"/>
    </row>
    <row r="618" spans="3:13" x14ac:dyDescent="0.25">
      <c r="C618" s="215"/>
      <c r="D618" s="215"/>
      <c r="F618" s="184"/>
      <c r="G618" s="185"/>
      <c r="M618" s="184"/>
    </row>
    <row r="619" spans="3:13" x14ac:dyDescent="0.25">
      <c r="C619" s="215"/>
      <c r="D619" s="215"/>
      <c r="F619" s="184"/>
      <c r="G619" s="185"/>
      <c r="M619" s="184"/>
    </row>
    <row r="620" spans="3:13" x14ac:dyDescent="0.25">
      <c r="C620" s="215"/>
      <c r="D620" s="215"/>
      <c r="F620" s="184"/>
      <c r="G620" s="185"/>
      <c r="M620" s="184"/>
    </row>
    <row r="621" spans="3:13" x14ac:dyDescent="0.25">
      <c r="C621" s="215"/>
      <c r="D621" s="215"/>
      <c r="F621" s="184"/>
      <c r="G621" s="185"/>
      <c r="M621" s="184"/>
    </row>
    <row r="622" spans="3:13" x14ac:dyDescent="0.25">
      <c r="C622" s="215"/>
      <c r="D622" s="215"/>
      <c r="F622" s="184"/>
      <c r="G622" s="185"/>
      <c r="M622" s="184"/>
    </row>
    <row r="623" spans="3:13" x14ac:dyDescent="0.25">
      <c r="C623" s="215"/>
      <c r="D623" s="215"/>
      <c r="F623" s="184"/>
      <c r="G623" s="185"/>
      <c r="M623" s="184"/>
    </row>
    <row r="624" spans="3:13" x14ac:dyDescent="0.25">
      <c r="C624" s="215"/>
      <c r="D624" s="215"/>
      <c r="F624" s="184"/>
      <c r="G624" s="185"/>
      <c r="M624" s="184"/>
    </row>
    <row r="625" spans="3:13" x14ac:dyDescent="0.25">
      <c r="C625" s="215"/>
      <c r="D625" s="215"/>
      <c r="F625" s="184"/>
      <c r="G625" s="185"/>
      <c r="M625" s="184"/>
    </row>
    <row r="626" spans="3:13" x14ac:dyDescent="0.25">
      <c r="C626" s="215"/>
      <c r="D626" s="215"/>
      <c r="F626" s="184"/>
      <c r="G626" s="185"/>
      <c r="M626" s="184"/>
    </row>
    <row r="627" spans="3:13" x14ac:dyDescent="0.25">
      <c r="C627" s="215"/>
      <c r="D627" s="215"/>
      <c r="F627" s="184"/>
      <c r="G627" s="185"/>
      <c r="M627" s="184"/>
    </row>
    <row r="628" spans="3:13" x14ac:dyDescent="0.25">
      <c r="C628" s="215"/>
      <c r="D628" s="215"/>
      <c r="F628" s="184"/>
      <c r="G628" s="185"/>
      <c r="M628" s="184"/>
    </row>
    <row r="629" spans="3:13" x14ac:dyDescent="0.25">
      <c r="C629" s="215"/>
      <c r="D629" s="215"/>
      <c r="F629" s="184"/>
      <c r="G629" s="185"/>
      <c r="M629" s="184"/>
    </row>
    <row r="630" spans="3:13" x14ac:dyDescent="0.25">
      <c r="C630" s="215"/>
      <c r="D630" s="215"/>
      <c r="F630" s="184"/>
      <c r="G630" s="185"/>
      <c r="M630" s="184"/>
    </row>
    <row r="631" spans="3:13" x14ac:dyDescent="0.25">
      <c r="C631" s="215"/>
      <c r="D631" s="215"/>
      <c r="F631" s="184"/>
      <c r="G631" s="185"/>
      <c r="M631" s="184"/>
    </row>
    <row r="632" spans="3:13" x14ac:dyDescent="0.25">
      <c r="C632" s="215"/>
      <c r="D632" s="215"/>
      <c r="F632" s="184"/>
      <c r="G632" s="185"/>
      <c r="M632" s="184"/>
    </row>
    <row r="633" spans="3:13" x14ac:dyDescent="0.25">
      <c r="C633" s="215"/>
      <c r="D633" s="215"/>
      <c r="F633" s="184"/>
      <c r="G633" s="185"/>
      <c r="M633" s="184"/>
    </row>
    <row r="634" spans="3:13" x14ac:dyDescent="0.25">
      <c r="C634" s="215"/>
      <c r="D634" s="215"/>
      <c r="F634" s="184"/>
      <c r="G634" s="185"/>
      <c r="M634" s="184"/>
    </row>
    <row r="635" spans="3:13" x14ac:dyDescent="0.25">
      <c r="C635" s="215"/>
      <c r="D635" s="215"/>
      <c r="F635" s="184"/>
      <c r="G635" s="185"/>
      <c r="M635" s="184"/>
    </row>
    <row r="636" spans="3:13" x14ac:dyDescent="0.25">
      <c r="C636" s="215"/>
      <c r="D636" s="215"/>
      <c r="F636" s="184"/>
      <c r="G636" s="185"/>
      <c r="M636" s="184"/>
    </row>
    <row r="637" spans="3:13" x14ac:dyDescent="0.25">
      <c r="C637" s="215"/>
      <c r="D637" s="215"/>
      <c r="F637" s="184"/>
      <c r="G637" s="185"/>
      <c r="M637" s="184"/>
    </row>
    <row r="638" spans="3:13" x14ac:dyDescent="0.25">
      <c r="C638" s="215"/>
      <c r="D638" s="215"/>
      <c r="F638" s="184"/>
      <c r="G638" s="185"/>
      <c r="M638" s="184"/>
    </row>
    <row r="639" spans="3:13" x14ac:dyDescent="0.25">
      <c r="C639" s="215"/>
      <c r="D639" s="215"/>
      <c r="F639" s="184"/>
      <c r="G639" s="185"/>
      <c r="M639" s="184"/>
    </row>
    <row r="640" spans="3:13" x14ac:dyDescent="0.25">
      <c r="C640" s="215"/>
      <c r="D640" s="215"/>
      <c r="F640" s="184"/>
      <c r="G640" s="185"/>
      <c r="M640" s="184"/>
    </row>
    <row r="641" spans="3:13" x14ac:dyDescent="0.25">
      <c r="C641" s="215"/>
      <c r="D641" s="215"/>
      <c r="F641" s="184"/>
      <c r="G641" s="185"/>
      <c r="M641" s="184"/>
    </row>
    <row r="642" spans="3:13" x14ac:dyDescent="0.25">
      <c r="C642" s="215"/>
      <c r="D642" s="215"/>
      <c r="F642" s="184"/>
      <c r="G642" s="185"/>
      <c r="M642" s="184"/>
    </row>
    <row r="643" spans="3:13" x14ac:dyDescent="0.25">
      <c r="C643" s="215"/>
      <c r="D643" s="215"/>
      <c r="F643" s="184"/>
      <c r="G643" s="185"/>
      <c r="M643" s="184"/>
    </row>
    <row r="644" spans="3:13" x14ac:dyDescent="0.25">
      <c r="C644" s="215"/>
      <c r="D644" s="215"/>
      <c r="F644" s="184"/>
      <c r="G644" s="185"/>
      <c r="M644" s="184"/>
    </row>
    <row r="645" spans="3:13" x14ac:dyDescent="0.25">
      <c r="C645" s="215"/>
      <c r="D645" s="215"/>
      <c r="F645" s="184"/>
      <c r="G645" s="185"/>
      <c r="M645" s="184"/>
    </row>
    <row r="646" spans="3:13" x14ac:dyDescent="0.25">
      <c r="C646" s="215"/>
      <c r="D646" s="215"/>
      <c r="F646" s="184"/>
      <c r="G646" s="185"/>
      <c r="M646" s="184"/>
    </row>
    <row r="647" spans="3:13" x14ac:dyDescent="0.25">
      <c r="C647" s="215"/>
      <c r="D647" s="215"/>
      <c r="F647" s="184"/>
      <c r="G647" s="185"/>
      <c r="M647" s="184"/>
    </row>
    <row r="648" spans="3:13" x14ac:dyDescent="0.25">
      <c r="C648" s="215"/>
      <c r="D648" s="215"/>
      <c r="F648" s="184"/>
      <c r="G648" s="185"/>
      <c r="M648" s="184"/>
    </row>
    <row r="649" spans="3:13" x14ac:dyDescent="0.25">
      <c r="C649" s="215"/>
      <c r="D649" s="215"/>
      <c r="F649" s="184"/>
      <c r="G649" s="185"/>
      <c r="M649" s="184"/>
    </row>
    <row r="650" spans="3:13" x14ac:dyDescent="0.25">
      <c r="C650" s="215"/>
      <c r="D650" s="215"/>
      <c r="F650" s="184"/>
      <c r="G650" s="185"/>
      <c r="M650" s="184"/>
    </row>
    <row r="651" spans="3:13" x14ac:dyDescent="0.25">
      <c r="C651" s="215"/>
      <c r="D651" s="215"/>
      <c r="F651" s="184"/>
      <c r="G651" s="185"/>
      <c r="M651" s="184"/>
    </row>
    <row r="652" spans="3:13" x14ac:dyDescent="0.25">
      <c r="C652" s="215"/>
      <c r="D652" s="215"/>
      <c r="F652" s="184"/>
      <c r="G652" s="185"/>
      <c r="M652" s="184"/>
    </row>
    <row r="653" spans="3:13" x14ac:dyDescent="0.25">
      <c r="C653" s="215"/>
      <c r="D653" s="215"/>
      <c r="F653" s="184"/>
      <c r="G653" s="185"/>
      <c r="M653" s="184"/>
    </row>
    <row r="654" spans="3:13" x14ac:dyDescent="0.25">
      <c r="C654" s="215"/>
      <c r="D654" s="215"/>
      <c r="F654" s="184"/>
      <c r="G654" s="185"/>
      <c r="M654" s="184"/>
    </row>
    <row r="655" spans="3:13" x14ac:dyDescent="0.25">
      <c r="C655" s="215"/>
      <c r="D655" s="215"/>
      <c r="F655" s="184"/>
      <c r="G655" s="185"/>
      <c r="M655" s="184"/>
    </row>
    <row r="656" spans="3:13" x14ac:dyDescent="0.25">
      <c r="C656" s="215"/>
      <c r="D656" s="215"/>
      <c r="F656" s="184"/>
      <c r="G656" s="185"/>
      <c r="M656" s="184"/>
    </row>
    <row r="657" spans="3:13" x14ac:dyDescent="0.25">
      <c r="C657" s="215"/>
      <c r="D657" s="215"/>
      <c r="F657" s="184"/>
      <c r="G657" s="185"/>
      <c r="M657" s="184"/>
    </row>
    <row r="658" spans="3:13" x14ac:dyDescent="0.25">
      <c r="C658" s="215"/>
      <c r="D658" s="215"/>
      <c r="F658" s="184"/>
      <c r="G658" s="185"/>
      <c r="M658" s="184"/>
    </row>
    <row r="659" spans="3:13" x14ac:dyDescent="0.25">
      <c r="C659" s="215"/>
      <c r="D659" s="215"/>
      <c r="F659" s="184"/>
      <c r="G659" s="185"/>
      <c r="M659" s="184"/>
    </row>
    <row r="660" spans="3:13" x14ac:dyDescent="0.25">
      <c r="C660" s="215"/>
      <c r="D660" s="215"/>
      <c r="F660" s="184"/>
      <c r="G660" s="185"/>
      <c r="M660" s="184"/>
    </row>
    <row r="661" spans="3:13" x14ac:dyDescent="0.25">
      <c r="C661" s="215"/>
      <c r="D661" s="215"/>
      <c r="F661" s="184"/>
      <c r="G661" s="185"/>
      <c r="M661" s="184"/>
    </row>
    <row r="662" spans="3:13" x14ac:dyDescent="0.25">
      <c r="C662" s="215"/>
      <c r="D662" s="215"/>
      <c r="F662" s="184"/>
      <c r="G662" s="185"/>
      <c r="M662" s="184"/>
    </row>
    <row r="663" spans="3:13" x14ac:dyDescent="0.25">
      <c r="C663" s="215"/>
      <c r="D663" s="215"/>
      <c r="F663" s="184"/>
      <c r="G663" s="185"/>
      <c r="M663" s="184"/>
    </row>
    <row r="664" spans="3:13" x14ac:dyDescent="0.25">
      <c r="C664" s="215"/>
      <c r="D664" s="215"/>
      <c r="F664" s="184"/>
      <c r="G664" s="185"/>
      <c r="M664" s="184"/>
    </row>
    <row r="665" spans="3:13" x14ac:dyDescent="0.25">
      <c r="C665" s="215"/>
      <c r="D665" s="215"/>
      <c r="F665" s="184"/>
      <c r="G665" s="185"/>
      <c r="M665" s="184"/>
    </row>
    <row r="666" spans="3:13" x14ac:dyDescent="0.25">
      <c r="C666" s="215"/>
      <c r="D666" s="215"/>
      <c r="F666" s="184"/>
      <c r="G666" s="185"/>
      <c r="M666" s="184"/>
    </row>
    <row r="667" spans="3:13" x14ac:dyDescent="0.25">
      <c r="C667" s="215"/>
      <c r="D667" s="215"/>
      <c r="F667" s="184"/>
      <c r="G667" s="185"/>
      <c r="M667" s="184"/>
    </row>
    <row r="668" spans="3:13" x14ac:dyDescent="0.25">
      <c r="C668" s="215"/>
      <c r="D668" s="215"/>
      <c r="F668" s="184"/>
      <c r="G668" s="185"/>
      <c r="M668" s="184"/>
    </row>
    <row r="669" spans="3:13" x14ac:dyDescent="0.25">
      <c r="C669" s="215"/>
      <c r="D669" s="215"/>
      <c r="F669" s="184"/>
      <c r="G669" s="185"/>
      <c r="M669" s="184"/>
    </row>
    <row r="670" spans="3:13" x14ac:dyDescent="0.25">
      <c r="C670" s="215"/>
      <c r="D670" s="215"/>
      <c r="F670" s="184"/>
      <c r="G670" s="185"/>
      <c r="M670" s="184"/>
    </row>
    <row r="671" spans="3:13" x14ac:dyDescent="0.25">
      <c r="C671" s="215"/>
      <c r="D671" s="215"/>
      <c r="F671" s="184"/>
      <c r="G671" s="185"/>
      <c r="M671" s="184"/>
    </row>
    <row r="672" spans="3:13" x14ac:dyDescent="0.25">
      <c r="C672" s="215"/>
      <c r="D672" s="215"/>
      <c r="F672" s="184"/>
      <c r="G672" s="185"/>
      <c r="M672" s="184"/>
    </row>
    <row r="673" spans="3:13" x14ac:dyDescent="0.25">
      <c r="C673" s="215"/>
      <c r="D673" s="215"/>
      <c r="F673" s="184"/>
      <c r="G673" s="185"/>
      <c r="M673" s="184"/>
    </row>
    <row r="674" spans="3:13" x14ac:dyDescent="0.25">
      <c r="C674" s="215"/>
      <c r="D674" s="215"/>
      <c r="F674" s="184"/>
      <c r="G674" s="185"/>
      <c r="M674" s="184"/>
    </row>
    <row r="675" spans="3:13" x14ac:dyDescent="0.25">
      <c r="C675" s="215"/>
      <c r="D675" s="215"/>
      <c r="F675" s="184"/>
      <c r="G675" s="185"/>
      <c r="M675" s="184"/>
    </row>
    <row r="676" spans="3:13" x14ac:dyDescent="0.25">
      <c r="C676" s="215"/>
      <c r="D676" s="215"/>
      <c r="F676" s="184"/>
      <c r="G676" s="185"/>
      <c r="M676" s="184"/>
    </row>
    <row r="677" spans="3:13" x14ac:dyDescent="0.25">
      <c r="C677" s="215"/>
      <c r="D677" s="215"/>
      <c r="F677" s="184"/>
      <c r="G677" s="185"/>
      <c r="M677" s="184"/>
    </row>
    <row r="678" spans="3:13" x14ac:dyDescent="0.25">
      <c r="C678" s="215"/>
      <c r="D678" s="215"/>
      <c r="F678" s="184"/>
      <c r="G678" s="185"/>
      <c r="M678" s="184"/>
    </row>
    <row r="679" spans="3:13" x14ac:dyDescent="0.25">
      <c r="C679" s="215"/>
      <c r="D679" s="215"/>
      <c r="F679" s="184"/>
      <c r="G679" s="185"/>
      <c r="M679" s="184"/>
    </row>
    <row r="680" spans="3:13" x14ac:dyDescent="0.25">
      <c r="C680" s="215"/>
      <c r="D680" s="215"/>
      <c r="F680" s="184"/>
      <c r="G680" s="185"/>
      <c r="M680" s="184"/>
    </row>
    <row r="681" spans="3:13" x14ac:dyDescent="0.25">
      <c r="C681" s="215"/>
      <c r="D681" s="215"/>
      <c r="F681" s="184"/>
      <c r="G681" s="185"/>
      <c r="M681" s="184"/>
    </row>
    <row r="682" spans="3:13" x14ac:dyDescent="0.25">
      <c r="C682" s="215"/>
      <c r="D682" s="215"/>
      <c r="F682" s="184"/>
      <c r="G682" s="185"/>
      <c r="M682" s="184"/>
    </row>
    <row r="683" spans="3:13" x14ac:dyDescent="0.25">
      <c r="C683" s="215"/>
      <c r="D683" s="215"/>
      <c r="F683" s="184"/>
      <c r="G683" s="185"/>
      <c r="M683" s="184"/>
    </row>
    <row r="684" spans="3:13" x14ac:dyDescent="0.25">
      <c r="C684" s="215"/>
      <c r="D684" s="215"/>
      <c r="F684" s="184"/>
      <c r="G684" s="185"/>
      <c r="M684" s="184"/>
    </row>
    <row r="685" spans="3:13" x14ac:dyDescent="0.25">
      <c r="C685" s="215"/>
      <c r="D685" s="215"/>
      <c r="F685" s="184"/>
      <c r="G685" s="185"/>
      <c r="M685" s="184"/>
    </row>
    <row r="686" spans="3:13" x14ac:dyDescent="0.25">
      <c r="C686" s="215"/>
      <c r="D686" s="215"/>
      <c r="F686" s="184"/>
      <c r="G686" s="185"/>
      <c r="M686" s="184"/>
    </row>
    <row r="687" spans="3:13" x14ac:dyDescent="0.25">
      <c r="C687" s="215"/>
      <c r="D687" s="215"/>
      <c r="F687" s="184"/>
      <c r="G687" s="185"/>
      <c r="M687" s="184"/>
    </row>
    <row r="688" spans="3:13" x14ac:dyDescent="0.25">
      <c r="C688" s="215"/>
      <c r="D688" s="215"/>
      <c r="F688" s="184"/>
      <c r="G688" s="185"/>
      <c r="M688" s="184"/>
    </row>
    <row r="689" spans="3:13" x14ac:dyDescent="0.25">
      <c r="C689" s="215"/>
      <c r="D689" s="215"/>
      <c r="F689" s="184"/>
      <c r="G689" s="185"/>
      <c r="M689" s="184"/>
    </row>
    <row r="690" spans="3:13" x14ac:dyDescent="0.25">
      <c r="C690" s="215"/>
      <c r="D690" s="215"/>
      <c r="F690" s="184"/>
      <c r="G690" s="185"/>
      <c r="M690" s="184"/>
    </row>
    <row r="691" spans="3:13" x14ac:dyDescent="0.25">
      <c r="C691" s="215"/>
      <c r="D691" s="215"/>
      <c r="F691" s="184"/>
      <c r="G691" s="185"/>
      <c r="M691" s="184"/>
    </row>
    <row r="692" spans="3:13" x14ac:dyDescent="0.25">
      <c r="C692" s="215"/>
      <c r="D692" s="215"/>
      <c r="F692" s="184"/>
      <c r="G692" s="185"/>
      <c r="M692" s="184"/>
    </row>
    <row r="693" spans="3:13" x14ac:dyDescent="0.25">
      <c r="C693" s="215"/>
      <c r="D693" s="215"/>
      <c r="F693" s="184"/>
      <c r="G693" s="185"/>
      <c r="M693" s="184"/>
    </row>
    <row r="694" spans="3:13" x14ac:dyDescent="0.25">
      <c r="C694" s="215"/>
      <c r="D694" s="215"/>
      <c r="F694" s="184"/>
      <c r="G694" s="185"/>
      <c r="M694" s="184"/>
    </row>
    <row r="695" spans="3:13" x14ac:dyDescent="0.25">
      <c r="C695" s="215"/>
      <c r="D695" s="215"/>
      <c r="F695" s="184"/>
      <c r="G695" s="185"/>
      <c r="M695" s="184"/>
    </row>
    <row r="696" spans="3:13" x14ac:dyDescent="0.25">
      <c r="C696" s="215"/>
      <c r="D696" s="215"/>
      <c r="F696" s="184"/>
      <c r="G696" s="185"/>
      <c r="M696" s="184"/>
    </row>
    <row r="697" spans="3:13" x14ac:dyDescent="0.25">
      <c r="C697" s="215"/>
      <c r="D697" s="215"/>
      <c r="F697" s="184"/>
      <c r="G697" s="185"/>
      <c r="M697" s="184"/>
    </row>
    <row r="698" spans="3:13" x14ac:dyDescent="0.25">
      <c r="C698" s="215"/>
      <c r="D698" s="215"/>
      <c r="F698" s="184"/>
      <c r="G698" s="185"/>
      <c r="M698" s="184"/>
    </row>
    <row r="699" spans="3:13" x14ac:dyDescent="0.25">
      <c r="C699" s="215"/>
      <c r="D699" s="215"/>
      <c r="F699" s="184"/>
      <c r="G699" s="185"/>
      <c r="M699" s="184"/>
    </row>
    <row r="700" spans="3:13" x14ac:dyDescent="0.25">
      <c r="C700" s="215"/>
      <c r="D700" s="215"/>
      <c r="F700" s="184"/>
      <c r="G700" s="185"/>
      <c r="M700" s="184"/>
    </row>
    <row r="701" spans="3:13" x14ac:dyDescent="0.25">
      <c r="C701" s="215"/>
      <c r="D701" s="215"/>
      <c r="F701" s="184"/>
      <c r="G701" s="185"/>
      <c r="M701" s="184"/>
    </row>
    <row r="702" spans="3:13" x14ac:dyDescent="0.25">
      <c r="C702" s="215"/>
      <c r="D702" s="215"/>
      <c r="F702" s="184"/>
      <c r="G702" s="185"/>
      <c r="M702" s="184"/>
    </row>
    <row r="703" spans="3:13" x14ac:dyDescent="0.25">
      <c r="C703" s="215"/>
      <c r="D703" s="215"/>
      <c r="F703" s="184"/>
      <c r="G703" s="185"/>
      <c r="M703" s="184"/>
    </row>
    <row r="704" spans="3:13" x14ac:dyDescent="0.25">
      <c r="C704" s="215"/>
      <c r="D704" s="215"/>
      <c r="F704" s="184"/>
      <c r="G704" s="185"/>
      <c r="M704" s="184"/>
    </row>
    <row r="705" spans="3:13" x14ac:dyDescent="0.25">
      <c r="C705" s="215"/>
      <c r="D705" s="215"/>
      <c r="F705" s="184"/>
      <c r="G705" s="185"/>
      <c r="M705" s="184"/>
    </row>
    <row r="706" spans="3:13" x14ac:dyDescent="0.25">
      <c r="C706" s="215"/>
      <c r="D706" s="215"/>
      <c r="F706" s="184"/>
      <c r="G706" s="185"/>
      <c r="M706" s="184"/>
    </row>
    <row r="707" spans="3:13" x14ac:dyDescent="0.25">
      <c r="C707" s="215"/>
      <c r="D707" s="215"/>
      <c r="F707" s="184"/>
      <c r="G707" s="185"/>
      <c r="M707" s="184"/>
    </row>
    <row r="708" spans="3:13" x14ac:dyDescent="0.25">
      <c r="C708" s="215"/>
      <c r="D708" s="215"/>
      <c r="F708" s="184"/>
      <c r="G708" s="185"/>
      <c r="M708" s="184"/>
    </row>
    <row r="709" spans="3:13" x14ac:dyDescent="0.25">
      <c r="C709" s="215"/>
      <c r="D709" s="215"/>
      <c r="F709" s="184"/>
      <c r="G709" s="185"/>
      <c r="M709" s="184"/>
    </row>
    <row r="710" spans="3:13" x14ac:dyDescent="0.25">
      <c r="C710" s="215"/>
      <c r="D710" s="215"/>
      <c r="F710" s="184"/>
      <c r="G710" s="185"/>
      <c r="M710" s="184"/>
    </row>
    <row r="711" spans="3:13" x14ac:dyDescent="0.25">
      <c r="C711" s="215"/>
      <c r="D711" s="215"/>
      <c r="F711" s="184"/>
      <c r="G711" s="185"/>
      <c r="M711" s="184"/>
    </row>
    <row r="712" spans="3:13" x14ac:dyDescent="0.25">
      <c r="C712" s="215"/>
      <c r="D712" s="215"/>
      <c r="F712" s="184"/>
      <c r="G712" s="185"/>
      <c r="M712" s="184"/>
    </row>
    <row r="713" spans="3:13" x14ac:dyDescent="0.25">
      <c r="C713" s="215"/>
      <c r="D713" s="215"/>
      <c r="F713" s="184"/>
      <c r="G713" s="185"/>
      <c r="M713" s="184"/>
    </row>
    <row r="714" spans="3:13" x14ac:dyDescent="0.25">
      <c r="C714" s="215"/>
      <c r="D714" s="215"/>
      <c r="F714" s="184"/>
      <c r="G714" s="185"/>
      <c r="M714" s="184"/>
    </row>
    <row r="715" spans="3:13" x14ac:dyDescent="0.25">
      <c r="C715" s="215"/>
      <c r="D715" s="215"/>
      <c r="F715" s="184"/>
      <c r="G715" s="185"/>
      <c r="M715" s="184"/>
    </row>
    <row r="716" spans="3:13" x14ac:dyDescent="0.25">
      <c r="C716" s="215"/>
      <c r="D716" s="215"/>
      <c r="F716" s="184"/>
      <c r="G716" s="185"/>
      <c r="M716" s="184"/>
    </row>
    <row r="717" spans="3:13" x14ac:dyDescent="0.25">
      <c r="C717" s="215"/>
      <c r="D717" s="215"/>
      <c r="F717" s="184"/>
      <c r="G717" s="185"/>
      <c r="M717" s="184"/>
    </row>
    <row r="718" spans="3:13" x14ac:dyDescent="0.25">
      <c r="C718" s="215"/>
      <c r="D718" s="215"/>
      <c r="F718" s="184"/>
      <c r="G718" s="185"/>
      <c r="M718" s="184"/>
    </row>
    <row r="719" spans="3:13" x14ac:dyDescent="0.25">
      <c r="C719" s="215"/>
      <c r="D719" s="215"/>
      <c r="F719" s="184"/>
      <c r="G719" s="185"/>
      <c r="M719" s="184"/>
    </row>
    <row r="720" spans="3:13" x14ac:dyDescent="0.25">
      <c r="C720" s="215"/>
      <c r="D720" s="215"/>
      <c r="F720" s="184"/>
      <c r="G720" s="185"/>
      <c r="M720" s="184"/>
    </row>
    <row r="721" spans="3:13" x14ac:dyDescent="0.25">
      <c r="C721" s="215"/>
      <c r="D721" s="215"/>
      <c r="F721" s="184"/>
      <c r="G721" s="185"/>
      <c r="M721" s="184"/>
    </row>
    <row r="722" spans="3:13" x14ac:dyDescent="0.25">
      <c r="C722" s="215"/>
      <c r="D722" s="215"/>
      <c r="F722" s="184"/>
      <c r="G722" s="185"/>
      <c r="M722" s="184"/>
    </row>
    <row r="723" spans="3:13" x14ac:dyDescent="0.25">
      <c r="C723" s="215"/>
      <c r="D723" s="215"/>
      <c r="F723" s="184"/>
      <c r="G723" s="185"/>
      <c r="M723" s="184"/>
    </row>
    <row r="724" spans="3:13" x14ac:dyDescent="0.25">
      <c r="C724" s="215"/>
      <c r="D724" s="215"/>
      <c r="F724" s="184"/>
      <c r="G724" s="185"/>
      <c r="M724" s="184"/>
    </row>
    <row r="725" spans="3:13" x14ac:dyDescent="0.25">
      <c r="C725" s="215"/>
      <c r="D725" s="215"/>
      <c r="F725" s="184"/>
      <c r="G725" s="185"/>
      <c r="M725" s="184"/>
    </row>
    <row r="726" spans="3:13" x14ac:dyDescent="0.25">
      <c r="C726" s="215"/>
      <c r="D726" s="215"/>
      <c r="F726" s="184"/>
      <c r="G726" s="185"/>
      <c r="M726" s="184"/>
    </row>
    <row r="727" spans="3:13" x14ac:dyDescent="0.25">
      <c r="C727" s="215"/>
      <c r="D727" s="215"/>
      <c r="F727" s="184"/>
      <c r="G727" s="185"/>
      <c r="M727" s="184"/>
    </row>
    <row r="728" spans="3:13" x14ac:dyDescent="0.25">
      <c r="C728" s="215"/>
      <c r="D728" s="215"/>
      <c r="F728" s="184"/>
      <c r="G728" s="185"/>
      <c r="M728" s="184"/>
    </row>
    <row r="729" spans="3:13" x14ac:dyDescent="0.25">
      <c r="C729" s="215"/>
      <c r="D729" s="215"/>
      <c r="F729" s="184"/>
      <c r="G729" s="185"/>
      <c r="M729" s="184"/>
    </row>
    <row r="730" spans="3:13" x14ac:dyDescent="0.25">
      <c r="D730" s="214"/>
      <c r="F730" s="184"/>
      <c r="G730" s="185"/>
      <c r="M730" s="184"/>
    </row>
  </sheetData>
  <mergeCells count="1">
    <mergeCell ref="A1:F1"/>
  </mergeCells>
  <hyperlinks>
    <hyperlink ref="B59" r:id="rId1" display="http://www.superepi.com.br/pesquisa/?p=ksn"/>
  </hyperlinks>
  <printOptions horizontalCentered="1"/>
  <pageMargins left="0.9055118110236221" right="0.78740157480314965" top="1.7716535433070868" bottom="0.98425196850393704" header="0.31496062992125984" footer="0.31496062992125984"/>
  <pageSetup paperSize="9" scale="5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19</vt:i4>
      </vt:variant>
      <vt:variant>
        <vt:lpstr>Intervalos nomeados</vt:lpstr>
      </vt:variant>
      <vt:variant>
        <vt:i4>20</vt:i4>
      </vt:variant>
    </vt:vector>
  </HeadingPairs>
  <TitlesOfParts>
    <vt:vector size="39" baseType="lpstr">
      <vt:lpstr> SERVENTE</vt:lpstr>
      <vt:lpstr> ENCARREGADO</vt:lpstr>
      <vt:lpstr>JAUZEIRO</vt:lpstr>
      <vt:lpstr>JARDINEIRO</vt:lpstr>
      <vt:lpstr>LAVADOR</vt:lpstr>
      <vt:lpstr>CARREGADOR</vt:lpstr>
      <vt:lpstr>LEVANT. ÁREAS</vt:lpstr>
      <vt:lpstr>UNIFORMES</vt:lpstr>
      <vt:lpstr>MATERIAL LIMPEZA</vt:lpstr>
      <vt:lpstr>EQUIPTO LIMPEZA</vt:lpstr>
      <vt:lpstr>MATERIAL JARDINAGEM</vt:lpstr>
      <vt:lpstr>EQUIPTO JARDINAGEM</vt:lpstr>
      <vt:lpstr>MATERIAL JAUZEIRO </vt:lpstr>
      <vt:lpstr> M2 ATUAL</vt:lpstr>
      <vt:lpstr>M2 REPACTUADO</vt:lpstr>
      <vt:lpstr>RESUMO-REPACTUAÇÃO</vt:lpstr>
      <vt:lpstr>$ TOTAL ATUAL</vt:lpstr>
      <vt:lpstr>$ TOTAL REPACTUADO</vt:lpstr>
      <vt:lpstr>Plan8</vt:lpstr>
      <vt:lpstr>_1__um</vt:lpstr>
      <vt:lpstr>' ENCARREGADO'!Area_de_impressao</vt:lpstr>
      <vt:lpstr>' M2 ATUAL'!Area_de_impressao</vt:lpstr>
      <vt:lpstr>' SERVENTE'!Area_de_impressao</vt:lpstr>
      <vt:lpstr>'$ TOTAL ATUAL'!Area_de_impressao</vt:lpstr>
      <vt:lpstr>'$ TOTAL REPACTUADO'!Area_de_impressao</vt:lpstr>
      <vt:lpstr>CARREGADOR!Area_de_impressao</vt:lpstr>
      <vt:lpstr>'EQUIPTO JARDINAGEM'!Area_de_impressao</vt:lpstr>
      <vt:lpstr>'EQUIPTO LIMPEZA'!Area_de_impressao</vt:lpstr>
      <vt:lpstr>JARDINEIRO!Area_de_impressao</vt:lpstr>
      <vt:lpstr>JAUZEIRO!Area_de_impressao</vt:lpstr>
      <vt:lpstr>LAVADOR!Area_de_impressao</vt:lpstr>
      <vt:lpstr>'M2 REPACTUADO'!Area_de_impressao</vt:lpstr>
      <vt:lpstr>'MATERIAL JARDINAGEM'!Area_de_impressao</vt:lpstr>
      <vt:lpstr>'MATERIAL JAUZEIRO '!Area_de_impressao</vt:lpstr>
      <vt:lpstr>'MATERIAL LIMPEZA'!Area_de_impressao</vt:lpstr>
      <vt:lpstr>'RESUMO-REPACTUAÇÃO'!Area_de_impressao</vt:lpstr>
      <vt:lpstr>UNIFORMES!Area_de_impressao</vt:lpstr>
      <vt:lpstr>Quantidade__total__a_contratar__em_função_da_unidade_de_medida</vt:lpstr>
      <vt:lpstr>Valor__R</vt:lpstr>
    </vt:vector>
  </TitlesOfParts>
  <Company>Controladoria-Geral da União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Ferreira de Macedo</dc:creator>
  <cp:lastModifiedBy>Cleusa Costa de Jesus</cp:lastModifiedBy>
  <cp:lastPrinted>2017-06-29T20:24:15Z</cp:lastPrinted>
  <dcterms:created xsi:type="dcterms:W3CDTF">2013-07-25T13:44:18Z</dcterms:created>
  <dcterms:modified xsi:type="dcterms:W3CDTF">2017-07-24T13:45:24Z</dcterms:modified>
</cp:coreProperties>
</file>